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drawings/drawing3.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charts/chart11.xml" ContentType="application/vnd.openxmlformats-officedocument.drawingml.chart+xml"/>
  <Override PartName="/xl/drawings/drawing5.xml" ContentType="application/vnd.openxmlformats-officedocument.drawing+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omments5.xml" ContentType="application/vnd.openxmlformats-officedocument.spreadsheetml.comments+xml"/>
  <Override PartName="/xl/comments6.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192.168.20.12\Broking\9 Broking\Bharani\Seetharaman\Models\"/>
    </mc:Choice>
  </mc:AlternateContent>
  <xr:revisionPtr revIDLastSave="0" documentId="13_ncr:1_{C4235F63-33F5-446D-9047-A325F8ED4005}" xr6:coauthVersionLast="47" xr6:coauthVersionMax="47" xr10:uidLastSave="{00000000-0000-0000-0000-000000000000}"/>
  <bookViews>
    <workbookView xWindow="28680" yWindow="-120" windowWidth="29040" windowHeight="15720" firstSheet="2" activeTab="11" xr2:uid="{88C9B015-63E7-4505-B65C-ECE4BC098D5C}"/>
  </bookViews>
  <sheets>
    <sheet name="Equibase" sheetId="26" r:id="rId1"/>
    <sheet name="EquibaseQTR" sheetId="40" r:id="rId2"/>
    <sheet name="NewFinSumm" sheetId="25" r:id="rId3"/>
    <sheet name="Key" sheetId="1" r:id="rId4"/>
    <sheet name="Assumptions" sheetId="5" r:id="rId5"/>
    <sheet name="Consol" sheetId="20" r:id="rId6"/>
    <sheet name="Valuation" sheetId="23" r:id="rId7"/>
    <sheet name="Logistics" sheetId="39" r:id="rId8"/>
    <sheet name="Charts" sheetId="24" r:id="rId9"/>
    <sheet name="Qtrly" sheetId="4" r:id="rId10"/>
    <sheet name="Notes" sheetId="41" r:id="rId11"/>
    <sheet name="Navkar Qtrly" sheetId="33" r:id="rId12"/>
    <sheet name="Jaigarh" sheetId="12" r:id="rId13"/>
    <sheet name="Standalone" sheetId="21" r:id="rId14"/>
    <sheet name="Goa" sheetId="16" r:id="rId15"/>
    <sheet name="Dharmtar" sheetId="13" r:id="rId16"/>
    <sheet name="Paradip Iron" sheetId="15" r:id="rId17"/>
    <sheet name="Paradip Coal" sheetId="14" r:id="rId18"/>
    <sheet name="Ennore Coal" sheetId="17" r:id="rId19"/>
    <sheet name="Ennore Bulk" sheetId="31" r:id="rId20"/>
    <sheet name="Mangalore Coal" sheetId="18" r:id="rId21"/>
    <sheet name="Mangalore Container" sheetId="27" r:id="rId22"/>
    <sheet name="PNP" sheetId="28" r:id="rId23"/>
    <sheet name="Tuticorin" sheetId="37" r:id="rId24"/>
    <sheet name="JNPT Liquid" sheetId="38" r:id="rId25"/>
    <sheet name="Sheet1" sheetId="36" r:id="rId26"/>
    <sheet name="HDFC Life" sheetId="35" r:id="rId27"/>
    <sheet name="ITI" sheetId="30" r:id="rId28"/>
    <sheet name="QA" sheetId="22" r:id="rId29"/>
  </sheets>
  <externalReferences>
    <externalReference r:id="rId30"/>
    <externalReference r:id="rId31"/>
    <externalReference r:id="rId32"/>
    <externalReference r:id="rId33"/>
    <externalReference r:id="rId34"/>
    <externalReference r:id="rId35"/>
  </externalReferences>
  <definedNames>
    <definedName name="\a" localSheetId="4">#REF!</definedName>
    <definedName name="\a" localSheetId="5">#REF!</definedName>
    <definedName name="\a" localSheetId="15">#REF!</definedName>
    <definedName name="\a" localSheetId="19">#REF!</definedName>
    <definedName name="\a" localSheetId="18">#REF!</definedName>
    <definedName name="\a" localSheetId="14">#REF!</definedName>
    <definedName name="\a" localSheetId="12">#REF!</definedName>
    <definedName name="\a" localSheetId="24">#REF!</definedName>
    <definedName name="\a" localSheetId="7">#REF!</definedName>
    <definedName name="\a" localSheetId="20">#REF!</definedName>
    <definedName name="\a" localSheetId="21">#REF!</definedName>
    <definedName name="\a" localSheetId="11">#REF!</definedName>
    <definedName name="\a" localSheetId="17">#REF!</definedName>
    <definedName name="\a" localSheetId="16">#REF!</definedName>
    <definedName name="\a" localSheetId="22">#REF!</definedName>
    <definedName name="\a" localSheetId="9">#REF!</definedName>
    <definedName name="\a" localSheetId="13">#REF!</definedName>
    <definedName name="\a" localSheetId="23">#REF!</definedName>
    <definedName name="\a">#REF!</definedName>
    <definedName name="\b" localSheetId="4">#REF!</definedName>
    <definedName name="\b" localSheetId="5">#REF!</definedName>
    <definedName name="\b" localSheetId="15">#REF!</definedName>
    <definedName name="\b" localSheetId="19">#REF!</definedName>
    <definedName name="\b" localSheetId="18">#REF!</definedName>
    <definedName name="\b" localSheetId="14">#REF!</definedName>
    <definedName name="\b" localSheetId="12">#REF!</definedName>
    <definedName name="\b" localSheetId="24">#REF!</definedName>
    <definedName name="\b" localSheetId="7">#REF!</definedName>
    <definedName name="\b" localSheetId="20">#REF!</definedName>
    <definedName name="\b" localSheetId="21">#REF!</definedName>
    <definedName name="\b" localSheetId="11">#REF!</definedName>
    <definedName name="\b" localSheetId="17">#REF!</definedName>
    <definedName name="\b" localSheetId="16">#REF!</definedName>
    <definedName name="\b" localSheetId="22">#REF!</definedName>
    <definedName name="\b" localSheetId="9">#REF!</definedName>
    <definedName name="\b" localSheetId="13">#REF!</definedName>
    <definedName name="\b" localSheetId="23">#REF!</definedName>
    <definedName name="\b">#REF!</definedName>
    <definedName name="\c" localSheetId="4">#REF!</definedName>
    <definedName name="\c" localSheetId="5">#REF!</definedName>
    <definedName name="\c" localSheetId="15">#REF!</definedName>
    <definedName name="\c" localSheetId="19">#REF!</definedName>
    <definedName name="\c" localSheetId="18">#REF!</definedName>
    <definedName name="\c" localSheetId="14">#REF!</definedName>
    <definedName name="\c" localSheetId="12">#REF!</definedName>
    <definedName name="\c" localSheetId="24">#REF!</definedName>
    <definedName name="\c" localSheetId="7">#REF!</definedName>
    <definedName name="\c" localSheetId="20">#REF!</definedName>
    <definedName name="\c" localSheetId="21">#REF!</definedName>
    <definedName name="\c" localSheetId="11">#REF!</definedName>
    <definedName name="\c" localSheetId="17">#REF!</definedName>
    <definedName name="\c" localSheetId="16">#REF!</definedName>
    <definedName name="\c" localSheetId="22">#REF!</definedName>
    <definedName name="\c" localSheetId="9">#REF!</definedName>
    <definedName name="\c" localSheetId="13">#REF!</definedName>
    <definedName name="\c" localSheetId="23">#REF!</definedName>
    <definedName name="\c">#REF!</definedName>
    <definedName name="\d" localSheetId="4">#REF!</definedName>
    <definedName name="\d" localSheetId="5">#REF!</definedName>
    <definedName name="\d" localSheetId="15">#REF!</definedName>
    <definedName name="\d" localSheetId="19">#REF!</definedName>
    <definedName name="\d" localSheetId="18">#REF!</definedName>
    <definedName name="\d" localSheetId="14">#REF!</definedName>
    <definedName name="\d" localSheetId="12">#REF!</definedName>
    <definedName name="\d" localSheetId="24">#REF!</definedName>
    <definedName name="\d" localSheetId="7">#REF!</definedName>
    <definedName name="\d" localSheetId="20">#REF!</definedName>
    <definedName name="\d" localSheetId="21">#REF!</definedName>
    <definedName name="\d" localSheetId="11">#REF!</definedName>
    <definedName name="\d" localSheetId="17">#REF!</definedName>
    <definedName name="\d" localSheetId="16">#REF!</definedName>
    <definedName name="\d" localSheetId="22">#REF!</definedName>
    <definedName name="\d" localSheetId="9">#REF!</definedName>
    <definedName name="\d" localSheetId="13">#REF!</definedName>
    <definedName name="\d" localSheetId="23">#REF!</definedName>
    <definedName name="\d">#REF!</definedName>
    <definedName name="\e" localSheetId="4">#REF!</definedName>
    <definedName name="\e" localSheetId="5">#REF!</definedName>
    <definedName name="\e" localSheetId="15">#REF!</definedName>
    <definedName name="\e" localSheetId="19">#REF!</definedName>
    <definedName name="\e" localSheetId="18">#REF!</definedName>
    <definedName name="\e" localSheetId="14">#REF!</definedName>
    <definedName name="\e" localSheetId="12">#REF!</definedName>
    <definedName name="\e" localSheetId="24">#REF!</definedName>
    <definedName name="\e" localSheetId="7">#REF!</definedName>
    <definedName name="\e" localSheetId="20">#REF!</definedName>
    <definedName name="\e" localSheetId="21">#REF!</definedName>
    <definedName name="\e" localSheetId="11">#REF!</definedName>
    <definedName name="\e" localSheetId="17">#REF!</definedName>
    <definedName name="\e" localSheetId="16">#REF!</definedName>
    <definedName name="\e" localSheetId="22">#REF!</definedName>
    <definedName name="\e" localSheetId="9">#REF!</definedName>
    <definedName name="\e" localSheetId="13">#REF!</definedName>
    <definedName name="\e" localSheetId="23">#REF!</definedName>
    <definedName name="\e">#REF!</definedName>
    <definedName name="\F" localSheetId="4">#REF!</definedName>
    <definedName name="\F" localSheetId="5">#REF!</definedName>
    <definedName name="\F" localSheetId="15">#REF!</definedName>
    <definedName name="\F" localSheetId="19">#REF!</definedName>
    <definedName name="\F" localSheetId="18">#REF!</definedName>
    <definedName name="\F" localSheetId="14">#REF!</definedName>
    <definedName name="\F" localSheetId="12">#REF!</definedName>
    <definedName name="\F" localSheetId="24">#REF!</definedName>
    <definedName name="\F" localSheetId="7">#REF!</definedName>
    <definedName name="\F" localSheetId="20">#REF!</definedName>
    <definedName name="\F" localSheetId="21">#REF!</definedName>
    <definedName name="\F" localSheetId="11">#REF!</definedName>
    <definedName name="\F" localSheetId="17">#REF!</definedName>
    <definedName name="\F" localSheetId="16">#REF!</definedName>
    <definedName name="\F" localSheetId="22">#REF!</definedName>
    <definedName name="\F" localSheetId="9">#REF!</definedName>
    <definedName name="\F" localSheetId="13">#REF!</definedName>
    <definedName name="\F" localSheetId="23">#REF!</definedName>
    <definedName name="\F">#REF!</definedName>
    <definedName name="\g" localSheetId="4">#REF!</definedName>
    <definedName name="\g" localSheetId="5">#REF!</definedName>
    <definedName name="\g" localSheetId="15">#REF!</definedName>
    <definedName name="\g" localSheetId="19">#REF!</definedName>
    <definedName name="\g" localSheetId="18">#REF!</definedName>
    <definedName name="\g" localSheetId="14">#REF!</definedName>
    <definedName name="\g" localSheetId="12">#REF!</definedName>
    <definedName name="\g" localSheetId="24">#REF!</definedName>
    <definedName name="\g" localSheetId="7">#REF!</definedName>
    <definedName name="\g" localSheetId="20">#REF!</definedName>
    <definedName name="\g" localSheetId="21">#REF!</definedName>
    <definedName name="\g" localSheetId="11">#REF!</definedName>
    <definedName name="\g" localSheetId="17">#REF!</definedName>
    <definedName name="\g" localSheetId="16">#REF!</definedName>
    <definedName name="\g" localSheetId="22">#REF!</definedName>
    <definedName name="\g" localSheetId="9">#REF!</definedName>
    <definedName name="\g" localSheetId="13">#REF!</definedName>
    <definedName name="\g" localSheetId="23">#REF!</definedName>
    <definedName name="\g">#REF!</definedName>
    <definedName name="\h" localSheetId="4">#REF!</definedName>
    <definedName name="\h" localSheetId="5">#REF!</definedName>
    <definedName name="\h" localSheetId="15">#REF!</definedName>
    <definedName name="\h" localSheetId="19">#REF!</definedName>
    <definedName name="\h" localSheetId="18">#REF!</definedName>
    <definedName name="\h" localSheetId="14">#REF!</definedName>
    <definedName name="\h" localSheetId="12">#REF!</definedName>
    <definedName name="\h" localSheetId="24">#REF!</definedName>
    <definedName name="\h" localSheetId="7">#REF!</definedName>
    <definedName name="\h" localSheetId="20">#REF!</definedName>
    <definedName name="\h" localSheetId="21">#REF!</definedName>
    <definedName name="\h" localSheetId="11">#REF!</definedName>
    <definedName name="\h" localSheetId="17">#REF!</definedName>
    <definedName name="\h" localSheetId="16">#REF!</definedName>
    <definedName name="\h" localSheetId="22">#REF!</definedName>
    <definedName name="\h" localSheetId="9">#REF!</definedName>
    <definedName name="\h" localSheetId="13">#REF!</definedName>
    <definedName name="\h" localSheetId="23">#REF!</definedName>
    <definedName name="\h">#REF!</definedName>
    <definedName name="\i">#REF!</definedName>
    <definedName name="\j">#REF!</definedName>
    <definedName name="\l">#REF!</definedName>
    <definedName name="\M" localSheetId="4">#REF!</definedName>
    <definedName name="\M" localSheetId="9">#REF!</definedName>
    <definedName name="\M">#REF!</definedName>
    <definedName name="\n">#REF!</definedName>
    <definedName name="\o" localSheetId="4">#REF!</definedName>
    <definedName name="\o" localSheetId="5">#REF!</definedName>
    <definedName name="\o" localSheetId="15">#REF!</definedName>
    <definedName name="\o" localSheetId="19">#REF!</definedName>
    <definedName name="\o" localSheetId="18">#REF!</definedName>
    <definedName name="\o" localSheetId="14">#REF!</definedName>
    <definedName name="\o" localSheetId="12">#REF!</definedName>
    <definedName name="\o" localSheetId="24">#REF!</definedName>
    <definedName name="\o" localSheetId="7">#REF!</definedName>
    <definedName name="\o" localSheetId="20">#REF!</definedName>
    <definedName name="\o" localSheetId="21">#REF!</definedName>
    <definedName name="\o" localSheetId="11">#REF!</definedName>
    <definedName name="\o" localSheetId="17">#REF!</definedName>
    <definedName name="\o" localSheetId="16">#REF!</definedName>
    <definedName name="\o" localSheetId="22">#REF!</definedName>
    <definedName name="\o" localSheetId="9">#REF!</definedName>
    <definedName name="\o" localSheetId="13">#REF!</definedName>
    <definedName name="\o" localSheetId="23">#REF!</definedName>
    <definedName name="\o">#REF!</definedName>
    <definedName name="\p" localSheetId="4">#REF!</definedName>
    <definedName name="\p" localSheetId="5">#REF!</definedName>
    <definedName name="\p" localSheetId="15">#REF!</definedName>
    <definedName name="\p" localSheetId="19">#REF!</definedName>
    <definedName name="\p" localSheetId="18">#REF!</definedName>
    <definedName name="\p" localSheetId="14">#REF!</definedName>
    <definedName name="\p" localSheetId="12">#REF!</definedName>
    <definedName name="\p" localSheetId="24">#REF!</definedName>
    <definedName name="\p" localSheetId="7">#REF!</definedName>
    <definedName name="\p" localSheetId="20">#REF!</definedName>
    <definedName name="\p" localSheetId="21">#REF!</definedName>
    <definedName name="\p" localSheetId="11">#REF!</definedName>
    <definedName name="\p" localSheetId="17">#REF!</definedName>
    <definedName name="\p" localSheetId="16">#REF!</definedName>
    <definedName name="\p" localSheetId="22">#REF!</definedName>
    <definedName name="\p" localSheetId="9">#REF!</definedName>
    <definedName name="\p" localSheetId="13">#REF!</definedName>
    <definedName name="\p" localSheetId="23">#REF!</definedName>
    <definedName name="\p">#REF!</definedName>
    <definedName name="\q" localSheetId="4">#REF!</definedName>
    <definedName name="\q" localSheetId="5">#REF!</definedName>
    <definedName name="\q" localSheetId="15">#REF!</definedName>
    <definedName name="\q" localSheetId="19">#REF!</definedName>
    <definedName name="\q" localSheetId="18">#REF!</definedName>
    <definedName name="\q" localSheetId="14">#REF!</definedName>
    <definedName name="\q" localSheetId="12">#REF!</definedName>
    <definedName name="\q" localSheetId="24">#REF!</definedName>
    <definedName name="\q" localSheetId="7">#REF!</definedName>
    <definedName name="\q" localSheetId="20">#REF!</definedName>
    <definedName name="\q" localSheetId="21">#REF!</definedName>
    <definedName name="\q" localSheetId="11">#REF!</definedName>
    <definedName name="\q" localSheetId="17">#REF!</definedName>
    <definedName name="\q" localSheetId="16">#REF!</definedName>
    <definedName name="\q" localSheetId="22">#REF!</definedName>
    <definedName name="\q" localSheetId="9">#REF!</definedName>
    <definedName name="\q" localSheetId="13">#REF!</definedName>
    <definedName name="\q" localSheetId="23">#REF!</definedName>
    <definedName name="\q">#REF!</definedName>
    <definedName name="\r" localSheetId="4">#REF!</definedName>
    <definedName name="\r" localSheetId="9">#REF!</definedName>
    <definedName name="\r">#REF!</definedName>
    <definedName name="\s">#REF!</definedName>
    <definedName name="\t">#REF!</definedName>
    <definedName name="\v">#REF!</definedName>
    <definedName name="\VAL">#REF!</definedName>
    <definedName name="\w">#REF!</definedName>
    <definedName name="\x">#REF!</definedName>
    <definedName name="\y">#REF!</definedName>
    <definedName name="\z">#REF!</definedName>
    <definedName name="__________Less_Misc_expenditure">#REF!</definedName>
    <definedName name="__________Reserves_n_surplus">#REF!</definedName>
    <definedName name="__________Revaluation_reserves">#REF!</definedName>
    <definedName name="_____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aa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nn05" localSheetId="4" hidden="1">{#N/A,#N/A,FALSE,"Status of Projects";#N/A,#N/A,FALSE,"CEA-TEC";#N/A,#N/A,FALSE,"U-Constr.";#N/A,#N/A,FALSE,"summary";#N/A,#N/A,FALSE,"PPP-3 yrs"}</definedName>
    <definedName name="________nn05" localSheetId="9" hidden="1">{#N/A,#N/A,FALSE,"Status of Projects";#N/A,#N/A,FALSE,"CEA-TEC";#N/A,#N/A,FALSE,"U-Constr.";#N/A,#N/A,FALSE,"summary";#N/A,#N/A,FALSE,"PPP-3 yrs"}</definedName>
    <definedName name="________nn05" hidden="1">{#N/A,#N/A,FALSE,"Status of Projects";#N/A,#N/A,FALSE,"CEA-TEC";#N/A,#N/A,FALSE,"U-Constr.";#N/A,#N/A,FALSE,"summary";#N/A,#N/A,FALSE,"PPP-3 yrs"}</definedName>
    <definedName name="________no1" localSheetId="4" hidden="1">{#N/A,#N/A,FALSE,"Status of Projects";#N/A,#N/A,FALSE,"CEA-TEC";#N/A,#N/A,FALSE,"U-Constr.";#N/A,#N/A,FALSE,"summary";#N/A,#N/A,FALSE,"PPP-3 yrs"}</definedName>
    <definedName name="________no1" localSheetId="9" hidden="1">{#N/A,#N/A,FALSE,"Status of Projects";#N/A,#N/A,FALSE,"CEA-TEC";#N/A,#N/A,FALSE,"U-Constr.";#N/A,#N/A,FALSE,"summary";#N/A,#N/A,FALSE,"PPP-3 yrs"}</definedName>
    <definedName name="________no1" hidden="1">{#N/A,#N/A,FALSE,"Status of Projects";#N/A,#N/A,FALSE,"CEA-TEC";#N/A,#N/A,FALSE,"U-Constr.";#N/A,#N/A,FALSE,"summary";#N/A,#N/A,FALSE,"PPP-3 yrs"}</definedName>
    <definedName name="_____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aa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nn05" localSheetId="4" hidden="1">{#N/A,#N/A,FALSE,"Status of Projects";#N/A,#N/A,FALSE,"CEA-TEC";#N/A,#N/A,FALSE,"U-Constr.";#N/A,#N/A,FALSE,"summary";#N/A,#N/A,FALSE,"PPP-3 yrs"}</definedName>
    <definedName name="_______nn05" localSheetId="9" hidden="1">{#N/A,#N/A,FALSE,"Status of Projects";#N/A,#N/A,FALSE,"CEA-TEC";#N/A,#N/A,FALSE,"U-Constr.";#N/A,#N/A,FALSE,"summary";#N/A,#N/A,FALSE,"PPP-3 yrs"}</definedName>
    <definedName name="_______nn05" hidden="1">{#N/A,#N/A,FALSE,"Status of Projects";#N/A,#N/A,FALSE,"CEA-TEC";#N/A,#N/A,FALSE,"U-Constr.";#N/A,#N/A,FALSE,"summary";#N/A,#N/A,FALSE,"PPP-3 yrs"}</definedName>
    <definedName name="_______no1" localSheetId="4" hidden="1">{#N/A,#N/A,FALSE,"Status of Projects";#N/A,#N/A,FALSE,"CEA-TEC";#N/A,#N/A,FALSE,"U-Constr.";#N/A,#N/A,FALSE,"summary";#N/A,#N/A,FALSE,"PPP-3 yrs"}</definedName>
    <definedName name="_______no1" localSheetId="9" hidden="1">{#N/A,#N/A,FALSE,"Status of Projects";#N/A,#N/A,FALSE,"CEA-TEC";#N/A,#N/A,FALSE,"U-Constr.";#N/A,#N/A,FALSE,"summary";#N/A,#N/A,FALSE,"PPP-3 yrs"}</definedName>
    <definedName name="_______no1" hidden="1">{#N/A,#N/A,FALSE,"Status of Projects";#N/A,#N/A,FALSE,"CEA-TEC";#N/A,#N/A,FALSE,"U-Constr.";#N/A,#N/A,FALSE,"summary";#N/A,#N/A,FALSE,"PPP-3 yrs"}</definedName>
    <definedName name="____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aa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Current_Year_maturity">#REF!</definedName>
    <definedName name="______Key1" hidden="1">#REF!</definedName>
    <definedName name="______Long_term_borrowings">#REF!</definedName>
    <definedName name="______nn05" localSheetId="4" hidden="1">{#N/A,#N/A,FALSE,"Status of Projects";#N/A,#N/A,FALSE,"CEA-TEC";#N/A,#N/A,FALSE,"U-Constr.";#N/A,#N/A,FALSE,"summary";#N/A,#N/A,FALSE,"PPP-3 yrs"}</definedName>
    <definedName name="______nn05" localSheetId="9" hidden="1">{#N/A,#N/A,FALSE,"Status of Projects";#N/A,#N/A,FALSE,"CEA-TEC";#N/A,#N/A,FALSE,"U-Constr.";#N/A,#N/A,FALSE,"summary";#N/A,#N/A,FALSE,"PPP-3 yrs"}</definedName>
    <definedName name="______nn05" hidden="1">{#N/A,#N/A,FALSE,"Status of Projects";#N/A,#N/A,FALSE,"CEA-TEC";#N/A,#N/A,FALSE,"U-Constr.";#N/A,#N/A,FALSE,"summary";#N/A,#N/A,FALSE,"PPP-3 yrs"}</definedName>
    <definedName name="______no1" localSheetId="4" hidden="1">{#N/A,#N/A,FALSE,"Status of Projects";#N/A,#N/A,FALSE,"CEA-TEC";#N/A,#N/A,FALSE,"U-Constr.";#N/A,#N/A,FALSE,"summary";#N/A,#N/A,FALSE,"PPP-3 yrs"}</definedName>
    <definedName name="______no1" localSheetId="9" hidden="1">{#N/A,#N/A,FALSE,"Status of Projects";#N/A,#N/A,FALSE,"CEA-TEC";#N/A,#N/A,FALSE,"U-Constr.";#N/A,#N/A,FALSE,"summary";#N/A,#N/A,FALSE,"PPP-3 yrs"}</definedName>
    <definedName name="______no1" hidden="1">{#N/A,#N/A,FALSE,"Status of Projects";#N/A,#N/A,FALSE,"CEA-TEC";#N/A,#N/A,FALSE,"U-Constr.";#N/A,#N/A,FALSE,"summary";#N/A,#N/A,FALSE,"PPP-3 yrs"}</definedName>
    <definedName name="___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Short_term_borrowings">#REF!</definedName>
    <definedName name="______Trade_Payables">#REF!</definedName>
    <definedName name="___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1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2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1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localSheetId="2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_wrn2" localSheetId="4" hidden="1">{#N/A,#N/A,FALSE,"INPUTS";#N/A,#N/A,FALSE,"PROFORMA BSHEET";#N/A,#N/A,FALSE,"COMBINED";#N/A,#N/A,FALSE,"HIGH YIELD";#N/A,#N/A,FALSE,"COMB_GRAPHS"}</definedName>
    <definedName name="______wrn2" localSheetId="5" hidden="1">{#N/A,#N/A,FALSE,"INPUTS";#N/A,#N/A,FALSE,"PROFORMA BSHEET";#N/A,#N/A,FALSE,"COMBINED";#N/A,#N/A,FALSE,"HIGH YIELD";#N/A,#N/A,FALSE,"COMB_GRAPHS"}</definedName>
    <definedName name="______wrn2" localSheetId="15" hidden="1">{#N/A,#N/A,FALSE,"INPUTS";#N/A,#N/A,FALSE,"PROFORMA BSHEET";#N/A,#N/A,FALSE,"COMBINED";#N/A,#N/A,FALSE,"HIGH YIELD";#N/A,#N/A,FALSE,"COMB_GRAPHS"}</definedName>
    <definedName name="______wrn2" localSheetId="19" hidden="1">{#N/A,#N/A,FALSE,"INPUTS";#N/A,#N/A,FALSE,"PROFORMA BSHEET";#N/A,#N/A,FALSE,"COMBINED";#N/A,#N/A,FALSE,"HIGH YIELD";#N/A,#N/A,FALSE,"COMB_GRAPHS"}</definedName>
    <definedName name="______wrn2" localSheetId="18" hidden="1">{#N/A,#N/A,FALSE,"INPUTS";#N/A,#N/A,FALSE,"PROFORMA BSHEET";#N/A,#N/A,FALSE,"COMBINED";#N/A,#N/A,FALSE,"HIGH YIELD";#N/A,#N/A,FALSE,"COMB_GRAPHS"}</definedName>
    <definedName name="______wrn2" localSheetId="14" hidden="1">{#N/A,#N/A,FALSE,"INPUTS";#N/A,#N/A,FALSE,"PROFORMA BSHEET";#N/A,#N/A,FALSE,"COMBINED";#N/A,#N/A,FALSE,"HIGH YIELD";#N/A,#N/A,FALSE,"COMB_GRAPHS"}</definedName>
    <definedName name="______wrn2" localSheetId="12" hidden="1">{#N/A,#N/A,FALSE,"INPUTS";#N/A,#N/A,FALSE,"PROFORMA BSHEET";#N/A,#N/A,FALSE,"COMBINED";#N/A,#N/A,FALSE,"HIGH YIELD";#N/A,#N/A,FALSE,"COMB_GRAPHS"}</definedName>
    <definedName name="______wrn2" localSheetId="24" hidden="1">{#N/A,#N/A,FALSE,"INPUTS";#N/A,#N/A,FALSE,"PROFORMA BSHEET";#N/A,#N/A,FALSE,"COMBINED";#N/A,#N/A,FALSE,"HIGH YIELD";#N/A,#N/A,FALSE,"COMB_GRAPHS"}</definedName>
    <definedName name="______wrn2" localSheetId="7" hidden="1">{#N/A,#N/A,FALSE,"INPUTS";#N/A,#N/A,FALSE,"PROFORMA BSHEET";#N/A,#N/A,FALSE,"COMBINED";#N/A,#N/A,FALSE,"HIGH YIELD";#N/A,#N/A,FALSE,"COMB_GRAPHS"}</definedName>
    <definedName name="______wrn2" localSheetId="20" hidden="1">{#N/A,#N/A,FALSE,"INPUTS";#N/A,#N/A,FALSE,"PROFORMA BSHEET";#N/A,#N/A,FALSE,"COMBINED";#N/A,#N/A,FALSE,"HIGH YIELD";#N/A,#N/A,FALSE,"COMB_GRAPHS"}</definedName>
    <definedName name="______wrn2" localSheetId="21" hidden="1">{#N/A,#N/A,FALSE,"INPUTS";#N/A,#N/A,FALSE,"PROFORMA BSHEET";#N/A,#N/A,FALSE,"COMBINED";#N/A,#N/A,FALSE,"HIGH YIELD";#N/A,#N/A,FALSE,"COMB_GRAPHS"}</definedName>
    <definedName name="______wrn2" localSheetId="11" hidden="1">{#N/A,#N/A,FALSE,"INPUTS";#N/A,#N/A,FALSE,"PROFORMA BSHEET";#N/A,#N/A,FALSE,"COMBINED";#N/A,#N/A,FALSE,"HIGH YIELD";#N/A,#N/A,FALSE,"COMB_GRAPHS"}</definedName>
    <definedName name="______wrn2" localSheetId="17" hidden="1">{#N/A,#N/A,FALSE,"INPUTS";#N/A,#N/A,FALSE,"PROFORMA BSHEET";#N/A,#N/A,FALSE,"COMBINED";#N/A,#N/A,FALSE,"HIGH YIELD";#N/A,#N/A,FALSE,"COMB_GRAPHS"}</definedName>
    <definedName name="______wrn2" localSheetId="16" hidden="1">{#N/A,#N/A,FALSE,"INPUTS";#N/A,#N/A,FALSE,"PROFORMA BSHEET";#N/A,#N/A,FALSE,"COMBINED";#N/A,#N/A,FALSE,"HIGH YIELD";#N/A,#N/A,FALSE,"COMB_GRAPHS"}</definedName>
    <definedName name="______wrn2" localSheetId="22" hidden="1">{#N/A,#N/A,FALSE,"INPUTS";#N/A,#N/A,FALSE,"PROFORMA BSHEET";#N/A,#N/A,FALSE,"COMBINED";#N/A,#N/A,FALSE,"HIGH YIELD";#N/A,#N/A,FALSE,"COMB_GRAPHS"}</definedName>
    <definedName name="______wrn2" localSheetId="9" hidden="1">{#N/A,#N/A,FALSE,"INPUTS";#N/A,#N/A,FALSE,"PROFORMA BSHEET";#N/A,#N/A,FALSE,"COMBINED";#N/A,#N/A,FALSE,"HIGH YIELD";#N/A,#N/A,FALSE,"COMB_GRAPHS"}</definedName>
    <definedName name="______wrn2" localSheetId="13" hidden="1">{#N/A,#N/A,FALSE,"INPUTS";#N/A,#N/A,FALSE,"PROFORMA BSHEET";#N/A,#N/A,FALSE,"COMBINED";#N/A,#N/A,FALSE,"HIGH YIELD";#N/A,#N/A,FALSE,"COMB_GRAPHS"}</definedName>
    <definedName name="______wrn2" localSheetId="23" hidden="1">{#N/A,#N/A,FALSE,"INPUTS";#N/A,#N/A,FALSE,"PROFORMA BSHEET";#N/A,#N/A,FALSE,"COMBINED";#N/A,#N/A,FALSE,"HIGH YIELD";#N/A,#N/A,FALSE,"COMB_GRAPHS"}</definedName>
    <definedName name="______wrn2" hidden="1">{#N/A,#N/A,FALSE,"INPUTS";#N/A,#N/A,FALSE,"PROFORMA BSHEET";#N/A,#N/A,FALSE,"COMBINED";#N/A,#N/A,FALSE,"HIGH YIELD";#N/A,#N/A,FALSE,"COMB_GRAPHS"}</definedName>
    <definedName name="______wrn3" localSheetId="4" hidden="1">{#N/A,#N/A,FALSE,"ACQ_GRAPHS";#N/A,#N/A,FALSE,"T_1 GRAPHS";#N/A,#N/A,FALSE,"T_2 GRAPHS";#N/A,#N/A,FALSE,"COMB_GRAPHS"}</definedName>
    <definedName name="______wrn3" localSheetId="5" hidden="1">{#N/A,#N/A,FALSE,"ACQ_GRAPHS";#N/A,#N/A,FALSE,"T_1 GRAPHS";#N/A,#N/A,FALSE,"T_2 GRAPHS";#N/A,#N/A,FALSE,"COMB_GRAPHS"}</definedName>
    <definedName name="______wrn3" localSheetId="15" hidden="1">{#N/A,#N/A,FALSE,"ACQ_GRAPHS";#N/A,#N/A,FALSE,"T_1 GRAPHS";#N/A,#N/A,FALSE,"T_2 GRAPHS";#N/A,#N/A,FALSE,"COMB_GRAPHS"}</definedName>
    <definedName name="______wrn3" localSheetId="19" hidden="1">{#N/A,#N/A,FALSE,"ACQ_GRAPHS";#N/A,#N/A,FALSE,"T_1 GRAPHS";#N/A,#N/A,FALSE,"T_2 GRAPHS";#N/A,#N/A,FALSE,"COMB_GRAPHS"}</definedName>
    <definedName name="______wrn3" localSheetId="18" hidden="1">{#N/A,#N/A,FALSE,"ACQ_GRAPHS";#N/A,#N/A,FALSE,"T_1 GRAPHS";#N/A,#N/A,FALSE,"T_2 GRAPHS";#N/A,#N/A,FALSE,"COMB_GRAPHS"}</definedName>
    <definedName name="______wrn3" localSheetId="14" hidden="1">{#N/A,#N/A,FALSE,"ACQ_GRAPHS";#N/A,#N/A,FALSE,"T_1 GRAPHS";#N/A,#N/A,FALSE,"T_2 GRAPHS";#N/A,#N/A,FALSE,"COMB_GRAPHS"}</definedName>
    <definedName name="______wrn3" localSheetId="12" hidden="1">{#N/A,#N/A,FALSE,"ACQ_GRAPHS";#N/A,#N/A,FALSE,"T_1 GRAPHS";#N/A,#N/A,FALSE,"T_2 GRAPHS";#N/A,#N/A,FALSE,"COMB_GRAPHS"}</definedName>
    <definedName name="______wrn3" localSheetId="24" hidden="1">{#N/A,#N/A,FALSE,"ACQ_GRAPHS";#N/A,#N/A,FALSE,"T_1 GRAPHS";#N/A,#N/A,FALSE,"T_2 GRAPHS";#N/A,#N/A,FALSE,"COMB_GRAPHS"}</definedName>
    <definedName name="______wrn3" localSheetId="7" hidden="1">{#N/A,#N/A,FALSE,"ACQ_GRAPHS";#N/A,#N/A,FALSE,"T_1 GRAPHS";#N/A,#N/A,FALSE,"T_2 GRAPHS";#N/A,#N/A,FALSE,"COMB_GRAPHS"}</definedName>
    <definedName name="______wrn3" localSheetId="20" hidden="1">{#N/A,#N/A,FALSE,"ACQ_GRAPHS";#N/A,#N/A,FALSE,"T_1 GRAPHS";#N/A,#N/A,FALSE,"T_2 GRAPHS";#N/A,#N/A,FALSE,"COMB_GRAPHS"}</definedName>
    <definedName name="______wrn3" localSheetId="21" hidden="1">{#N/A,#N/A,FALSE,"ACQ_GRAPHS";#N/A,#N/A,FALSE,"T_1 GRAPHS";#N/A,#N/A,FALSE,"T_2 GRAPHS";#N/A,#N/A,FALSE,"COMB_GRAPHS"}</definedName>
    <definedName name="______wrn3" localSheetId="11" hidden="1">{#N/A,#N/A,FALSE,"ACQ_GRAPHS";#N/A,#N/A,FALSE,"T_1 GRAPHS";#N/A,#N/A,FALSE,"T_2 GRAPHS";#N/A,#N/A,FALSE,"COMB_GRAPHS"}</definedName>
    <definedName name="______wrn3" localSheetId="17" hidden="1">{#N/A,#N/A,FALSE,"ACQ_GRAPHS";#N/A,#N/A,FALSE,"T_1 GRAPHS";#N/A,#N/A,FALSE,"T_2 GRAPHS";#N/A,#N/A,FALSE,"COMB_GRAPHS"}</definedName>
    <definedName name="______wrn3" localSheetId="16" hidden="1">{#N/A,#N/A,FALSE,"ACQ_GRAPHS";#N/A,#N/A,FALSE,"T_1 GRAPHS";#N/A,#N/A,FALSE,"T_2 GRAPHS";#N/A,#N/A,FALSE,"COMB_GRAPHS"}</definedName>
    <definedName name="______wrn3" localSheetId="22" hidden="1">{#N/A,#N/A,FALSE,"ACQ_GRAPHS";#N/A,#N/A,FALSE,"T_1 GRAPHS";#N/A,#N/A,FALSE,"T_2 GRAPHS";#N/A,#N/A,FALSE,"COMB_GRAPHS"}</definedName>
    <definedName name="______wrn3" localSheetId="9" hidden="1">{#N/A,#N/A,FALSE,"ACQ_GRAPHS";#N/A,#N/A,FALSE,"T_1 GRAPHS";#N/A,#N/A,FALSE,"T_2 GRAPHS";#N/A,#N/A,FALSE,"COMB_GRAPHS"}</definedName>
    <definedName name="______wrn3" localSheetId="13" hidden="1">{#N/A,#N/A,FALSE,"ACQ_GRAPHS";#N/A,#N/A,FALSE,"T_1 GRAPHS";#N/A,#N/A,FALSE,"T_2 GRAPHS";#N/A,#N/A,FALSE,"COMB_GRAPHS"}</definedName>
    <definedName name="______wrn3" localSheetId="23" hidden="1">{#N/A,#N/A,FALSE,"ACQ_GRAPHS";#N/A,#N/A,FALSE,"T_1 GRAPHS";#N/A,#N/A,FALSE,"T_2 GRAPHS";#N/A,#N/A,FALSE,"COMB_GRAPHS"}</definedName>
    <definedName name="______wrn3" hidden="1">{#N/A,#N/A,FALSE,"ACQ_GRAPHS";#N/A,#N/A,FALSE,"T_1 GRAPHS";#N/A,#N/A,FALSE,"T_2 GRAPHS";#N/A,#N/A,FALSE,"COMB_GRAPHS"}</definedName>
    <definedName name="______wrn4" localSheetId="4" hidden="1">{"vi1",#N/A,FALSE,"Financial Statements";"vi2",#N/A,FALSE,"Financial Statements";#N/A,#N/A,FALSE,"DCF"}</definedName>
    <definedName name="______wrn4" localSheetId="5" hidden="1">{"vi1",#N/A,FALSE,"Financial Statements";"vi2",#N/A,FALSE,"Financial Statements";#N/A,#N/A,FALSE,"DCF"}</definedName>
    <definedName name="______wrn4" localSheetId="15" hidden="1">{"vi1",#N/A,FALSE,"Financial Statements";"vi2",#N/A,FALSE,"Financial Statements";#N/A,#N/A,FALSE,"DCF"}</definedName>
    <definedName name="______wrn4" localSheetId="19" hidden="1">{"vi1",#N/A,FALSE,"Financial Statements";"vi2",#N/A,FALSE,"Financial Statements";#N/A,#N/A,FALSE,"DCF"}</definedName>
    <definedName name="______wrn4" localSheetId="18" hidden="1">{"vi1",#N/A,FALSE,"Financial Statements";"vi2",#N/A,FALSE,"Financial Statements";#N/A,#N/A,FALSE,"DCF"}</definedName>
    <definedName name="______wrn4" localSheetId="14" hidden="1">{"vi1",#N/A,FALSE,"Financial Statements";"vi2",#N/A,FALSE,"Financial Statements";#N/A,#N/A,FALSE,"DCF"}</definedName>
    <definedName name="______wrn4" localSheetId="12" hidden="1">{"vi1",#N/A,FALSE,"Financial Statements";"vi2",#N/A,FALSE,"Financial Statements";#N/A,#N/A,FALSE,"DCF"}</definedName>
    <definedName name="______wrn4" localSheetId="24" hidden="1">{"vi1",#N/A,FALSE,"Financial Statements";"vi2",#N/A,FALSE,"Financial Statements";#N/A,#N/A,FALSE,"DCF"}</definedName>
    <definedName name="______wrn4" localSheetId="7" hidden="1">{"vi1",#N/A,FALSE,"Financial Statements";"vi2",#N/A,FALSE,"Financial Statements";#N/A,#N/A,FALSE,"DCF"}</definedName>
    <definedName name="______wrn4" localSheetId="20" hidden="1">{"vi1",#N/A,FALSE,"Financial Statements";"vi2",#N/A,FALSE,"Financial Statements";#N/A,#N/A,FALSE,"DCF"}</definedName>
    <definedName name="______wrn4" localSheetId="21" hidden="1">{"vi1",#N/A,FALSE,"Financial Statements";"vi2",#N/A,FALSE,"Financial Statements";#N/A,#N/A,FALSE,"DCF"}</definedName>
    <definedName name="______wrn4" localSheetId="11" hidden="1">{"vi1",#N/A,FALSE,"Financial Statements";"vi2",#N/A,FALSE,"Financial Statements";#N/A,#N/A,FALSE,"DCF"}</definedName>
    <definedName name="______wrn4" localSheetId="17" hidden="1">{"vi1",#N/A,FALSE,"Financial Statements";"vi2",#N/A,FALSE,"Financial Statements";#N/A,#N/A,FALSE,"DCF"}</definedName>
    <definedName name="______wrn4" localSheetId="16" hidden="1">{"vi1",#N/A,FALSE,"Financial Statements";"vi2",#N/A,FALSE,"Financial Statements";#N/A,#N/A,FALSE,"DCF"}</definedName>
    <definedName name="______wrn4" localSheetId="22" hidden="1">{"vi1",#N/A,FALSE,"Financial Statements";"vi2",#N/A,FALSE,"Financial Statements";#N/A,#N/A,FALSE,"DCF"}</definedName>
    <definedName name="______wrn4" localSheetId="9" hidden="1">{"vi1",#N/A,FALSE,"Financial Statements";"vi2",#N/A,FALSE,"Financial Statements";#N/A,#N/A,FALSE,"DCF"}</definedName>
    <definedName name="______wrn4" localSheetId="13" hidden="1">{"vi1",#N/A,FALSE,"Financial Statements";"vi2",#N/A,FALSE,"Financial Statements";#N/A,#N/A,FALSE,"DCF"}</definedName>
    <definedName name="______wrn4" localSheetId="23" hidden="1">{"vi1",#N/A,FALSE,"Financial Statements";"vi2",#N/A,FALSE,"Financial Statements";#N/A,#N/A,FALSE,"DCF"}</definedName>
    <definedName name="______wrn4" hidden="1">{"vi1",#N/A,FALSE,"Financial Statements";"vi2",#N/A,FALSE,"Financial Statements";#N/A,#N/A,FALSE,"DCF"}</definedName>
    <definedName name="______wrn5" localSheetId="4" hidden="1">{#N/A,#N/A,FALSE,"Valuation Assumptions";#N/A,#N/A,FALSE,"Summary";#N/A,#N/A,FALSE,"DCF";#N/A,#N/A,FALSE,"Valuation";#N/A,#N/A,FALSE,"WACC";#N/A,#N/A,FALSE,"UBVH";#N/A,#N/A,FALSE,"Free Cash Flow"}</definedName>
    <definedName name="______wrn5" localSheetId="5" hidden="1">{#N/A,#N/A,FALSE,"Valuation Assumptions";#N/A,#N/A,FALSE,"Summary";#N/A,#N/A,FALSE,"DCF";#N/A,#N/A,FALSE,"Valuation";#N/A,#N/A,FALSE,"WACC";#N/A,#N/A,FALSE,"UBVH";#N/A,#N/A,FALSE,"Free Cash Flow"}</definedName>
    <definedName name="______wrn5" localSheetId="15" hidden="1">{#N/A,#N/A,FALSE,"Valuation Assumptions";#N/A,#N/A,FALSE,"Summary";#N/A,#N/A,FALSE,"DCF";#N/A,#N/A,FALSE,"Valuation";#N/A,#N/A,FALSE,"WACC";#N/A,#N/A,FALSE,"UBVH";#N/A,#N/A,FALSE,"Free Cash Flow"}</definedName>
    <definedName name="______wrn5" localSheetId="19" hidden="1">{#N/A,#N/A,FALSE,"Valuation Assumptions";#N/A,#N/A,FALSE,"Summary";#N/A,#N/A,FALSE,"DCF";#N/A,#N/A,FALSE,"Valuation";#N/A,#N/A,FALSE,"WACC";#N/A,#N/A,FALSE,"UBVH";#N/A,#N/A,FALSE,"Free Cash Flow"}</definedName>
    <definedName name="______wrn5" localSheetId="18" hidden="1">{#N/A,#N/A,FALSE,"Valuation Assumptions";#N/A,#N/A,FALSE,"Summary";#N/A,#N/A,FALSE,"DCF";#N/A,#N/A,FALSE,"Valuation";#N/A,#N/A,FALSE,"WACC";#N/A,#N/A,FALSE,"UBVH";#N/A,#N/A,FALSE,"Free Cash Flow"}</definedName>
    <definedName name="______wrn5" localSheetId="14" hidden="1">{#N/A,#N/A,FALSE,"Valuation Assumptions";#N/A,#N/A,FALSE,"Summary";#N/A,#N/A,FALSE,"DCF";#N/A,#N/A,FALSE,"Valuation";#N/A,#N/A,FALSE,"WACC";#N/A,#N/A,FALSE,"UBVH";#N/A,#N/A,FALSE,"Free Cash Flow"}</definedName>
    <definedName name="______wrn5" localSheetId="12" hidden="1">{#N/A,#N/A,FALSE,"Valuation Assumptions";#N/A,#N/A,FALSE,"Summary";#N/A,#N/A,FALSE,"DCF";#N/A,#N/A,FALSE,"Valuation";#N/A,#N/A,FALSE,"WACC";#N/A,#N/A,FALSE,"UBVH";#N/A,#N/A,FALSE,"Free Cash Flow"}</definedName>
    <definedName name="______wrn5" localSheetId="24" hidden="1">{#N/A,#N/A,FALSE,"Valuation Assumptions";#N/A,#N/A,FALSE,"Summary";#N/A,#N/A,FALSE,"DCF";#N/A,#N/A,FALSE,"Valuation";#N/A,#N/A,FALSE,"WACC";#N/A,#N/A,FALSE,"UBVH";#N/A,#N/A,FALSE,"Free Cash Flow"}</definedName>
    <definedName name="______wrn5" localSheetId="7" hidden="1">{#N/A,#N/A,FALSE,"Valuation Assumptions";#N/A,#N/A,FALSE,"Summary";#N/A,#N/A,FALSE,"DCF";#N/A,#N/A,FALSE,"Valuation";#N/A,#N/A,FALSE,"WACC";#N/A,#N/A,FALSE,"UBVH";#N/A,#N/A,FALSE,"Free Cash Flow"}</definedName>
    <definedName name="______wrn5" localSheetId="20" hidden="1">{#N/A,#N/A,FALSE,"Valuation Assumptions";#N/A,#N/A,FALSE,"Summary";#N/A,#N/A,FALSE,"DCF";#N/A,#N/A,FALSE,"Valuation";#N/A,#N/A,FALSE,"WACC";#N/A,#N/A,FALSE,"UBVH";#N/A,#N/A,FALSE,"Free Cash Flow"}</definedName>
    <definedName name="______wrn5" localSheetId="21" hidden="1">{#N/A,#N/A,FALSE,"Valuation Assumptions";#N/A,#N/A,FALSE,"Summary";#N/A,#N/A,FALSE,"DCF";#N/A,#N/A,FALSE,"Valuation";#N/A,#N/A,FALSE,"WACC";#N/A,#N/A,FALSE,"UBVH";#N/A,#N/A,FALSE,"Free Cash Flow"}</definedName>
    <definedName name="______wrn5" localSheetId="11" hidden="1">{#N/A,#N/A,FALSE,"Valuation Assumptions";#N/A,#N/A,FALSE,"Summary";#N/A,#N/A,FALSE,"DCF";#N/A,#N/A,FALSE,"Valuation";#N/A,#N/A,FALSE,"WACC";#N/A,#N/A,FALSE,"UBVH";#N/A,#N/A,FALSE,"Free Cash Flow"}</definedName>
    <definedName name="______wrn5" localSheetId="17" hidden="1">{#N/A,#N/A,FALSE,"Valuation Assumptions";#N/A,#N/A,FALSE,"Summary";#N/A,#N/A,FALSE,"DCF";#N/A,#N/A,FALSE,"Valuation";#N/A,#N/A,FALSE,"WACC";#N/A,#N/A,FALSE,"UBVH";#N/A,#N/A,FALSE,"Free Cash Flow"}</definedName>
    <definedName name="______wrn5" localSheetId="16" hidden="1">{#N/A,#N/A,FALSE,"Valuation Assumptions";#N/A,#N/A,FALSE,"Summary";#N/A,#N/A,FALSE,"DCF";#N/A,#N/A,FALSE,"Valuation";#N/A,#N/A,FALSE,"WACC";#N/A,#N/A,FALSE,"UBVH";#N/A,#N/A,FALSE,"Free Cash Flow"}</definedName>
    <definedName name="______wrn5" localSheetId="22" hidden="1">{#N/A,#N/A,FALSE,"Valuation Assumptions";#N/A,#N/A,FALSE,"Summary";#N/A,#N/A,FALSE,"DCF";#N/A,#N/A,FALSE,"Valuation";#N/A,#N/A,FALSE,"WACC";#N/A,#N/A,FALSE,"UBVH";#N/A,#N/A,FALSE,"Free Cash Flow"}</definedName>
    <definedName name="______wrn5" localSheetId="9" hidden="1">{#N/A,#N/A,FALSE,"Valuation Assumptions";#N/A,#N/A,FALSE,"Summary";#N/A,#N/A,FALSE,"DCF";#N/A,#N/A,FALSE,"Valuation";#N/A,#N/A,FALSE,"WACC";#N/A,#N/A,FALSE,"UBVH";#N/A,#N/A,FALSE,"Free Cash Flow"}</definedName>
    <definedName name="______wrn5" localSheetId="13" hidden="1">{#N/A,#N/A,FALSE,"Valuation Assumptions";#N/A,#N/A,FALSE,"Summary";#N/A,#N/A,FALSE,"DCF";#N/A,#N/A,FALSE,"Valuation";#N/A,#N/A,FALSE,"WACC";#N/A,#N/A,FALSE,"UBVH";#N/A,#N/A,FALSE,"Free Cash Flow"}</definedName>
    <definedName name="______wrn5" localSheetId="23" hidden="1">{#N/A,#N/A,FALSE,"Valuation Assumptions";#N/A,#N/A,FALSE,"Summary";#N/A,#N/A,FALSE,"DCF";#N/A,#N/A,FALSE,"Valuation";#N/A,#N/A,FALSE,"WACC";#N/A,#N/A,FALSE,"UBVH";#N/A,#N/A,FALSE,"Free Cash Flow"}</definedName>
    <definedName name="______wrn5" hidden="1">{#N/A,#N/A,FALSE,"Valuation Assumptions";#N/A,#N/A,FALSE,"Summary";#N/A,#N/A,FALSE,"DCF";#N/A,#N/A,FALSE,"Valuation";#N/A,#N/A,FALSE,"WACC";#N/A,#N/A,FALSE,"UBVH";#N/A,#N/A,FALSE,"Free Cash Flow"}</definedName>
    <definedName name="______wrn6" localSheetId="4" hidden="1">{#N/A,#N/A,FALSE,"INPUTS";#N/A,#N/A,FALSE,"PROFORMA BSHEET";#N/A,#N/A,FALSE,"COMBINED";#N/A,#N/A,FALSE,"ACQUIROR";#N/A,#N/A,FALSE,"TARGET 1";#N/A,#N/A,FALSE,"TARGET 2";#N/A,#N/A,FALSE,"HIGH YIELD";#N/A,#N/A,FALSE,"OVERFUND"}</definedName>
    <definedName name="______wrn6" localSheetId="5" hidden="1">{#N/A,#N/A,FALSE,"INPUTS";#N/A,#N/A,FALSE,"PROFORMA BSHEET";#N/A,#N/A,FALSE,"COMBINED";#N/A,#N/A,FALSE,"ACQUIROR";#N/A,#N/A,FALSE,"TARGET 1";#N/A,#N/A,FALSE,"TARGET 2";#N/A,#N/A,FALSE,"HIGH YIELD";#N/A,#N/A,FALSE,"OVERFUND"}</definedName>
    <definedName name="______wrn6" localSheetId="15" hidden="1">{#N/A,#N/A,FALSE,"INPUTS";#N/A,#N/A,FALSE,"PROFORMA BSHEET";#N/A,#N/A,FALSE,"COMBINED";#N/A,#N/A,FALSE,"ACQUIROR";#N/A,#N/A,FALSE,"TARGET 1";#N/A,#N/A,FALSE,"TARGET 2";#N/A,#N/A,FALSE,"HIGH YIELD";#N/A,#N/A,FALSE,"OVERFUND"}</definedName>
    <definedName name="______wrn6" localSheetId="19" hidden="1">{#N/A,#N/A,FALSE,"INPUTS";#N/A,#N/A,FALSE,"PROFORMA BSHEET";#N/A,#N/A,FALSE,"COMBINED";#N/A,#N/A,FALSE,"ACQUIROR";#N/A,#N/A,FALSE,"TARGET 1";#N/A,#N/A,FALSE,"TARGET 2";#N/A,#N/A,FALSE,"HIGH YIELD";#N/A,#N/A,FALSE,"OVERFUND"}</definedName>
    <definedName name="______wrn6" localSheetId="18" hidden="1">{#N/A,#N/A,FALSE,"INPUTS";#N/A,#N/A,FALSE,"PROFORMA BSHEET";#N/A,#N/A,FALSE,"COMBINED";#N/A,#N/A,FALSE,"ACQUIROR";#N/A,#N/A,FALSE,"TARGET 1";#N/A,#N/A,FALSE,"TARGET 2";#N/A,#N/A,FALSE,"HIGH YIELD";#N/A,#N/A,FALSE,"OVERFUND"}</definedName>
    <definedName name="______wrn6" localSheetId="14" hidden="1">{#N/A,#N/A,FALSE,"INPUTS";#N/A,#N/A,FALSE,"PROFORMA BSHEET";#N/A,#N/A,FALSE,"COMBINED";#N/A,#N/A,FALSE,"ACQUIROR";#N/A,#N/A,FALSE,"TARGET 1";#N/A,#N/A,FALSE,"TARGET 2";#N/A,#N/A,FALSE,"HIGH YIELD";#N/A,#N/A,FALSE,"OVERFUND"}</definedName>
    <definedName name="______wrn6" localSheetId="12" hidden="1">{#N/A,#N/A,FALSE,"INPUTS";#N/A,#N/A,FALSE,"PROFORMA BSHEET";#N/A,#N/A,FALSE,"COMBINED";#N/A,#N/A,FALSE,"ACQUIROR";#N/A,#N/A,FALSE,"TARGET 1";#N/A,#N/A,FALSE,"TARGET 2";#N/A,#N/A,FALSE,"HIGH YIELD";#N/A,#N/A,FALSE,"OVERFUND"}</definedName>
    <definedName name="______wrn6" localSheetId="24" hidden="1">{#N/A,#N/A,FALSE,"INPUTS";#N/A,#N/A,FALSE,"PROFORMA BSHEET";#N/A,#N/A,FALSE,"COMBINED";#N/A,#N/A,FALSE,"ACQUIROR";#N/A,#N/A,FALSE,"TARGET 1";#N/A,#N/A,FALSE,"TARGET 2";#N/A,#N/A,FALSE,"HIGH YIELD";#N/A,#N/A,FALSE,"OVERFUND"}</definedName>
    <definedName name="______wrn6" localSheetId="7" hidden="1">{#N/A,#N/A,FALSE,"INPUTS";#N/A,#N/A,FALSE,"PROFORMA BSHEET";#N/A,#N/A,FALSE,"COMBINED";#N/A,#N/A,FALSE,"ACQUIROR";#N/A,#N/A,FALSE,"TARGET 1";#N/A,#N/A,FALSE,"TARGET 2";#N/A,#N/A,FALSE,"HIGH YIELD";#N/A,#N/A,FALSE,"OVERFUND"}</definedName>
    <definedName name="______wrn6" localSheetId="20" hidden="1">{#N/A,#N/A,FALSE,"INPUTS";#N/A,#N/A,FALSE,"PROFORMA BSHEET";#N/A,#N/A,FALSE,"COMBINED";#N/A,#N/A,FALSE,"ACQUIROR";#N/A,#N/A,FALSE,"TARGET 1";#N/A,#N/A,FALSE,"TARGET 2";#N/A,#N/A,FALSE,"HIGH YIELD";#N/A,#N/A,FALSE,"OVERFUND"}</definedName>
    <definedName name="______wrn6" localSheetId="21" hidden="1">{#N/A,#N/A,FALSE,"INPUTS";#N/A,#N/A,FALSE,"PROFORMA BSHEET";#N/A,#N/A,FALSE,"COMBINED";#N/A,#N/A,FALSE,"ACQUIROR";#N/A,#N/A,FALSE,"TARGET 1";#N/A,#N/A,FALSE,"TARGET 2";#N/A,#N/A,FALSE,"HIGH YIELD";#N/A,#N/A,FALSE,"OVERFUND"}</definedName>
    <definedName name="______wrn6" localSheetId="11" hidden="1">{#N/A,#N/A,FALSE,"INPUTS";#N/A,#N/A,FALSE,"PROFORMA BSHEET";#N/A,#N/A,FALSE,"COMBINED";#N/A,#N/A,FALSE,"ACQUIROR";#N/A,#N/A,FALSE,"TARGET 1";#N/A,#N/A,FALSE,"TARGET 2";#N/A,#N/A,FALSE,"HIGH YIELD";#N/A,#N/A,FALSE,"OVERFUND"}</definedName>
    <definedName name="______wrn6" localSheetId="17" hidden="1">{#N/A,#N/A,FALSE,"INPUTS";#N/A,#N/A,FALSE,"PROFORMA BSHEET";#N/A,#N/A,FALSE,"COMBINED";#N/A,#N/A,FALSE,"ACQUIROR";#N/A,#N/A,FALSE,"TARGET 1";#N/A,#N/A,FALSE,"TARGET 2";#N/A,#N/A,FALSE,"HIGH YIELD";#N/A,#N/A,FALSE,"OVERFUND"}</definedName>
    <definedName name="______wrn6" localSheetId="16" hidden="1">{#N/A,#N/A,FALSE,"INPUTS";#N/A,#N/A,FALSE,"PROFORMA BSHEET";#N/A,#N/A,FALSE,"COMBINED";#N/A,#N/A,FALSE,"ACQUIROR";#N/A,#N/A,FALSE,"TARGET 1";#N/A,#N/A,FALSE,"TARGET 2";#N/A,#N/A,FALSE,"HIGH YIELD";#N/A,#N/A,FALSE,"OVERFUND"}</definedName>
    <definedName name="______wrn6" localSheetId="22" hidden="1">{#N/A,#N/A,FALSE,"INPUTS";#N/A,#N/A,FALSE,"PROFORMA BSHEET";#N/A,#N/A,FALSE,"COMBINED";#N/A,#N/A,FALSE,"ACQUIROR";#N/A,#N/A,FALSE,"TARGET 1";#N/A,#N/A,FALSE,"TARGET 2";#N/A,#N/A,FALSE,"HIGH YIELD";#N/A,#N/A,FALSE,"OVERFUND"}</definedName>
    <definedName name="______wrn6" localSheetId="9" hidden="1">{#N/A,#N/A,FALSE,"INPUTS";#N/A,#N/A,FALSE,"PROFORMA BSHEET";#N/A,#N/A,FALSE,"COMBINED";#N/A,#N/A,FALSE,"ACQUIROR";#N/A,#N/A,FALSE,"TARGET 1";#N/A,#N/A,FALSE,"TARGET 2";#N/A,#N/A,FALSE,"HIGH YIELD";#N/A,#N/A,FALSE,"OVERFUND"}</definedName>
    <definedName name="______wrn6" localSheetId="13" hidden="1">{#N/A,#N/A,FALSE,"INPUTS";#N/A,#N/A,FALSE,"PROFORMA BSHEET";#N/A,#N/A,FALSE,"COMBINED";#N/A,#N/A,FALSE,"ACQUIROR";#N/A,#N/A,FALSE,"TARGET 1";#N/A,#N/A,FALSE,"TARGET 2";#N/A,#N/A,FALSE,"HIGH YIELD";#N/A,#N/A,FALSE,"OVERFUND"}</definedName>
    <definedName name="______wrn6" localSheetId="23" hidden="1">{#N/A,#N/A,FALSE,"INPUTS";#N/A,#N/A,FALSE,"PROFORMA BSHEET";#N/A,#N/A,FALSE,"COMBINED";#N/A,#N/A,FALSE,"ACQUIROR";#N/A,#N/A,FALSE,"TARGET 1";#N/A,#N/A,FALSE,"TARGET 2";#N/A,#N/A,FALSE,"HIGH YIELD";#N/A,#N/A,FALSE,"OVERFUND"}</definedName>
    <definedName name="______wrn6" hidden="1">{#N/A,#N/A,FALSE,"INPUTS";#N/A,#N/A,FALSE,"PROFORMA BSHEET";#N/A,#N/A,FALSE,"COMBINED";#N/A,#N/A,FALSE,"ACQUIROR";#N/A,#N/A,FALSE,"TARGET 1";#N/A,#N/A,FALSE,"TARGET 2";#N/A,#N/A,FALSE,"HIGH YIELD";#N/A,#N/A,FALSE,"OVERFUND"}</definedName>
    <definedName name="__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aa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Deferred_tax_Assets">#REF!</definedName>
    <definedName name="_____Fixed_assets_Net_block">#REF!</definedName>
    <definedName name="_____Goodwill_on_Consolidation">#REF!</definedName>
    <definedName name="_____Key1" hidden="1">#REF!</definedName>
    <definedName name="_____Long_Term_loans_and_advances">#REF!</definedName>
    <definedName name="_____nn05" localSheetId="4" hidden="1">{#N/A,#N/A,FALSE,"Status of Projects";#N/A,#N/A,FALSE,"CEA-TEC";#N/A,#N/A,FALSE,"U-Constr.";#N/A,#N/A,FALSE,"summary";#N/A,#N/A,FALSE,"PPP-3 yrs"}</definedName>
    <definedName name="_____nn05" localSheetId="9" hidden="1">{#N/A,#N/A,FALSE,"Status of Projects";#N/A,#N/A,FALSE,"CEA-TEC";#N/A,#N/A,FALSE,"U-Constr.";#N/A,#N/A,FALSE,"summary";#N/A,#N/A,FALSE,"PPP-3 yrs"}</definedName>
    <definedName name="_____nn05" hidden="1">{#N/A,#N/A,FALSE,"Status of Projects";#N/A,#N/A,FALSE,"CEA-TEC";#N/A,#N/A,FALSE,"U-Constr.";#N/A,#N/A,FALSE,"summary";#N/A,#N/A,FALSE,"PPP-3 yrs"}</definedName>
    <definedName name="_____no1" localSheetId="4" hidden="1">{#N/A,#N/A,FALSE,"Status of Projects";#N/A,#N/A,FALSE,"CEA-TEC";#N/A,#N/A,FALSE,"U-Constr.";#N/A,#N/A,FALSE,"summary";#N/A,#N/A,FALSE,"PPP-3 yrs"}</definedName>
    <definedName name="_____no1" localSheetId="9" hidden="1">{#N/A,#N/A,FALSE,"Status of Projects";#N/A,#N/A,FALSE,"CEA-TEC";#N/A,#N/A,FALSE,"U-Constr.";#N/A,#N/A,FALSE,"summary";#N/A,#N/A,FALSE,"PPP-3 yrs"}</definedName>
    <definedName name="_____no1" hidden="1">{#N/A,#N/A,FALSE,"Status of Projects";#N/A,#N/A,FALSE,"CEA-TEC";#N/A,#N/A,FALSE,"U-Constr.";#N/A,#N/A,FALSE,"summary";#N/A,#N/A,FALSE,"PPP-3 yrs"}</definedName>
    <definedName name="_____Non_current_Investments">#REF!</definedName>
    <definedName name="_____Other_non_current_assets">#REF!</definedName>
    <definedName name="__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Share_Capital">#REF!</definedName>
    <definedName name="__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1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2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1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localSheetId="2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_wrn2" localSheetId="4" hidden="1">{#N/A,#N/A,FALSE,"INPUTS";#N/A,#N/A,FALSE,"PROFORMA BSHEET";#N/A,#N/A,FALSE,"COMBINED";#N/A,#N/A,FALSE,"HIGH YIELD";#N/A,#N/A,FALSE,"COMB_GRAPHS"}</definedName>
    <definedName name="_____wrn2" localSheetId="5" hidden="1">{#N/A,#N/A,FALSE,"INPUTS";#N/A,#N/A,FALSE,"PROFORMA BSHEET";#N/A,#N/A,FALSE,"COMBINED";#N/A,#N/A,FALSE,"HIGH YIELD";#N/A,#N/A,FALSE,"COMB_GRAPHS"}</definedName>
    <definedName name="_____wrn2" localSheetId="15" hidden="1">{#N/A,#N/A,FALSE,"INPUTS";#N/A,#N/A,FALSE,"PROFORMA BSHEET";#N/A,#N/A,FALSE,"COMBINED";#N/A,#N/A,FALSE,"HIGH YIELD";#N/A,#N/A,FALSE,"COMB_GRAPHS"}</definedName>
    <definedName name="_____wrn2" localSheetId="19" hidden="1">{#N/A,#N/A,FALSE,"INPUTS";#N/A,#N/A,FALSE,"PROFORMA BSHEET";#N/A,#N/A,FALSE,"COMBINED";#N/A,#N/A,FALSE,"HIGH YIELD";#N/A,#N/A,FALSE,"COMB_GRAPHS"}</definedName>
    <definedName name="_____wrn2" localSheetId="18" hidden="1">{#N/A,#N/A,FALSE,"INPUTS";#N/A,#N/A,FALSE,"PROFORMA BSHEET";#N/A,#N/A,FALSE,"COMBINED";#N/A,#N/A,FALSE,"HIGH YIELD";#N/A,#N/A,FALSE,"COMB_GRAPHS"}</definedName>
    <definedName name="_____wrn2" localSheetId="14" hidden="1">{#N/A,#N/A,FALSE,"INPUTS";#N/A,#N/A,FALSE,"PROFORMA BSHEET";#N/A,#N/A,FALSE,"COMBINED";#N/A,#N/A,FALSE,"HIGH YIELD";#N/A,#N/A,FALSE,"COMB_GRAPHS"}</definedName>
    <definedName name="_____wrn2" localSheetId="12" hidden="1">{#N/A,#N/A,FALSE,"INPUTS";#N/A,#N/A,FALSE,"PROFORMA BSHEET";#N/A,#N/A,FALSE,"COMBINED";#N/A,#N/A,FALSE,"HIGH YIELD";#N/A,#N/A,FALSE,"COMB_GRAPHS"}</definedName>
    <definedName name="_____wrn2" localSheetId="24" hidden="1">{#N/A,#N/A,FALSE,"INPUTS";#N/A,#N/A,FALSE,"PROFORMA BSHEET";#N/A,#N/A,FALSE,"COMBINED";#N/A,#N/A,FALSE,"HIGH YIELD";#N/A,#N/A,FALSE,"COMB_GRAPHS"}</definedName>
    <definedName name="_____wrn2" localSheetId="7" hidden="1">{#N/A,#N/A,FALSE,"INPUTS";#N/A,#N/A,FALSE,"PROFORMA BSHEET";#N/A,#N/A,FALSE,"COMBINED";#N/A,#N/A,FALSE,"HIGH YIELD";#N/A,#N/A,FALSE,"COMB_GRAPHS"}</definedName>
    <definedName name="_____wrn2" localSheetId="20" hidden="1">{#N/A,#N/A,FALSE,"INPUTS";#N/A,#N/A,FALSE,"PROFORMA BSHEET";#N/A,#N/A,FALSE,"COMBINED";#N/A,#N/A,FALSE,"HIGH YIELD";#N/A,#N/A,FALSE,"COMB_GRAPHS"}</definedName>
    <definedName name="_____wrn2" localSheetId="21" hidden="1">{#N/A,#N/A,FALSE,"INPUTS";#N/A,#N/A,FALSE,"PROFORMA BSHEET";#N/A,#N/A,FALSE,"COMBINED";#N/A,#N/A,FALSE,"HIGH YIELD";#N/A,#N/A,FALSE,"COMB_GRAPHS"}</definedName>
    <definedName name="_____wrn2" localSheetId="11" hidden="1">{#N/A,#N/A,FALSE,"INPUTS";#N/A,#N/A,FALSE,"PROFORMA BSHEET";#N/A,#N/A,FALSE,"COMBINED";#N/A,#N/A,FALSE,"HIGH YIELD";#N/A,#N/A,FALSE,"COMB_GRAPHS"}</definedName>
    <definedName name="_____wrn2" localSheetId="17" hidden="1">{#N/A,#N/A,FALSE,"INPUTS";#N/A,#N/A,FALSE,"PROFORMA BSHEET";#N/A,#N/A,FALSE,"COMBINED";#N/A,#N/A,FALSE,"HIGH YIELD";#N/A,#N/A,FALSE,"COMB_GRAPHS"}</definedName>
    <definedName name="_____wrn2" localSheetId="16" hidden="1">{#N/A,#N/A,FALSE,"INPUTS";#N/A,#N/A,FALSE,"PROFORMA BSHEET";#N/A,#N/A,FALSE,"COMBINED";#N/A,#N/A,FALSE,"HIGH YIELD";#N/A,#N/A,FALSE,"COMB_GRAPHS"}</definedName>
    <definedName name="_____wrn2" localSheetId="22" hidden="1">{#N/A,#N/A,FALSE,"INPUTS";#N/A,#N/A,FALSE,"PROFORMA BSHEET";#N/A,#N/A,FALSE,"COMBINED";#N/A,#N/A,FALSE,"HIGH YIELD";#N/A,#N/A,FALSE,"COMB_GRAPHS"}</definedName>
    <definedName name="_____wrn2" localSheetId="9" hidden="1">{#N/A,#N/A,FALSE,"INPUTS";#N/A,#N/A,FALSE,"PROFORMA BSHEET";#N/A,#N/A,FALSE,"COMBINED";#N/A,#N/A,FALSE,"HIGH YIELD";#N/A,#N/A,FALSE,"COMB_GRAPHS"}</definedName>
    <definedName name="_____wrn2" localSheetId="13" hidden="1">{#N/A,#N/A,FALSE,"INPUTS";#N/A,#N/A,FALSE,"PROFORMA BSHEET";#N/A,#N/A,FALSE,"COMBINED";#N/A,#N/A,FALSE,"HIGH YIELD";#N/A,#N/A,FALSE,"COMB_GRAPHS"}</definedName>
    <definedName name="_____wrn2" localSheetId="23" hidden="1">{#N/A,#N/A,FALSE,"INPUTS";#N/A,#N/A,FALSE,"PROFORMA BSHEET";#N/A,#N/A,FALSE,"COMBINED";#N/A,#N/A,FALSE,"HIGH YIELD";#N/A,#N/A,FALSE,"COMB_GRAPHS"}</definedName>
    <definedName name="_____wrn2" hidden="1">{#N/A,#N/A,FALSE,"INPUTS";#N/A,#N/A,FALSE,"PROFORMA BSHEET";#N/A,#N/A,FALSE,"COMBINED";#N/A,#N/A,FALSE,"HIGH YIELD";#N/A,#N/A,FALSE,"COMB_GRAPHS"}</definedName>
    <definedName name="_____wrn3" localSheetId="4" hidden="1">{#N/A,#N/A,FALSE,"ACQ_GRAPHS";#N/A,#N/A,FALSE,"T_1 GRAPHS";#N/A,#N/A,FALSE,"T_2 GRAPHS";#N/A,#N/A,FALSE,"COMB_GRAPHS"}</definedName>
    <definedName name="_____wrn3" localSheetId="5" hidden="1">{#N/A,#N/A,FALSE,"ACQ_GRAPHS";#N/A,#N/A,FALSE,"T_1 GRAPHS";#N/A,#N/A,FALSE,"T_2 GRAPHS";#N/A,#N/A,FALSE,"COMB_GRAPHS"}</definedName>
    <definedName name="_____wrn3" localSheetId="15" hidden="1">{#N/A,#N/A,FALSE,"ACQ_GRAPHS";#N/A,#N/A,FALSE,"T_1 GRAPHS";#N/A,#N/A,FALSE,"T_2 GRAPHS";#N/A,#N/A,FALSE,"COMB_GRAPHS"}</definedName>
    <definedName name="_____wrn3" localSheetId="19" hidden="1">{#N/A,#N/A,FALSE,"ACQ_GRAPHS";#N/A,#N/A,FALSE,"T_1 GRAPHS";#N/A,#N/A,FALSE,"T_2 GRAPHS";#N/A,#N/A,FALSE,"COMB_GRAPHS"}</definedName>
    <definedName name="_____wrn3" localSheetId="18" hidden="1">{#N/A,#N/A,FALSE,"ACQ_GRAPHS";#N/A,#N/A,FALSE,"T_1 GRAPHS";#N/A,#N/A,FALSE,"T_2 GRAPHS";#N/A,#N/A,FALSE,"COMB_GRAPHS"}</definedName>
    <definedName name="_____wrn3" localSheetId="14" hidden="1">{#N/A,#N/A,FALSE,"ACQ_GRAPHS";#N/A,#N/A,FALSE,"T_1 GRAPHS";#N/A,#N/A,FALSE,"T_2 GRAPHS";#N/A,#N/A,FALSE,"COMB_GRAPHS"}</definedName>
    <definedName name="_____wrn3" localSheetId="12" hidden="1">{#N/A,#N/A,FALSE,"ACQ_GRAPHS";#N/A,#N/A,FALSE,"T_1 GRAPHS";#N/A,#N/A,FALSE,"T_2 GRAPHS";#N/A,#N/A,FALSE,"COMB_GRAPHS"}</definedName>
    <definedName name="_____wrn3" localSheetId="24" hidden="1">{#N/A,#N/A,FALSE,"ACQ_GRAPHS";#N/A,#N/A,FALSE,"T_1 GRAPHS";#N/A,#N/A,FALSE,"T_2 GRAPHS";#N/A,#N/A,FALSE,"COMB_GRAPHS"}</definedName>
    <definedName name="_____wrn3" localSheetId="7" hidden="1">{#N/A,#N/A,FALSE,"ACQ_GRAPHS";#N/A,#N/A,FALSE,"T_1 GRAPHS";#N/A,#N/A,FALSE,"T_2 GRAPHS";#N/A,#N/A,FALSE,"COMB_GRAPHS"}</definedName>
    <definedName name="_____wrn3" localSheetId="20" hidden="1">{#N/A,#N/A,FALSE,"ACQ_GRAPHS";#N/A,#N/A,FALSE,"T_1 GRAPHS";#N/A,#N/A,FALSE,"T_2 GRAPHS";#N/A,#N/A,FALSE,"COMB_GRAPHS"}</definedName>
    <definedName name="_____wrn3" localSheetId="21" hidden="1">{#N/A,#N/A,FALSE,"ACQ_GRAPHS";#N/A,#N/A,FALSE,"T_1 GRAPHS";#N/A,#N/A,FALSE,"T_2 GRAPHS";#N/A,#N/A,FALSE,"COMB_GRAPHS"}</definedName>
    <definedName name="_____wrn3" localSheetId="11" hidden="1">{#N/A,#N/A,FALSE,"ACQ_GRAPHS";#N/A,#N/A,FALSE,"T_1 GRAPHS";#N/A,#N/A,FALSE,"T_2 GRAPHS";#N/A,#N/A,FALSE,"COMB_GRAPHS"}</definedName>
    <definedName name="_____wrn3" localSheetId="17" hidden="1">{#N/A,#N/A,FALSE,"ACQ_GRAPHS";#N/A,#N/A,FALSE,"T_1 GRAPHS";#N/A,#N/A,FALSE,"T_2 GRAPHS";#N/A,#N/A,FALSE,"COMB_GRAPHS"}</definedName>
    <definedName name="_____wrn3" localSheetId="16" hidden="1">{#N/A,#N/A,FALSE,"ACQ_GRAPHS";#N/A,#N/A,FALSE,"T_1 GRAPHS";#N/A,#N/A,FALSE,"T_2 GRAPHS";#N/A,#N/A,FALSE,"COMB_GRAPHS"}</definedName>
    <definedName name="_____wrn3" localSheetId="22" hidden="1">{#N/A,#N/A,FALSE,"ACQ_GRAPHS";#N/A,#N/A,FALSE,"T_1 GRAPHS";#N/A,#N/A,FALSE,"T_2 GRAPHS";#N/A,#N/A,FALSE,"COMB_GRAPHS"}</definedName>
    <definedName name="_____wrn3" localSheetId="9" hidden="1">{#N/A,#N/A,FALSE,"ACQ_GRAPHS";#N/A,#N/A,FALSE,"T_1 GRAPHS";#N/A,#N/A,FALSE,"T_2 GRAPHS";#N/A,#N/A,FALSE,"COMB_GRAPHS"}</definedName>
    <definedName name="_____wrn3" localSheetId="13" hidden="1">{#N/A,#N/A,FALSE,"ACQ_GRAPHS";#N/A,#N/A,FALSE,"T_1 GRAPHS";#N/A,#N/A,FALSE,"T_2 GRAPHS";#N/A,#N/A,FALSE,"COMB_GRAPHS"}</definedName>
    <definedName name="_____wrn3" localSheetId="23" hidden="1">{#N/A,#N/A,FALSE,"ACQ_GRAPHS";#N/A,#N/A,FALSE,"T_1 GRAPHS";#N/A,#N/A,FALSE,"T_2 GRAPHS";#N/A,#N/A,FALSE,"COMB_GRAPHS"}</definedName>
    <definedName name="_____wrn3" hidden="1">{#N/A,#N/A,FALSE,"ACQ_GRAPHS";#N/A,#N/A,FALSE,"T_1 GRAPHS";#N/A,#N/A,FALSE,"T_2 GRAPHS";#N/A,#N/A,FALSE,"COMB_GRAPHS"}</definedName>
    <definedName name="_____wrn4" localSheetId="4" hidden="1">{"vi1",#N/A,FALSE,"Financial Statements";"vi2",#N/A,FALSE,"Financial Statements";#N/A,#N/A,FALSE,"DCF"}</definedName>
    <definedName name="_____wrn4" localSheetId="5" hidden="1">{"vi1",#N/A,FALSE,"Financial Statements";"vi2",#N/A,FALSE,"Financial Statements";#N/A,#N/A,FALSE,"DCF"}</definedName>
    <definedName name="_____wrn4" localSheetId="15" hidden="1">{"vi1",#N/A,FALSE,"Financial Statements";"vi2",#N/A,FALSE,"Financial Statements";#N/A,#N/A,FALSE,"DCF"}</definedName>
    <definedName name="_____wrn4" localSheetId="19" hidden="1">{"vi1",#N/A,FALSE,"Financial Statements";"vi2",#N/A,FALSE,"Financial Statements";#N/A,#N/A,FALSE,"DCF"}</definedName>
    <definedName name="_____wrn4" localSheetId="18" hidden="1">{"vi1",#N/A,FALSE,"Financial Statements";"vi2",#N/A,FALSE,"Financial Statements";#N/A,#N/A,FALSE,"DCF"}</definedName>
    <definedName name="_____wrn4" localSheetId="14" hidden="1">{"vi1",#N/A,FALSE,"Financial Statements";"vi2",#N/A,FALSE,"Financial Statements";#N/A,#N/A,FALSE,"DCF"}</definedName>
    <definedName name="_____wrn4" localSheetId="12" hidden="1">{"vi1",#N/A,FALSE,"Financial Statements";"vi2",#N/A,FALSE,"Financial Statements";#N/A,#N/A,FALSE,"DCF"}</definedName>
    <definedName name="_____wrn4" localSheetId="24" hidden="1">{"vi1",#N/A,FALSE,"Financial Statements";"vi2",#N/A,FALSE,"Financial Statements";#N/A,#N/A,FALSE,"DCF"}</definedName>
    <definedName name="_____wrn4" localSheetId="7" hidden="1">{"vi1",#N/A,FALSE,"Financial Statements";"vi2",#N/A,FALSE,"Financial Statements";#N/A,#N/A,FALSE,"DCF"}</definedName>
    <definedName name="_____wrn4" localSheetId="20" hidden="1">{"vi1",#N/A,FALSE,"Financial Statements";"vi2",#N/A,FALSE,"Financial Statements";#N/A,#N/A,FALSE,"DCF"}</definedName>
    <definedName name="_____wrn4" localSheetId="21" hidden="1">{"vi1",#N/A,FALSE,"Financial Statements";"vi2",#N/A,FALSE,"Financial Statements";#N/A,#N/A,FALSE,"DCF"}</definedName>
    <definedName name="_____wrn4" localSheetId="11" hidden="1">{"vi1",#N/A,FALSE,"Financial Statements";"vi2",#N/A,FALSE,"Financial Statements";#N/A,#N/A,FALSE,"DCF"}</definedName>
    <definedName name="_____wrn4" localSheetId="17" hidden="1">{"vi1",#N/A,FALSE,"Financial Statements";"vi2",#N/A,FALSE,"Financial Statements";#N/A,#N/A,FALSE,"DCF"}</definedName>
    <definedName name="_____wrn4" localSheetId="16" hidden="1">{"vi1",#N/A,FALSE,"Financial Statements";"vi2",#N/A,FALSE,"Financial Statements";#N/A,#N/A,FALSE,"DCF"}</definedName>
    <definedName name="_____wrn4" localSheetId="22" hidden="1">{"vi1",#N/A,FALSE,"Financial Statements";"vi2",#N/A,FALSE,"Financial Statements";#N/A,#N/A,FALSE,"DCF"}</definedName>
    <definedName name="_____wrn4" localSheetId="9" hidden="1">{"vi1",#N/A,FALSE,"Financial Statements";"vi2",#N/A,FALSE,"Financial Statements";#N/A,#N/A,FALSE,"DCF"}</definedName>
    <definedName name="_____wrn4" localSheetId="13" hidden="1">{"vi1",#N/A,FALSE,"Financial Statements";"vi2",#N/A,FALSE,"Financial Statements";#N/A,#N/A,FALSE,"DCF"}</definedName>
    <definedName name="_____wrn4" localSheetId="23" hidden="1">{"vi1",#N/A,FALSE,"Financial Statements";"vi2",#N/A,FALSE,"Financial Statements";#N/A,#N/A,FALSE,"DCF"}</definedName>
    <definedName name="_____wrn4" hidden="1">{"vi1",#N/A,FALSE,"Financial Statements";"vi2",#N/A,FALSE,"Financial Statements";#N/A,#N/A,FALSE,"DCF"}</definedName>
    <definedName name="_____wrn5" localSheetId="4" hidden="1">{#N/A,#N/A,FALSE,"Valuation Assumptions";#N/A,#N/A,FALSE,"Summary";#N/A,#N/A,FALSE,"DCF";#N/A,#N/A,FALSE,"Valuation";#N/A,#N/A,FALSE,"WACC";#N/A,#N/A,FALSE,"UBVH";#N/A,#N/A,FALSE,"Free Cash Flow"}</definedName>
    <definedName name="_____wrn5" localSheetId="5" hidden="1">{#N/A,#N/A,FALSE,"Valuation Assumptions";#N/A,#N/A,FALSE,"Summary";#N/A,#N/A,FALSE,"DCF";#N/A,#N/A,FALSE,"Valuation";#N/A,#N/A,FALSE,"WACC";#N/A,#N/A,FALSE,"UBVH";#N/A,#N/A,FALSE,"Free Cash Flow"}</definedName>
    <definedName name="_____wrn5" localSheetId="15" hidden="1">{#N/A,#N/A,FALSE,"Valuation Assumptions";#N/A,#N/A,FALSE,"Summary";#N/A,#N/A,FALSE,"DCF";#N/A,#N/A,FALSE,"Valuation";#N/A,#N/A,FALSE,"WACC";#N/A,#N/A,FALSE,"UBVH";#N/A,#N/A,FALSE,"Free Cash Flow"}</definedName>
    <definedName name="_____wrn5" localSheetId="19" hidden="1">{#N/A,#N/A,FALSE,"Valuation Assumptions";#N/A,#N/A,FALSE,"Summary";#N/A,#N/A,FALSE,"DCF";#N/A,#N/A,FALSE,"Valuation";#N/A,#N/A,FALSE,"WACC";#N/A,#N/A,FALSE,"UBVH";#N/A,#N/A,FALSE,"Free Cash Flow"}</definedName>
    <definedName name="_____wrn5" localSheetId="18" hidden="1">{#N/A,#N/A,FALSE,"Valuation Assumptions";#N/A,#N/A,FALSE,"Summary";#N/A,#N/A,FALSE,"DCF";#N/A,#N/A,FALSE,"Valuation";#N/A,#N/A,FALSE,"WACC";#N/A,#N/A,FALSE,"UBVH";#N/A,#N/A,FALSE,"Free Cash Flow"}</definedName>
    <definedName name="_____wrn5" localSheetId="14" hidden="1">{#N/A,#N/A,FALSE,"Valuation Assumptions";#N/A,#N/A,FALSE,"Summary";#N/A,#N/A,FALSE,"DCF";#N/A,#N/A,FALSE,"Valuation";#N/A,#N/A,FALSE,"WACC";#N/A,#N/A,FALSE,"UBVH";#N/A,#N/A,FALSE,"Free Cash Flow"}</definedName>
    <definedName name="_____wrn5" localSheetId="12" hidden="1">{#N/A,#N/A,FALSE,"Valuation Assumptions";#N/A,#N/A,FALSE,"Summary";#N/A,#N/A,FALSE,"DCF";#N/A,#N/A,FALSE,"Valuation";#N/A,#N/A,FALSE,"WACC";#N/A,#N/A,FALSE,"UBVH";#N/A,#N/A,FALSE,"Free Cash Flow"}</definedName>
    <definedName name="_____wrn5" localSheetId="24" hidden="1">{#N/A,#N/A,FALSE,"Valuation Assumptions";#N/A,#N/A,FALSE,"Summary";#N/A,#N/A,FALSE,"DCF";#N/A,#N/A,FALSE,"Valuation";#N/A,#N/A,FALSE,"WACC";#N/A,#N/A,FALSE,"UBVH";#N/A,#N/A,FALSE,"Free Cash Flow"}</definedName>
    <definedName name="_____wrn5" localSheetId="7" hidden="1">{#N/A,#N/A,FALSE,"Valuation Assumptions";#N/A,#N/A,FALSE,"Summary";#N/A,#N/A,FALSE,"DCF";#N/A,#N/A,FALSE,"Valuation";#N/A,#N/A,FALSE,"WACC";#N/A,#N/A,FALSE,"UBVH";#N/A,#N/A,FALSE,"Free Cash Flow"}</definedName>
    <definedName name="_____wrn5" localSheetId="20" hidden="1">{#N/A,#N/A,FALSE,"Valuation Assumptions";#N/A,#N/A,FALSE,"Summary";#N/A,#N/A,FALSE,"DCF";#N/A,#N/A,FALSE,"Valuation";#N/A,#N/A,FALSE,"WACC";#N/A,#N/A,FALSE,"UBVH";#N/A,#N/A,FALSE,"Free Cash Flow"}</definedName>
    <definedName name="_____wrn5" localSheetId="21" hidden="1">{#N/A,#N/A,FALSE,"Valuation Assumptions";#N/A,#N/A,FALSE,"Summary";#N/A,#N/A,FALSE,"DCF";#N/A,#N/A,FALSE,"Valuation";#N/A,#N/A,FALSE,"WACC";#N/A,#N/A,FALSE,"UBVH";#N/A,#N/A,FALSE,"Free Cash Flow"}</definedName>
    <definedName name="_____wrn5" localSheetId="11" hidden="1">{#N/A,#N/A,FALSE,"Valuation Assumptions";#N/A,#N/A,FALSE,"Summary";#N/A,#N/A,FALSE,"DCF";#N/A,#N/A,FALSE,"Valuation";#N/A,#N/A,FALSE,"WACC";#N/A,#N/A,FALSE,"UBVH";#N/A,#N/A,FALSE,"Free Cash Flow"}</definedName>
    <definedName name="_____wrn5" localSheetId="17" hidden="1">{#N/A,#N/A,FALSE,"Valuation Assumptions";#N/A,#N/A,FALSE,"Summary";#N/A,#N/A,FALSE,"DCF";#N/A,#N/A,FALSE,"Valuation";#N/A,#N/A,FALSE,"WACC";#N/A,#N/A,FALSE,"UBVH";#N/A,#N/A,FALSE,"Free Cash Flow"}</definedName>
    <definedName name="_____wrn5" localSheetId="16" hidden="1">{#N/A,#N/A,FALSE,"Valuation Assumptions";#N/A,#N/A,FALSE,"Summary";#N/A,#N/A,FALSE,"DCF";#N/A,#N/A,FALSE,"Valuation";#N/A,#N/A,FALSE,"WACC";#N/A,#N/A,FALSE,"UBVH";#N/A,#N/A,FALSE,"Free Cash Flow"}</definedName>
    <definedName name="_____wrn5" localSheetId="22" hidden="1">{#N/A,#N/A,FALSE,"Valuation Assumptions";#N/A,#N/A,FALSE,"Summary";#N/A,#N/A,FALSE,"DCF";#N/A,#N/A,FALSE,"Valuation";#N/A,#N/A,FALSE,"WACC";#N/A,#N/A,FALSE,"UBVH";#N/A,#N/A,FALSE,"Free Cash Flow"}</definedName>
    <definedName name="_____wrn5" localSheetId="9" hidden="1">{#N/A,#N/A,FALSE,"Valuation Assumptions";#N/A,#N/A,FALSE,"Summary";#N/A,#N/A,FALSE,"DCF";#N/A,#N/A,FALSE,"Valuation";#N/A,#N/A,FALSE,"WACC";#N/A,#N/A,FALSE,"UBVH";#N/A,#N/A,FALSE,"Free Cash Flow"}</definedName>
    <definedName name="_____wrn5" localSheetId="13" hidden="1">{#N/A,#N/A,FALSE,"Valuation Assumptions";#N/A,#N/A,FALSE,"Summary";#N/A,#N/A,FALSE,"DCF";#N/A,#N/A,FALSE,"Valuation";#N/A,#N/A,FALSE,"WACC";#N/A,#N/A,FALSE,"UBVH";#N/A,#N/A,FALSE,"Free Cash Flow"}</definedName>
    <definedName name="_____wrn5" localSheetId="23" hidden="1">{#N/A,#N/A,FALSE,"Valuation Assumptions";#N/A,#N/A,FALSE,"Summary";#N/A,#N/A,FALSE,"DCF";#N/A,#N/A,FALSE,"Valuation";#N/A,#N/A,FALSE,"WACC";#N/A,#N/A,FALSE,"UBVH";#N/A,#N/A,FALSE,"Free Cash Flow"}</definedName>
    <definedName name="_____wrn5" hidden="1">{#N/A,#N/A,FALSE,"Valuation Assumptions";#N/A,#N/A,FALSE,"Summary";#N/A,#N/A,FALSE,"DCF";#N/A,#N/A,FALSE,"Valuation";#N/A,#N/A,FALSE,"WACC";#N/A,#N/A,FALSE,"UBVH";#N/A,#N/A,FALSE,"Free Cash Flow"}</definedName>
    <definedName name="_____wrn6" localSheetId="4" hidden="1">{#N/A,#N/A,FALSE,"INPUTS";#N/A,#N/A,FALSE,"PROFORMA BSHEET";#N/A,#N/A,FALSE,"COMBINED";#N/A,#N/A,FALSE,"ACQUIROR";#N/A,#N/A,FALSE,"TARGET 1";#N/A,#N/A,FALSE,"TARGET 2";#N/A,#N/A,FALSE,"HIGH YIELD";#N/A,#N/A,FALSE,"OVERFUND"}</definedName>
    <definedName name="_____wrn6" localSheetId="5" hidden="1">{#N/A,#N/A,FALSE,"INPUTS";#N/A,#N/A,FALSE,"PROFORMA BSHEET";#N/A,#N/A,FALSE,"COMBINED";#N/A,#N/A,FALSE,"ACQUIROR";#N/A,#N/A,FALSE,"TARGET 1";#N/A,#N/A,FALSE,"TARGET 2";#N/A,#N/A,FALSE,"HIGH YIELD";#N/A,#N/A,FALSE,"OVERFUND"}</definedName>
    <definedName name="_____wrn6" localSheetId="15" hidden="1">{#N/A,#N/A,FALSE,"INPUTS";#N/A,#N/A,FALSE,"PROFORMA BSHEET";#N/A,#N/A,FALSE,"COMBINED";#N/A,#N/A,FALSE,"ACQUIROR";#N/A,#N/A,FALSE,"TARGET 1";#N/A,#N/A,FALSE,"TARGET 2";#N/A,#N/A,FALSE,"HIGH YIELD";#N/A,#N/A,FALSE,"OVERFUND"}</definedName>
    <definedName name="_____wrn6" localSheetId="19" hidden="1">{#N/A,#N/A,FALSE,"INPUTS";#N/A,#N/A,FALSE,"PROFORMA BSHEET";#N/A,#N/A,FALSE,"COMBINED";#N/A,#N/A,FALSE,"ACQUIROR";#N/A,#N/A,FALSE,"TARGET 1";#N/A,#N/A,FALSE,"TARGET 2";#N/A,#N/A,FALSE,"HIGH YIELD";#N/A,#N/A,FALSE,"OVERFUND"}</definedName>
    <definedName name="_____wrn6" localSheetId="18" hidden="1">{#N/A,#N/A,FALSE,"INPUTS";#N/A,#N/A,FALSE,"PROFORMA BSHEET";#N/A,#N/A,FALSE,"COMBINED";#N/A,#N/A,FALSE,"ACQUIROR";#N/A,#N/A,FALSE,"TARGET 1";#N/A,#N/A,FALSE,"TARGET 2";#N/A,#N/A,FALSE,"HIGH YIELD";#N/A,#N/A,FALSE,"OVERFUND"}</definedName>
    <definedName name="_____wrn6" localSheetId="14" hidden="1">{#N/A,#N/A,FALSE,"INPUTS";#N/A,#N/A,FALSE,"PROFORMA BSHEET";#N/A,#N/A,FALSE,"COMBINED";#N/A,#N/A,FALSE,"ACQUIROR";#N/A,#N/A,FALSE,"TARGET 1";#N/A,#N/A,FALSE,"TARGET 2";#N/A,#N/A,FALSE,"HIGH YIELD";#N/A,#N/A,FALSE,"OVERFUND"}</definedName>
    <definedName name="_____wrn6" localSheetId="12" hidden="1">{#N/A,#N/A,FALSE,"INPUTS";#N/A,#N/A,FALSE,"PROFORMA BSHEET";#N/A,#N/A,FALSE,"COMBINED";#N/A,#N/A,FALSE,"ACQUIROR";#N/A,#N/A,FALSE,"TARGET 1";#N/A,#N/A,FALSE,"TARGET 2";#N/A,#N/A,FALSE,"HIGH YIELD";#N/A,#N/A,FALSE,"OVERFUND"}</definedName>
    <definedName name="_____wrn6" localSheetId="24" hidden="1">{#N/A,#N/A,FALSE,"INPUTS";#N/A,#N/A,FALSE,"PROFORMA BSHEET";#N/A,#N/A,FALSE,"COMBINED";#N/A,#N/A,FALSE,"ACQUIROR";#N/A,#N/A,FALSE,"TARGET 1";#N/A,#N/A,FALSE,"TARGET 2";#N/A,#N/A,FALSE,"HIGH YIELD";#N/A,#N/A,FALSE,"OVERFUND"}</definedName>
    <definedName name="_____wrn6" localSheetId="7" hidden="1">{#N/A,#N/A,FALSE,"INPUTS";#N/A,#N/A,FALSE,"PROFORMA BSHEET";#N/A,#N/A,FALSE,"COMBINED";#N/A,#N/A,FALSE,"ACQUIROR";#N/A,#N/A,FALSE,"TARGET 1";#N/A,#N/A,FALSE,"TARGET 2";#N/A,#N/A,FALSE,"HIGH YIELD";#N/A,#N/A,FALSE,"OVERFUND"}</definedName>
    <definedName name="_____wrn6" localSheetId="20" hidden="1">{#N/A,#N/A,FALSE,"INPUTS";#N/A,#N/A,FALSE,"PROFORMA BSHEET";#N/A,#N/A,FALSE,"COMBINED";#N/A,#N/A,FALSE,"ACQUIROR";#N/A,#N/A,FALSE,"TARGET 1";#N/A,#N/A,FALSE,"TARGET 2";#N/A,#N/A,FALSE,"HIGH YIELD";#N/A,#N/A,FALSE,"OVERFUND"}</definedName>
    <definedName name="_____wrn6" localSheetId="21" hidden="1">{#N/A,#N/A,FALSE,"INPUTS";#N/A,#N/A,FALSE,"PROFORMA BSHEET";#N/A,#N/A,FALSE,"COMBINED";#N/A,#N/A,FALSE,"ACQUIROR";#N/A,#N/A,FALSE,"TARGET 1";#N/A,#N/A,FALSE,"TARGET 2";#N/A,#N/A,FALSE,"HIGH YIELD";#N/A,#N/A,FALSE,"OVERFUND"}</definedName>
    <definedName name="_____wrn6" localSheetId="11" hidden="1">{#N/A,#N/A,FALSE,"INPUTS";#N/A,#N/A,FALSE,"PROFORMA BSHEET";#N/A,#N/A,FALSE,"COMBINED";#N/A,#N/A,FALSE,"ACQUIROR";#N/A,#N/A,FALSE,"TARGET 1";#N/A,#N/A,FALSE,"TARGET 2";#N/A,#N/A,FALSE,"HIGH YIELD";#N/A,#N/A,FALSE,"OVERFUND"}</definedName>
    <definedName name="_____wrn6" localSheetId="17" hidden="1">{#N/A,#N/A,FALSE,"INPUTS";#N/A,#N/A,FALSE,"PROFORMA BSHEET";#N/A,#N/A,FALSE,"COMBINED";#N/A,#N/A,FALSE,"ACQUIROR";#N/A,#N/A,FALSE,"TARGET 1";#N/A,#N/A,FALSE,"TARGET 2";#N/A,#N/A,FALSE,"HIGH YIELD";#N/A,#N/A,FALSE,"OVERFUND"}</definedName>
    <definedName name="_____wrn6" localSheetId="16" hidden="1">{#N/A,#N/A,FALSE,"INPUTS";#N/A,#N/A,FALSE,"PROFORMA BSHEET";#N/A,#N/A,FALSE,"COMBINED";#N/A,#N/A,FALSE,"ACQUIROR";#N/A,#N/A,FALSE,"TARGET 1";#N/A,#N/A,FALSE,"TARGET 2";#N/A,#N/A,FALSE,"HIGH YIELD";#N/A,#N/A,FALSE,"OVERFUND"}</definedName>
    <definedName name="_____wrn6" localSheetId="22" hidden="1">{#N/A,#N/A,FALSE,"INPUTS";#N/A,#N/A,FALSE,"PROFORMA BSHEET";#N/A,#N/A,FALSE,"COMBINED";#N/A,#N/A,FALSE,"ACQUIROR";#N/A,#N/A,FALSE,"TARGET 1";#N/A,#N/A,FALSE,"TARGET 2";#N/A,#N/A,FALSE,"HIGH YIELD";#N/A,#N/A,FALSE,"OVERFUND"}</definedName>
    <definedName name="_____wrn6" localSheetId="9" hidden="1">{#N/A,#N/A,FALSE,"INPUTS";#N/A,#N/A,FALSE,"PROFORMA BSHEET";#N/A,#N/A,FALSE,"COMBINED";#N/A,#N/A,FALSE,"ACQUIROR";#N/A,#N/A,FALSE,"TARGET 1";#N/A,#N/A,FALSE,"TARGET 2";#N/A,#N/A,FALSE,"HIGH YIELD";#N/A,#N/A,FALSE,"OVERFUND"}</definedName>
    <definedName name="_____wrn6" localSheetId="13" hidden="1">{#N/A,#N/A,FALSE,"INPUTS";#N/A,#N/A,FALSE,"PROFORMA BSHEET";#N/A,#N/A,FALSE,"COMBINED";#N/A,#N/A,FALSE,"ACQUIROR";#N/A,#N/A,FALSE,"TARGET 1";#N/A,#N/A,FALSE,"TARGET 2";#N/A,#N/A,FALSE,"HIGH YIELD";#N/A,#N/A,FALSE,"OVERFUND"}</definedName>
    <definedName name="_____wrn6" localSheetId="23" hidden="1">{#N/A,#N/A,FALSE,"INPUTS";#N/A,#N/A,FALSE,"PROFORMA BSHEET";#N/A,#N/A,FALSE,"COMBINED";#N/A,#N/A,FALSE,"ACQUIROR";#N/A,#N/A,FALSE,"TARGET 1";#N/A,#N/A,FALSE,"TARGET 2";#N/A,#N/A,FALSE,"HIGH YIELD";#N/A,#N/A,FALSE,"OVERFUND"}</definedName>
    <definedName name="_____wrn6" hidden="1">{#N/A,#N/A,FALSE,"INPUTS";#N/A,#N/A,FALSE,"PROFORMA BSHEET";#N/A,#N/A,FALSE,"COMBINED";#N/A,#N/A,FALSE,"ACQUIROR";#N/A,#N/A,FALSE,"TARGET 1";#N/A,#N/A,FALSE,"TARGET 2";#N/A,#N/A,FALSE,"HIGH YIELD";#N/A,#N/A,FALSE,"OVERFUND"}</definedName>
    <definedName name="_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aa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Key1" hidden="1">#REF!</definedName>
    <definedName name="____Minorities_interests_BS">#REF!</definedName>
    <definedName name="____nn05" localSheetId="4" hidden="1">{#N/A,#N/A,FALSE,"Status of Projects";#N/A,#N/A,FALSE,"CEA-TEC";#N/A,#N/A,FALSE,"U-Constr.";#N/A,#N/A,FALSE,"summary";#N/A,#N/A,FALSE,"PPP-3 yrs"}</definedName>
    <definedName name="____nn05" localSheetId="9" hidden="1">{#N/A,#N/A,FALSE,"Status of Projects";#N/A,#N/A,FALSE,"CEA-TEC";#N/A,#N/A,FALSE,"U-Constr.";#N/A,#N/A,FALSE,"summary";#N/A,#N/A,FALSE,"PPP-3 yrs"}</definedName>
    <definedName name="____nn05" hidden="1">{#N/A,#N/A,FALSE,"Status of Projects";#N/A,#N/A,FALSE,"CEA-TEC";#N/A,#N/A,FALSE,"U-Constr.";#N/A,#N/A,FALSE,"summary";#N/A,#N/A,FALSE,"PPP-3 yrs"}</definedName>
    <definedName name="____no1" localSheetId="4" hidden="1">{#N/A,#N/A,FALSE,"Status of Projects";#N/A,#N/A,FALSE,"CEA-TEC";#N/A,#N/A,FALSE,"U-Constr.";#N/A,#N/A,FALSE,"summary";#N/A,#N/A,FALSE,"PPP-3 yrs"}</definedName>
    <definedName name="____no1" localSheetId="9" hidden="1">{#N/A,#N/A,FALSE,"Status of Projects";#N/A,#N/A,FALSE,"CEA-TEC";#N/A,#N/A,FALSE,"U-Constr.";#N/A,#N/A,FALSE,"summary";#N/A,#N/A,FALSE,"PPP-3 yrs"}</definedName>
    <definedName name="____no1" hidden="1">{#N/A,#N/A,FALSE,"Status of Projects";#N/A,#N/A,FALSE,"CEA-TEC";#N/A,#N/A,FALSE,"U-Constr.";#N/A,#N/A,FALSE,"summary";#N/A,#N/A,FALSE,"PPP-3 yrs"}</definedName>
    <definedName name="_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Share_application_money_pending_allotment">#REF!</definedName>
    <definedName name="____Shareholders_funds">#REF!</definedName>
    <definedName name="_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1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2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1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localSheetId="2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_wrn2" localSheetId="4" hidden="1">{#N/A,#N/A,FALSE,"INPUTS";#N/A,#N/A,FALSE,"PROFORMA BSHEET";#N/A,#N/A,FALSE,"COMBINED";#N/A,#N/A,FALSE,"HIGH YIELD";#N/A,#N/A,FALSE,"COMB_GRAPHS"}</definedName>
    <definedName name="____wrn2" localSheetId="5" hidden="1">{#N/A,#N/A,FALSE,"INPUTS";#N/A,#N/A,FALSE,"PROFORMA BSHEET";#N/A,#N/A,FALSE,"COMBINED";#N/A,#N/A,FALSE,"HIGH YIELD";#N/A,#N/A,FALSE,"COMB_GRAPHS"}</definedName>
    <definedName name="____wrn2" localSheetId="15" hidden="1">{#N/A,#N/A,FALSE,"INPUTS";#N/A,#N/A,FALSE,"PROFORMA BSHEET";#N/A,#N/A,FALSE,"COMBINED";#N/A,#N/A,FALSE,"HIGH YIELD";#N/A,#N/A,FALSE,"COMB_GRAPHS"}</definedName>
    <definedName name="____wrn2" localSheetId="19" hidden="1">{#N/A,#N/A,FALSE,"INPUTS";#N/A,#N/A,FALSE,"PROFORMA BSHEET";#N/A,#N/A,FALSE,"COMBINED";#N/A,#N/A,FALSE,"HIGH YIELD";#N/A,#N/A,FALSE,"COMB_GRAPHS"}</definedName>
    <definedName name="____wrn2" localSheetId="18" hidden="1">{#N/A,#N/A,FALSE,"INPUTS";#N/A,#N/A,FALSE,"PROFORMA BSHEET";#N/A,#N/A,FALSE,"COMBINED";#N/A,#N/A,FALSE,"HIGH YIELD";#N/A,#N/A,FALSE,"COMB_GRAPHS"}</definedName>
    <definedName name="____wrn2" localSheetId="14" hidden="1">{#N/A,#N/A,FALSE,"INPUTS";#N/A,#N/A,FALSE,"PROFORMA BSHEET";#N/A,#N/A,FALSE,"COMBINED";#N/A,#N/A,FALSE,"HIGH YIELD";#N/A,#N/A,FALSE,"COMB_GRAPHS"}</definedName>
    <definedName name="____wrn2" localSheetId="12" hidden="1">{#N/A,#N/A,FALSE,"INPUTS";#N/A,#N/A,FALSE,"PROFORMA BSHEET";#N/A,#N/A,FALSE,"COMBINED";#N/A,#N/A,FALSE,"HIGH YIELD";#N/A,#N/A,FALSE,"COMB_GRAPHS"}</definedName>
    <definedName name="____wrn2" localSheetId="24" hidden="1">{#N/A,#N/A,FALSE,"INPUTS";#N/A,#N/A,FALSE,"PROFORMA BSHEET";#N/A,#N/A,FALSE,"COMBINED";#N/A,#N/A,FALSE,"HIGH YIELD";#N/A,#N/A,FALSE,"COMB_GRAPHS"}</definedName>
    <definedName name="____wrn2" localSheetId="7" hidden="1">{#N/A,#N/A,FALSE,"INPUTS";#N/A,#N/A,FALSE,"PROFORMA BSHEET";#N/A,#N/A,FALSE,"COMBINED";#N/A,#N/A,FALSE,"HIGH YIELD";#N/A,#N/A,FALSE,"COMB_GRAPHS"}</definedName>
    <definedName name="____wrn2" localSheetId="20" hidden="1">{#N/A,#N/A,FALSE,"INPUTS";#N/A,#N/A,FALSE,"PROFORMA BSHEET";#N/A,#N/A,FALSE,"COMBINED";#N/A,#N/A,FALSE,"HIGH YIELD";#N/A,#N/A,FALSE,"COMB_GRAPHS"}</definedName>
    <definedName name="____wrn2" localSheetId="21" hidden="1">{#N/A,#N/A,FALSE,"INPUTS";#N/A,#N/A,FALSE,"PROFORMA BSHEET";#N/A,#N/A,FALSE,"COMBINED";#N/A,#N/A,FALSE,"HIGH YIELD";#N/A,#N/A,FALSE,"COMB_GRAPHS"}</definedName>
    <definedName name="____wrn2" localSheetId="11" hidden="1">{#N/A,#N/A,FALSE,"INPUTS";#N/A,#N/A,FALSE,"PROFORMA BSHEET";#N/A,#N/A,FALSE,"COMBINED";#N/A,#N/A,FALSE,"HIGH YIELD";#N/A,#N/A,FALSE,"COMB_GRAPHS"}</definedName>
    <definedName name="____wrn2" localSheetId="17" hidden="1">{#N/A,#N/A,FALSE,"INPUTS";#N/A,#N/A,FALSE,"PROFORMA BSHEET";#N/A,#N/A,FALSE,"COMBINED";#N/A,#N/A,FALSE,"HIGH YIELD";#N/A,#N/A,FALSE,"COMB_GRAPHS"}</definedName>
    <definedName name="____wrn2" localSheetId="16" hidden="1">{#N/A,#N/A,FALSE,"INPUTS";#N/A,#N/A,FALSE,"PROFORMA BSHEET";#N/A,#N/A,FALSE,"COMBINED";#N/A,#N/A,FALSE,"HIGH YIELD";#N/A,#N/A,FALSE,"COMB_GRAPHS"}</definedName>
    <definedName name="____wrn2" localSheetId="22" hidden="1">{#N/A,#N/A,FALSE,"INPUTS";#N/A,#N/A,FALSE,"PROFORMA BSHEET";#N/A,#N/A,FALSE,"COMBINED";#N/A,#N/A,FALSE,"HIGH YIELD";#N/A,#N/A,FALSE,"COMB_GRAPHS"}</definedName>
    <definedName name="____wrn2" localSheetId="9" hidden="1">{#N/A,#N/A,FALSE,"INPUTS";#N/A,#N/A,FALSE,"PROFORMA BSHEET";#N/A,#N/A,FALSE,"COMBINED";#N/A,#N/A,FALSE,"HIGH YIELD";#N/A,#N/A,FALSE,"COMB_GRAPHS"}</definedName>
    <definedName name="____wrn2" localSheetId="13" hidden="1">{#N/A,#N/A,FALSE,"INPUTS";#N/A,#N/A,FALSE,"PROFORMA BSHEET";#N/A,#N/A,FALSE,"COMBINED";#N/A,#N/A,FALSE,"HIGH YIELD";#N/A,#N/A,FALSE,"COMB_GRAPHS"}</definedName>
    <definedName name="____wrn2" localSheetId="23" hidden="1">{#N/A,#N/A,FALSE,"INPUTS";#N/A,#N/A,FALSE,"PROFORMA BSHEET";#N/A,#N/A,FALSE,"COMBINED";#N/A,#N/A,FALSE,"HIGH YIELD";#N/A,#N/A,FALSE,"COMB_GRAPHS"}</definedName>
    <definedName name="____wrn2" hidden="1">{#N/A,#N/A,FALSE,"INPUTS";#N/A,#N/A,FALSE,"PROFORMA BSHEET";#N/A,#N/A,FALSE,"COMBINED";#N/A,#N/A,FALSE,"HIGH YIELD";#N/A,#N/A,FALSE,"COMB_GRAPHS"}</definedName>
    <definedName name="____wrn3" localSheetId="4" hidden="1">{#N/A,#N/A,FALSE,"ACQ_GRAPHS";#N/A,#N/A,FALSE,"T_1 GRAPHS";#N/A,#N/A,FALSE,"T_2 GRAPHS";#N/A,#N/A,FALSE,"COMB_GRAPHS"}</definedName>
    <definedName name="____wrn3" localSheetId="5" hidden="1">{#N/A,#N/A,FALSE,"ACQ_GRAPHS";#N/A,#N/A,FALSE,"T_1 GRAPHS";#N/A,#N/A,FALSE,"T_2 GRAPHS";#N/A,#N/A,FALSE,"COMB_GRAPHS"}</definedName>
    <definedName name="____wrn3" localSheetId="15" hidden="1">{#N/A,#N/A,FALSE,"ACQ_GRAPHS";#N/A,#N/A,FALSE,"T_1 GRAPHS";#N/A,#N/A,FALSE,"T_2 GRAPHS";#N/A,#N/A,FALSE,"COMB_GRAPHS"}</definedName>
    <definedName name="____wrn3" localSheetId="19" hidden="1">{#N/A,#N/A,FALSE,"ACQ_GRAPHS";#N/A,#N/A,FALSE,"T_1 GRAPHS";#N/A,#N/A,FALSE,"T_2 GRAPHS";#N/A,#N/A,FALSE,"COMB_GRAPHS"}</definedName>
    <definedName name="____wrn3" localSheetId="18" hidden="1">{#N/A,#N/A,FALSE,"ACQ_GRAPHS";#N/A,#N/A,FALSE,"T_1 GRAPHS";#N/A,#N/A,FALSE,"T_2 GRAPHS";#N/A,#N/A,FALSE,"COMB_GRAPHS"}</definedName>
    <definedName name="____wrn3" localSheetId="14" hidden="1">{#N/A,#N/A,FALSE,"ACQ_GRAPHS";#N/A,#N/A,FALSE,"T_1 GRAPHS";#N/A,#N/A,FALSE,"T_2 GRAPHS";#N/A,#N/A,FALSE,"COMB_GRAPHS"}</definedName>
    <definedName name="____wrn3" localSheetId="12" hidden="1">{#N/A,#N/A,FALSE,"ACQ_GRAPHS";#N/A,#N/A,FALSE,"T_1 GRAPHS";#N/A,#N/A,FALSE,"T_2 GRAPHS";#N/A,#N/A,FALSE,"COMB_GRAPHS"}</definedName>
    <definedName name="____wrn3" localSheetId="24" hidden="1">{#N/A,#N/A,FALSE,"ACQ_GRAPHS";#N/A,#N/A,FALSE,"T_1 GRAPHS";#N/A,#N/A,FALSE,"T_2 GRAPHS";#N/A,#N/A,FALSE,"COMB_GRAPHS"}</definedName>
    <definedName name="____wrn3" localSheetId="7" hidden="1">{#N/A,#N/A,FALSE,"ACQ_GRAPHS";#N/A,#N/A,FALSE,"T_1 GRAPHS";#N/A,#N/A,FALSE,"T_2 GRAPHS";#N/A,#N/A,FALSE,"COMB_GRAPHS"}</definedName>
    <definedName name="____wrn3" localSheetId="20" hidden="1">{#N/A,#N/A,FALSE,"ACQ_GRAPHS";#N/A,#N/A,FALSE,"T_1 GRAPHS";#N/A,#N/A,FALSE,"T_2 GRAPHS";#N/A,#N/A,FALSE,"COMB_GRAPHS"}</definedName>
    <definedName name="____wrn3" localSheetId="21" hidden="1">{#N/A,#N/A,FALSE,"ACQ_GRAPHS";#N/A,#N/A,FALSE,"T_1 GRAPHS";#N/A,#N/A,FALSE,"T_2 GRAPHS";#N/A,#N/A,FALSE,"COMB_GRAPHS"}</definedName>
    <definedName name="____wrn3" localSheetId="11" hidden="1">{#N/A,#N/A,FALSE,"ACQ_GRAPHS";#N/A,#N/A,FALSE,"T_1 GRAPHS";#N/A,#N/A,FALSE,"T_2 GRAPHS";#N/A,#N/A,FALSE,"COMB_GRAPHS"}</definedName>
    <definedName name="____wrn3" localSheetId="17" hidden="1">{#N/A,#N/A,FALSE,"ACQ_GRAPHS";#N/A,#N/A,FALSE,"T_1 GRAPHS";#N/A,#N/A,FALSE,"T_2 GRAPHS";#N/A,#N/A,FALSE,"COMB_GRAPHS"}</definedName>
    <definedName name="____wrn3" localSheetId="16" hidden="1">{#N/A,#N/A,FALSE,"ACQ_GRAPHS";#N/A,#N/A,FALSE,"T_1 GRAPHS";#N/A,#N/A,FALSE,"T_2 GRAPHS";#N/A,#N/A,FALSE,"COMB_GRAPHS"}</definedName>
    <definedName name="____wrn3" localSheetId="22" hidden="1">{#N/A,#N/A,FALSE,"ACQ_GRAPHS";#N/A,#N/A,FALSE,"T_1 GRAPHS";#N/A,#N/A,FALSE,"T_2 GRAPHS";#N/A,#N/A,FALSE,"COMB_GRAPHS"}</definedName>
    <definedName name="____wrn3" localSheetId="9" hidden="1">{#N/A,#N/A,FALSE,"ACQ_GRAPHS";#N/A,#N/A,FALSE,"T_1 GRAPHS";#N/A,#N/A,FALSE,"T_2 GRAPHS";#N/A,#N/A,FALSE,"COMB_GRAPHS"}</definedName>
    <definedName name="____wrn3" localSheetId="13" hidden="1">{#N/A,#N/A,FALSE,"ACQ_GRAPHS";#N/A,#N/A,FALSE,"T_1 GRAPHS";#N/A,#N/A,FALSE,"T_2 GRAPHS";#N/A,#N/A,FALSE,"COMB_GRAPHS"}</definedName>
    <definedName name="____wrn3" localSheetId="23" hidden="1">{#N/A,#N/A,FALSE,"ACQ_GRAPHS";#N/A,#N/A,FALSE,"T_1 GRAPHS";#N/A,#N/A,FALSE,"T_2 GRAPHS";#N/A,#N/A,FALSE,"COMB_GRAPHS"}</definedName>
    <definedName name="____wrn3" hidden="1">{#N/A,#N/A,FALSE,"ACQ_GRAPHS";#N/A,#N/A,FALSE,"T_1 GRAPHS";#N/A,#N/A,FALSE,"T_2 GRAPHS";#N/A,#N/A,FALSE,"COMB_GRAPHS"}</definedName>
    <definedName name="____wrn4" localSheetId="4" hidden="1">{"vi1",#N/A,FALSE,"Financial Statements";"vi2",#N/A,FALSE,"Financial Statements";#N/A,#N/A,FALSE,"DCF"}</definedName>
    <definedName name="____wrn4" localSheetId="5" hidden="1">{"vi1",#N/A,FALSE,"Financial Statements";"vi2",#N/A,FALSE,"Financial Statements";#N/A,#N/A,FALSE,"DCF"}</definedName>
    <definedName name="____wrn4" localSheetId="15" hidden="1">{"vi1",#N/A,FALSE,"Financial Statements";"vi2",#N/A,FALSE,"Financial Statements";#N/A,#N/A,FALSE,"DCF"}</definedName>
    <definedName name="____wrn4" localSheetId="19" hidden="1">{"vi1",#N/A,FALSE,"Financial Statements";"vi2",#N/A,FALSE,"Financial Statements";#N/A,#N/A,FALSE,"DCF"}</definedName>
    <definedName name="____wrn4" localSheetId="18" hidden="1">{"vi1",#N/A,FALSE,"Financial Statements";"vi2",#N/A,FALSE,"Financial Statements";#N/A,#N/A,FALSE,"DCF"}</definedName>
    <definedName name="____wrn4" localSheetId="14" hidden="1">{"vi1",#N/A,FALSE,"Financial Statements";"vi2",#N/A,FALSE,"Financial Statements";#N/A,#N/A,FALSE,"DCF"}</definedName>
    <definedName name="____wrn4" localSheetId="12" hidden="1">{"vi1",#N/A,FALSE,"Financial Statements";"vi2",#N/A,FALSE,"Financial Statements";#N/A,#N/A,FALSE,"DCF"}</definedName>
    <definedName name="____wrn4" localSheetId="24" hidden="1">{"vi1",#N/A,FALSE,"Financial Statements";"vi2",#N/A,FALSE,"Financial Statements";#N/A,#N/A,FALSE,"DCF"}</definedName>
    <definedName name="____wrn4" localSheetId="7" hidden="1">{"vi1",#N/A,FALSE,"Financial Statements";"vi2",#N/A,FALSE,"Financial Statements";#N/A,#N/A,FALSE,"DCF"}</definedName>
    <definedName name="____wrn4" localSheetId="20" hidden="1">{"vi1",#N/A,FALSE,"Financial Statements";"vi2",#N/A,FALSE,"Financial Statements";#N/A,#N/A,FALSE,"DCF"}</definedName>
    <definedName name="____wrn4" localSheetId="21" hidden="1">{"vi1",#N/A,FALSE,"Financial Statements";"vi2",#N/A,FALSE,"Financial Statements";#N/A,#N/A,FALSE,"DCF"}</definedName>
    <definedName name="____wrn4" localSheetId="11" hidden="1">{"vi1",#N/A,FALSE,"Financial Statements";"vi2",#N/A,FALSE,"Financial Statements";#N/A,#N/A,FALSE,"DCF"}</definedName>
    <definedName name="____wrn4" localSheetId="17" hidden="1">{"vi1",#N/A,FALSE,"Financial Statements";"vi2",#N/A,FALSE,"Financial Statements";#N/A,#N/A,FALSE,"DCF"}</definedName>
    <definedName name="____wrn4" localSheetId="16" hidden="1">{"vi1",#N/A,FALSE,"Financial Statements";"vi2",#N/A,FALSE,"Financial Statements";#N/A,#N/A,FALSE,"DCF"}</definedName>
    <definedName name="____wrn4" localSheetId="22" hidden="1">{"vi1",#N/A,FALSE,"Financial Statements";"vi2",#N/A,FALSE,"Financial Statements";#N/A,#N/A,FALSE,"DCF"}</definedName>
    <definedName name="____wrn4" localSheetId="9" hidden="1">{"vi1",#N/A,FALSE,"Financial Statements";"vi2",#N/A,FALSE,"Financial Statements";#N/A,#N/A,FALSE,"DCF"}</definedName>
    <definedName name="____wrn4" localSheetId="13" hidden="1">{"vi1",#N/A,FALSE,"Financial Statements";"vi2",#N/A,FALSE,"Financial Statements";#N/A,#N/A,FALSE,"DCF"}</definedName>
    <definedName name="____wrn4" localSheetId="23" hidden="1">{"vi1",#N/A,FALSE,"Financial Statements";"vi2",#N/A,FALSE,"Financial Statements";#N/A,#N/A,FALSE,"DCF"}</definedName>
    <definedName name="____wrn4" hidden="1">{"vi1",#N/A,FALSE,"Financial Statements";"vi2",#N/A,FALSE,"Financial Statements";#N/A,#N/A,FALSE,"DCF"}</definedName>
    <definedName name="____wrn5" localSheetId="4" hidden="1">{#N/A,#N/A,FALSE,"Valuation Assumptions";#N/A,#N/A,FALSE,"Summary";#N/A,#N/A,FALSE,"DCF";#N/A,#N/A,FALSE,"Valuation";#N/A,#N/A,FALSE,"WACC";#N/A,#N/A,FALSE,"UBVH";#N/A,#N/A,FALSE,"Free Cash Flow"}</definedName>
    <definedName name="____wrn5" localSheetId="5" hidden="1">{#N/A,#N/A,FALSE,"Valuation Assumptions";#N/A,#N/A,FALSE,"Summary";#N/A,#N/A,FALSE,"DCF";#N/A,#N/A,FALSE,"Valuation";#N/A,#N/A,FALSE,"WACC";#N/A,#N/A,FALSE,"UBVH";#N/A,#N/A,FALSE,"Free Cash Flow"}</definedName>
    <definedName name="____wrn5" localSheetId="15" hidden="1">{#N/A,#N/A,FALSE,"Valuation Assumptions";#N/A,#N/A,FALSE,"Summary";#N/A,#N/A,FALSE,"DCF";#N/A,#N/A,FALSE,"Valuation";#N/A,#N/A,FALSE,"WACC";#N/A,#N/A,FALSE,"UBVH";#N/A,#N/A,FALSE,"Free Cash Flow"}</definedName>
    <definedName name="____wrn5" localSheetId="19" hidden="1">{#N/A,#N/A,FALSE,"Valuation Assumptions";#N/A,#N/A,FALSE,"Summary";#N/A,#N/A,FALSE,"DCF";#N/A,#N/A,FALSE,"Valuation";#N/A,#N/A,FALSE,"WACC";#N/A,#N/A,FALSE,"UBVH";#N/A,#N/A,FALSE,"Free Cash Flow"}</definedName>
    <definedName name="____wrn5" localSheetId="18" hidden="1">{#N/A,#N/A,FALSE,"Valuation Assumptions";#N/A,#N/A,FALSE,"Summary";#N/A,#N/A,FALSE,"DCF";#N/A,#N/A,FALSE,"Valuation";#N/A,#N/A,FALSE,"WACC";#N/A,#N/A,FALSE,"UBVH";#N/A,#N/A,FALSE,"Free Cash Flow"}</definedName>
    <definedName name="____wrn5" localSheetId="14" hidden="1">{#N/A,#N/A,FALSE,"Valuation Assumptions";#N/A,#N/A,FALSE,"Summary";#N/A,#N/A,FALSE,"DCF";#N/A,#N/A,FALSE,"Valuation";#N/A,#N/A,FALSE,"WACC";#N/A,#N/A,FALSE,"UBVH";#N/A,#N/A,FALSE,"Free Cash Flow"}</definedName>
    <definedName name="____wrn5" localSheetId="12" hidden="1">{#N/A,#N/A,FALSE,"Valuation Assumptions";#N/A,#N/A,FALSE,"Summary";#N/A,#N/A,FALSE,"DCF";#N/A,#N/A,FALSE,"Valuation";#N/A,#N/A,FALSE,"WACC";#N/A,#N/A,FALSE,"UBVH";#N/A,#N/A,FALSE,"Free Cash Flow"}</definedName>
    <definedName name="____wrn5" localSheetId="24" hidden="1">{#N/A,#N/A,FALSE,"Valuation Assumptions";#N/A,#N/A,FALSE,"Summary";#N/A,#N/A,FALSE,"DCF";#N/A,#N/A,FALSE,"Valuation";#N/A,#N/A,FALSE,"WACC";#N/A,#N/A,FALSE,"UBVH";#N/A,#N/A,FALSE,"Free Cash Flow"}</definedName>
    <definedName name="____wrn5" localSheetId="7" hidden="1">{#N/A,#N/A,FALSE,"Valuation Assumptions";#N/A,#N/A,FALSE,"Summary";#N/A,#N/A,FALSE,"DCF";#N/A,#N/A,FALSE,"Valuation";#N/A,#N/A,FALSE,"WACC";#N/A,#N/A,FALSE,"UBVH";#N/A,#N/A,FALSE,"Free Cash Flow"}</definedName>
    <definedName name="____wrn5" localSheetId="20" hidden="1">{#N/A,#N/A,FALSE,"Valuation Assumptions";#N/A,#N/A,FALSE,"Summary";#N/A,#N/A,FALSE,"DCF";#N/A,#N/A,FALSE,"Valuation";#N/A,#N/A,FALSE,"WACC";#N/A,#N/A,FALSE,"UBVH";#N/A,#N/A,FALSE,"Free Cash Flow"}</definedName>
    <definedName name="____wrn5" localSheetId="21" hidden="1">{#N/A,#N/A,FALSE,"Valuation Assumptions";#N/A,#N/A,FALSE,"Summary";#N/A,#N/A,FALSE,"DCF";#N/A,#N/A,FALSE,"Valuation";#N/A,#N/A,FALSE,"WACC";#N/A,#N/A,FALSE,"UBVH";#N/A,#N/A,FALSE,"Free Cash Flow"}</definedName>
    <definedName name="____wrn5" localSheetId="11" hidden="1">{#N/A,#N/A,FALSE,"Valuation Assumptions";#N/A,#N/A,FALSE,"Summary";#N/A,#N/A,FALSE,"DCF";#N/A,#N/A,FALSE,"Valuation";#N/A,#N/A,FALSE,"WACC";#N/A,#N/A,FALSE,"UBVH";#N/A,#N/A,FALSE,"Free Cash Flow"}</definedName>
    <definedName name="____wrn5" localSheetId="17" hidden="1">{#N/A,#N/A,FALSE,"Valuation Assumptions";#N/A,#N/A,FALSE,"Summary";#N/A,#N/A,FALSE,"DCF";#N/A,#N/A,FALSE,"Valuation";#N/A,#N/A,FALSE,"WACC";#N/A,#N/A,FALSE,"UBVH";#N/A,#N/A,FALSE,"Free Cash Flow"}</definedName>
    <definedName name="____wrn5" localSheetId="16" hidden="1">{#N/A,#N/A,FALSE,"Valuation Assumptions";#N/A,#N/A,FALSE,"Summary";#N/A,#N/A,FALSE,"DCF";#N/A,#N/A,FALSE,"Valuation";#N/A,#N/A,FALSE,"WACC";#N/A,#N/A,FALSE,"UBVH";#N/A,#N/A,FALSE,"Free Cash Flow"}</definedName>
    <definedName name="____wrn5" localSheetId="22" hidden="1">{#N/A,#N/A,FALSE,"Valuation Assumptions";#N/A,#N/A,FALSE,"Summary";#N/A,#N/A,FALSE,"DCF";#N/A,#N/A,FALSE,"Valuation";#N/A,#N/A,FALSE,"WACC";#N/A,#N/A,FALSE,"UBVH";#N/A,#N/A,FALSE,"Free Cash Flow"}</definedName>
    <definedName name="____wrn5" localSheetId="9" hidden="1">{#N/A,#N/A,FALSE,"Valuation Assumptions";#N/A,#N/A,FALSE,"Summary";#N/A,#N/A,FALSE,"DCF";#N/A,#N/A,FALSE,"Valuation";#N/A,#N/A,FALSE,"WACC";#N/A,#N/A,FALSE,"UBVH";#N/A,#N/A,FALSE,"Free Cash Flow"}</definedName>
    <definedName name="____wrn5" localSheetId="13" hidden="1">{#N/A,#N/A,FALSE,"Valuation Assumptions";#N/A,#N/A,FALSE,"Summary";#N/A,#N/A,FALSE,"DCF";#N/A,#N/A,FALSE,"Valuation";#N/A,#N/A,FALSE,"WACC";#N/A,#N/A,FALSE,"UBVH";#N/A,#N/A,FALSE,"Free Cash Flow"}</definedName>
    <definedName name="____wrn5" localSheetId="23" hidden="1">{#N/A,#N/A,FALSE,"Valuation Assumptions";#N/A,#N/A,FALSE,"Summary";#N/A,#N/A,FALSE,"DCF";#N/A,#N/A,FALSE,"Valuation";#N/A,#N/A,FALSE,"WACC";#N/A,#N/A,FALSE,"UBVH";#N/A,#N/A,FALSE,"Free Cash Flow"}</definedName>
    <definedName name="____wrn5" hidden="1">{#N/A,#N/A,FALSE,"Valuation Assumptions";#N/A,#N/A,FALSE,"Summary";#N/A,#N/A,FALSE,"DCF";#N/A,#N/A,FALSE,"Valuation";#N/A,#N/A,FALSE,"WACC";#N/A,#N/A,FALSE,"UBVH";#N/A,#N/A,FALSE,"Free Cash Flow"}</definedName>
    <definedName name="____wrn6" localSheetId="4" hidden="1">{#N/A,#N/A,FALSE,"INPUTS";#N/A,#N/A,FALSE,"PROFORMA BSHEET";#N/A,#N/A,FALSE,"COMBINED";#N/A,#N/A,FALSE,"ACQUIROR";#N/A,#N/A,FALSE,"TARGET 1";#N/A,#N/A,FALSE,"TARGET 2";#N/A,#N/A,FALSE,"HIGH YIELD";#N/A,#N/A,FALSE,"OVERFUND"}</definedName>
    <definedName name="____wrn6" localSheetId="5" hidden="1">{#N/A,#N/A,FALSE,"INPUTS";#N/A,#N/A,FALSE,"PROFORMA BSHEET";#N/A,#N/A,FALSE,"COMBINED";#N/A,#N/A,FALSE,"ACQUIROR";#N/A,#N/A,FALSE,"TARGET 1";#N/A,#N/A,FALSE,"TARGET 2";#N/A,#N/A,FALSE,"HIGH YIELD";#N/A,#N/A,FALSE,"OVERFUND"}</definedName>
    <definedName name="____wrn6" localSheetId="15" hidden="1">{#N/A,#N/A,FALSE,"INPUTS";#N/A,#N/A,FALSE,"PROFORMA BSHEET";#N/A,#N/A,FALSE,"COMBINED";#N/A,#N/A,FALSE,"ACQUIROR";#N/A,#N/A,FALSE,"TARGET 1";#N/A,#N/A,FALSE,"TARGET 2";#N/A,#N/A,FALSE,"HIGH YIELD";#N/A,#N/A,FALSE,"OVERFUND"}</definedName>
    <definedName name="____wrn6" localSheetId="19" hidden="1">{#N/A,#N/A,FALSE,"INPUTS";#N/A,#N/A,FALSE,"PROFORMA BSHEET";#N/A,#N/A,FALSE,"COMBINED";#N/A,#N/A,FALSE,"ACQUIROR";#N/A,#N/A,FALSE,"TARGET 1";#N/A,#N/A,FALSE,"TARGET 2";#N/A,#N/A,FALSE,"HIGH YIELD";#N/A,#N/A,FALSE,"OVERFUND"}</definedName>
    <definedName name="____wrn6" localSheetId="18" hidden="1">{#N/A,#N/A,FALSE,"INPUTS";#N/A,#N/A,FALSE,"PROFORMA BSHEET";#N/A,#N/A,FALSE,"COMBINED";#N/A,#N/A,FALSE,"ACQUIROR";#N/A,#N/A,FALSE,"TARGET 1";#N/A,#N/A,FALSE,"TARGET 2";#N/A,#N/A,FALSE,"HIGH YIELD";#N/A,#N/A,FALSE,"OVERFUND"}</definedName>
    <definedName name="____wrn6" localSheetId="14" hidden="1">{#N/A,#N/A,FALSE,"INPUTS";#N/A,#N/A,FALSE,"PROFORMA BSHEET";#N/A,#N/A,FALSE,"COMBINED";#N/A,#N/A,FALSE,"ACQUIROR";#N/A,#N/A,FALSE,"TARGET 1";#N/A,#N/A,FALSE,"TARGET 2";#N/A,#N/A,FALSE,"HIGH YIELD";#N/A,#N/A,FALSE,"OVERFUND"}</definedName>
    <definedName name="____wrn6" localSheetId="12" hidden="1">{#N/A,#N/A,FALSE,"INPUTS";#N/A,#N/A,FALSE,"PROFORMA BSHEET";#N/A,#N/A,FALSE,"COMBINED";#N/A,#N/A,FALSE,"ACQUIROR";#N/A,#N/A,FALSE,"TARGET 1";#N/A,#N/A,FALSE,"TARGET 2";#N/A,#N/A,FALSE,"HIGH YIELD";#N/A,#N/A,FALSE,"OVERFUND"}</definedName>
    <definedName name="____wrn6" localSheetId="24" hidden="1">{#N/A,#N/A,FALSE,"INPUTS";#N/A,#N/A,FALSE,"PROFORMA BSHEET";#N/A,#N/A,FALSE,"COMBINED";#N/A,#N/A,FALSE,"ACQUIROR";#N/A,#N/A,FALSE,"TARGET 1";#N/A,#N/A,FALSE,"TARGET 2";#N/A,#N/A,FALSE,"HIGH YIELD";#N/A,#N/A,FALSE,"OVERFUND"}</definedName>
    <definedName name="____wrn6" localSheetId="7" hidden="1">{#N/A,#N/A,FALSE,"INPUTS";#N/A,#N/A,FALSE,"PROFORMA BSHEET";#N/A,#N/A,FALSE,"COMBINED";#N/A,#N/A,FALSE,"ACQUIROR";#N/A,#N/A,FALSE,"TARGET 1";#N/A,#N/A,FALSE,"TARGET 2";#N/A,#N/A,FALSE,"HIGH YIELD";#N/A,#N/A,FALSE,"OVERFUND"}</definedName>
    <definedName name="____wrn6" localSheetId="20" hidden="1">{#N/A,#N/A,FALSE,"INPUTS";#N/A,#N/A,FALSE,"PROFORMA BSHEET";#N/A,#N/A,FALSE,"COMBINED";#N/A,#N/A,FALSE,"ACQUIROR";#N/A,#N/A,FALSE,"TARGET 1";#N/A,#N/A,FALSE,"TARGET 2";#N/A,#N/A,FALSE,"HIGH YIELD";#N/A,#N/A,FALSE,"OVERFUND"}</definedName>
    <definedName name="____wrn6" localSheetId="21" hidden="1">{#N/A,#N/A,FALSE,"INPUTS";#N/A,#N/A,FALSE,"PROFORMA BSHEET";#N/A,#N/A,FALSE,"COMBINED";#N/A,#N/A,FALSE,"ACQUIROR";#N/A,#N/A,FALSE,"TARGET 1";#N/A,#N/A,FALSE,"TARGET 2";#N/A,#N/A,FALSE,"HIGH YIELD";#N/A,#N/A,FALSE,"OVERFUND"}</definedName>
    <definedName name="____wrn6" localSheetId="11" hidden="1">{#N/A,#N/A,FALSE,"INPUTS";#N/A,#N/A,FALSE,"PROFORMA BSHEET";#N/A,#N/A,FALSE,"COMBINED";#N/A,#N/A,FALSE,"ACQUIROR";#N/A,#N/A,FALSE,"TARGET 1";#N/A,#N/A,FALSE,"TARGET 2";#N/A,#N/A,FALSE,"HIGH YIELD";#N/A,#N/A,FALSE,"OVERFUND"}</definedName>
    <definedName name="____wrn6" localSheetId="17" hidden="1">{#N/A,#N/A,FALSE,"INPUTS";#N/A,#N/A,FALSE,"PROFORMA BSHEET";#N/A,#N/A,FALSE,"COMBINED";#N/A,#N/A,FALSE,"ACQUIROR";#N/A,#N/A,FALSE,"TARGET 1";#N/A,#N/A,FALSE,"TARGET 2";#N/A,#N/A,FALSE,"HIGH YIELD";#N/A,#N/A,FALSE,"OVERFUND"}</definedName>
    <definedName name="____wrn6" localSheetId="16" hidden="1">{#N/A,#N/A,FALSE,"INPUTS";#N/A,#N/A,FALSE,"PROFORMA BSHEET";#N/A,#N/A,FALSE,"COMBINED";#N/A,#N/A,FALSE,"ACQUIROR";#N/A,#N/A,FALSE,"TARGET 1";#N/A,#N/A,FALSE,"TARGET 2";#N/A,#N/A,FALSE,"HIGH YIELD";#N/A,#N/A,FALSE,"OVERFUND"}</definedName>
    <definedName name="____wrn6" localSheetId="22" hidden="1">{#N/A,#N/A,FALSE,"INPUTS";#N/A,#N/A,FALSE,"PROFORMA BSHEET";#N/A,#N/A,FALSE,"COMBINED";#N/A,#N/A,FALSE,"ACQUIROR";#N/A,#N/A,FALSE,"TARGET 1";#N/A,#N/A,FALSE,"TARGET 2";#N/A,#N/A,FALSE,"HIGH YIELD";#N/A,#N/A,FALSE,"OVERFUND"}</definedName>
    <definedName name="____wrn6" localSheetId="9" hidden="1">{#N/A,#N/A,FALSE,"INPUTS";#N/A,#N/A,FALSE,"PROFORMA BSHEET";#N/A,#N/A,FALSE,"COMBINED";#N/A,#N/A,FALSE,"ACQUIROR";#N/A,#N/A,FALSE,"TARGET 1";#N/A,#N/A,FALSE,"TARGET 2";#N/A,#N/A,FALSE,"HIGH YIELD";#N/A,#N/A,FALSE,"OVERFUND"}</definedName>
    <definedName name="____wrn6" localSheetId="13" hidden="1">{#N/A,#N/A,FALSE,"INPUTS";#N/A,#N/A,FALSE,"PROFORMA BSHEET";#N/A,#N/A,FALSE,"COMBINED";#N/A,#N/A,FALSE,"ACQUIROR";#N/A,#N/A,FALSE,"TARGET 1";#N/A,#N/A,FALSE,"TARGET 2";#N/A,#N/A,FALSE,"HIGH YIELD";#N/A,#N/A,FALSE,"OVERFUND"}</definedName>
    <definedName name="____wrn6" localSheetId="23" hidden="1">{#N/A,#N/A,FALSE,"INPUTS";#N/A,#N/A,FALSE,"PROFORMA BSHEET";#N/A,#N/A,FALSE,"COMBINED";#N/A,#N/A,FALSE,"ACQUIROR";#N/A,#N/A,FALSE,"TARGET 1";#N/A,#N/A,FALSE,"TARGET 2";#N/A,#N/A,FALSE,"HIGH YIELD";#N/A,#N/A,FALSE,"OVERFUND"}</definedName>
    <definedName name="____wrn6" hidden="1">{#N/A,#N/A,FALSE,"INPUTS";#N/A,#N/A,FALSE,"PROFORMA BSHEET";#N/A,#N/A,FALSE,"COMBINED";#N/A,#N/A,FALSE,"ACQUIROR";#N/A,#N/A,FALSE,"TARGET 1";#N/A,#N/A,FALSE,"TARGET 2";#N/A,#N/A,FALSE,"HIGH YIELD";#N/A,#N/A,FALSE,"OVERFUND"}</definedName>
    <definedName name="_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aa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Adjusted_EPS_Rs">#REF!</definedName>
    <definedName name="___Adjustment_to_Profits">#REF!</definedName>
    <definedName name="___Book_NAV_share_Rs">#REF!</definedName>
    <definedName name="_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Cash_and_cash_equivalents">#REF!</definedName>
    <definedName name="___CEPS_Rs">#REF!</definedName>
    <definedName name="___Current_Investments">#REF!</definedName>
    <definedName name="___Deferred_tax">#REF!</definedName>
    <definedName name="___DPS_Rs">#REF!</definedName>
    <definedName name="___INDEX_SHEET___ASAP_Utilities" localSheetId="4">#REF!</definedName>
    <definedName name="___INDEX_SHEET___ASAP_Utilities" localSheetId="5">#REF!</definedName>
    <definedName name="___INDEX_SHEET___ASAP_Utilities" localSheetId="15">#REF!</definedName>
    <definedName name="___INDEX_SHEET___ASAP_Utilities" localSheetId="19">#REF!</definedName>
    <definedName name="___INDEX_SHEET___ASAP_Utilities" localSheetId="18">#REF!</definedName>
    <definedName name="___INDEX_SHEET___ASAP_Utilities" localSheetId="14">#REF!</definedName>
    <definedName name="___INDEX_SHEET___ASAP_Utilities" localSheetId="12">#REF!</definedName>
    <definedName name="___INDEX_SHEET___ASAP_Utilities" localSheetId="24">#REF!</definedName>
    <definedName name="___INDEX_SHEET___ASAP_Utilities" localSheetId="7">#REF!</definedName>
    <definedName name="___INDEX_SHEET___ASAP_Utilities" localSheetId="20">#REF!</definedName>
    <definedName name="___INDEX_SHEET___ASAP_Utilities" localSheetId="21">#REF!</definedName>
    <definedName name="___INDEX_SHEET___ASAP_Utilities" localSheetId="11">#REF!</definedName>
    <definedName name="___INDEX_SHEET___ASAP_Utilities" localSheetId="17">#REF!</definedName>
    <definedName name="___INDEX_SHEET___ASAP_Utilities" localSheetId="16">#REF!</definedName>
    <definedName name="___INDEX_SHEET___ASAP_Utilities" localSheetId="22">#REF!</definedName>
    <definedName name="___INDEX_SHEET___ASAP_Utilities" localSheetId="9">#REF!</definedName>
    <definedName name="___INDEX_SHEET___ASAP_Utilities" localSheetId="13">#REF!</definedName>
    <definedName name="___INDEX_SHEET___ASAP_Utilities" localSheetId="23">#REF!</definedName>
    <definedName name="___INDEX_SHEET___ASAP_Utilities">#REF!</definedName>
    <definedName name="___Inventories">#REF!</definedName>
    <definedName name="___Key1" hidden="1">#REF!</definedName>
    <definedName name="___nn05" localSheetId="4" hidden="1">{#N/A,#N/A,FALSE,"Status of Projects";#N/A,#N/A,FALSE,"CEA-TEC";#N/A,#N/A,FALSE,"U-Constr.";#N/A,#N/A,FALSE,"summary";#N/A,#N/A,FALSE,"PPP-3 yrs"}</definedName>
    <definedName name="___nn05" localSheetId="9" hidden="1">{#N/A,#N/A,FALSE,"Status of Projects";#N/A,#N/A,FALSE,"CEA-TEC";#N/A,#N/A,FALSE,"U-Constr.";#N/A,#N/A,FALSE,"summary";#N/A,#N/A,FALSE,"PPP-3 yrs"}</definedName>
    <definedName name="___nn05" hidden="1">{#N/A,#N/A,FALSE,"Status of Projects";#N/A,#N/A,FALSE,"CEA-TEC";#N/A,#N/A,FALSE,"U-Constr.";#N/A,#N/A,FALSE,"summary";#N/A,#N/A,FALSE,"PPP-3 yrs"}</definedName>
    <definedName name="___no1" localSheetId="4" hidden="1">{#N/A,#N/A,FALSE,"Status of Projects";#N/A,#N/A,FALSE,"CEA-TEC";#N/A,#N/A,FALSE,"U-Constr.";#N/A,#N/A,FALSE,"summary";#N/A,#N/A,FALSE,"PPP-3 yrs"}</definedName>
    <definedName name="___no1" localSheetId="9" hidden="1">{#N/A,#N/A,FALSE,"Status of Projects";#N/A,#N/A,FALSE,"CEA-TEC";#N/A,#N/A,FALSE,"U-Constr.";#N/A,#N/A,FALSE,"summary";#N/A,#N/A,FALSE,"PPP-3 yrs"}</definedName>
    <definedName name="___no1" hidden="1">{#N/A,#N/A,FALSE,"Status of Projects";#N/A,#N/A,FALSE,"CEA-TEC";#N/A,#N/A,FALSE,"U-Constr.";#N/A,#N/A,FALSE,"summary";#N/A,#N/A,FALSE,"PPP-3 yrs"}</definedName>
    <definedName name="___Profit___Loss_from_Discontinuing_Operations">#REF!</definedName>
    <definedName name="_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Tax_Expense_of_Discontinuing_Operations">#REF!</definedName>
    <definedName name="___Tax_on_Adjustment_to_Profit">#REF!</definedName>
    <definedName name="___Tax_provided">#REF!</definedName>
    <definedName name="___Tax_rate_PCT">#REF!</definedName>
    <definedName name="___Total_amortisation">#REF!</definedName>
    <definedName name="___Total_depreciation">#REF!</definedName>
    <definedName name="___Trade_Receivables">#REF!</definedName>
    <definedName name="_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1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2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1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localSheetId="2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_wrn2" localSheetId="4" hidden="1">{#N/A,#N/A,FALSE,"INPUTS";#N/A,#N/A,FALSE,"PROFORMA BSHEET";#N/A,#N/A,FALSE,"COMBINED";#N/A,#N/A,FALSE,"HIGH YIELD";#N/A,#N/A,FALSE,"COMB_GRAPHS"}</definedName>
    <definedName name="___wrn2" localSheetId="5" hidden="1">{#N/A,#N/A,FALSE,"INPUTS";#N/A,#N/A,FALSE,"PROFORMA BSHEET";#N/A,#N/A,FALSE,"COMBINED";#N/A,#N/A,FALSE,"HIGH YIELD";#N/A,#N/A,FALSE,"COMB_GRAPHS"}</definedName>
    <definedName name="___wrn2" localSheetId="15" hidden="1">{#N/A,#N/A,FALSE,"INPUTS";#N/A,#N/A,FALSE,"PROFORMA BSHEET";#N/A,#N/A,FALSE,"COMBINED";#N/A,#N/A,FALSE,"HIGH YIELD";#N/A,#N/A,FALSE,"COMB_GRAPHS"}</definedName>
    <definedName name="___wrn2" localSheetId="19" hidden="1">{#N/A,#N/A,FALSE,"INPUTS";#N/A,#N/A,FALSE,"PROFORMA BSHEET";#N/A,#N/A,FALSE,"COMBINED";#N/A,#N/A,FALSE,"HIGH YIELD";#N/A,#N/A,FALSE,"COMB_GRAPHS"}</definedName>
    <definedName name="___wrn2" localSheetId="18" hidden="1">{#N/A,#N/A,FALSE,"INPUTS";#N/A,#N/A,FALSE,"PROFORMA BSHEET";#N/A,#N/A,FALSE,"COMBINED";#N/A,#N/A,FALSE,"HIGH YIELD";#N/A,#N/A,FALSE,"COMB_GRAPHS"}</definedName>
    <definedName name="___wrn2" localSheetId="14" hidden="1">{#N/A,#N/A,FALSE,"INPUTS";#N/A,#N/A,FALSE,"PROFORMA BSHEET";#N/A,#N/A,FALSE,"COMBINED";#N/A,#N/A,FALSE,"HIGH YIELD";#N/A,#N/A,FALSE,"COMB_GRAPHS"}</definedName>
    <definedName name="___wrn2" localSheetId="12" hidden="1">{#N/A,#N/A,FALSE,"INPUTS";#N/A,#N/A,FALSE,"PROFORMA BSHEET";#N/A,#N/A,FALSE,"COMBINED";#N/A,#N/A,FALSE,"HIGH YIELD";#N/A,#N/A,FALSE,"COMB_GRAPHS"}</definedName>
    <definedName name="___wrn2" localSheetId="24" hidden="1">{#N/A,#N/A,FALSE,"INPUTS";#N/A,#N/A,FALSE,"PROFORMA BSHEET";#N/A,#N/A,FALSE,"COMBINED";#N/A,#N/A,FALSE,"HIGH YIELD";#N/A,#N/A,FALSE,"COMB_GRAPHS"}</definedName>
    <definedName name="___wrn2" localSheetId="7" hidden="1">{#N/A,#N/A,FALSE,"INPUTS";#N/A,#N/A,FALSE,"PROFORMA BSHEET";#N/A,#N/A,FALSE,"COMBINED";#N/A,#N/A,FALSE,"HIGH YIELD";#N/A,#N/A,FALSE,"COMB_GRAPHS"}</definedName>
    <definedName name="___wrn2" localSheetId="20" hidden="1">{#N/A,#N/A,FALSE,"INPUTS";#N/A,#N/A,FALSE,"PROFORMA BSHEET";#N/A,#N/A,FALSE,"COMBINED";#N/A,#N/A,FALSE,"HIGH YIELD";#N/A,#N/A,FALSE,"COMB_GRAPHS"}</definedName>
    <definedName name="___wrn2" localSheetId="21" hidden="1">{#N/A,#N/A,FALSE,"INPUTS";#N/A,#N/A,FALSE,"PROFORMA BSHEET";#N/A,#N/A,FALSE,"COMBINED";#N/A,#N/A,FALSE,"HIGH YIELD";#N/A,#N/A,FALSE,"COMB_GRAPHS"}</definedName>
    <definedName name="___wrn2" localSheetId="11" hidden="1">{#N/A,#N/A,FALSE,"INPUTS";#N/A,#N/A,FALSE,"PROFORMA BSHEET";#N/A,#N/A,FALSE,"COMBINED";#N/A,#N/A,FALSE,"HIGH YIELD";#N/A,#N/A,FALSE,"COMB_GRAPHS"}</definedName>
    <definedName name="___wrn2" localSheetId="17" hidden="1">{#N/A,#N/A,FALSE,"INPUTS";#N/A,#N/A,FALSE,"PROFORMA BSHEET";#N/A,#N/A,FALSE,"COMBINED";#N/A,#N/A,FALSE,"HIGH YIELD";#N/A,#N/A,FALSE,"COMB_GRAPHS"}</definedName>
    <definedName name="___wrn2" localSheetId="16" hidden="1">{#N/A,#N/A,FALSE,"INPUTS";#N/A,#N/A,FALSE,"PROFORMA BSHEET";#N/A,#N/A,FALSE,"COMBINED";#N/A,#N/A,FALSE,"HIGH YIELD";#N/A,#N/A,FALSE,"COMB_GRAPHS"}</definedName>
    <definedName name="___wrn2" localSheetId="22" hidden="1">{#N/A,#N/A,FALSE,"INPUTS";#N/A,#N/A,FALSE,"PROFORMA BSHEET";#N/A,#N/A,FALSE,"COMBINED";#N/A,#N/A,FALSE,"HIGH YIELD";#N/A,#N/A,FALSE,"COMB_GRAPHS"}</definedName>
    <definedName name="___wrn2" localSheetId="9" hidden="1">{#N/A,#N/A,FALSE,"INPUTS";#N/A,#N/A,FALSE,"PROFORMA BSHEET";#N/A,#N/A,FALSE,"COMBINED";#N/A,#N/A,FALSE,"HIGH YIELD";#N/A,#N/A,FALSE,"COMB_GRAPHS"}</definedName>
    <definedName name="___wrn2" localSheetId="13" hidden="1">{#N/A,#N/A,FALSE,"INPUTS";#N/A,#N/A,FALSE,"PROFORMA BSHEET";#N/A,#N/A,FALSE,"COMBINED";#N/A,#N/A,FALSE,"HIGH YIELD";#N/A,#N/A,FALSE,"COMB_GRAPHS"}</definedName>
    <definedName name="___wrn2" localSheetId="23" hidden="1">{#N/A,#N/A,FALSE,"INPUTS";#N/A,#N/A,FALSE,"PROFORMA BSHEET";#N/A,#N/A,FALSE,"COMBINED";#N/A,#N/A,FALSE,"HIGH YIELD";#N/A,#N/A,FALSE,"COMB_GRAPHS"}</definedName>
    <definedName name="___wrn2" hidden="1">{#N/A,#N/A,FALSE,"INPUTS";#N/A,#N/A,FALSE,"PROFORMA BSHEET";#N/A,#N/A,FALSE,"COMBINED";#N/A,#N/A,FALSE,"HIGH YIELD";#N/A,#N/A,FALSE,"COMB_GRAPHS"}</definedName>
    <definedName name="___wrn3" localSheetId="4" hidden="1">{#N/A,#N/A,FALSE,"ACQ_GRAPHS";#N/A,#N/A,FALSE,"T_1 GRAPHS";#N/A,#N/A,FALSE,"T_2 GRAPHS";#N/A,#N/A,FALSE,"COMB_GRAPHS"}</definedName>
    <definedName name="___wrn3" localSheetId="5" hidden="1">{#N/A,#N/A,FALSE,"ACQ_GRAPHS";#N/A,#N/A,FALSE,"T_1 GRAPHS";#N/A,#N/A,FALSE,"T_2 GRAPHS";#N/A,#N/A,FALSE,"COMB_GRAPHS"}</definedName>
    <definedName name="___wrn3" localSheetId="15" hidden="1">{#N/A,#N/A,FALSE,"ACQ_GRAPHS";#N/A,#N/A,FALSE,"T_1 GRAPHS";#N/A,#N/A,FALSE,"T_2 GRAPHS";#N/A,#N/A,FALSE,"COMB_GRAPHS"}</definedName>
    <definedName name="___wrn3" localSheetId="19" hidden="1">{#N/A,#N/A,FALSE,"ACQ_GRAPHS";#N/A,#N/A,FALSE,"T_1 GRAPHS";#N/A,#N/A,FALSE,"T_2 GRAPHS";#N/A,#N/A,FALSE,"COMB_GRAPHS"}</definedName>
    <definedName name="___wrn3" localSheetId="18" hidden="1">{#N/A,#N/A,FALSE,"ACQ_GRAPHS";#N/A,#N/A,FALSE,"T_1 GRAPHS";#N/A,#N/A,FALSE,"T_2 GRAPHS";#N/A,#N/A,FALSE,"COMB_GRAPHS"}</definedName>
    <definedName name="___wrn3" localSheetId="14" hidden="1">{#N/A,#N/A,FALSE,"ACQ_GRAPHS";#N/A,#N/A,FALSE,"T_1 GRAPHS";#N/A,#N/A,FALSE,"T_2 GRAPHS";#N/A,#N/A,FALSE,"COMB_GRAPHS"}</definedName>
    <definedName name="___wrn3" localSheetId="12" hidden="1">{#N/A,#N/A,FALSE,"ACQ_GRAPHS";#N/A,#N/A,FALSE,"T_1 GRAPHS";#N/A,#N/A,FALSE,"T_2 GRAPHS";#N/A,#N/A,FALSE,"COMB_GRAPHS"}</definedName>
    <definedName name="___wrn3" localSheetId="24" hidden="1">{#N/A,#N/A,FALSE,"ACQ_GRAPHS";#N/A,#N/A,FALSE,"T_1 GRAPHS";#N/A,#N/A,FALSE,"T_2 GRAPHS";#N/A,#N/A,FALSE,"COMB_GRAPHS"}</definedName>
    <definedName name="___wrn3" localSheetId="7" hidden="1">{#N/A,#N/A,FALSE,"ACQ_GRAPHS";#N/A,#N/A,FALSE,"T_1 GRAPHS";#N/A,#N/A,FALSE,"T_2 GRAPHS";#N/A,#N/A,FALSE,"COMB_GRAPHS"}</definedName>
    <definedName name="___wrn3" localSheetId="20" hidden="1">{#N/A,#N/A,FALSE,"ACQ_GRAPHS";#N/A,#N/A,FALSE,"T_1 GRAPHS";#N/A,#N/A,FALSE,"T_2 GRAPHS";#N/A,#N/A,FALSE,"COMB_GRAPHS"}</definedName>
    <definedName name="___wrn3" localSheetId="21" hidden="1">{#N/A,#N/A,FALSE,"ACQ_GRAPHS";#N/A,#N/A,FALSE,"T_1 GRAPHS";#N/A,#N/A,FALSE,"T_2 GRAPHS";#N/A,#N/A,FALSE,"COMB_GRAPHS"}</definedName>
    <definedName name="___wrn3" localSheetId="11" hidden="1">{#N/A,#N/A,FALSE,"ACQ_GRAPHS";#N/A,#N/A,FALSE,"T_1 GRAPHS";#N/A,#N/A,FALSE,"T_2 GRAPHS";#N/A,#N/A,FALSE,"COMB_GRAPHS"}</definedName>
    <definedName name="___wrn3" localSheetId="17" hidden="1">{#N/A,#N/A,FALSE,"ACQ_GRAPHS";#N/A,#N/A,FALSE,"T_1 GRAPHS";#N/A,#N/A,FALSE,"T_2 GRAPHS";#N/A,#N/A,FALSE,"COMB_GRAPHS"}</definedName>
    <definedName name="___wrn3" localSheetId="16" hidden="1">{#N/A,#N/A,FALSE,"ACQ_GRAPHS";#N/A,#N/A,FALSE,"T_1 GRAPHS";#N/A,#N/A,FALSE,"T_2 GRAPHS";#N/A,#N/A,FALSE,"COMB_GRAPHS"}</definedName>
    <definedName name="___wrn3" localSheetId="22" hidden="1">{#N/A,#N/A,FALSE,"ACQ_GRAPHS";#N/A,#N/A,FALSE,"T_1 GRAPHS";#N/A,#N/A,FALSE,"T_2 GRAPHS";#N/A,#N/A,FALSE,"COMB_GRAPHS"}</definedName>
    <definedName name="___wrn3" localSheetId="9" hidden="1">{#N/A,#N/A,FALSE,"ACQ_GRAPHS";#N/A,#N/A,FALSE,"T_1 GRAPHS";#N/A,#N/A,FALSE,"T_2 GRAPHS";#N/A,#N/A,FALSE,"COMB_GRAPHS"}</definedName>
    <definedName name="___wrn3" localSheetId="13" hidden="1">{#N/A,#N/A,FALSE,"ACQ_GRAPHS";#N/A,#N/A,FALSE,"T_1 GRAPHS";#N/A,#N/A,FALSE,"T_2 GRAPHS";#N/A,#N/A,FALSE,"COMB_GRAPHS"}</definedName>
    <definedName name="___wrn3" localSheetId="23" hidden="1">{#N/A,#N/A,FALSE,"ACQ_GRAPHS";#N/A,#N/A,FALSE,"T_1 GRAPHS";#N/A,#N/A,FALSE,"T_2 GRAPHS";#N/A,#N/A,FALSE,"COMB_GRAPHS"}</definedName>
    <definedName name="___wrn3" hidden="1">{#N/A,#N/A,FALSE,"ACQ_GRAPHS";#N/A,#N/A,FALSE,"T_1 GRAPHS";#N/A,#N/A,FALSE,"T_2 GRAPHS";#N/A,#N/A,FALSE,"COMB_GRAPHS"}</definedName>
    <definedName name="___wrn4" localSheetId="4" hidden="1">{"vi1",#N/A,FALSE,"Financial Statements";"vi2",#N/A,FALSE,"Financial Statements";#N/A,#N/A,FALSE,"DCF"}</definedName>
    <definedName name="___wrn4" localSheetId="5" hidden="1">{"vi1",#N/A,FALSE,"Financial Statements";"vi2",#N/A,FALSE,"Financial Statements";#N/A,#N/A,FALSE,"DCF"}</definedName>
    <definedName name="___wrn4" localSheetId="15" hidden="1">{"vi1",#N/A,FALSE,"Financial Statements";"vi2",#N/A,FALSE,"Financial Statements";#N/A,#N/A,FALSE,"DCF"}</definedName>
    <definedName name="___wrn4" localSheetId="19" hidden="1">{"vi1",#N/A,FALSE,"Financial Statements";"vi2",#N/A,FALSE,"Financial Statements";#N/A,#N/A,FALSE,"DCF"}</definedName>
    <definedName name="___wrn4" localSheetId="18" hidden="1">{"vi1",#N/A,FALSE,"Financial Statements";"vi2",#N/A,FALSE,"Financial Statements";#N/A,#N/A,FALSE,"DCF"}</definedName>
    <definedName name="___wrn4" localSheetId="14" hidden="1">{"vi1",#N/A,FALSE,"Financial Statements";"vi2",#N/A,FALSE,"Financial Statements";#N/A,#N/A,FALSE,"DCF"}</definedName>
    <definedName name="___wrn4" localSheetId="12" hidden="1">{"vi1",#N/A,FALSE,"Financial Statements";"vi2",#N/A,FALSE,"Financial Statements";#N/A,#N/A,FALSE,"DCF"}</definedName>
    <definedName name="___wrn4" localSheetId="24" hidden="1">{"vi1",#N/A,FALSE,"Financial Statements";"vi2",#N/A,FALSE,"Financial Statements";#N/A,#N/A,FALSE,"DCF"}</definedName>
    <definedName name="___wrn4" localSheetId="7" hidden="1">{"vi1",#N/A,FALSE,"Financial Statements";"vi2",#N/A,FALSE,"Financial Statements";#N/A,#N/A,FALSE,"DCF"}</definedName>
    <definedName name="___wrn4" localSheetId="20" hidden="1">{"vi1",#N/A,FALSE,"Financial Statements";"vi2",#N/A,FALSE,"Financial Statements";#N/A,#N/A,FALSE,"DCF"}</definedName>
    <definedName name="___wrn4" localSheetId="21" hidden="1">{"vi1",#N/A,FALSE,"Financial Statements";"vi2",#N/A,FALSE,"Financial Statements";#N/A,#N/A,FALSE,"DCF"}</definedName>
    <definedName name="___wrn4" localSheetId="11" hidden="1">{"vi1",#N/A,FALSE,"Financial Statements";"vi2",#N/A,FALSE,"Financial Statements";#N/A,#N/A,FALSE,"DCF"}</definedName>
    <definedName name="___wrn4" localSheetId="17" hidden="1">{"vi1",#N/A,FALSE,"Financial Statements";"vi2",#N/A,FALSE,"Financial Statements";#N/A,#N/A,FALSE,"DCF"}</definedName>
    <definedName name="___wrn4" localSheetId="16" hidden="1">{"vi1",#N/A,FALSE,"Financial Statements";"vi2",#N/A,FALSE,"Financial Statements";#N/A,#N/A,FALSE,"DCF"}</definedName>
    <definedName name="___wrn4" localSheetId="22" hidden="1">{"vi1",#N/A,FALSE,"Financial Statements";"vi2",#N/A,FALSE,"Financial Statements";#N/A,#N/A,FALSE,"DCF"}</definedName>
    <definedName name="___wrn4" localSheetId="9" hidden="1">{"vi1",#N/A,FALSE,"Financial Statements";"vi2",#N/A,FALSE,"Financial Statements";#N/A,#N/A,FALSE,"DCF"}</definedName>
    <definedName name="___wrn4" localSheetId="13" hidden="1">{"vi1",#N/A,FALSE,"Financial Statements";"vi2",#N/A,FALSE,"Financial Statements";#N/A,#N/A,FALSE,"DCF"}</definedName>
    <definedName name="___wrn4" localSheetId="23" hidden="1">{"vi1",#N/A,FALSE,"Financial Statements";"vi2",#N/A,FALSE,"Financial Statements";#N/A,#N/A,FALSE,"DCF"}</definedName>
    <definedName name="___wrn4" hidden="1">{"vi1",#N/A,FALSE,"Financial Statements";"vi2",#N/A,FALSE,"Financial Statements";#N/A,#N/A,FALSE,"DCF"}</definedName>
    <definedName name="___wrn5" localSheetId="4" hidden="1">{#N/A,#N/A,FALSE,"Valuation Assumptions";#N/A,#N/A,FALSE,"Summary";#N/A,#N/A,FALSE,"DCF";#N/A,#N/A,FALSE,"Valuation";#N/A,#N/A,FALSE,"WACC";#N/A,#N/A,FALSE,"UBVH";#N/A,#N/A,FALSE,"Free Cash Flow"}</definedName>
    <definedName name="___wrn5" localSheetId="5" hidden="1">{#N/A,#N/A,FALSE,"Valuation Assumptions";#N/A,#N/A,FALSE,"Summary";#N/A,#N/A,FALSE,"DCF";#N/A,#N/A,FALSE,"Valuation";#N/A,#N/A,FALSE,"WACC";#N/A,#N/A,FALSE,"UBVH";#N/A,#N/A,FALSE,"Free Cash Flow"}</definedName>
    <definedName name="___wrn5" localSheetId="15" hidden="1">{#N/A,#N/A,FALSE,"Valuation Assumptions";#N/A,#N/A,FALSE,"Summary";#N/A,#N/A,FALSE,"DCF";#N/A,#N/A,FALSE,"Valuation";#N/A,#N/A,FALSE,"WACC";#N/A,#N/A,FALSE,"UBVH";#N/A,#N/A,FALSE,"Free Cash Flow"}</definedName>
    <definedName name="___wrn5" localSheetId="19" hidden="1">{#N/A,#N/A,FALSE,"Valuation Assumptions";#N/A,#N/A,FALSE,"Summary";#N/A,#N/A,FALSE,"DCF";#N/A,#N/A,FALSE,"Valuation";#N/A,#N/A,FALSE,"WACC";#N/A,#N/A,FALSE,"UBVH";#N/A,#N/A,FALSE,"Free Cash Flow"}</definedName>
    <definedName name="___wrn5" localSheetId="18" hidden="1">{#N/A,#N/A,FALSE,"Valuation Assumptions";#N/A,#N/A,FALSE,"Summary";#N/A,#N/A,FALSE,"DCF";#N/A,#N/A,FALSE,"Valuation";#N/A,#N/A,FALSE,"WACC";#N/A,#N/A,FALSE,"UBVH";#N/A,#N/A,FALSE,"Free Cash Flow"}</definedName>
    <definedName name="___wrn5" localSheetId="14" hidden="1">{#N/A,#N/A,FALSE,"Valuation Assumptions";#N/A,#N/A,FALSE,"Summary";#N/A,#N/A,FALSE,"DCF";#N/A,#N/A,FALSE,"Valuation";#N/A,#N/A,FALSE,"WACC";#N/A,#N/A,FALSE,"UBVH";#N/A,#N/A,FALSE,"Free Cash Flow"}</definedName>
    <definedName name="___wrn5" localSheetId="12" hidden="1">{#N/A,#N/A,FALSE,"Valuation Assumptions";#N/A,#N/A,FALSE,"Summary";#N/A,#N/A,FALSE,"DCF";#N/A,#N/A,FALSE,"Valuation";#N/A,#N/A,FALSE,"WACC";#N/A,#N/A,FALSE,"UBVH";#N/A,#N/A,FALSE,"Free Cash Flow"}</definedName>
    <definedName name="___wrn5" localSheetId="24" hidden="1">{#N/A,#N/A,FALSE,"Valuation Assumptions";#N/A,#N/A,FALSE,"Summary";#N/A,#N/A,FALSE,"DCF";#N/A,#N/A,FALSE,"Valuation";#N/A,#N/A,FALSE,"WACC";#N/A,#N/A,FALSE,"UBVH";#N/A,#N/A,FALSE,"Free Cash Flow"}</definedName>
    <definedName name="___wrn5" localSheetId="7" hidden="1">{#N/A,#N/A,FALSE,"Valuation Assumptions";#N/A,#N/A,FALSE,"Summary";#N/A,#N/A,FALSE,"DCF";#N/A,#N/A,FALSE,"Valuation";#N/A,#N/A,FALSE,"WACC";#N/A,#N/A,FALSE,"UBVH";#N/A,#N/A,FALSE,"Free Cash Flow"}</definedName>
    <definedName name="___wrn5" localSheetId="20" hidden="1">{#N/A,#N/A,FALSE,"Valuation Assumptions";#N/A,#N/A,FALSE,"Summary";#N/A,#N/A,FALSE,"DCF";#N/A,#N/A,FALSE,"Valuation";#N/A,#N/A,FALSE,"WACC";#N/A,#N/A,FALSE,"UBVH";#N/A,#N/A,FALSE,"Free Cash Flow"}</definedName>
    <definedName name="___wrn5" localSheetId="21" hidden="1">{#N/A,#N/A,FALSE,"Valuation Assumptions";#N/A,#N/A,FALSE,"Summary";#N/A,#N/A,FALSE,"DCF";#N/A,#N/A,FALSE,"Valuation";#N/A,#N/A,FALSE,"WACC";#N/A,#N/A,FALSE,"UBVH";#N/A,#N/A,FALSE,"Free Cash Flow"}</definedName>
    <definedName name="___wrn5" localSheetId="11" hidden="1">{#N/A,#N/A,FALSE,"Valuation Assumptions";#N/A,#N/A,FALSE,"Summary";#N/A,#N/A,FALSE,"DCF";#N/A,#N/A,FALSE,"Valuation";#N/A,#N/A,FALSE,"WACC";#N/A,#N/A,FALSE,"UBVH";#N/A,#N/A,FALSE,"Free Cash Flow"}</definedName>
    <definedName name="___wrn5" localSheetId="17" hidden="1">{#N/A,#N/A,FALSE,"Valuation Assumptions";#N/A,#N/A,FALSE,"Summary";#N/A,#N/A,FALSE,"DCF";#N/A,#N/A,FALSE,"Valuation";#N/A,#N/A,FALSE,"WACC";#N/A,#N/A,FALSE,"UBVH";#N/A,#N/A,FALSE,"Free Cash Flow"}</definedName>
    <definedName name="___wrn5" localSheetId="16" hidden="1">{#N/A,#N/A,FALSE,"Valuation Assumptions";#N/A,#N/A,FALSE,"Summary";#N/A,#N/A,FALSE,"DCF";#N/A,#N/A,FALSE,"Valuation";#N/A,#N/A,FALSE,"WACC";#N/A,#N/A,FALSE,"UBVH";#N/A,#N/A,FALSE,"Free Cash Flow"}</definedName>
    <definedName name="___wrn5" localSheetId="22" hidden="1">{#N/A,#N/A,FALSE,"Valuation Assumptions";#N/A,#N/A,FALSE,"Summary";#N/A,#N/A,FALSE,"DCF";#N/A,#N/A,FALSE,"Valuation";#N/A,#N/A,FALSE,"WACC";#N/A,#N/A,FALSE,"UBVH";#N/A,#N/A,FALSE,"Free Cash Flow"}</definedName>
    <definedName name="___wrn5" localSheetId="9" hidden="1">{#N/A,#N/A,FALSE,"Valuation Assumptions";#N/A,#N/A,FALSE,"Summary";#N/A,#N/A,FALSE,"DCF";#N/A,#N/A,FALSE,"Valuation";#N/A,#N/A,FALSE,"WACC";#N/A,#N/A,FALSE,"UBVH";#N/A,#N/A,FALSE,"Free Cash Flow"}</definedName>
    <definedName name="___wrn5" localSheetId="13" hidden="1">{#N/A,#N/A,FALSE,"Valuation Assumptions";#N/A,#N/A,FALSE,"Summary";#N/A,#N/A,FALSE,"DCF";#N/A,#N/A,FALSE,"Valuation";#N/A,#N/A,FALSE,"WACC";#N/A,#N/A,FALSE,"UBVH";#N/A,#N/A,FALSE,"Free Cash Flow"}</definedName>
    <definedName name="___wrn5" localSheetId="23" hidden="1">{#N/A,#N/A,FALSE,"Valuation Assumptions";#N/A,#N/A,FALSE,"Summary";#N/A,#N/A,FALSE,"DCF";#N/A,#N/A,FALSE,"Valuation";#N/A,#N/A,FALSE,"WACC";#N/A,#N/A,FALSE,"UBVH";#N/A,#N/A,FALSE,"Free Cash Flow"}</definedName>
    <definedName name="___wrn5" hidden="1">{#N/A,#N/A,FALSE,"Valuation Assumptions";#N/A,#N/A,FALSE,"Summary";#N/A,#N/A,FALSE,"DCF";#N/A,#N/A,FALSE,"Valuation";#N/A,#N/A,FALSE,"WACC";#N/A,#N/A,FALSE,"UBVH";#N/A,#N/A,FALSE,"Free Cash Flow"}</definedName>
    <definedName name="___wrn6" localSheetId="4" hidden="1">{#N/A,#N/A,FALSE,"INPUTS";#N/A,#N/A,FALSE,"PROFORMA BSHEET";#N/A,#N/A,FALSE,"COMBINED";#N/A,#N/A,FALSE,"ACQUIROR";#N/A,#N/A,FALSE,"TARGET 1";#N/A,#N/A,FALSE,"TARGET 2";#N/A,#N/A,FALSE,"HIGH YIELD";#N/A,#N/A,FALSE,"OVERFUND"}</definedName>
    <definedName name="___wrn6" localSheetId="5" hidden="1">{#N/A,#N/A,FALSE,"INPUTS";#N/A,#N/A,FALSE,"PROFORMA BSHEET";#N/A,#N/A,FALSE,"COMBINED";#N/A,#N/A,FALSE,"ACQUIROR";#N/A,#N/A,FALSE,"TARGET 1";#N/A,#N/A,FALSE,"TARGET 2";#N/A,#N/A,FALSE,"HIGH YIELD";#N/A,#N/A,FALSE,"OVERFUND"}</definedName>
    <definedName name="___wrn6" localSheetId="15" hidden="1">{#N/A,#N/A,FALSE,"INPUTS";#N/A,#N/A,FALSE,"PROFORMA BSHEET";#N/A,#N/A,FALSE,"COMBINED";#N/A,#N/A,FALSE,"ACQUIROR";#N/A,#N/A,FALSE,"TARGET 1";#N/A,#N/A,FALSE,"TARGET 2";#N/A,#N/A,FALSE,"HIGH YIELD";#N/A,#N/A,FALSE,"OVERFUND"}</definedName>
    <definedName name="___wrn6" localSheetId="19" hidden="1">{#N/A,#N/A,FALSE,"INPUTS";#N/A,#N/A,FALSE,"PROFORMA BSHEET";#N/A,#N/A,FALSE,"COMBINED";#N/A,#N/A,FALSE,"ACQUIROR";#N/A,#N/A,FALSE,"TARGET 1";#N/A,#N/A,FALSE,"TARGET 2";#N/A,#N/A,FALSE,"HIGH YIELD";#N/A,#N/A,FALSE,"OVERFUND"}</definedName>
    <definedName name="___wrn6" localSheetId="18" hidden="1">{#N/A,#N/A,FALSE,"INPUTS";#N/A,#N/A,FALSE,"PROFORMA BSHEET";#N/A,#N/A,FALSE,"COMBINED";#N/A,#N/A,FALSE,"ACQUIROR";#N/A,#N/A,FALSE,"TARGET 1";#N/A,#N/A,FALSE,"TARGET 2";#N/A,#N/A,FALSE,"HIGH YIELD";#N/A,#N/A,FALSE,"OVERFUND"}</definedName>
    <definedName name="___wrn6" localSheetId="14" hidden="1">{#N/A,#N/A,FALSE,"INPUTS";#N/A,#N/A,FALSE,"PROFORMA BSHEET";#N/A,#N/A,FALSE,"COMBINED";#N/A,#N/A,FALSE,"ACQUIROR";#N/A,#N/A,FALSE,"TARGET 1";#N/A,#N/A,FALSE,"TARGET 2";#N/A,#N/A,FALSE,"HIGH YIELD";#N/A,#N/A,FALSE,"OVERFUND"}</definedName>
    <definedName name="___wrn6" localSheetId="12" hidden="1">{#N/A,#N/A,FALSE,"INPUTS";#N/A,#N/A,FALSE,"PROFORMA BSHEET";#N/A,#N/A,FALSE,"COMBINED";#N/A,#N/A,FALSE,"ACQUIROR";#N/A,#N/A,FALSE,"TARGET 1";#N/A,#N/A,FALSE,"TARGET 2";#N/A,#N/A,FALSE,"HIGH YIELD";#N/A,#N/A,FALSE,"OVERFUND"}</definedName>
    <definedName name="___wrn6" localSheetId="24" hidden="1">{#N/A,#N/A,FALSE,"INPUTS";#N/A,#N/A,FALSE,"PROFORMA BSHEET";#N/A,#N/A,FALSE,"COMBINED";#N/A,#N/A,FALSE,"ACQUIROR";#N/A,#N/A,FALSE,"TARGET 1";#N/A,#N/A,FALSE,"TARGET 2";#N/A,#N/A,FALSE,"HIGH YIELD";#N/A,#N/A,FALSE,"OVERFUND"}</definedName>
    <definedName name="___wrn6" localSheetId="7" hidden="1">{#N/A,#N/A,FALSE,"INPUTS";#N/A,#N/A,FALSE,"PROFORMA BSHEET";#N/A,#N/A,FALSE,"COMBINED";#N/A,#N/A,FALSE,"ACQUIROR";#N/A,#N/A,FALSE,"TARGET 1";#N/A,#N/A,FALSE,"TARGET 2";#N/A,#N/A,FALSE,"HIGH YIELD";#N/A,#N/A,FALSE,"OVERFUND"}</definedName>
    <definedName name="___wrn6" localSheetId="20" hidden="1">{#N/A,#N/A,FALSE,"INPUTS";#N/A,#N/A,FALSE,"PROFORMA BSHEET";#N/A,#N/A,FALSE,"COMBINED";#N/A,#N/A,FALSE,"ACQUIROR";#N/A,#N/A,FALSE,"TARGET 1";#N/A,#N/A,FALSE,"TARGET 2";#N/A,#N/A,FALSE,"HIGH YIELD";#N/A,#N/A,FALSE,"OVERFUND"}</definedName>
    <definedName name="___wrn6" localSheetId="21" hidden="1">{#N/A,#N/A,FALSE,"INPUTS";#N/A,#N/A,FALSE,"PROFORMA BSHEET";#N/A,#N/A,FALSE,"COMBINED";#N/A,#N/A,FALSE,"ACQUIROR";#N/A,#N/A,FALSE,"TARGET 1";#N/A,#N/A,FALSE,"TARGET 2";#N/A,#N/A,FALSE,"HIGH YIELD";#N/A,#N/A,FALSE,"OVERFUND"}</definedName>
    <definedName name="___wrn6" localSheetId="11" hidden="1">{#N/A,#N/A,FALSE,"INPUTS";#N/A,#N/A,FALSE,"PROFORMA BSHEET";#N/A,#N/A,FALSE,"COMBINED";#N/A,#N/A,FALSE,"ACQUIROR";#N/A,#N/A,FALSE,"TARGET 1";#N/A,#N/A,FALSE,"TARGET 2";#N/A,#N/A,FALSE,"HIGH YIELD";#N/A,#N/A,FALSE,"OVERFUND"}</definedName>
    <definedName name="___wrn6" localSheetId="17" hidden="1">{#N/A,#N/A,FALSE,"INPUTS";#N/A,#N/A,FALSE,"PROFORMA BSHEET";#N/A,#N/A,FALSE,"COMBINED";#N/A,#N/A,FALSE,"ACQUIROR";#N/A,#N/A,FALSE,"TARGET 1";#N/A,#N/A,FALSE,"TARGET 2";#N/A,#N/A,FALSE,"HIGH YIELD";#N/A,#N/A,FALSE,"OVERFUND"}</definedName>
    <definedName name="___wrn6" localSheetId="16" hidden="1">{#N/A,#N/A,FALSE,"INPUTS";#N/A,#N/A,FALSE,"PROFORMA BSHEET";#N/A,#N/A,FALSE,"COMBINED";#N/A,#N/A,FALSE,"ACQUIROR";#N/A,#N/A,FALSE,"TARGET 1";#N/A,#N/A,FALSE,"TARGET 2";#N/A,#N/A,FALSE,"HIGH YIELD";#N/A,#N/A,FALSE,"OVERFUND"}</definedName>
    <definedName name="___wrn6" localSheetId="22" hidden="1">{#N/A,#N/A,FALSE,"INPUTS";#N/A,#N/A,FALSE,"PROFORMA BSHEET";#N/A,#N/A,FALSE,"COMBINED";#N/A,#N/A,FALSE,"ACQUIROR";#N/A,#N/A,FALSE,"TARGET 1";#N/A,#N/A,FALSE,"TARGET 2";#N/A,#N/A,FALSE,"HIGH YIELD";#N/A,#N/A,FALSE,"OVERFUND"}</definedName>
    <definedName name="___wrn6" localSheetId="9" hidden="1">{#N/A,#N/A,FALSE,"INPUTS";#N/A,#N/A,FALSE,"PROFORMA BSHEET";#N/A,#N/A,FALSE,"COMBINED";#N/A,#N/A,FALSE,"ACQUIROR";#N/A,#N/A,FALSE,"TARGET 1";#N/A,#N/A,FALSE,"TARGET 2";#N/A,#N/A,FALSE,"HIGH YIELD";#N/A,#N/A,FALSE,"OVERFUND"}</definedName>
    <definedName name="___wrn6" localSheetId="13" hidden="1">{#N/A,#N/A,FALSE,"INPUTS";#N/A,#N/A,FALSE,"PROFORMA BSHEET";#N/A,#N/A,FALSE,"COMBINED";#N/A,#N/A,FALSE,"ACQUIROR";#N/A,#N/A,FALSE,"TARGET 1";#N/A,#N/A,FALSE,"TARGET 2";#N/A,#N/A,FALSE,"HIGH YIELD";#N/A,#N/A,FALSE,"OVERFUND"}</definedName>
    <definedName name="___wrn6" localSheetId="23" hidden="1">{#N/A,#N/A,FALSE,"INPUTS";#N/A,#N/A,FALSE,"PROFORMA BSHEET";#N/A,#N/A,FALSE,"COMBINED";#N/A,#N/A,FALSE,"ACQUIROR";#N/A,#N/A,FALSE,"TARGET 1";#N/A,#N/A,FALSE,"TARGET 2";#N/A,#N/A,FALSE,"HIGH YIELD";#N/A,#N/A,FALSE,"OVERFUND"}</definedName>
    <definedName name="___wrn6" hidden="1">{#N/A,#N/A,FALSE,"INPUTS";#N/A,#N/A,FALSE,"PROFORMA BSHEET";#N/A,#N/A,FALSE,"COMBINED";#N/A,#N/A,FALSE,"ACQUIROR";#N/A,#N/A,FALSE,"TARGET 1";#N/A,#N/A,FALSE,"TARGET 2";#N/A,#N/A,FALSE,"HIGH YIELD";#N/A,#N/A,FALSE,"OVERFUND"}</definedName>
    <definedName name="__123Graph_A" localSheetId="4" hidden="1">#REF!</definedName>
    <definedName name="__123Graph_A" localSheetId="9" hidden="1">#REF!</definedName>
    <definedName name="__123Graph_A" hidden="1">#REF!</definedName>
    <definedName name="__123Graph_ACAD" localSheetId="4" hidden="1">#REF!</definedName>
    <definedName name="__123Graph_ACAD" localSheetId="9" hidden="1">#REF!</definedName>
    <definedName name="__123Graph_ACAD" hidden="1">#REF!</definedName>
    <definedName name="__123Graph_ACAD1" localSheetId="4" hidden="1">#REF!</definedName>
    <definedName name="__123Graph_ACAD1" localSheetId="9" hidden="1">#REF!</definedName>
    <definedName name="__123Graph_ACAD1" hidden="1">#REF!</definedName>
    <definedName name="__123Graph_ACAD2" hidden="1">#REF!</definedName>
    <definedName name="__123Graph_AChart1" hidden="1">#REF!</definedName>
    <definedName name="__123Graph_ACOL" localSheetId="4" hidden="1">#REF!</definedName>
    <definedName name="__123Graph_ACOL" localSheetId="5" hidden="1">#REF!</definedName>
    <definedName name="__123Graph_ACOL" localSheetId="15" hidden="1">#REF!</definedName>
    <definedName name="__123Graph_ACOL" localSheetId="19" hidden="1">#REF!</definedName>
    <definedName name="__123Graph_ACOL" localSheetId="18" hidden="1">#REF!</definedName>
    <definedName name="__123Graph_ACOL" localSheetId="14" hidden="1">#REF!</definedName>
    <definedName name="__123Graph_ACOL" localSheetId="12" hidden="1">#REF!</definedName>
    <definedName name="__123Graph_ACOL" localSheetId="24" hidden="1">#REF!</definedName>
    <definedName name="__123Graph_ACOL" localSheetId="7" hidden="1">#REF!</definedName>
    <definedName name="__123Graph_ACOL" localSheetId="20" hidden="1">#REF!</definedName>
    <definedName name="__123Graph_ACOL" localSheetId="21" hidden="1">#REF!</definedName>
    <definedName name="__123Graph_ACOL" localSheetId="11" hidden="1">#REF!</definedName>
    <definedName name="__123Graph_ACOL" localSheetId="17" hidden="1">#REF!</definedName>
    <definedName name="__123Graph_ACOL" localSheetId="16" hidden="1">#REF!</definedName>
    <definedName name="__123Graph_ACOL" localSheetId="22" hidden="1">#REF!</definedName>
    <definedName name="__123Graph_ACOL" localSheetId="9" hidden="1">#REF!</definedName>
    <definedName name="__123Graph_ACOL" localSheetId="13" hidden="1">#REF!</definedName>
    <definedName name="__123Graph_ACOL" localSheetId="23" hidden="1">#REF!</definedName>
    <definedName name="__123Graph_ACOL" hidden="1">#REF!</definedName>
    <definedName name="__123Graph_ACOL2" localSheetId="4" hidden="1">#REF!</definedName>
    <definedName name="__123Graph_ACOL2" localSheetId="5" hidden="1">#REF!</definedName>
    <definedName name="__123Graph_ACOL2" localSheetId="15" hidden="1">#REF!</definedName>
    <definedName name="__123Graph_ACOL2" localSheetId="19" hidden="1">#REF!</definedName>
    <definedName name="__123Graph_ACOL2" localSheetId="18" hidden="1">#REF!</definedName>
    <definedName name="__123Graph_ACOL2" localSheetId="14" hidden="1">#REF!</definedName>
    <definedName name="__123Graph_ACOL2" localSheetId="12" hidden="1">#REF!</definedName>
    <definedName name="__123Graph_ACOL2" localSheetId="24" hidden="1">#REF!</definedName>
    <definedName name="__123Graph_ACOL2" localSheetId="7" hidden="1">#REF!</definedName>
    <definedName name="__123Graph_ACOL2" localSheetId="20" hidden="1">#REF!</definedName>
    <definedName name="__123Graph_ACOL2" localSheetId="21" hidden="1">#REF!</definedName>
    <definedName name="__123Graph_ACOL2" localSheetId="11" hidden="1">#REF!</definedName>
    <definedName name="__123Graph_ACOL2" localSheetId="17" hidden="1">#REF!</definedName>
    <definedName name="__123Graph_ACOL2" localSheetId="16" hidden="1">#REF!</definedName>
    <definedName name="__123Graph_ACOL2" localSheetId="22" hidden="1">#REF!</definedName>
    <definedName name="__123Graph_ACOL2" localSheetId="9" hidden="1">#REF!</definedName>
    <definedName name="__123Graph_ACOL2" localSheetId="13" hidden="1">#REF!</definedName>
    <definedName name="__123Graph_ACOL2" localSheetId="23" hidden="1">#REF!</definedName>
    <definedName name="__123Graph_ACOL2" hidden="1">#REF!</definedName>
    <definedName name="__123Graph_ACOL3" localSheetId="4" hidden="1">#REF!</definedName>
    <definedName name="__123Graph_ACOL3" localSheetId="9" hidden="1">#REF!</definedName>
    <definedName name="__123Graph_ACOL3" hidden="1">#REF!</definedName>
    <definedName name="__123Graph_ACurrent" hidden="1">#REF!</definedName>
    <definedName name="__123Graph_ACURVE" hidden="1">#REF!</definedName>
    <definedName name="__123Graph_AMM" localSheetId="4" hidden="1">#REF!</definedName>
    <definedName name="__123Graph_AMM" localSheetId="5" hidden="1">#REF!</definedName>
    <definedName name="__123Graph_AMM" localSheetId="15" hidden="1">#REF!</definedName>
    <definedName name="__123Graph_AMM" localSheetId="19" hidden="1">#REF!</definedName>
    <definedName name="__123Graph_AMM" localSheetId="18" hidden="1">#REF!</definedName>
    <definedName name="__123Graph_AMM" localSheetId="14" hidden="1">#REF!</definedName>
    <definedName name="__123Graph_AMM" localSheetId="12" hidden="1">#REF!</definedName>
    <definedName name="__123Graph_AMM" localSheetId="24" hidden="1">#REF!</definedName>
    <definedName name="__123Graph_AMM" localSheetId="7" hidden="1">#REF!</definedName>
    <definedName name="__123Graph_AMM" localSheetId="20" hidden="1">#REF!</definedName>
    <definedName name="__123Graph_AMM" localSheetId="21" hidden="1">#REF!</definedName>
    <definedName name="__123Graph_AMM" localSheetId="11" hidden="1">#REF!</definedName>
    <definedName name="__123Graph_AMM" localSheetId="17" hidden="1">#REF!</definedName>
    <definedName name="__123Graph_AMM" localSheetId="16" hidden="1">#REF!</definedName>
    <definedName name="__123Graph_AMM" localSheetId="22" hidden="1">#REF!</definedName>
    <definedName name="__123Graph_AMM" localSheetId="9" hidden="1">#REF!</definedName>
    <definedName name="__123Graph_AMM" localSheetId="13" hidden="1">#REF!</definedName>
    <definedName name="__123Graph_AMM" localSheetId="23" hidden="1">#REF!</definedName>
    <definedName name="__123Graph_AMM" hidden="1">#REF!</definedName>
    <definedName name="__123Graph_APAY" hidden="1">#REF!</definedName>
    <definedName name="__123Graph_B" localSheetId="4" hidden="1">#REF!</definedName>
    <definedName name="__123Graph_B" localSheetId="5" hidden="1">#REF!</definedName>
    <definedName name="__123Graph_B" localSheetId="15" hidden="1">#REF!</definedName>
    <definedName name="__123Graph_B" localSheetId="19" hidden="1">#REF!</definedName>
    <definedName name="__123Graph_B" localSheetId="18" hidden="1">#REF!</definedName>
    <definedName name="__123Graph_B" localSheetId="14" hidden="1">#REF!</definedName>
    <definedName name="__123Graph_B" localSheetId="12" hidden="1">#REF!</definedName>
    <definedName name="__123Graph_B" localSheetId="24" hidden="1">#REF!</definedName>
    <definedName name="__123Graph_B" localSheetId="7" hidden="1">#REF!</definedName>
    <definedName name="__123Graph_B" localSheetId="20" hidden="1">#REF!</definedName>
    <definedName name="__123Graph_B" localSheetId="21" hidden="1">#REF!</definedName>
    <definedName name="__123Graph_B" localSheetId="11" hidden="1">#REF!</definedName>
    <definedName name="__123Graph_B" localSheetId="17" hidden="1">#REF!</definedName>
    <definedName name="__123Graph_B" localSheetId="16" hidden="1">#REF!</definedName>
    <definedName name="__123Graph_B" localSheetId="22" hidden="1">#REF!</definedName>
    <definedName name="__123Graph_B" localSheetId="9" hidden="1">#REF!</definedName>
    <definedName name="__123Graph_B" localSheetId="13" hidden="1">#REF!</definedName>
    <definedName name="__123Graph_B" localSheetId="23" hidden="1">#REF!</definedName>
    <definedName name="__123Graph_B" hidden="1">#REF!</definedName>
    <definedName name="__123Graph_BCAD" localSheetId="4" hidden="1">#REF!</definedName>
    <definedName name="__123Graph_BCAD" localSheetId="5" hidden="1">#REF!</definedName>
    <definedName name="__123Graph_BCAD" localSheetId="15" hidden="1">#REF!</definedName>
    <definedName name="__123Graph_BCAD" localSheetId="19" hidden="1">#REF!</definedName>
    <definedName name="__123Graph_BCAD" localSheetId="18" hidden="1">#REF!</definedName>
    <definedName name="__123Graph_BCAD" localSheetId="14" hidden="1">#REF!</definedName>
    <definedName name="__123Graph_BCAD" localSheetId="12" hidden="1">#REF!</definedName>
    <definedName name="__123Graph_BCAD" localSheetId="24" hidden="1">#REF!</definedName>
    <definedName name="__123Graph_BCAD" localSheetId="7" hidden="1">#REF!</definedName>
    <definedName name="__123Graph_BCAD" localSheetId="20" hidden="1">#REF!</definedName>
    <definedName name="__123Graph_BCAD" localSheetId="21" hidden="1">#REF!</definedName>
    <definedName name="__123Graph_BCAD" localSheetId="11" hidden="1">#REF!</definedName>
    <definedName name="__123Graph_BCAD" localSheetId="17" hidden="1">#REF!</definedName>
    <definedName name="__123Graph_BCAD" localSheetId="16" hidden="1">#REF!</definedName>
    <definedName name="__123Graph_BCAD" localSheetId="22" hidden="1">#REF!</definedName>
    <definedName name="__123Graph_BCAD" localSheetId="9" hidden="1">#REF!</definedName>
    <definedName name="__123Graph_BCAD" localSheetId="13" hidden="1">#REF!</definedName>
    <definedName name="__123Graph_BCAD" localSheetId="23" hidden="1">#REF!</definedName>
    <definedName name="__123Graph_BCAD" hidden="1">#REF!</definedName>
    <definedName name="__123Graph_BCAD1" localSheetId="4" hidden="1">#REF!</definedName>
    <definedName name="__123Graph_BCAD1" localSheetId="9" hidden="1">#REF!</definedName>
    <definedName name="__123Graph_BCAD1" hidden="1">#REF!</definedName>
    <definedName name="__123Graph_BCAD2" hidden="1">#REF!</definedName>
    <definedName name="__123Graph_BChart1" hidden="1">#REF!</definedName>
    <definedName name="__123Graph_BCOL" localSheetId="4" hidden="1">#REF!</definedName>
    <definedName name="__123Graph_BCOL" localSheetId="5" hidden="1">#REF!</definedName>
    <definedName name="__123Graph_BCOL" localSheetId="15" hidden="1">#REF!</definedName>
    <definedName name="__123Graph_BCOL" localSheetId="19" hidden="1">#REF!</definedName>
    <definedName name="__123Graph_BCOL" localSheetId="18" hidden="1">#REF!</definedName>
    <definedName name="__123Graph_BCOL" localSheetId="14" hidden="1">#REF!</definedName>
    <definedName name="__123Graph_BCOL" localSheetId="12" hidden="1">#REF!</definedName>
    <definedName name="__123Graph_BCOL" localSheetId="24" hidden="1">#REF!</definedName>
    <definedName name="__123Graph_BCOL" localSheetId="7" hidden="1">#REF!</definedName>
    <definedName name="__123Graph_BCOL" localSheetId="20" hidden="1">#REF!</definedName>
    <definedName name="__123Graph_BCOL" localSheetId="21" hidden="1">#REF!</definedName>
    <definedName name="__123Graph_BCOL" localSheetId="11" hidden="1">#REF!</definedName>
    <definedName name="__123Graph_BCOL" localSheetId="17" hidden="1">#REF!</definedName>
    <definedName name="__123Graph_BCOL" localSheetId="16" hidden="1">#REF!</definedName>
    <definedName name="__123Graph_BCOL" localSheetId="22" hidden="1">#REF!</definedName>
    <definedName name="__123Graph_BCOL" localSheetId="9" hidden="1">#REF!</definedName>
    <definedName name="__123Graph_BCOL" localSheetId="13" hidden="1">#REF!</definedName>
    <definedName name="__123Graph_BCOL" localSheetId="23" hidden="1">#REF!</definedName>
    <definedName name="__123Graph_BCOL" hidden="1">#REF!</definedName>
    <definedName name="__123Graph_BCOL2" localSheetId="4" hidden="1">#REF!</definedName>
    <definedName name="__123Graph_BCOL2" localSheetId="5" hidden="1">#REF!</definedName>
    <definedName name="__123Graph_BCOL2" localSheetId="15" hidden="1">#REF!</definedName>
    <definedName name="__123Graph_BCOL2" localSheetId="19" hidden="1">#REF!</definedName>
    <definedName name="__123Graph_BCOL2" localSheetId="18" hidden="1">#REF!</definedName>
    <definedName name="__123Graph_BCOL2" localSheetId="14" hidden="1">#REF!</definedName>
    <definedName name="__123Graph_BCOL2" localSheetId="12" hidden="1">#REF!</definedName>
    <definedName name="__123Graph_BCOL2" localSheetId="24" hidden="1">#REF!</definedName>
    <definedName name="__123Graph_BCOL2" localSheetId="7" hidden="1">#REF!</definedName>
    <definedName name="__123Graph_BCOL2" localSheetId="20" hidden="1">#REF!</definedName>
    <definedName name="__123Graph_BCOL2" localSheetId="21" hidden="1">#REF!</definedName>
    <definedName name="__123Graph_BCOL2" localSheetId="11" hidden="1">#REF!</definedName>
    <definedName name="__123Graph_BCOL2" localSheetId="17" hidden="1">#REF!</definedName>
    <definedName name="__123Graph_BCOL2" localSheetId="16" hidden="1">#REF!</definedName>
    <definedName name="__123Graph_BCOL2" localSheetId="22" hidden="1">#REF!</definedName>
    <definedName name="__123Graph_BCOL2" localSheetId="9" hidden="1">#REF!</definedName>
    <definedName name="__123Graph_BCOL2" localSheetId="13" hidden="1">#REF!</definedName>
    <definedName name="__123Graph_BCOL2" localSheetId="23" hidden="1">#REF!</definedName>
    <definedName name="__123Graph_BCOL2" hidden="1">#REF!</definedName>
    <definedName name="__123Graph_BCOL3" localSheetId="4" hidden="1">#REF!</definedName>
    <definedName name="__123Graph_BCOL3" localSheetId="9" hidden="1">#REF!</definedName>
    <definedName name="__123Graph_BCOL3" hidden="1">#REF!</definedName>
    <definedName name="__123Graph_BCurrent" hidden="1">#REF!</definedName>
    <definedName name="__123Graph_BMM" localSheetId="4" hidden="1">#REF!</definedName>
    <definedName name="__123Graph_BMM" localSheetId="5" hidden="1">#REF!</definedName>
    <definedName name="__123Graph_BMM" localSheetId="15" hidden="1">#REF!</definedName>
    <definedName name="__123Graph_BMM" localSheetId="19" hidden="1">#REF!</definedName>
    <definedName name="__123Graph_BMM" localSheetId="18" hidden="1">#REF!</definedName>
    <definedName name="__123Graph_BMM" localSheetId="14" hidden="1">#REF!</definedName>
    <definedName name="__123Graph_BMM" localSheetId="12" hidden="1">#REF!</definedName>
    <definedName name="__123Graph_BMM" localSheetId="24" hidden="1">#REF!</definedName>
    <definedName name="__123Graph_BMM" localSheetId="7" hidden="1">#REF!</definedName>
    <definedName name="__123Graph_BMM" localSheetId="20" hidden="1">#REF!</definedName>
    <definedName name="__123Graph_BMM" localSheetId="21" hidden="1">#REF!</definedName>
    <definedName name="__123Graph_BMM" localSheetId="11" hidden="1">#REF!</definedName>
    <definedName name="__123Graph_BMM" localSheetId="17" hidden="1">#REF!</definedName>
    <definedName name="__123Graph_BMM" localSheetId="16" hidden="1">#REF!</definedName>
    <definedName name="__123Graph_BMM" localSheetId="22" hidden="1">#REF!</definedName>
    <definedName name="__123Graph_BMM" localSheetId="9" hidden="1">#REF!</definedName>
    <definedName name="__123Graph_BMM" localSheetId="13" hidden="1">#REF!</definedName>
    <definedName name="__123Graph_BMM" localSheetId="23" hidden="1">#REF!</definedName>
    <definedName name="__123Graph_BMM" hidden="1">#REF!</definedName>
    <definedName name="__123Graph_C" localSheetId="4" hidden="1">#REF!</definedName>
    <definedName name="__123Graph_C" localSheetId="9" hidden="1">#REF!</definedName>
    <definedName name="__123Graph_C" hidden="1">#REF!</definedName>
    <definedName name="__123Graph_CCAD" localSheetId="4" hidden="1">#REF!</definedName>
    <definedName name="__123Graph_CCAD" localSheetId="9" hidden="1">#REF!</definedName>
    <definedName name="__123Graph_CCAD" hidden="1">#REF!</definedName>
    <definedName name="__123Graph_CCAD1" localSheetId="4" hidden="1">#REF!</definedName>
    <definedName name="__123Graph_CCAD1" localSheetId="9" hidden="1">#REF!</definedName>
    <definedName name="__123Graph_CCAD1" hidden="1">#REF!</definedName>
    <definedName name="__123Graph_CCAD2" hidden="1">#REF!</definedName>
    <definedName name="__123Graph_CChart1" hidden="1">#REF!</definedName>
    <definedName name="__123Graph_CCOL" localSheetId="4" hidden="1">#REF!</definedName>
    <definedName name="__123Graph_CCOL" localSheetId="5" hidden="1">#REF!</definedName>
    <definedName name="__123Graph_CCOL" localSheetId="15" hidden="1">#REF!</definedName>
    <definedName name="__123Graph_CCOL" localSheetId="19" hidden="1">#REF!</definedName>
    <definedName name="__123Graph_CCOL" localSheetId="18" hidden="1">#REF!</definedName>
    <definedName name="__123Graph_CCOL" localSheetId="14" hidden="1">#REF!</definedName>
    <definedName name="__123Graph_CCOL" localSheetId="12" hidden="1">#REF!</definedName>
    <definedName name="__123Graph_CCOL" localSheetId="24" hidden="1">#REF!</definedName>
    <definedName name="__123Graph_CCOL" localSheetId="7" hidden="1">#REF!</definedName>
    <definedName name="__123Graph_CCOL" localSheetId="20" hidden="1">#REF!</definedName>
    <definedName name="__123Graph_CCOL" localSheetId="21" hidden="1">#REF!</definedName>
    <definedName name="__123Graph_CCOL" localSheetId="11" hidden="1">#REF!</definedName>
    <definedName name="__123Graph_CCOL" localSheetId="17" hidden="1">#REF!</definedName>
    <definedName name="__123Graph_CCOL" localSheetId="16" hidden="1">#REF!</definedName>
    <definedName name="__123Graph_CCOL" localSheetId="22" hidden="1">#REF!</definedName>
    <definedName name="__123Graph_CCOL" localSheetId="9" hidden="1">#REF!</definedName>
    <definedName name="__123Graph_CCOL" localSheetId="13" hidden="1">#REF!</definedName>
    <definedName name="__123Graph_CCOL" localSheetId="23" hidden="1">#REF!</definedName>
    <definedName name="__123Graph_CCOL" hidden="1">#REF!</definedName>
    <definedName name="__123Graph_CCOL2" localSheetId="4" hidden="1">#REF!</definedName>
    <definedName name="__123Graph_CCOL2" localSheetId="5" hidden="1">#REF!</definedName>
    <definedName name="__123Graph_CCOL2" localSheetId="15" hidden="1">#REF!</definedName>
    <definedName name="__123Graph_CCOL2" localSheetId="19" hidden="1">#REF!</definedName>
    <definedName name="__123Graph_CCOL2" localSheetId="18" hidden="1">#REF!</definedName>
    <definedName name="__123Graph_CCOL2" localSheetId="14" hidden="1">#REF!</definedName>
    <definedName name="__123Graph_CCOL2" localSheetId="12" hidden="1">#REF!</definedName>
    <definedName name="__123Graph_CCOL2" localSheetId="24" hidden="1">#REF!</definedName>
    <definedName name="__123Graph_CCOL2" localSheetId="7" hidden="1">#REF!</definedName>
    <definedName name="__123Graph_CCOL2" localSheetId="20" hidden="1">#REF!</definedName>
    <definedName name="__123Graph_CCOL2" localSheetId="21" hidden="1">#REF!</definedName>
    <definedName name="__123Graph_CCOL2" localSheetId="11" hidden="1">#REF!</definedName>
    <definedName name="__123Graph_CCOL2" localSheetId="17" hidden="1">#REF!</definedName>
    <definedName name="__123Graph_CCOL2" localSheetId="16" hidden="1">#REF!</definedName>
    <definedName name="__123Graph_CCOL2" localSheetId="22" hidden="1">#REF!</definedName>
    <definedName name="__123Graph_CCOL2" localSheetId="9" hidden="1">#REF!</definedName>
    <definedName name="__123Graph_CCOL2" localSheetId="13" hidden="1">#REF!</definedName>
    <definedName name="__123Graph_CCOL2" localSheetId="23" hidden="1">#REF!</definedName>
    <definedName name="__123Graph_CCOL2" hidden="1">#REF!</definedName>
    <definedName name="__123Graph_CCOL3" localSheetId="4" hidden="1">#REF!</definedName>
    <definedName name="__123Graph_CCOL3" localSheetId="9" hidden="1">#REF!</definedName>
    <definedName name="__123Graph_CCOL3" hidden="1">#REF!</definedName>
    <definedName name="__123Graph_CCurrent" hidden="1">#REF!</definedName>
    <definedName name="__123Graph_D" localSheetId="4" hidden="1">#REF!</definedName>
    <definedName name="__123Graph_D" localSheetId="9" hidden="1">#REF!</definedName>
    <definedName name="__123Graph_D" hidden="1">#REF!</definedName>
    <definedName name="__123Graph_DCAD" localSheetId="4" hidden="1">#REF!</definedName>
    <definedName name="__123Graph_DCAD" localSheetId="9" hidden="1">#REF!</definedName>
    <definedName name="__123Graph_DCAD" hidden="1">#REF!</definedName>
    <definedName name="__123Graph_DCAD1" localSheetId="4" hidden="1">#REF!</definedName>
    <definedName name="__123Graph_DCAD1" localSheetId="9" hidden="1">#REF!</definedName>
    <definedName name="__123Graph_DCAD1" hidden="1">#REF!</definedName>
    <definedName name="__123Graph_DCAD2" hidden="1">#REF!</definedName>
    <definedName name="__123Graph_DChart1" hidden="1">#REF!</definedName>
    <definedName name="__123Graph_DCOL" localSheetId="4" hidden="1">#REF!</definedName>
    <definedName name="__123Graph_DCOL" localSheetId="5" hidden="1">#REF!</definedName>
    <definedName name="__123Graph_DCOL" localSheetId="15" hidden="1">#REF!</definedName>
    <definedName name="__123Graph_DCOL" localSheetId="19" hidden="1">#REF!</definedName>
    <definedName name="__123Graph_DCOL" localSheetId="18" hidden="1">#REF!</definedName>
    <definedName name="__123Graph_DCOL" localSheetId="14" hidden="1">#REF!</definedName>
    <definedName name="__123Graph_DCOL" localSheetId="12" hidden="1">#REF!</definedName>
    <definedName name="__123Graph_DCOL" localSheetId="24" hidden="1">#REF!</definedName>
    <definedName name="__123Graph_DCOL" localSheetId="7" hidden="1">#REF!</definedName>
    <definedName name="__123Graph_DCOL" localSheetId="20" hidden="1">#REF!</definedName>
    <definedName name="__123Graph_DCOL" localSheetId="21" hidden="1">#REF!</definedName>
    <definedName name="__123Graph_DCOL" localSheetId="11" hidden="1">#REF!</definedName>
    <definedName name="__123Graph_DCOL" localSheetId="17" hidden="1">#REF!</definedName>
    <definedName name="__123Graph_DCOL" localSheetId="16" hidden="1">#REF!</definedName>
    <definedName name="__123Graph_DCOL" localSheetId="22" hidden="1">#REF!</definedName>
    <definedName name="__123Graph_DCOL" localSheetId="9" hidden="1">#REF!</definedName>
    <definedName name="__123Graph_DCOL" localSheetId="13" hidden="1">#REF!</definedName>
    <definedName name="__123Graph_DCOL" localSheetId="23" hidden="1">#REF!</definedName>
    <definedName name="__123Graph_DCOL" hidden="1">#REF!</definedName>
    <definedName name="__123Graph_DCOL2" localSheetId="4" hidden="1">#REF!</definedName>
    <definedName name="__123Graph_DCOL2" localSheetId="5" hidden="1">#REF!</definedName>
    <definedName name="__123Graph_DCOL2" localSheetId="15" hidden="1">#REF!</definedName>
    <definedName name="__123Graph_DCOL2" localSheetId="19" hidden="1">#REF!</definedName>
    <definedName name="__123Graph_DCOL2" localSheetId="18" hidden="1">#REF!</definedName>
    <definedName name="__123Graph_DCOL2" localSheetId="14" hidden="1">#REF!</definedName>
    <definedName name="__123Graph_DCOL2" localSheetId="12" hidden="1">#REF!</definedName>
    <definedName name="__123Graph_DCOL2" localSheetId="24" hidden="1">#REF!</definedName>
    <definedName name="__123Graph_DCOL2" localSheetId="7" hidden="1">#REF!</definedName>
    <definedName name="__123Graph_DCOL2" localSheetId="20" hidden="1">#REF!</definedName>
    <definedName name="__123Graph_DCOL2" localSheetId="21" hidden="1">#REF!</definedName>
    <definedName name="__123Graph_DCOL2" localSheetId="11" hidden="1">#REF!</definedName>
    <definedName name="__123Graph_DCOL2" localSheetId="17" hidden="1">#REF!</definedName>
    <definedName name="__123Graph_DCOL2" localSheetId="16" hidden="1">#REF!</definedName>
    <definedName name="__123Graph_DCOL2" localSheetId="22" hidden="1">#REF!</definedName>
    <definedName name="__123Graph_DCOL2" localSheetId="9" hidden="1">#REF!</definedName>
    <definedName name="__123Graph_DCOL2" localSheetId="13" hidden="1">#REF!</definedName>
    <definedName name="__123Graph_DCOL2" localSheetId="23" hidden="1">#REF!</definedName>
    <definedName name="__123Graph_DCOL2" hidden="1">#REF!</definedName>
    <definedName name="__123Graph_DCOL3" localSheetId="4" hidden="1">#REF!</definedName>
    <definedName name="__123Graph_DCOL3" localSheetId="9" hidden="1">#REF!</definedName>
    <definedName name="__123Graph_DCOL3" hidden="1">#REF!</definedName>
    <definedName name="__123Graph_DCurrent" hidden="1">#REF!</definedName>
    <definedName name="__123Graph_E" localSheetId="4" hidden="1">#REF!</definedName>
    <definedName name="__123Graph_E" localSheetId="9" hidden="1">#REF!</definedName>
    <definedName name="__123Graph_E" hidden="1">#REF!</definedName>
    <definedName name="__123Graph_ECAD" localSheetId="4" hidden="1">#REF!</definedName>
    <definedName name="__123Graph_ECAD" localSheetId="9" hidden="1">#REF!</definedName>
    <definedName name="__123Graph_ECAD" hidden="1">#REF!</definedName>
    <definedName name="__123Graph_ECAD1" localSheetId="4" hidden="1">#REF!</definedName>
    <definedName name="__123Graph_ECAD1" localSheetId="9" hidden="1">#REF!</definedName>
    <definedName name="__123Graph_ECAD1" hidden="1">#REF!</definedName>
    <definedName name="__123Graph_ECAD2" hidden="1">#REF!</definedName>
    <definedName name="__123Graph_ECOL" localSheetId="4" hidden="1">#REF!</definedName>
    <definedName name="__123Graph_ECOL" localSheetId="9" hidden="1">#REF!</definedName>
    <definedName name="__123Graph_ECOL" hidden="1">#REF!</definedName>
    <definedName name="__123Graph_ECOL2" localSheetId="4" hidden="1">#REF!</definedName>
    <definedName name="__123Graph_ECOL2" localSheetId="9" hidden="1">#REF!</definedName>
    <definedName name="__123Graph_ECOL2" hidden="1">#REF!</definedName>
    <definedName name="__123Graph_ECOL3" localSheetId="4" hidden="1">#REF!</definedName>
    <definedName name="__123Graph_ECOL3" localSheetId="9" hidden="1">#REF!</definedName>
    <definedName name="__123Graph_ECOL3" hidden="1">#REF!</definedName>
    <definedName name="__123Graph_F" localSheetId="4" hidden="1">#REF!</definedName>
    <definedName name="__123Graph_F" localSheetId="9" hidden="1">#REF!</definedName>
    <definedName name="__123Graph_F" hidden="1">#REF!</definedName>
    <definedName name="__123Graph_FCAD2" localSheetId="4" hidden="1">#REF!</definedName>
    <definedName name="__123Graph_FCAD2" localSheetId="9" hidden="1">#REF!</definedName>
    <definedName name="__123Graph_FCAD2" hidden="1">#REF!</definedName>
    <definedName name="__123Graph_FCOL3" localSheetId="4" hidden="1">#REF!</definedName>
    <definedName name="__123Graph_FCOL3" localSheetId="9" hidden="1">#REF!</definedName>
    <definedName name="__123Graph_FCOL3" hidden="1">#REF!</definedName>
    <definedName name="__123Graph_X" localSheetId="4" hidden="1">#REF!</definedName>
    <definedName name="__123Graph_X" localSheetId="9" hidden="1">#REF!</definedName>
    <definedName name="__123Graph_X" hidden="1">#REF!</definedName>
    <definedName name="__123Graph_XCAD" localSheetId="4" hidden="1">#REF!</definedName>
    <definedName name="__123Graph_XCAD" localSheetId="9" hidden="1">#REF!</definedName>
    <definedName name="__123Graph_XCAD" hidden="1">#REF!</definedName>
    <definedName name="__123Graph_XCAD1" localSheetId="4" hidden="1">#REF!</definedName>
    <definedName name="__123Graph_XCAD1" localSheetId="9" hidden="1">#REF!</definedName>
    <definedName name="__123Graph_XCAD1" hidden="1">#REF!</definedName>
    <definedName name="__123Graph_XCAD2" hidden="1">#REF!</definedName>
    <definedName name="__123Graph_XChart1" hidden="1">#REF!</definedName>
    <definedName name="__123Graph_XCOL" localSheetId="4" hidden="1">#REF!</definedName>
    <definedName name="__123Graph_XCOL" localSheetId="5" hidden="1">#REF!</definedName>
    <definedName name="__123Graph_XCOL" localSheetId="15" hidden="1">#REF!</definedName>
    <definedName name="__123Graph_XCOL" localSheetId="19" hidden="1">#REF!</definedName>
    <definedName name="__123Graph_XCOL" localSheetId="18" hidden="1">#REF!</definedName>
    <definedName name="__123Graph_XCOL" localSheetId="14" hidden="1">#REF!</definedName>
    <definedName name="__123Graph_XCOL" localSheetId="12" hidden="1">#REF!</definedName>
    <definedName name="__123Graph_XCOL" localSheetId="24" hidden="1">#REF!</definedName>
    <definedName name="__123Graph_XCOL" localSheetId="7" hidden="1">#REF!</definedName>
    <definedName name="__123Graph_XCOL" localSheetId="20" hidden="1">#REF!</definedName>
    <definedName name="__123Graph_XCOL" localSheetId="21" hidden="1">#REF!</definedName>
    <definedName name="__123Graph_XCOL" localSheetId="11" hidden="1">#REF!</definedName>
    <definedName name="__123Graph_XCOL" localSheetId="17" hidden="1">#REF!</definedName>
    <definedName name="__123Graph_XCOL" localSheetId="16" hidden="1">#REF!</definedName>
    <definedName name="__123Graph_XCOL" localSheetId="22" hidden="1">#REF!</definedName>
    <definedName name="__123Graph_XCOL" localSheetId="9" hidden="1">#REF!</definedName>
    <definedName name="__123Graph_XCOL" localSheetId="13" hidden="1">#REF!</definedName>
    <definedName name="__123Graph_XCOL" localSheetId="23" hidden="1">#REF!</definedName>
    <definedName name="__123Graph_XCOL" hidden="1">#REF!</definedName>
    <definedName name="__123Graph_XCOL2" localSheetId="4" hidden="1">#REF!</definedName>
    <definedName name="__123Graph_XCOL2" localSheetId="5" hidden="1">#REF!</definedName>
    <definedName name="__123Graph_XCOL2" localSheetId="15" hidden="1">#REF!</definedName>
    <definedName name="__123Graph_XCOL2" localSheetId="19" hidden="1">#REF!</definedName>
    <definedName name="__123Graph_XCOL2" localSheetId="18" hidden="1">#REF!</definedName>
    <definedName name="__123Graph_XCOL2" localSheetId="14" hidden="1">#REF!</definedName>
    <definedName name="__123Graph_XCOL2" localSheetId="12" hidden="1">#REF!</definedName>
    <definedName name="__123Graph_XCOL2" localSheetId="24" hidden="1">#REF!</definedName>
    <definedName name="__123Graph_XCOL2" localSheetId="7" hidden="1">#REF!</definedName>
    <definedName name="__123Graph_XCOL2" localSheetId="20" hidden="1">#REF!</definedName>
    <definedName name="__123Graph_XCOL2" localSheetId="21" hidden="1">#REF!</definedName>
    <definedName name="__123Graph_XCOL2" localSheetId="11" hidden="1">#REF!</definedName>
    <definedName name="__123Graph_XCOL2" localSheetId="17" hidden="1">#REF!</definedName>
    <definedName name="__123Graph_XCOL2" localSheetId="16" hidden="1">#REF!</definedName>
    <definedName name="__123Graph_XCOL2" localSheetId="22" hidden="1">#REF!</definedName>
    <definedName name="__123Graph_XCOL2" localSheetId="9" hidden="1">#REF!</definedName>
    <definedName name="__123Graph_XCOL2" localSheetId="13" hidden="1">#REF!</definedName>
    <definedName name="__123Graph_XCOL2" localSheetId="23" hidden="1">#REF!</definedName>
    <definedName name="__123Graph_XCOL2" hidden="1">#REF!</definedName>
    <definedName name="__123Graph_XCOL3" localSheetId="4" hidden="1">#REF!</definedName>
    <definedName name="__123Graph_XCOL3" localSheetId="9" hidden="1">#REF!</definedName>
    <definedName name="__123Graph_XCOL3" hidden="1">#REF!</definedName>
    <definedName name="__123Graph_XCurrent" hidden="1">#REF!</definedName>
    <definedName name="__123Graph_XCURVE" hidden="1">#REF!</definedName>
    <definedName name="__123Graph_XMM" localSheetId="4" hidden="1">#REF!</definedName>
    <definedName name="__123Graph_XMM" localSheetId="5" hidden="1">#REF!</definedName>
    <definedName name="__123Graph_XMM" localSheetId="15" hidden="1">#REF!</definedName>
    <definedName name="__123Graph_XMM" localSheetId="19" hidden="1">#REF!</definedName>
    <definedName name="__123Graph_XMM" localSheetId="18" hidden="1">#REF!</definedName>
    <definedName name="__123Graph_XMM" localSheetId="14" hidden="1">#REF!</definedName>
    <definedName name="__123Graph_XMM" localSheetId="12" hidden="1">#REF!</definedName>
    <definedName name="__123Graph_XMM" localSheetId="24" hidden="1">#REF!</definedName>
    <definedName name="__123Graph_XMM" localSheetId="7" hidden="1">#REF!</definedName>
    <definedName name="__123Graph_XMM" localSheetId="20" hidden="1">#REF!</definedName>
    <definedName name="__123Graph_XMM" localSheetId="21" hidden="1">#REF!</definedName>
    <definedName name="__123Graph_XMM" localSheetId="11" hidden="1">#REF!</definedName>
    <definedName name="__123Graph_XMM" localSheetId="17" hidden="1">#REF!</definedName>
    <definedName name="__123Graph_XMM" localSheetId="16" hidden="1">#REF!</definedName>
    <definedName name="__123Graph_XMM" localSheetId="22" hidden="1">#REF!</definedName>
    <definedName name="__123Graph_XMM" localSheetId="9" hidden="1">#REF!</definedName>
    <definedName name="__123Graph_XMM" localSheetId="13" hidden="1">#REF!</definedName>
    <definedName name="__123Graph_XMM" localSheetId="23" hidden="1">#REF!</definedName>
    <definedName name="__123Graph_XMM" hidden="1">#REF!</definedName>
    <definedName name="__123Graph_XPAY" hidden="1">#REF!</definedName>
    <definedName name="_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aa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FDS_HYPERLINK_TOGGLE_STATE__" hidden="1">"ON"</definedName>
    <definedName name="__FDS_UNIQUE_RANGE_ID_GENERATOR_COUNTER" hidden="1">1</definedName>
    <definedName name="__Key1" hidden="1">#REF!</definedName>
    <definedName name="__nn05" localSheetId="4" hidden="1">{#N/A,#N/A,FALSE,"Status of Projects";#N/A,#N/A,FALSE,"CEA-TEC";#N/A,#N/A,FALSE,"U-Constr.";#N/A,#N/A,FALSE,"summary";#N/A,#N/A,FALSE,"PPP-3 yrs"}</definedName>
    <definedName name="__nn05" localSheetId="9" hidden="1">{#N/A,#N/A,FALSE,"Status of Projects";#N/A,#N/A,FALSE,"CEA-TEC";#N/A,#N/A,FALSE,"U-Constr.";#N/A,#N/A,FALSE,"summary";#N/A,#N/A,FALSE,"PPP-3 yrs"}</definedName>
    <definedName name="__nn05" hidden="1">{#N/A,#N/A,FALSE,"Status of Projects";#N/A,#N/A,FALSE,"CEA-TEC";#N/A,#N/A,FALSE,"U-Constr.";#N/A,#N/A,FALSE,"summary";#N/A,#N/A,FALSE,"PPP-3 yrs"}</definedName>
    <definedName name="__no1" localSheetId="4" hidden="1">{#N/A,#N/A,FALSE,"Status of Projects";#N/A,#N/A,FALSE,"CEA-TEC";#N/A,#N/A,FALSE,"U-Constr.";#N/A,#N/A,FALSE,"summary";#N/A,#N/A,FALSE,"PPP-3 yrs"}</definedName>
    <definedName name="__no1" localSheetId="9" hidden="1">{#N/A,#N/A,FALSE,"Status of Projects";#N/A,#N/A,FALSE,"CEA-TEC";#N/A,#N/A,FALSE,"U-Constr.";#N/A,#N/A,FALSE,"summary";#N/A,#N/A,FALSE,"PPP-3 yrs"}</definedName>
    <definedName name="__no1" hidden="1">{#N/A,#N/A,FALSE,"Status of Projects";#N/A,#N/A,FALSE,"CEA-TEC";#N/A,#N/A,FALSE,"U-Constr.";#N/A,#N/A,FALSE,"summary";#N/A,#N/A,FALSE,"PPP-3 yrs"}</definedName>
    <definedName name="_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1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2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1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localSheetId="2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_wrn2" localSheetId="4" hidden="1">{#N/A,#N/A,FALSE,"INPUTS";#N/A,#N/A,FALSE,"PROFORMA BSHEET";#N/A,#N/A,FALSE,"COMBINED";#N/A,#N/A,FALSE,"HIGH YIELD";#N/A,#N/A,FALSE,"COMB_GRAPHS"}</definedName>
    <definedName name="__wrn2" localSheetId="5" hidden="1">{#N/A,#N/A,FALSE,"INPUTS";#N/A,#N/A,FALSE,"PROFORMA BSHEET";#N/A,#N/A,FALSE,"COMBINED";#N/A,#N/A,FALSE,"HIGH YIELD";#N/A,#N/A,FALSE,"COMB_GRAPHS"}</definedName>
    <definedName name="__wrn2" localSheetId="15" hidden="1">{#N/A,#N/A,FALSE,"INPUTS";#N/A,#N/A,FALSE,"PROFORMA BSHEET";#N/A,#N/A,FALSE,"COMBINED";#N/A,#N/A,FALSE,"HIGH YIELD";#N/A,#N/A,FALSE,"COMB_GRAPHS"}</definedName>
    <definedName name="__wrn2" localSheetId="19" hidden="1">{#N/A,#N/A,FALSE,"INPUTS";#N/A,#N/A,FALSE,"PROFORMA BSHEET";#N/A,#N/A,FALSE,"COMBINED";#N/A,#N/A,FALSE,"HIGH YIELD";#N/A,#N/A,FALSE,"COMB_GRAPHS"}</definedName>
    <definedName name="__wrn2" localSheetId="18" hidden="1">{#N/A,#N/A,FALSE,"INPUTS";#N/A,#N/A,FALSE,"PROFORMA BSHEET";#N/A,#N/A,FALSE,"COMBINED";#N/A,#N/A,FALSE,"HIGH YIELD";#N/A,#N/A,FALSE,"COMB_GRAPHS"}</definedName>
    <definedName name="__wrn2" localSheetId="14" hidden="1">{#N/A,#N/A,FALSE,"INPUTS";#N/A,#N/A,FALSE,"PROFORMA BSHEET";#N/A,#N/A,FALSE,"COMBINED";#N/A,#N/A,FALSE,"HIGH YIELD";#N/A,#N/A,FALSE,"COMB_GRAPHS"}</definedName>
    <definedName name="__wrn2" localSheetId="12" hidden="1">{#N/A,#N/A,FALSE,"INPUTS";#N/A,#N/A,FALSE,"PROFORMA BSHEET";#N/A,#N/A,FALSE,"COMBINED";#N/A,#N/A,FALSE,"HIGH YIELD";#N/A,#N/A,FALSE,"COMB_GRAPHS"}</definedName>
    <definedName name="__wrn2" localSheetId="24" hidden="1">{#N/A,#N/A,FALSE,"INPUTS";#N/A,#N/A,FALSE,"PROFORMA BSHEET";#N/A,#N/A,FALSE,"COMBINED";#N/A,#N/A,FALSE,"HIGH YIELD";#N/A,#N/A,FALSE,"COMB_GRAPHS"}</definedName>
    <definedName name="__wrn2" localSheetId="7" hidden="1">{#N/A,#N/A,FALSE,"INPUTS";#N/A,#N/A,FALSE,"PROFORMA BSHEET";#N/A,#N/A,FALSE,"COMBINED";#N/A,#N/A,FALSE,"HIGH YIELD";#N/A,#N/A,FALSE,"COMB_GRAPHS"}</definedName>
    <definedName name="__wrn2" localSheetId="20" hidden="1">{#N/A,#N/A,FALSE,"INPUTS";#N/A,#N/A,FALSE,"PROFORMA BSHEET";#N/A,#N/A,FALSE,"COMBINED";#N/A,#N/A,FALSE,"HIGH YIELD";#N/A,#N/A,FALSE,"COMB_GRAPHS"}</definedName>
    <definedName name="__wrn2" localSheetId="21" hidden="1">{#N/A,#N/A,FALSE,"INPUTS";#N/A,#N/A,FALSE,"PROFORMA BSHEET";#N/A,#N/A,FALSE,"COMBINED";#N/A,#N/A,FALSE,"HIGH YIELD";#N/A,#N/A,FALSE,"COMB_GRAPHS"}</definedName>
    <definedName name="__wrn2" localSheetId="11" hidden="1">{#N/A,#N/A,FALSE,"INPUTS";#N/A,#N/A,FALSE,"PROFORMA BSHEET";#N/A,#N/A,FALSE,"COMBINED";#N/A,#N/A,FALSE,"HIGH YIELD";#N/A,#N/A,FALSE,"COMB_GRAPHS"}</definedName>
    <definedName name="__wrn2" localSheetId="17" hidden="1">{#N/A,#N/A,FALSE,"INPUTS";#N/A,#N/A,FALSE,"PROFORMA BSHEET";#N/A,#N/A,FALSE,"COMBINED";#N/A,#N/A,FALSE,"HIGH YIELD";#N/A,#N/A,FALSE,"COMB_GRAPHS"}</definedName>
    <definedName name="__wrn2" localSheetId="16" hidden="1">{#N/A,#N/A,FALSE,"INPUTS";#N/A,#N/A,FALSE,"PROFORMA BSHEET";#N/A,#N/A,FALSE,"COMBINED";#N/A,#N/A,FALSE,"HIGH YIELD";#N/A,#N/A,FALSE,"COMB_GRAPHS"}</definedName>
    <definedName name="__wrn2" localSheetId="22" hidden="1">{#N/A,#N/A,FALSE,"INPUTS";#N/A,#N/A,FALSE,"PROFORMA BSHEET";#N/A,#N/A,FALSE,"COMBINED";#N/A,#N/A,FALSE,"HIGH YIELD";#N/A,#N/A,FALSE,"COMB_GRAPHS"}</definedName>
    <definedName name="__wrn2" localSheetId="9" hidden="1">{#N/A,#N/A,FALSE,"INPUTS";#N/A,#N/A,FALSE,"PROFORMA BSHEET";#N/A,#N/A,FALSE,"COMBINED";#N/A,#N/A,FALSE,"HIGH YIELD";#N/A,#N/A,FALSE,"COMB_GRAPHS"}</definedName>
    <definedName name="__wrn2" localSheetId="13" hidden="1">{#N/A,#N/A,FALSE,"INPUTS";#N/A,#N/A,FALSE,"PROFORMA BSHEET";#N/A,#N/A,FALSE,"COMBINED";#N/A,#N/A,FALSE,"HIGH YIELD";#N/A,#N/A,FALSE,"COMB_GRAPHS"}</definedName>
    <definedName name="__wrn2" localSheetId="23" hidden="1">{#N/A,#N/A,FALSE,"INPUTS";#N/A,#N/A,FALSE,"PROFORMA BSHEET";#N/A,#N/A,FALSE,"COMBINED";#N/A,#N/A,FALSE,"HIGH YIELD";#N/A,#N/A,FALSE,"COMB_GRAPHS"}</definedName>
    <definedName name="__wrn2" hidden="1">{#N/A,#N/A,FALSE,"INPUTS";#N/A,#N/A,FALSE,"PROFORMA BSHEET";#N/A,#N/A,FALSE,"COMBINED";#N/A,#N/A,FALSE,"HIGH YIELD";#N/A,#N/A,FALSE,"COMB_GRAPHS"}</definedName>
    <definedName name="__wrn3" localSheetId="4" hidden="1">{#N/A,#N/A,FALSE,"ACQ_GRAPHS";#N/A,#N/A,FALSE,"T_1 GRAPHS";#N/A,#N/A,FALSE,"T_2 GRAPHS";#N/A,#N/A,FALSE,"COMB_GRAPHS"}</definedName>
    <definedName name="__wrn3" localSheetId="5" hidden="1">{#N/A,#N/A,FALSE,"ACQ_GRAPHS";#N/A,#N/A,FALSE,"T_1 GRAPHS";#N/A,#N/A,FALSE,"T_2 GRAPHS";#N/A,#N/A,FALSE,"COMB_GRAPHS"}</definedName>
    <definedName name="__wrn3" localSheetId="15" hidden="1">{#N/A,#N/A,FALSE,"ACQ_GRAPHS";#N/A,#N/A,FALSE,"T_1 GRAPHS";#N/A,#N/A,FALSE,"T_2 GRAPHS";#N/A,#N/A,FALSE,"COMB_GRAPHS"}</definedName>
    <definedName name="__wrn3" localSheetId="19" hidden="1">{#N/A,#N/A,FALSE,"ACQ_GRAPHS";#N/A,#N/A,FALSE,"T_1 GRAPHS";#N/A,#N/A,FALSE,"T_2 GRAPHS";#N/A,#N/A,FALSE,"COMB_GRAPHS"}</definedName>
    <definedName name="__wrn3" localSheetId="18" hidden="1">{#N/A,#N/A,FALSE,"ACQ_GRAPHS";#N/A,#N/A,FALSE,"T_1 GRAPHS";#N/A,#N/A,FALSE,"T_2 GRAPHS";#N/A,#N/A,FALSE,"COMB_GRAPHS"}</definedName>
    <definedName name="__wrn3" localSheetId="14" hidden="1">{#N/A,#N/A,FALSE,"ACQ_GRAPHS";#N/A,#N/A,FALSE,"T_1 GRAPHS";#N/A,#N/A,FALSE,"T_2 GRAPHS";#N/A,#N/A,FALSE,"COMB_GRAPHS"}</definedName>
    <definedName name="__wrn3" localSheetId="12" hidden="1">{#N/A,#N/A,FALSE,"ACQ_GRAPHS";#N/A,#N/A,FALSE,"T_1 GRAPHS";#N/A,#N/A,FALSE,"T_2 GRAPHS";#N/A,#N/A,FALSE,"COMB_GRAPHS"}</definedName>
    <definedName name="__wrn3" localSheetId="24" hidden="1">{#N/A,#N/A,FALSE,"ACQ_GRAPHS";#N/A,#N/A,FALSE,"T_1 GRAPHS";#N/A,#N/A,FALSE,"T_2 GRAPHS";#N/A,#N/A,FALSE,"COMB_GRAPHS"}</definedName>
    <definedName name="__wrn3" localSheetId="7" hidden="1">{#N/A,#N/A,FALSE,"ACQ_GRAPHS";#N/A,#N/A,FALSE,"T_1 GRAPHS";#N/A,#N/A,FALSE,"T_2 GRAPHS";#N/A,#N/A,FALSE,"COMB_GRAPHS"}</definedName>
    <definedName name="__wrn3" localSheetId="20" hidden="1">{#N/A,#N/A,FALSE,"ACQ_GRAPHS";#N/A,#N/A,FALSE,"T_1 GRAPHS";#N/A,#N/A,FALSE,"T_2 GRAPHS";#N/A,#N/A,FALSE,"COMB_GRAPHS"}</definedName>
    <definedName name="__wrn3" localSheetId="21" hidden="1">{#N/A,#N/A,FALSE,"ACQ_GRAPHS";#N/A,#N/A,FALSE,"T_1 GRAPHS";#N/A,#N/A,FALSE,"T_2 GRAPHS";#N/A,#N/A,FALSE,"COMB_GRAPHS"}</definedName>
    <definedName name="__wrn3" localSheetId="11" hidden="1">{#N/A,#N/A,FALSE,"ACQ_GRAPHS";#N/A,#N/A,FALSE,"T_1 GRAPHS";#N/A,#N/A,FALSE,"T_2 GRAPHS";#N/A,#N/A,FALSE,"COMB_GRAPHS"}</definedName>
    <definedName name="__wrn3" localSheetId="17" hidden="1">{#N/A,#N/A,FALSE,"ACQ_GRAPHS";#N/A,#N/A,FALSE,"T_1 GRAPHS";#N/A,#N/A,FALSE,"T_2 GRAPHS";#N/A,#N/A,FALSE,"COMB_GRAPHS"}</definedName>
    <definedName name="__wrn3" localSheetId="16" hidden="1">{#N/A,#N/A,FALSE,"ACQ_GRAPHS";#N/A,#N/A,FALSE,"T_1 GRAPHS";#N/A,#N/A,FALSE,"T_2 GRAPHS";#N/A,#N/A,FALSE,"COMB_GRAPHS"}</definedName>
    <definedName name="__wrn3" localSheetId="22" hidden="1">{#N/A,#N/A,FALSE,"ACQ_GRAPHS";#N/A,#N/A,FALSE,"T_1 GRAPHS";#N/A,#N/A,FALSE,"T_2 GRAPHS";#N/A,#N/A,FALSE,"COMB_GRAPHS"}</definedName>
    <definedName name="__wrn3" localSheetId="9" hidden="1">{#N/A,#N/A,FALSE,"ACQ_GRAPHS";#N/A,#N/A,FALSE,"T_1 GRAPHS";#N/A,#N/A,FALSE,"T_2 GRAPHS";#N/A,#N/A,FALSE,"COMB_GRAPHS"}</definedName>
    <definedName name="__wrn3" localSheetId="13" hidden="1">{#N/A,#N/A,FALSE,"ACQ_GRAPHS";#N/A,#N/A,FALSE,"T_1 GRAPHS";#N/A,#N/A,FALSE,"T_2 GRAPHS";#N/A,#N/A,FALSE,"COMB_GRAPHS"}</definedName>
    <definedName name="__wrn3" localSheetId="23" hidden="1">{#N/A,#N/A,FALSE,"ACQ_GRAPHS";#N/A,#N/A,FALSE,"T_1 GRAPHS";#N/A,#N/A,FALSE,"T_2 GRAPHS";#N/A,#N/A,FALSE,"COMB_GRAPHS"}</definedName>
    <definedName name="__wrn3" hidden="1">{#N/A,#N/A,FALSE,"ACQ_GRAPHS";#N/A,#N/A,FALSE,"T_1 GRAPHS";#N/A,#N/A,FALSE,"T_2 GRAPHS";#N/A,#N/A,FALSE,"COMB_GRAPHS"}</definedName>
    <definedName name="__wrn4" localSheetId="4" hidden="1">{"vi1",#N/A,FALSE,"Financial Statements";"vi2",#N/A,FALSE,"Financial Statements";#N/A,#N/A,FALSE,"DCF"}</definedName>
    <definedName name="__wrn4" localSheetId="5" hidden="1">{"vi1",#N/A,FALSE,"Financial Statements";"vi2",#N/A,FALSE,"Financial Statements";#N/A,#N/A,FALSE,"DCF"}</definedName>
    <definedName name="__wrn4" localSheetId="15" hidden="1">{"vi1",#N/A,FALSE,"Financial Statements";"vi2",#N/A,FALSE,"Financial Statements";#N/A,#N/A,FALSE,"DCF"}</definedName>
    <definedName name="__wrn4" localSheetId="19" hidden="1">{"vi1",#N/A,FALSE,"Financial Statements";"vi2",#N/A,FALSE,"Financial Statements";#N/A,#N/A,FALSE,"DCF"}</definedName>
    <definedName name="__wrn4" localSheetId="18" hidden="1">{"vi1",#N/A,FALSE,"Financial Statements";"vi2",#N/A,FALSE,"Financial Statements";#N/A,#N/A,FALSE,"DCF"}</definedName>
    <definedName name="__wrn4" localSheetId="14" hidden="1">{"vi1",#N/A,FALSE,"Financial Statements";"vi2",#N/A,FALSE,"Financial Statements";#N/A,#N/A,FALSE,"DCF"}</definedName>
    <definedName name="__wrn4" localSheetId="12" hidden="1">{"vi1",#N/A,FALSE,"Financial Statements";"vi2",#N/A,FALSE,"Financial Statements";#N/A,#N/A,FALSE,"DCF"}</definedName>
    <definedName name="__wrn4" localSheetId="24" hidden="1">{"vi1",#N/A,FALSE,"Financial Statements";"vi2",#N/A,FALSE,"Financial Statements";#N/A,#N/A,FALSE,"DCF"}</definedName>
    <definedName name="__wrn4" localSheetId="7" hidden="1">{"vi1",#N/A,FALSE,"Financial Statements";"vi2",#N/A,FALSE,"Financial Statements";#N/A,#N/A,FALSE,"DCF"}</definedName>
    <definedName name="__wrn4" localSheetId="20" hidden="1">{"vi1",#N/A,FALSE,"Financial Statements";"vi2",#N/A,FALSE,"Financial Statements";#N/A,#N/A,FALSE,"DCF"}</definedName>
    <definedName name="__wrn4" localSheetId="21" hidden="1">{"vi1",#N/A,FALSE,"Financial Statements";"vi2",#N/A,FALSE,"Financial Statements";#N/A,#N/A,FALSE,"DCF"}</definedName>
    <definedName name="__wrn4" localSheetId="11" hidden="1">{"vi1",#N/A,FALSE,"Financial Statements";"vi2",#N/A,FALSE,"Financial Statements";#N/A,#N/A,FALSE,"DCF"}</definedName>
    <definedName name="__wrn4" localSheetId="17" hidden="1">{"vi1",#N/A,FALSE,"Financial Statements";"vi2",#N/A,FALSE,"Financial Statements";#N/A,#N/A,FALSE,"DCF"}</definedName>
    <definedName name="__wrn4" localSheetId="16" hidden="1">{"vi1",#N/A,FALSE,"Financial Statements";"vi2",#N/A,FALSE,"Financial Statements";#N/A,#N/A,FALSE,"DCF"}</definedName>
    <definedName name="__wrn4" localSheetId="22" hidden="1">{"vi1",#N/A,FALSE,"Financial Statements";"vi2",#N/A,FALSE,"Financial Statements";#N/A,#N/A,FALSE,"DCF"}</definedName>
    <definedName name="__wrn4" localSheetId="9" hidden="1">{"vi1",#N/A,FALSE,"Financial Statements";"vi2",#N/A,FALSE,"Financial Statements";#N/A,#N/A,FALSE,"DCF"}</definedName>
    <definedName name="__wrn4" localSheetId="13" hidden="1">{"vi1",#N/A,FALSE,"Financial Statements";"vi2",#N/A,FALSE,"Financial Statements";#N/A,#N/A,FALSE,"DCF"}</definedName>
    <definedName name="__wrn4" localSheetId="23" hidden="1">{"vi1",#N/A,FALSE,"Financial Statements";"vi2",#N/A,FALSE,"Financial Statements";#N/A,#N/A,FALSE,"DCF"}</definedName>
    <definedName name="__wrn4" hidden="1">{"vi1",#N/A,FALSE,"Financial Statements";"vi2",#N/A,FALSE,"Financial Statements";#N/A,#N/A,FALSE,"DCF"}</definedName>
    <definedName name="__wrn5" localSheetId="4" hidden="1">{#N/A,#N/A,FALSE,"Valuation Assumptions";#N/A,#N/A,FALSE,"Summary";#N/A,#N/A,FALSE,"DCF";#N/A,#N/A,FALSE,"Valuation";#N/A,#N/A,FALSE,"WACC";#N/A,#N/A,FALSE,"UBVH";#N/A,#N/A,FALSE,"Free Cash Flow"}</definedName>
    <definedName name="__wrn5" localSheetId="5" hidden="1">{#N/A,#N/A,FALSE,"Valuation Assumptions";#N/A,#N/A,FALSE,"Summary";#N/A,#N/A,FALSE,"DCF";#N/A,#N/A,FALSE,"Valuation";#N/A,#N/A,FALSE,"WACC";#N/A,#N/A,FALSE,"UBVH";#N/A,#N/A,FALSE,"Free Cash Flow"}</definedName>
    <definedName name="__wrn5" localSheetId="15" hidden="1">{#N/A,#N/A,FALSE,"Valuation Assumptions";#N/A,#N/A,FALSE,"Summary";#N/A,#N/A,FALSE,"DCF";#N/A,#N/A,FALSE,"Valuation";#N/A,#N/A,FALSE,"WACC";#N/A,#N/A,FALSE,"UBVH";#N/A,#N/A,FALSE,"Free Cash Flow"}</definedName>
    <definedName name="__wrn5" localSheetId="19" hidden="1">{#N/A,#N/A,FALSE,"Valuation Assumptions";#N/A,#N/A,FALSE,"Summary";#N/A,#N/A,FALSE,"DCF";#N/A,#N/A,FALSE,"Valuation";#N/A,#N/A,FALSE,"WACC";#N/A,#N/A,FALSE,"UBVH";#N/A,#N/A,FALSE,"Free Cash Flow"}</definedName>
    <definedName name="__wrn5" localSheetId="18" hidden="1">{#N/A,#N/A,FALSE,"Valuation Assumptions";#N/A,#N/A,FALSE,"Summary";#N/A,#N/A,FALSE,"DCF";#N/A,#N/A,FALSE,"Valuation";#N/A,#N/A,FALSE,"WACC";#N/A,#N/A,FALSE,"UBVH";#N/A,#N/A,FALSE,"Free Cash Flow"}</definedName>
    <definedName name="__wrn5" localSheetId="14" hidden="1">{#N/A,#N/A,FALSE,"Valuation Assumptions";#N/A,#N/A,FALSE,"Summary";#N/A,#N/A,FALSE,"DCF";#N/A,#N/A,FALSE,"Valuation";#N/A,#N/A,FALSE,"WACC";#N/A,#N/A,FALSE,"UBVH";#N/A,#N/A,FALSE,"Free Cash Flow"}</definedName>
    <definedName name="__wrn5" localSheetId="12" hidden="1">{#N/A,#N/A,FALSE,"Valuation Assumptions";#N/A,#N/A,FALSE,"Summary";#N/A,#N/A,FALSE,"DCF";#N/A,#N/A,FALSE,"Valuation";#N/A,#N/A,FALSE,"WACC";#N/A,#N/A,FALSE,"UBVH";#N/A,#N/A,FALSE,"Free Cash Flow"}</definedName>
    <definedName name="__wrn5" localSheetId="24" hidden="1">{#N/A,#N/A,FALSE,"Valuation Assumptions";#N/A,#N/A,FALSE,"Summary";#N/A,#N/A,FALSE,"DCF";#N/A,#N/A,FALSE,"Valuation";#N/A,#N/A,FALSE,"WACC";#N/A,#N/A,FALSE,"UBVH";#N/A,#N/A,FALSE,"Free Cash Flow"}</definedName>
    <definedName name="__wrn5" localSheetId="7" hidden="1">{#N/A,#N/A,FALSE,"Valuation Assumptions";#N/A,#N/A,FALSE,"Summary";#N/A,#N/A,FALSE,"DCF";#N/A,#N/A,FALSE,"Valuation";#N/A,#N/A,FALSE,"WACC";#N/A,#N/A,FALSE,"UBVH";#N/A,#N/A,FALSE,"Free Cash Flow"}</definedName>
    <definedName name="__wrn5" localSheetId="20" hidden="1">{#N/A,#N/A,FALSE,"Valuation Assumptions";#N/A,#N/A,FALSE,"Summary";#N/A,#N/A,FALSE,"DCF";#N/A,#N/A,FALSE,"Valuation";#N/A,#N/A,FALSE,"WACC";#N/A,#N/A,FALSE,"UBVH";#N/A,#N/A,FALSE,"Free Cash Flow"}</definedName>
    <definedName name="__wrn5" localSheetId="21" hidden="1">{#N/A,#N/A,FALSE,"Valuation Assumptions";#N/A,#N/A,FALSE,"Summary";#N/A,#N/A,FALSE,"DCF";#N/A,#N/A,FALSE,"Valuation";#N/A,#N/A,FALSE,"WACC";#N/A,#N/A,FALSE,"UBVH";#N/A,#N/A,FALSE,"Free Cash Flow"}</definedName>
    <definedName name="__wrn5" localSheetId="11" hidden="1">{#N/A,#N/A,FALSE,"Valuation Assumptions";#N/A,#N/A,FALSE,"Summary";#N/A,#N/A,FALSE,"DCF";#N/A,#N/A,FALSE,"Valuation";#N/A,#N/A,FALSE,"WACC";#N/A,#N/A,FALSE,"UBVH";#N/A,#N/A,FALSE,"Free Cash Flow"}</definedName>
    <definedName name="__wrn5" localSheetId="17" hidden="1">{#N/A,#N/A,FALSE,"Valuation Assumptions";#N/A,#N/A,FALSE,"Summary";#N/A,#N/A,FALSE,"DCF";#N/A,#N/A,FALSE,"Valuation";#N/A,#N/A,FALSE,"WACC";#N/A,#N/A,FALSE,"UBVH";#N/A,#N/A,FALSE,"Free Cash Flow"}</definedName>
    <definedName name="__wrn5" localSheetId="16" hidden="1">{#N/A,#N/A,FALSE,"Valuation Assumptions";#N/A,#N/A,FALSE,"Summary";#N/A,#N/A,FALSE,"DCF";#N/A,#N/A,FALSE,"Valuation";#N/A,#N/A,FALSE,"WACC";#N/A,#N/A,FALSE,"UBVH";#N/A,#N/A,FALSE,"Free Cash Flow"}</definedName>
    <definedName name="__wrn5" localSheetId="22" hidden="1">{#N/A,#N/A,FALSE,"Valuation Assumptions";#N/A,#N/A,FALSE,"Summary";#N/A,#N/A,FALSE,"DCF";#N/A,#N/A,FALSE,"Valuation";#N/A,#N/A,FALSE,"WACC";#N/A,#N/A,FALSE,"UBVH";#N/A,#N/A,FALSE,"Free Cash Flow"}</definedName>
    <definedName name="__wrn5" localSheetId="9" hidden="1">{#N/A,#N/A,FALSE,"Valuation Assumptions";#N/A,#N/A,FALSE,"Summary";#N/A,#N/A,FALSE,"DCF";#N/A,#N/A,FALSE,"Valuation";#N/A,#N/A,FALSE,"WACC";#N/A,#N/A,FALSE,"UBVH";#N/A,#N/A,FALSE,"Free Cash Flow"}</definedName>
    <definedName name="__wrn5" localSheetId="13" hidden="1">{#N/A,#N/A,FALSE,"Valuation Assumptions";#N/A,#N/A,FALSE,"Summary";#N/A,#N/A,FALSE,"DCF";#N/A,#N/A,FALSE,"Valuation";#N/A,#N/A,FALSE,"WACC";#N/A,#N/A,FALSE,"UBVH";#N/A,#N/A,FALSE,"Free Cash Flow"}</definedName>
    <definedName name="__wrn5" localSheetId="23" hidden="1">{#N/A,#N/A,FALSE,"Valuation Assumptions";#N/A,#N/A,FALSE,"Summary";#N/A,#N/A,FALSE,"DCF";#N/A,#N/A,FALSE,"Valuation";#N/A,#N/A,FALSE,"WACC";#N/A,#N/A,FALSE,"UBVH";#N/A,#N/A,FALSE,"Free Cash Flow"}</definedName>
    <definedName name="__wrn5" hidden="1">{#N/A,#N/A,FALSE,"Valuation Assumptions";#N/A,#N/A,FALSE,"Summary";#N/A,#N/A,FALSE,"DCF";#N/A,#N/A,FALSE,"Valuation";#N/A,#N/A,FALSE,"WACC";#N/A,#N/A,FALSE,"UBVH";#N/A,#N/A,FALSE,"Free Cash Flow"}</definedName>
    <definedName name="__wrn6" localSheetId="4" hidden="1">{#N/A,#N/A,FALSE,"INPUTS";#N/A,#N/A,FALSE,"PROFORMA BSHEET";#N/A,#N/A,FALSE,"COMBINED";#N/A,#N/A,FALSE,"ACQUIROR";#N/A,#N/A,FALSE,"TARGET 1";#N/A,#N/A,FALSE,"TARGET 2";#N/A,#N/A,FALSE,"HIGH YIELD";#N/A,#N/A,FALSE,"OVERFUND"}</definedName>
    <definedName name="__wrn6" localSheetId="5" hidden="1">{#N/A,#N/A,FALSE,"INPUTS";#N/A,#N/A,FALSE,"PROFORMA BSHEET";#N/A,#N/A,FALSE,"COMBINED";#N/A,#N/A,FALSE,"ACQUIROR";#N/A,#N/A,FALSE,"TARGET 1";#N/A,#N/A,FALSE,"TARGET 2";#N/A,#N/A,FALSE,"HIGH YIELD";#N/A,#N/A,FALSE,"OVERFUND"}</definedName>
    <definedName name="__wrn6" localSheetId="15" hidden="1">{#N/A,#N/A,FALSE,"INPUTS";#N/A,#N/A,FALSE,"PROFORMA BSHEET";#N/A,#N/A,FALSE,"COMBINED";#N/A,#N/A,FALSE,"ACQUIROR";#N/A,#N/A,FALSE,"TARGET 1";#N/A,#N/A,FALSE,"TARGET 2";#N/A,#N/A,FALSE,"HIGH YIELD";#N/A,#N/A,FALSE,"OVERFUND"}</definedName>
    <definedName name="__wrn6" localSheetId="19" hidden="1">{#N/A,#N/A,FALSE,"INPUTS";#N/A,#N/A,FALSE,"PROFORMA BSHEET";#N/A,#N/A,FALSE,"COMBINED";#N/A,#N/A,FALSE,"ACQUIROR";#N/A,#N/A,FALSE,"TARGET 1";#N/A,#N/A,FALSE,"TARGET 2";#N/A,#N/A,FALSE,"HIGH YIELD";#N/A,#N/A,FALSE,"OVERFUND"}</definedName>
    <definedName name="__wrn6" localSheetId="18" hidden="1">{#N/A,#N/A,FALSE,"INPUTS";#N/A,#N/A,FALSE,"PROFORMA BSHEET";#N/A,#N/A,FALSE,"COMBINED";#N/A,#N/A,FALSE,"ACQUIROR";#N/A,#N/A,FALSE,"TARGET 1";#N/A,#N/A,FALSE,"TARGET 2";#N/A,#N/A,FALSE,"HIGH YIELD";#N/A,#N/A,FALSE,"OVERFUND"}</definedName>
    <definedName name="__wrn6" localSheetId="14" hidden="1">{#N/A,#N/A,FALSE,"INPUTS";#N/A,#N/A,FALSE,"PROFORMA BSHEET";#N/A,#N/A,FALSE,"COMBINED";#N/A,#N/A,FALSE,"ACQUIROR";#N/A,#N/A,FALSE,"TARGET 1";#N/A,#N/A,FALSE,"TARGET 2";#N/A,#N/A,FALSE,"HIGH YIELD";#N/A,#N/A,FALSE,"OVERFUND"}</definedName>
    <definedName name="__wrn6" localSheetId="12" hidden="1">{#N/A,#N/A,FALSE,"INPUTS";#N/A,#N/A,FALSE,"PROFORMA BSHEET";#N/A,#N/A,FALSE,"COMBINED";#N/A,#N/A,FALSE,"ACQUIROR";#N/A,#N/A,FALSE,"TARGET 1";#N/A,#N/A,FALSE,"TARGET 2";#N/A,#N/A,FALSE,"HIGH YIELD";#N/A,#N/A,FALSE,"OVERFUND"}</definedName>
    <definedName name="__wrn6" localSheetId="24" hidden="1">{#N/A,#N/A,FALSE,"INPUTS";#N/A,#N/A,FALSE,"PROFORMA BSHEET";#N/A,#N/A,FALSE,"COMBINED";#N/A,#N/A,FALSE,"ACQUIROR";#N/A,#N/A,FALSE,"TARGET 1";#N/A,#N/A,FALSE,"TARGET 2";#N/A,#N/A,FALSE,"HIGH YIELD";#N/A,#N/A,FALSE,"OVERFUND"}</definedName>
    <definedName name="__wrn6" localSheetId="7" hidden="1">{#N/A,#N/A,FALSE,"INPUTS";#N/A,#N/A,FALSE,"PROFORMA BSHEET";#N/A,#N/A,FALSE,"COMBINED";#N/A,#N/A,FALSE,"ACQUIROR";#N/A,#N/A,FALSE,"TARGET 1";#N/A,#N/A,FALSE,"TARGET 2";#N/A,#N/A,FALSE,"HIGH YIELD";#N/A,#N/A,FALSE,"OVERFUND"}</definedName>
    <definedName name="__wrn6" localSheetId="20" hidden="1">{#N/A,#N/A,FALSE,"INPUTS";#N/A,#N/A,FALSE,"PROFORMA BSHEET";#N/A,#N/A,FALSE,"COMBINED";#N/A,#N/A,FALSE,"ACQUIROR";#N/A,#N/A,FALSE,"TARGET 1";#N/A,#N/A,FALSE,"TARGET 2";#N/A,#N/A,FALSE,"HIGH YIELD";#N/A,#N/A,FALSE,"OVERFUND"}</definedName>
    <definedName name="__wrn6" localSheetId="21" hidden="1">{#N/A,#N/A,FALSE,"INPUTS";#N/A,#N/A,FALSE,"PROFORMA BSHEET";#N/A,#N/A,FALSE,"COMBINED";#N/A,#N/A,FALSE,"ACQUIROR";#N/A,#N/A,FALSE,"TARGET 1";#N/A,#N/A,FALSE,"TARGET 2";#N/A,#N/A,FALSE,"HIGH YIELD";#N/A,#N/A,FALSE,"OVERFUND"}</definedName>
    <definedName name="__wrn6" localSheetId="11" hidden="1">{#N/A,#N/A,FALSE,"INPUTS";#N/A,#N/A,FALSE,"PROFORMA BSHEET";#N/A,#N/A,FALSE,"COMBINED";#N/A,#N/A,FALSE,"ACQUIROR";#N/A,#N/A,FALSE,"TARGET 1";#N/A,#N/A,FALSE,"TARGET 2";#N/A,#N/A,FALSE,"HIGH YIELD";#N/A,#N/A,FALSE,"OVERFUND"}</definedName>
    <definedName name="__wrn6" localSheetId="17" hidden="1">{#N/A,#N/A,FALSE,"INPUTS";#N/A,#N/A,FALSE,"PROFORMA BSHEET";#N/A,#N/A,FALSE,"COMBINED";#N/A,#N/A,FALSE,"ACQUIROR";#N/A,#N/A,FALSE,"TARGET 1";#N/A,#N/A,FALSE,"TARGET 2";#N/A,#N/A,FALSE,"HIGH YIELD";#N/A,#N/A,FALSE,"OVERFUND"}</definedName>
    <definedName name="__wrn6" localSheetId="16" hidden="1">{#N/A,#N/A,FALSE,"INPUTS";#N/A,#N/A,FALSE,"PROFORMA BSHEET";#N/A,#N/A,FALSE,"COMBINED";#N/A,#N/A,FALSE,"ACQUIROR";#N/A,#N/A,FALSE,"TARGET 1";#N/A,#N/A,FALSE,"TARGET 2";#N/A,#N/A,FALSE,"HIGH YIELD";#N/A,#N/A,FALSE,"OVERFUND"}</definedName>
    <definedName name="__wrn6" localSheetId="22" hidden="1">{#N/A,#N/A,FALSE,"INPUTS";#N/A,#N/A,FALSE,"PROFORMA BSHEET";#N/A,#N/A,FALSE,"COMBINED";#N/A,#N/A,FALSE,"ACQUIROR";#N/A,#N/A,FALSE,"TARGET 1";#N/A,#N/A,FALSE,"TARGET 2";#N/A,#N/A,FALSE,"HIGH YIELD";#N/A,#N/A,FALSE,"OVERFUND"}</definedName>
    <definedName name="__wrn6" localSheetId="9" hidden="1">{#N/A,#N/A,FALSE,"INPUTS";#N/A,#N/A,FALSE,"PROFORMA BSHEET";#N/A,#N/A,FALSE,"COMBINED";#N/A,#N/A,FALSE,"ACQUIROR";#N/A,#N/A,FALSE,"TARGET 1";#N/A,#N/A,FALSE,"TARGET 2";#N/A,#N/A,FALSE,"HIGH YIELD";#N/A,#N/A,FALSE,"OVERFUND"}</definedName>
    <definedName name="__wrn6" localSheetId="13" hidden="1">{#N/A,#N/A,FALSE,"INPUTS";#N/A,#N/A,FALSE,"PROFORMA BSHEET";#N/A,#N/A,FALSE,"COMBINED";#N/A,#N/A,FALSE,"ACQUIROR";#N/A,#N/A,FALSE,"TARGET 1";#N/A,#N/A,FALSE,"TARGET 2";#N/A,#N/A,FALSE,"HIGH YIELD";#N/A,#N/A,FALSE,"OVERFUND"}</definedName>
    <definedName name="__wrn6" localSheetId="23" hidden="1">{#N/A,#N/A,FALSE,"INPUTS";#N/A,#N/A,FALSE,"PROFORMA BSHEET";#N/A,#N/A,FALSE,"COMBINED";#N/A,#N/A,FALSE,"ACQUIROR";#N/A,#N/A,FALSE,"TARGET 1";#N/A,#N/A,FALSE,"TARGET 2";#N/A,#N/A,FALSE,"HIGH YIELD";#N/A,#N/A,FALSE,"OVERFUND"}</definedName>
    <definedName name="__wrn6" hidden="1">{#N/A,#N/A,FALSE,"INPUTS";#N/A,#N/A,FALSE,"PROFORMA BSHEET";#N/A,#N/A,FALSE,"COMBINED";#N/A,#N/A,FALSE,"ACQUIROR";#N/A,#N/A,FALSE,"TARGET 1";#N/A,#N/A,FALSE,"TARGET 2";#N/A,#N/A,FALSE,"HIGH YIELD";#N/A,#N/A,FALSE,"OVERFUND"}</definedName>
    <definedName name="_1_">#REF!</definedName>
    <definedName name="_1__123Graph_ACHART_2" hidden="1">#REF!</definedName>
    <definedName name="_1__FDSAUDITLINK__" localSheetId="4"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5"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15"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19"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18"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14"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12"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24"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7"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20"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21"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11"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17"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16"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22"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9"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13"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localSheetId="23"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_FDSAUDITLINK__" hidden="1">{"fdsup://directions/FAT Viewer?action=UPDATE&amp;creator=factset&amp;DYN_ARGS=TRUE&amp;DOC_NAME=FAT:FQL_AUDITING_CLIENT_TEMPLATE.FAT&amp;display_string=Audit&amp;VAR:KEY=WPYHAVGTQP&amp;VAR:QUERY=RkZfRU5UUlBSX1ZBTF9EQUlMWSgp&amp;WINDOW=FIRST_POPUP&amp;HEIGHT=450&amp;WIDTH=450&amp;START_MAXIMIZED=","FALSE&amp;VAR:CALENDAR=FIVEDAY&amp;VAR:SYMBOL=B1FDHG&amp;VAR:INDEX=0"}</definedName>
    <definedName name="_1_0EBITDA_Sh">#REF!</definedName>
    <definedName name="_10__FDSAUDITLINK__" localSheetId="4"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5"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15"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19"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18"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14"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12"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24"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7"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20"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21"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11"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17"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16"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22"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9"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13"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localSheetId="23"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__FDSAUDITLINK__" hidden="1">{"fdsup://directions/FAT Viewer?action=UPDATE&amp;creator=factset&amp;DYN_ARGS=TRUE&amp;DOC_NAME=FAT:FQL_AUDITING_CLIENT_TEMPLATE.FAT&amp;display_string=Audit&amp;VAR:KEY=UTMJSPQZGJ&amp;VAR:QUERY=RkZfRU5UUlBSX1ZBTF9EQUlMWSgp&amp;WINDOW=FIRST_POPUP&amp;HEIGHT=450&amp;WIDTH=450&amp;START_MAXIMIZED=","FALSE&amp;VAR:CALENDAR=FIVEDAY&amp;VAR:SYMBOL=B1FVBW&amp;VAR:INDEX=0"}</definedName>
    <definedName name="_100__FDSAUDITLINK__" localSheetId="4"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5"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15"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19"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18"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14"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12"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24"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7"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20"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21"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11"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17"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16"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22"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9"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13"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localSheetId="23"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0__FDSAUDITLINK__" hidden="1">{"fdsup://directions/FAT Viewer?action=UPDATE&amp;creator=factset&amp;DYN_ARGS=TRUE&amp;DOC_NAME=FAT:FQL_AUDITING_CLIENT_TEMPLATE.FAT&amp;display_string=Audit&amp;VAR:KEY=XQLUVGZEZM&amp;VAR:QUERY=RkZfUk9FKCdBTk4nLDAp&amp;WINDOW=FIRST_POPUP&amp;HEIGHT=450&amp;WIDTH=450&amp;START_MAXIMIZED=FALSE&amp;VA","R:CALENDAR=FIVEDAY&amp;VAR:SYMBOL=20911510&amp;VAR:INDEX=0"}</definedName>
    <definedName name="_101__FDSAUDITLINK__" localSheetId="4"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5"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15"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19"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18"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14"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12"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24"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7"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20"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21"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11"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17"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16"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22"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9"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13"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localSheetId="23"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1__FDSAUDITLINK__"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_102__FDSAUDITLINK__" localSheetId="4"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5"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15"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19"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18"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14"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12"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24"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7"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20"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21"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11"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17"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16"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22"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9"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13"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localSheetId="23"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2__FDSAUDITLINK__"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_103__FDSAUDITLINK__" localSheetId="4"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5"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15"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19"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18"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14"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12"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24"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7"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20"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21"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11"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17"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16"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22"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9"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13"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localSheetId="23"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3__FDSAUDITLINK__" hidden="1">{"fdsup://directions/FAT Viewer?action=UPDATE&amp;creator=factset&amp;DYN_ARGS=TRUE&amp;DOC_NAME=FAT:FQL_AUDITING_CLIENT_TEMPLATE.FAT&amp;display_string=Audit&amp;VAR:KEY=BYLODIRARQ&amp;VAR:QUERY=RkZfUEJLKCdBTk4nLDAp&amp;WINDOW=FIRST_POPUP&amp;HEIGHT=450&amp;WIDTH=450&amp;START_MAXIMIZED=FALSE&amp;VA","R:CALENDAR=FIVEDAY&amp;VAR:SYMBOL=74971X10&amp;VAR:INDEX=0"}</definedName>
    <definedName name="_104__FDSAUDITLINK__" localSheetId="4"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5"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15"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19"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18"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14"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12"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24"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7"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20"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21"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11"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17"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16"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22"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9"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13"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localSheetId="23"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4__FDSAUDITLINK__" hidden="1">{"fdsup://directions/FAT Viewer?action=UPDATE&amp;creator=factset&amp;DYN_ARGS=TRUE&amp;DOC_NAME=FAT:FQL_AUDITING_CLIENT_TEMPLATE.FAT&amp;display_string=Audit&amp;VAR:KEY=DQXALYHIHA&amp;VAR:QUERY=RkZfUEJLKCdBTk4nLDAp&amp;WINDOW=FIRST_POPUP&amp;HEIGHT=450&amp;WIDTH=450&amp;START_MAXIMIZED=FALSE&amp;VA","R:CALENDAR=FIVEDAY&amp;VAR:SYMBOL=69331C10&amp;VAR:INDEX=0"}</definedName>
    <definedName name="_105__FDSAUDITLINK__" localSheetId="4"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5"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15"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19"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18"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14"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12"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24"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7"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20"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21"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11"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17"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16"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22"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9"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13"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localSheetId="23"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5__FDSAUDITLINK__" hidden="1">{"fdsup://directions/FAT Viewer?action=UPDATE&amp;creator=factset&amp;DYN_ARGS=TRUE&amp;DOC_NAME=FAT:FQL_AUDITING_CLIENT_TEMPLATE.FAT&amp;display_string=Audit&amp;VAR:KEY=LWNADOTSZO&amp;VAR:QUERY=RkZfUEJLKCdBTk4nLDAp&amp;WINDOW=FIRST_POPUP&amp;HEIGHT=450&amp;WIDTH=450&amp;START_MAXIMIZED=FALSE&amp;VA","R:CALENDAR=FIVEDAY&amp;VAR:SYMBOL=62937750&amp;VAR:INDEX=0"}</definedName>
    <definedName name="_106__FDSAUDITLINK__" localSheetId="4"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5"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15"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19"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18"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14"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12"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24"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7"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20"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21"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11"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17"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16"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22"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9"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13"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localSheetId="23"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6__FDSAUDITLINK__" hidden="1">{"fdsup://directions/FAT Viewer?action=UPDATE&amp;creator=factset&amp;DYN_ARGS=TRUE&amp;DOC_NAME=FAT:FQL_AUDITING_CLIENT_TEMPLATE.FAT&amp;display_string=Audit&amp;VAR:KEY=VMPOJGVOJE&amp;VAR:QUERY=RkZfUEJLKCdBTk4nLDAp&amp;WINDOW=FIRST_POPUP&amp;HEIGHT=450&amp;WIDTH=450&amp;START_MAXIMIZED=FALSE&amp;VA","R:CALENDAR=FIVEDAY&amp;VAR:SYMBOL=30161N10&amp;VAR:INDEX=0"}</definedName>
    <definedName name="_107__FDSAUDITLINK__" localSheetId="4"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5"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15"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19"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18"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14"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12"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24"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7"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20"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21"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11"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17"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16"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22"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9"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13"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localSheetId="23"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7__FDSAUDITLINK__" hidden="1">{"fdsup://directions/FAT Viewer?action=UPDATE&amp;creator=factset&amp;DYN_ARGS=TRUE&amp;DOC_NAME=FAT:FQL_AUDITING_CLIENT_TEMPLATE.FAT&amp;display_string=Audit&amp;VAR:KEY=XOLGNOLMBA&amp;VAR:QUERY=RkZfUEJLKCdBTk4nLDAp&amp;WINDOW=FIRST_POPUP&amp;HEIGHT=450&amp;WIDTH=450&amp;START_MAXIMIZED=FALSE&amp;VA","R:CALENDAR=FIVEDAY&amp;VAR:SYMBOL=26441C10&amp;VAR:INDEX=0"}</definedName>
    <definedName name="_108__FDSAUDITLINK__" localSheetId="4"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5"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15"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19"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18"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14"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12"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24"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7"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20"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21"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11"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17"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16"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22"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9"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13"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localSheetId="23"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8__FDSAUDITLINK__" hidden="1">{"fdsup://directions/FAT Viewer?action=UPDATE&amp;creator=factset&amp;DYN_ARGS=TRUE&amp;DOC_NAME=FAT:FQL_AUDITING_CLIENT_TEMPLATE.FAT&amp;display_string=Audit&amp;VAR:KEY=TWDUFOVUBW&amp;VAR:QUERY=RkZfUEJLKCdBTk4nLDAp&amp;WINDOW=FIRST_POPUP&amp;HEIGHT=450&amp;WIDTH=450&amp;START_MAXIMIZED=FALSE&amp;VA","R:CALENDAR=FIVEDAY&amp;VAR:SYMBOL=25746U10&amp;VAR:INDEX=0"}</definedName>
    <definedName name="_109__FDSAUDITLINK__" localSheetId="4"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5"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15"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19"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18"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14"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12"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24"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7"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20"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21"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11"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17"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16"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22"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9"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13"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localSheetId="23"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09__FDSAUDITLINK__" hidden="1">{"fdsup://directions/FAT Viewer?action=UPDATE&amp;creator=factset&amp;DYN_ARGS=TRUE&amp;DOC_NAME=FAT:FQL_AUDITING_CLIENT_TEMPLATE.FAT&amp;display_string=Audit&amp;VAR:KEY=RAZWFGXGBM&amp;VAR:QUERY=RkZfUEJLKCdBTk4nLDAp&amp;WINDOW=FIRST_POPUP&amp;HEIGHT=450&amp;WIDTH=450&amp;START_MAXIMIZED=FALSE&amp;VA","R:CALENDAR=FIVEDAY&amp;VAR:SYMBOL=20911510&amp;VAR:INDEX=0"}</definedName>
    <definedName name="_11__FDSAUDITLINK__" localSheetId="4"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5"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15"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19"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18"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14"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12"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24"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7"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20"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21"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11"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17"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16"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22"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9"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13"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localSheetId="23"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__FDSAUDITLINK__" hidden="1">{"fdsup://directions/FAT Viewer?action=UPDATE&amp;creator=factset&amp;DYN_ARGS=TRUE&amp;DOC_NAME=FAT:FQL_AUDITING_CLIENT_TEMPLATE.FAT&amp;display_string=Audit&amp;VAR:KEY=IHAJQJIFET&amp;VAR:QUERY=RkZfRU5UUlBSX1ZBTF9EQUlMWSgp&amp;WINDOW=FIRST_POPUP&amp;HEIGHT=450&amp;WIDTH=450&amp;START_MAXIMIZED=","FALSE&amp;VAR:CALENDAR=FIVEDAY&amp;VAR:SYMBOL=B18P3B&amp;VAR:INDEX=0"}</definedName>
    <definedName name="_110__FDSAUDITLINK__" localSheetId="4"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5"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15"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19"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18"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14"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12"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24"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7"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20"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21"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11"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17"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16"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22"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9"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13"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localSheetId="23"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0__FDSAUDITLINK__" hidden="1">{"fdsup://directions/FAT Viewer?action=UPDATE&amp;creator=factset&amp;DYN_ARGS=TRUE&amp;DOC_NAME=FAT:FQL_AUDITING_CLIENT_TEMPLATE.FAT&amp;display_string=Audit&amp;VAR:KEY=ZATYNIPMTO&amp;VAR:QUERY=RkZfUEJLKCdBTk4nLDAp&amp;WINDOW=FIRST_POPUP&amp;HEIGHT=450&amp;WIDTH=450&amp;START_MAXIMIZED=FALSE&amp;VA","R:CALENDAR=FIVEDAY&amp;VAR:SYMBOL=02553710&amp;VAR:INDEX=0"}</definedName>
    <definedName name="_111__FDSAUDITLINK__" localSheetId="4"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5"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15"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19"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18"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14"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12"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24"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7"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20"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21"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11"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17"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16"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22"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9"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13"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localSheetId="23"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1__FDSAUDITLINK__" hidden="1">{"fdsup://directions/FAT Viewer?action=UPDATE&amp;creator=factset&amp;DYN_ARGS=TRUE&amp;DOC_NAME=FAT:FQL_AUDITING_CLIENT_TEMPLATE.FAT&amp;display_string=Audit&amp;VAR:KEY=RCVCVSPGXK&amp;VAR:QUERY=RkZfUEUoJ0FOTicsMCk=&amp;WINDOW=FIRST_POPUP&amp;HEIGHT=450&amp;WIDTH=450&amp;START_MAXIMIZED=FALSE&amp;VA","R:CALENDAR=FIVEDAY&amp;VAR:SYMBOL=81685110&amp;VAR:INDEX=0"}</definedName>
    <definedName name="_112__FDSAUDITLINK__" localSheetId="4"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5"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15"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19"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18"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14"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12"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24"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7"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20"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21"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11"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17"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16"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22"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9"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13"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localSheetId="23"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2__FDSAUDITLINK__" hidden="1">{"fdsup://directions/FAT Viewer?action=UPDATE&amp;creator=factset&amp;DYN_ARGS=TRUE&amp;DOC_NAME=FAT:FQL_AUDITING_CLIENT_TEMPLATE.FAT&amp;display_string=Audit&amp;VAR:KEY=FAPWPQZWLW&amp;VAR:QUERY=RkZfUEUoJ0FOTicsMCk=&amp;WINDOW=FIRST_POPUP&amp;HEIGHT=450&amp;WIDTH=450&amp;START_MAXIMIZED=FALSE&amp;VA","R:CALENDAR=FIVEDAY&amp;VAR:SYMBOL=74971X10&amp;VAR:INDEX=0"}</definedName>
    <definedName name="_113__FDSAUDITLINK__" localSheetId="4"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5"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15"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19"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18"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14"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12"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24"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7"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20"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21"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11"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17"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16"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22"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9"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13"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localSheetId="23"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3__FDSAUDITLINK__" hidden="1">{"fdsup://directions/FAT Viewer?action=UPDATE&amp;creator=factset&amp;DYN_ARGS=TRUE&amp;DOC_NAME=FAT:FQL_AUDITING_CLIENT_TEMPLATE.FAT&amp;display_string=Audit&amp;VAR:KEY=LUJQXYTKXG&amp;VAR:QUERY=RkZfUEUoJ0FOTicsMCk=&amp;WINDOW=FIRST_POPUP&amp;HEIGHT=450&amp;WIDTH=450&amp;START_MAXIMIZED=FALSE&amp;VA","R:CALENDAR=FIVEDAY&amp;VAR:SYMBOL=69331C10&amp;VAR:INDEX=0"}</definedName>
    <definedName name="_114__FDSAUDITLINK__" localSheetId="4"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5"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15"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19"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18"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14"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12"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24"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7"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20"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21"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11"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17"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16"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22"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9"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13"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localSheetId="23"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4__FDSAUDITLINK__" hidden="1">{"fdsup://directions/FAT Viewer?action=UPDATE&amp;creator=factset&amp;DYN_ARGS=TRUE&amp;DOC_NAME=FAT:FQL_AUDITING_CLIENT_TEMPLATE.FAT&amp;display_string=Audit&amp;VAR:KEY=HINOVMHEFY&amp;VAR:QUERY=RkZfUEUoJ0FOTicsMCk=&amp;WINDOW=FIRST_POPUP&amp;HEIGHT=450&amp;WIDTH=450&amp;START_MAXIMIZED=FALSE&amp;VA","R:CALENDAR=FIVEDAY&amp;VAR:SYMBOL=62937750&amp;VAR:INDEX=0"}</definedName>
    <definedName name="_115__FDSAUDITLINK__" localSheetId="4"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5"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15"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19"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18"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14"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12"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24"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7"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20"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21"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11"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17"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16"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22"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9"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13"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localSheetId="23"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5__FDSAUDITLINK__" hidden="1">{"fdsup://directions/FAT Viewer?action=UPDATE&amp;creator=factset&amp;DYN_ARGS=TRUE&amp;DOC_NAME=FAT:FQL_AUDITING_CLIENT_TEMPLATE.FAT&amp;display_string=Audit&amp;VAR:KEY=LENQTCZANS&amp;VAR:QUERY=RkZfUEUoJ0FOTicsMCk=&amp;WINDOW=FIRST_POPUP&amp;HEIGHT=450&amp;WIDTH=450&amp;START_MAXIMIZED=FALSE&amp;VA","R:CALENDAR=FIVEDAY&amp;VAR:SYMBOL=30161N10&amp;VAR:INDEX=0"}</definedName>
    <definedName name="_116__FDSAUDITLINK__" localSheetId="4"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5"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15"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19"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18"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14"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12"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24"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7"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20"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21"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11"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17"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16"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22"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9"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13"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localSheetId="23"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6__FDSAUDITLINK__" hidden="1">{"fdsup://directions/FAT Viewer?action=UPDATE&amp;creator=factset&amp;DYN_ARGS=TRUE&amp;DOC_NAME=FAT:FQL_AUDITING_CLIENT_TEMPLATE.FAT&amp;display_string=Audit&amp;VAR:KEY=FCXCZGZCJO&amp;VAR:QUERY=RkZfUEUoJ0FOTicsMCk=&amp;WINDOW=FIRST_POPUP&amp;HEIGHT=450&amp;WIDTH=450&amp;START_MAXIMIZED=FALSE&amp;VA","R:CALENDAR=FIVEDAY&amp;VAR:SYMBOL=26441C10&amp;VAR:INDEX=0"}</definedName>
    <definedName name="_117__FDSAUDITLINK__" localSheetId="4"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5"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15"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19"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18"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14"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12"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24"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7"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20"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21"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11"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17"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16"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22"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9"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13"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localSheetId="23"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7__FDSAUDITLINK__" hidden="1">{"fdsup://directions/FAT Viewer?action=UPDATE&amp;creator=factset&amp;DYN_ARGS=TRUE&amp;DOC_NAME=FAT:FQL_AUDITING_CLIENT_TEMPLATE.FAT&amp;display_string=Audit&amp;VAR:KEY=LKNGZQJUPQ&amp;VAR:QUERY=RkZfUEUoJ0FOTicsMCk=&amp;WINDOW=FIRST_POPUP&amp;HEIGHT=450&amp;WIDTH=450&amp;START_MAXIMIZED=FALSE&amp;VA","R:CALENDAR=FIVEDAY&amp;VAR:SYMBOL=25746U10&amp;VAR:INDEX=0"}</definedName>
    <definedName name="_118__FDSAUDITLINK__" localSheetId="4"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5"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15"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19"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18"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14"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12"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24"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7"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20"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21"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11"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17"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16"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22"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9"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13"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localSheetId="23"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8__FDSAUDITLINK__" hidden="1">{"fdsup://directions/FAT Viewer?action=UPDATE&amp;creator=factset&amp;DYN_ARGS=TRUE&amp;DOC_NAME=FAT:FQL_AUDITING_CLIENT_TEMPLATE.FAT&amp;display_string=Audit&amp;VAR:KEY=LUDQTUBURG&amp;VAR:QUERY=RkZfUEUoJ0FOTicsMCk=&amp;WINDOW=FIRST_POPUP&amp;HEIGHT=450&amp;WIDTH=450&amp;START_MAXIMIZED=FALSE&amp;VA","R:CALENDAR=FIVEDAY&amp;VAR:SYMBOL=20911510&amp;VAR:INDEX=0"}</definedName>
    <definedName name="_119__FDSAUDITLINK__" localSheetId="4"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5"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15"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19"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18"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14"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12"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24"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7"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20"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21"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11"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17"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16"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22"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9"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13"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localSheetId="23"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19__FDSAUDITLINK__" hidden="1">{"fdsup://directions/FAT Viewer?action=UPDATE&amp;creator=factset&amp;DYN_ARGS=TRUE&amp;DOC_NAME=FAT:FQL_AUDITING_CLIENT_TEMPLATE.FAT&amp;display_string=Audit&amp;VAR:KEY=NIPEXYTCDG&amp;VAR:QUERY=RkZfUEUoJ0FOTicsMCk=&amp;WINDOW=FIRST_POPUP&amp;HEIGHT=450&amp;WIDTH=450&amp;START_MAXIMIZED=FALSE&amp;VA","R:CALENDAR=FIVEDAY&amp;VAR:SYMBOL=02553710&amp;VAR:INDEX=0"}</definedName>
    <definedName name="_12__FDSAUDITLINK__" localSheetId="4"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5"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15"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19"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18"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14"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12"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24"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7"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20"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21"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11"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17"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16"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22"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9"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13"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localSheetId="23"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__FDSAUDITLINK__" hidden="1">{"fdsup://directions/FAT Viewer?action=UPDATE&amp;creator=factset&amp;DYN_ARGS=TRUE&amp;DOC_NAME=FAT:FQL_AUDITING_CLIENT_TEMPLATE.FAT&amp;display_string=Audit&amp;VAR:KEY=UBSFAPMZAT&amp;VAR:QUERY=RkZfRU5UUlBSX1ZBTF9EQUlMWSgp&amp;WINDOW=FIRST_POPUP&amp;HEIGHT=450&amp;WIDTH=450&amp;START_MAXIMIZED=","FALSE&amp;VAR:CALENDAR=FIVEDAY&amp;VAR:SYMBOL=610098&amp;VAR:INDEX=0"}</definedName>
    <definedName name="_120__FDSAUDITLINK__" localSheetId="4"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5"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15"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19"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18"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14"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12"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24"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7"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20"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21"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11"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17"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16"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22"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9"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13"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localSheetId="23"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0__FDSAUDITLINK__" hidden="1">{"fdsup://directions/FAT Viewer?action=UPDATE&amp;creator=factset&amp;DYN_ARGS=TRUE&amp;DOC_NAME=FAT:FQL_AUDITING_CLIENT_TEMPLATE.FAT&amp;display_string=Audit&amp;VAR:KEY=LUBUHILYFI&amp;VAR:QUERY=RkZfRU5UUlBSX1ZBTF9EQUlMWSgwLCwsLCwnRElMJykvRUNBX01FQU5fRUJJVERBKCsyLDAp&amp;WINDOW=FIRST","_POPUP&amp;HEIGHT=450&amp;WIDTH=450&amp;START_MAXIMIZED=FALSE&amp;VAR:CALENDAR=FIVEDAY&amp;VAR:SYMBOL=81685110&amp;VAR:INDEX=0"}</definedName>
    <definedName name="_121__FDSAUDITLINK__" localSheetId="4"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5"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15"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19"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18"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14"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12"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24"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7"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20"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21"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11"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17"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16"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22"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9"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13"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localSheetId="23"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1__FDSAUDITLINK__" hidden="1">{"fdsup://directions/FAT Viewer?action=UPDATE&amp;creator=factset&amp;DYN_ARGS=TRUE&amp;DOC_NAME=FAT:FQL_AUDITING_CLIENT_TEMPLATE.FAT&amp;display_string=Audit&amp;VAR:KEY=NIHUHSPGNQ&amp;VAR:QUERY=RkZfRU5UUlBSX1ZBTF9EQUlMWSgwLCwsLCwnRElMJykvRUNBX01FQU5fRUJJVERBKCsxLDAp&amp;WINDOW=FIRST","_POPUP&amp;HEIGHT=450&amp;WIDTH=450&amp;START_MAXIMIZED=FALSE&amp;VAR:CALENDAR=FIVEDAY&amp;VAR:SYMBOL=81685110&amp;VAR:INDEX=0"}</definedName>
    <definedName name="_122__FDSAUDITLINK__" localSheetId="4"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5"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15"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19"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18"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14"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12"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24"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7"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20"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21"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11"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17"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16"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22"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9"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13"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localSheetId="23"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2__FDSAUDITLINK__" hidden="1">{"fdsup://directions/FAT Viewer?action=UPDATE&amp;creator=factset&amp;DYN_ARGS=TRUE&amp;DOC_NAME=FAT:FQL_AUDITING_CLIENT_TEMPLATE.FAT&amp;display_string=Audit&amp;VAR:KEY=LCBUVCJQBI&amp;VAR:QUERY=RkZfRU5UUlBSX1ZBTF9FQklUREEoJ0FOTicsMCk=&amp;WINDOW=FIRST_POPUP&amp;HEIGHT=450&amp;WIDTH=450&amp;STAR","T_MAXIMIZED=FALSE&amp;VAR:CALENDAR=FIVEDAY&amp;VAR:SYMBOL=81685110&amp;VAR:INDEX=0"}</definedName>
    <definedName name="_123__FDSAUDITLINK__" localSheetId="4"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5"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15"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19"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18"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14"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12"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24"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7"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20"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21"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11"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17"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16"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22"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9"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13"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localSheetId="23"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3__FDSAUDITLINK__" hidden="1">{"fdsup://directions/FAT Viewer?action=UPDATE&amp;creator=factset&amp;DYN_ARGS=TRUE&amp;DOC_NAME=FAT:FQL_AUDITING_CLIENT_TEMPLATE.FAT&amp;display_string=Audit&amp;VAR:KEY=VCNSZSBCPC&amp;VAR:QUERY=RkZfRU5UUlBSX1ZBTF9EQUlMWSgwLCwsLCwnRElMJykvRUNBX01FQU5fRUJJVERBKCsyLDAp&amp;WINDOW=FIRST","_POPUP&amp;HEIGHT=450&amp;WIDTH=450&amp;START_MAXIMIZED=FALSE&amp;VAR:CALENDAR=FIVEDAY&amp;VAR:SYMBOL=74971X10&amp;VAR:INDEX=0"}</definedName>
    <definedName name="_124__FDSAUDITLINK__" localSheetId="4"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5"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15"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19"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18"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14"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12"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24"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7"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20"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21"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11"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17"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16"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22"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9"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13"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localSheetId="23"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4__FDSAUDITLINK__" hidden="1">{"fdsup://directions/FAT Viewer?action=UPDATE&amp;creator=factset&amp;DYN_ARGS=TRUE&amp;DOC_NAME=FAT:FQL_AUDITING_CLIENT_TEMPLATE.FAT&amp;display_string=Audit&amp;VAR:KEY=LANSZAHANY&amp;VAR:QUERY=RkZfRU5UUlBSX1ZBTF9EQUlMWSgwLCwsLCwnRElMJykvRUNBX01FQU5fRUJJVERBKCsxLDAp&amp;WINDOW=FIRST","_POPUP&amp;HEIGHT=450&amp;WIDTH=450&amp;START_MAXIMIZED=FALSE&amp;VAR:CALENDAR=FIVEDAY&amp;VAR:SYMBOL=74971X10&amp;VAR:INDEX=0"}</definedName>
    <definedName name="_125__FDSAUDITLINK__" localSheetId="4"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5"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15"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19"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18"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14"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12"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24"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7"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20"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21"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11"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17"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16"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22"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9"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13"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localSheetId="23"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5__FDSAUDITLINK__" hidden="1">{"fdsup://directions/FAT Viewer?action=UPDATE&amp;creator=factset&amp;DYN_ARGS=TRUE&amp;DOC_NAME=FAT:FQL_AUDITING_CLIENT_TEMPLATE.FAT&amp;display_string=Audit&amp;VAR:KEY=PKVALINWHO&amp;VAR:QUERY=RkZfRU5UUlBSX1ZBTF9FQklUREEoJ0FOTicsMCk=&amp;WINDOW=FIRST_POPUP&amp;HEIGHT=450&amp;WIDTH=450&amp;STAR","T_MAXIMIZED=FALSE&amp;VAR:CALENDAR=FIVEDAY&amp;VAR:SYMBOL=74971X10&amp;VAR:INDEX=0"}</definedName>
    <definedName name="_126__FDSAUDITLINK__" localSheetId="4"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5"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15"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19"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18"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14"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12"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24"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7"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20"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21"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11"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17"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16"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22"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9"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13"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localSheetId="23"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6__FDSAUDITLINK__" hidden="1">{"fdsup://directions/FAT Viewer?action=UPDATE&amp;creator=factset&amp;DYN_ARGS=TRUE&amp;DOC_NAME=FAT:FQL_AUDITING_CLIENT_TEMPLATE.FAT&amp;display_string=Audit&amp;VAR:KEY=HCNMXIRSJA&amp;VAR:QUERY=RkZfRU5UUlBSX1ZBTF9EQUlMWSgwLCwsLCwnRElMJykvRUNBX01FQU5fRUJJVERBKCsyLDAp&amp;WINDOW=FIRST","_POPUP&amp;HEIGHT=450&amp;WIDTH=450&amp;START_MAXIMIZED=FALSE&amp;VAR:CALENDAR=FIVEDAY&amp;VAR:SYMBOL=69331C10&amp;VAR:INDEX=0"}</definedName>
    <definedName name="_127__FDSAUDITLINK__" localSheetId="4"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5"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15"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19"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18"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14"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12"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24"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7"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20"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21"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11"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17"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16"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22"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9"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13"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localSheetId="23"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7__FDSAUDITLINK__" hidden="1">{"fdsup://directions/FAT Viewer?action=UPDATE&amp;creator=factset&amp;DYN_ARGS=TRUE&amp;DOC_NAME=FAT:FQL_AUDITING_CLIENT_TEMPLATE.FAT&amp;display_string=Audit&amp;VAR:KEY=RIXKLINYXS&amp;VAR:QUERY=RkZfRU5UUlBSX1ZBTF9EQUlMWSgwLCwsLCwnRElMJykvRUNBX01FQU5fRUJJVERBKCsxLDAp&amp;WINDOW=FIRST","_POPUP&amp;HEIGHT=450&amp;WIDTH=450&amp;START_MAXIMIZED=FALSE&amp;VAR:CALENDAR=FIVEDAY&amp;VAR:SYMBOL=69331C10&amp;VAR:INDEX=0"}</definedName>
    <definedName name="_128__FDSAUDITLINK__" localSheetId="4"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5"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15"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19"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18"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14"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12"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24"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7"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20"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21"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11"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17"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16"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22"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9"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13"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localSheetId="23"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8__FDSAUDITLINK__" hidden="1">{"fdsup://directions/FAT Viewer?action=UPDATE&amp;creator=factset&amp;DYN_ARGS=TRUE&amp;DOC_NAME=FAT:FQL_AUDITING_CLIENT_TEMPLATE.FAT&amp;display_string=Audit&amp;VAR:KEY=BQTGJKFWLA&amp;VAR:QUERY=RkZfRU5UUlBSX1ZBTF9FQklUREEoJ0FOTicsMCk=&amp;WINDOW=FIRST_POPUP&amp;HEIGHT=450&amp;WIDTH=450&amp;STAR","T_MAXIMIZED=FALSE&amp;VAR:CALENDAR=FIVEDAY&amp;VAR:SYMBOL=69331C10&amp;VAR:INDEX=0"}</definedName>
    <definedName name="_129__FDSAUDITLINK__" localSheetId="4"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5"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15"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19"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18"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14"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12"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24"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7"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20"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21"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11"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17"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16"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22"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9"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13"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localSheetId="23"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29__FDSAUDITLINK__" hidden="1">{"fdsup://directions/FAT Viewer?action=UPDATE&amp;creator=factset&amp;DYN_ARGS=TRUE&amp;DOC_NAME=FAT:FQL_AUDITING_CLIENT_TEMPLATE.FAT&amp;display_string=Audit&amp;VAR:KEY=RSBYJGFAHS&amp;VAR:QUERY=RkZfRU5UUlBSX1ZBTF9EQUlMWSgwLCwsLCwnRElMJykvRUNBX01FQU5fRUJJVERBKCsyLDAp&amp;WINDOW=FIRST","_POPUP&amp;HEIGHT=450&amp;WIDTH=450&amp;START_MAXIMIZED=FALSE&amp;VAR:CALENDAR=FIVEDAY&amp;VAR:SYMBOL=62937750&amp;VAR:INDEX=0"}</definedName>
    <definedName name="_13__FDSAUDITLINK__" localSheetId="4"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5"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15"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19"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18"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14"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12"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24"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7"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20"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21"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11"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17"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16"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22"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9"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13"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localSheetId="23"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__FDSAUDITLINK__" hidden="1">{"fdsup://directions/FAT Viewer?action=UPDATE&amp;creator=factset&amp;DYN_ARGS=TRUE&amp;DOC_NAME=FAT:FQL_AUDITING_CLIENT_TEMPLATE.FAT&amp;display_string=Audit&amp;VAR:KEY=OHEFSVIJCJ&amp;VAR:QUERY=RkZfRU5UUlBSX1ZBTF9EQUlMWSgp&amp;WINDOW=FIRST_POPUP&amp;HEIGHT=450&amp;WIDTH=450&amp;START_MAXIMIZED=","FALSE&amp;VAR:CALENDAR=FIVEDAY&amp;VAR:SYMBOL=B192HJ&amp;VAR:INDEX=0"}</definedName>
    <definedName name="_130__FDSAUDITLINK__" localSheetId="4"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5"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15"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19"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18"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14"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12"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24"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7"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20"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21"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11"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17"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16"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22"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9"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13"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localSheetId="23"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0__FDSAUDITLINK__" hidden="1">{"fdsup://directions/FAT Viewer?action=UPDATE&amp;creator=factset&amp;DYN_ARGS=TRUE&amp;DOC_NAME=FAT:FQL_AUDITING_CLIENT_TEMPLATE.FAT&amp;display_string=Audit&amp;VAR:KEY=TEHMFAHELY&amp;VAR:QUERY=RkZfRU5UUlBSX1ZBTF9EQUlMWSgwLCwsLCwnRElMJykvRUNBX01FQU5fRUJJVERBKCsxLDAp&amp;WINDOW=FIRST","_POPUP&amp;HEIGHT=450&amp;WIDTH=450&amp;START_MAXIMIZED=FALSE&amp;VAR:CALENDAR=FIVEDAY&amp;VAR:SYMBOL=62937750&amp;VAR:INDEX=0"}</definedName>
    <definedName name="_131__FDSAUDITLINK__" localSheetId="4"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5"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15"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19"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18"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14"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12"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24"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7"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20"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21"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11"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17"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16"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22"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9"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13"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localSheetId="23"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1__FDSAUDITLINK__" hidden="1">{"fdsup://directions/FAT Viewer?action=UPDATE&amp;creator=factset&amp;DYN_ARGS=TRUE&amp;DOC_NAME=FAT:FQL_AUDITING_CLIENT_TEMPLATE.FAT&amp;display_string=Audit&amp;VAR:KEY=NUJOPOBSPC&amp;VAR:QUERY=RkZfRU5UUlBSX1ZBTF9FQklUREEoJ0FOTicsMCk=&amp;WINDOW=FIRST_POPUP&amp;HEIGHT=450&amp;WIDTH=450&amp;STAR","T_MAXIMIZED=FALSE&amp;VAR:CALENDAR=FIVEDAY&amp;VAR:SYMBOL=62937750&amp;VAR:INDEX=0"}</definedName>
    <definedName name="_132__FDSAUDITLINK__" localSheetId="4"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5"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15"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19"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18"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14"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12"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24"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7"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20"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21"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11"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17"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16"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22"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9"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13"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localSheetId="23"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2__FDSAUDITLINK__" hidden="1">{"fdsup://directions/FAT Viewer?action=UPDATE&amp;creator=factset&amp;DYN_ARGS=TRUE&amp;DOC_NAME=FAT:FQL_AUDITING_CLIENT_TEMPLATE.FAT&amp;display_string=Audit&amp;VAR:KEY=HUJCPUVEDI&amp;VAR:QUERY=RkZfRU5UUlBSX1ZBTF9EQUlMWSgwLCwsLCwnRElMJykvRUNBX01FQU5fRUJJVERBKCsyLDAp&amp;WINDOW=FIRST","_POPUP&amp;HEIGHT=450&amp;WIDTH=450&amp;START_MAXIMIZED=FALSE&amp;VAR:CALENDAR=FIVEDAY&amp;VAR:SYMBOL=30161N10&amp;VAR:INDEX=0"}</definedName>
    <definedName name="_133__FDSAUDITLINK__" localSheetId="4"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5"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15"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19"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18"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14"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12"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24"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7"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20"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21"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11"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17"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16"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22"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9"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13"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localSheetId="23"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3__FDSAUDITLINK__" hidden="1">{"fdsup://directions/FAT Viewer?action=UPDATE&amp;creator=factset&amp;DYN_ARGS=TRUE&amp;DOC_NAME=FAT:FQL_AUDITING_CLIENT_TEMPLATE.FAT&amp;display_string=Audit&amp;VAR:KEY=PKVOROXITG&amp;VAR:QUERY=RkZfRU5UUlBSX1ZBTF9EQUlMWSgwLCwsLCwnRElMJykvRUNBX01FQU5fRUJJVERBKCsxLDAp&amp;WINDOW=FIRST","_POPUP&amp;HEIGHT=450&amp;WIDTH=450&amp;START_MAXIMIZED=FALSE&amp;VAR:CALENDAR=FIVEDAY&amp;VAR:SYMBOL=30161N10&amp;VAR:INDEX=0"}</definedName>
    <definedName name="_134__FDSAUDITLINK__" localSheetId="4"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5"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15"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19"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18"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14"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12"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24"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7"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20"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21"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11"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17"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16"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22"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9"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13"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localSheetId="23"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4__FDSAUDITLINK__" hidden="1">{"fdsup://directions/FAT Viewer?action=UPDATE&amp;creator=factset&amp;DYN_ARGS=TRUE&amp;DOC_NAME=FAT:FQL_AUDITING_CLIENT_TEMPLATE.FAT&amp;display_string=Audit&amp;VAR:KEY=JGRIXSRQNI&amp;VAR:QUERY=RkZfRU5UUlBSX1ZBTF9FQklUREEoJ0FOTicsMCk=&amp;WINDOW=FIRST_POPUP&amp;HEIGHT=450&amp;WIDTH=450&amp;STAR","T_MAXIMIZED=FALSE&amp;VAR:CALENDAR=FIVEDAY&amp;VAR:SYMBOL=30161N10&amp;VAR:INDEX=0"}</definedName>
    <definedName name="_135__FDSAUDITLINK__" localSheetId="4"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5"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15"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19"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18"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14"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12"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24"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7"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20"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21"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11"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17"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16"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22"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9"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13"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localSheetId="23"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5__FDSAUDITLINK__" hidden="1">{"fdsup://directions/FAT Viewer?action=UPDATE&amp;creator=factset&amp;DYN_ARGS=TRUE&amp;DOC_NAME=FAT:FQL_AUDITING_CLIENT_TEMPLATE.FAT&amp;display_string=Audit&amp;VAR:KEY=ZILERGDOHC&amp;VAR:QUERY=RkZfRU5UUlBSX1ZBTF9EQUlMWSgwLCwsLCwnRElMJykvRUNBX01FQU5fRUJJVERBKCsyLDAp&amp;WINDOW=FIRST","_POPUP&amp;HEIGHT=450&amp;WIDTH=450&amp;START_MAXIMIZED=FALSE&amp;VAR:CALENDAR=FIVEDAY&amp;VAR:SYMBOL=26441C10&amp;VAR:INDEX=0"}</definedName>
    <definedName name="_136__FDSAUDITLINK__" localSheetId="4"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5"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15"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19"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18"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14"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12"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24"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7"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20"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21"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11"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17"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16"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22"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9"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13"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localSheetId="23"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6__FDSAUDITLINK__" hidden="1">{"fdsup://directions/FAT Viewer?action=UPDATE&amp;creator=factset&amp;DYN_ARGS=TRUE&amp;DOC_NAME=FAT:FQL_AUDITING_CLIENT_TEMPLATE.FAT&amp;display_string=Audit&amp;VAR:KEY=FQFEROLYZK&amp;VAR:QUERY=RkZfRU5UUlBSX1ZBTF9EQUlMWSgwLCwsLCwnRElMJykvRUNBX01FQU5fRUJJVERBKCsxLDAp&amp;WINDOW=FIRST","_POPUP&amp;HEIGHT=450&amp;WIDTH=450&amp;START_MAXIMIZED=FALSE&amp;VAR:CALENDAR=FIVEDAY&amp;VAR:SYMBOL=26441C10&amp;VAR:INDEX=0"}</definedName>
    <definedName name="_137__FDSAUDITLINK__" localSheetId="4"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5"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15"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19"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18"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14"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12"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24"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7"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20"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21"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11"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17"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16"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22"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9"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13"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localSheetId="23"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7__FDSAUDITLINK__" hidden="1">{"fdsup://directions/FAT Viewer?action=UPDATE&amp;creator=factset&amp;DYN_ARGS=TRUE&amp;DOC_NAME=FAT:FQL_AUDITING_CLIENT_TEMPLATE.FAT&amp;display_string=Audit&amp;VAR:KEY=LQTSZKDCPY&amp;VAR:QUERY=RkZfRU5UUlBSX1ZBTF9FQklUREEoJ0FOTicsMCk=&amp;WINDOW=FIRST_POPUP&amp;HEIGHT=450&amp;WIDTH=450&amp;STAR","T_MAXIMIZED=FALSE&amp;VAR:CALENDAR=FIVEDAY&amp;VAR:SYMBOL=26441C10&amp;VAR:INDEX=0"}</definedName>
    <definedName name="_138__FDSAUDITLINK__" localSheetId="4"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5"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15"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19"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18"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14"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12"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24"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7"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20"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21"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11"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17"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16"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22"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9"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13"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localSheetId="23"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8__FDSAUDITLINK__" hidden="1">{"fdsup://directions/FAT Viewer?action=UPDATE&amp;creator=factset&amp;DYN_ARGS=TRUE&amp;DOC_NAME=FAT:FQL_AUDITING_CLIENT_TEMPLATE.FAT&amp;display_string=Audit&amp;VAR:KEY=VEJGHMLANY&amp;VAR:QUERY=RkZfRU5UUlBSX1ZBTF9EQUlMWSgwLCwsLCwnRElMJykvRUNBX01FQU5fRUJJVERBKCsyLDAp&amp;WINDOW=FIRST","_POPUP&amp;HEIGHT=450&amp;WIDTH=450&amp;START_MAXIMIZED=FALSE&amp;VAR:CALENDAR=FIVEDAY&amp;VAR:SYMBOL=25746U10&amp;VAR:INDEX=0"}</definedName>
    <definedName name="_139__FDSAUDITLINK__" localSheetId="4"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5"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15"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19"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18"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14"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12"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24"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7"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20"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21"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11"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17"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16"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22"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9"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13"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localSheetId="23"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39__FDSAUDITLINK__" hidden="1">{"fdsup://directions/FAT Viewer?action=UPDATE&amp;creator=factset&amp;DYN_ARGS=TRUE&amp;DOC_NAME=FAT:FQL_AUDITING_CLIENT_TEMPLATE.FAT&amp;display_string=Audit&amp;VAR:KEY=LKDEVSTQDK&amp;VAR:QUERY=RkZfRU5UUlBSX1ZBTF9EQUlMWSgwLCwsLCwnRElMJykvRUNBX01FQU5fRUJJVERBKCsxLDAp&amp;WINDOW=FIRST","_POPUP&amp;HEIGHT=450&amp;WIDTH=450&amp;START_MAXIMIZED=FALSE&amp;VAR:CALENDAR=FIVEDAY&amp;VAR:SYMBOL=25746U10&amp;VAR:INDEX=0"}</definedName>
    <definedName name="_14__FDSAUDITLINK__" localSheetId="4"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5"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15"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19"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18"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14"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12"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24"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7"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20"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21"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11"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17"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16"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22"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9"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13"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localSheetId="23"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__FDSAUDITLINK__" hidden="1">{"fdsup://directions/FAT Viewer?action=UPDATE&amp;creator=factset&amp;DYN_ARGS=TRUE&amp;DOC_NAME=FAT:FQL_AUDITING_CLIENT_TEMPLATE.FAT&amp;display_string=Audit&amp;VAR:KEY=IZAPEJYXYT&amp;VAR:QUERY=RkZfRU5UUlBSX1ZBTF9EQUlMWSgp&amp;WINDOW=FIRST_POPUP&amp;HEIGHT=450&amp;WIDTH=450&amp;START_MAXIMIZED=","FALSE&amp;VAR:CALENDAR=FIVEDAY&amp;VAR:SYMBOL=B0XXJX&amp;VAR:INDEX=0"}</definedName>
    <definedName name="_140__FDSAUDITLINK__" localSheetId="4"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5"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15"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19"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18"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14"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12"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24"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7"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20"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21"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11"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17"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16"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22"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9"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13"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localSheetId="23"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0__FDSAUDITLINK__" hidden="1">{"fdsup://directions/FAT Viewer?action=UPDATE&amp;creator=factset&amp;DYN_ARGS=TRUE&amp;DOC_NAME=FAT:FQL_AUDITING_CLIENT_TEMPLATE.FAT&amp;display_string=Audit&amp;VAR:KEY=TKLYXSVMZK&amp;VAR:QUERY=RkZfRU5UUlBSX1ZBTF9FQklUREEoJ0FOTicsMCk=&amp;WINDOW=FIRST_POPUP&amp;HEIGHT=450&amp;WIDTH=450&amp;STAR","T_MAXIMIZED=FALSE&amp;VAR:CALENDAR=FIVEDAY&amp;VAR:SYMBOL=25746U10&amp;VAR:INDEX=0"}</definedName>
    <definedName name="_141__FDSAUDITLINK__" localSheetId="4"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5"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15"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19"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18"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14"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12"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24"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7"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20"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21"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11"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17"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16"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22"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9"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13"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localSheetId="23"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1__FDSAUDITLINK__" hidden="1">{"fdsup://directions/FAT Viewer?action=UPDATE&amp;creator=factset&amp;DYN_ARGS=TRUE&amp;DOC_NAME=FAT:FQL_AUDITING_CLIENT_TEMPLATE.FAT&amp;display_string=Audit&amp;VAR:KEY=FYPQHOJQNI&amp;VAR:QUERY=RkZfRU5UUlBSX1ZBTF9EQUlMWSgwLCwsLCwnRElMJykvRUNBX01FQU5fRUJJVERBKCsyLDAp&amp;WINDOW=FIRST","_POPUP&amp;HEIGHT=450&amp;WIDTH=450&amp;START_MAXIMIZED=FALSE&amp;VAR:CALENDAR=FIVEDAY&amp;VAR:SYMBOL=20911510&amp;VAR:INDEX=0"}</definedName>
    <definedName name="_142__FDSAUDITLINK__" localSheetId="4"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5"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15"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19"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18"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14"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12"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24"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7"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20"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21"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11"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17"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16"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22"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9"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13"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localSheetId="23"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2__FDSAUDITLINK__" hidden="1">{"fdsup://directions/FAT Viewer?action=UPDATE&amp;creator=factset&amp;DYN_ARGS=TRUE&amp;DOC_NAME=FAT:FQL_AUDITING_CLIENT_TEMPLATE.FAT&amp;display_string=Audit&amp;VAR:KEY=FCBQFUDURK&amp;VAR:QUERY=RkZfRU5UUlBSX1ZBTF9EQUlMWSgwLCwsLCwnRElMJykvRUNBX01FQU5fRUJJVERBKCsxLDAp&amp;WINDOW=FIRST","_POPUP&amp;HEIGHT=450&amp;WIDTH=450&amp;START_MAXIMIZED=FALSE&amp;VAR:CALENDAR=FIVEDAY&amp;VAR:SYMBOL=20911510&amp;VAR:INDEX=0"}</definedName>
    <definedName name="_143__FDSAUDITLINK__" localSheetId="4"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5"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15"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19"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18"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14"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12"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24"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7"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20"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21"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11"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17"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16"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22"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9"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13"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localSheetId="23"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3__FDSAUDITLINK__" hidden="1">{"fdsup://directions/FAT Viewer?action=UPDATE&amp;creator=factset&amp;DYN_ARGS=TRUE&amp;DOC_NAME=FAT:FQL_AUDITING_CLIENT_TEMPLATE.FAT&amp;display_string=Audit&amp;VAR:KEY=FMZYZCJEZI&amp;VAR:QUERY=RkZfRU5UUlBSX1ZBTF9FQklUREEoJ0FOTicsMCk=&amp;WINDOW=FIRST_POPUP&amp;HEIGHT=450&amp;WIDTH=450&amp;STAR","T_MAXIMIZED=FALSE&amp;VAR:CALENDAR=FIVEDAY&amp;VAR:SYMBOL=20911510&amp;VAR:INDEX=0"}</definedName>
    <definedName name="_144__FDSAUDITLINK__" localSheetId="4"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5"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15"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19"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18"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14"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12"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24"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7"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20"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21"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11"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17"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16"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22"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9"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13"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localSheetId="23"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4__FDSAUDITLINK__" hidden="1">{"fdsup://directions/FAT Viewer?action=UPDATE&amp;creator=factset&amp;DYN_ARGS=TRUE&amp;DOC_NAME=FAT:FQL_AUDITING_CLIENT_TEMPLATE.FAT&amp;display_string=Audit&amp;VAR:KEY=FOJKBKLKFG&amp;VAR:QUERY=RkZfRU5UUlBSX1ZBTF9EQUlMWSgwLCwsLCwnRElMJykvRUNBX01FQU5fRUJJVERBKCsyLDAp&amp;WINDOW=FIRST","_POPUP&amp;HEIGHT=450&amp;WIDTH=450&amp;START_MAXIMIZED=FALSE&amp;VAR:CALENDAR=FIVEDAY&amp;VAR:SYMBOL=02553710&amp;VAR:INDEX=0"}</definedName>
    <definedName name="_145__FDSAUDITLINK__" localSheetId="4"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5"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15"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19"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18"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14"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12"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24"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7"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20"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21"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11"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17"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16"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22"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9"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13"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localSheetId="23"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5__FDSAUDITLINK__" hidden="1">{"fdsup://directions/FAT Viewer?action=UPDATE&amp;creator=factset&amp;DYN_ARGS=TRUE&amp;DOC_NAME=FAT:FQL_AUDITING_CLIENT_TEMPLATE.FAT&amp;display_string=Audit&amp;VAR:KEY=ZEREPYLAJI&amp;VAR:QUERY=RkZfRU5UUlBSX1ZBTF9EQUlMWSgwLCwsLCwnRElMJykvRUNBX01FQU5fRUJJVERBKCsxLDAp&amp;WINDOW=FIRST","_POPUP&amp;HEIGHT=450&amp;WIDTH=450&amp;START_MAXIMIZED=FALSE&amp;VAR:CALENDAR=FIVEDAY&amp;VAR:SYMBOL=02553710&amp;VAR:INDEX=0"}</definedName>
    <definedName name="_146__FDSAUDITLINK__" localSheetId="4"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5"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15"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19"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18"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14"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12"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24"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7"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20"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21"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11"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17"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16"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22"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9"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13"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localSheetId="23"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6__FDSAUDITLINK__" hidden="1">{"fdsup://directions/FAT Viewer?action=UPDATE&amp;creator=factset&amp;DYN_ARGS=TRUE&amp;DOC_NAME=FAT:FQL_AUDITING_CLIENT_TEMPLATE.FAT&amp;display_string=Audit&amp;VAR:KEY=XQBKPMDSFA&amp;VAR:QUERY=RkZfRU5UUlBSX1ZBTF9FQklUREEoJ0FOTicsMCk=&amp;WINDOW=FIRST_POPUP&amp;HEIGHT=450&amp;WIDTH=450&amp;STAR","T_MAXIMIZED=FALSE&amp;VAR:CALENDAR=FIVEDAY&amp;VAR:SYMBOL=02553710&amp;VAR:INDEX=0"}</definedName>
    <definedName name="_147__FDSAUDITLINK__" localSheetId="4"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5"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15"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19"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18"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14"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12"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24"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7"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20"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21"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11"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17"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16"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22"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9"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13"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localSheetId="23"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7__FDSAUDITLINK__" hidden="1">{"fdsup://directions/FAT Viewer?action=UPDATE&amp;creator=factset&amp;DYN_ARGS=TRUE&amp;DOC_NAME=FAT:FQL_AUDITING_CLIENT_TEMPLATE.FAT&amp;display_string=Audit&amp;VAR:KEY=BYLUHKPKJO&amp;VAR:QUERY=RkZfRElWX1lMRChBTk4sMCk=&amp;WINDOW=FIRST_POPUP&amp;HEIGHT=450&amp;WIDTH=450&amp;START_MAXIMIZED=FALS","E&amp;VAR:CALENDAR=FIVEDAY&amp;VAR:SYMBOL=691316&amp;VAR:INDEX=0"}</definedName>
    <definedName name="_148__FDSAUDITLINK__" localSheetId="4"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5"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15"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19"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18"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14"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12"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24"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7"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20"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21"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11"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17"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16"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22"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9"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13"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localSheetId="23"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8__FDSAUDITLINK__" hidden="1">{"fdsup://directions/FAT Viewer?action=UPDATE&amp;creator=factset&amp;DYN_ARGS=TRUE&amp;DOC_NAME=FAT:FQL_AUDITING_CLIENT_TEMPLATE.FAT&amp;display_string=Audit&amp;VAR:KEY=DOLEZIJSVC&amp;VAR:QUERY=RkZfRElWX1lMRChBTk4sMCk=&amp;WINDOW=FIRST_POPUP&amp;HEIGHT=450&amp;WIDTH=450&amp;START_MAXIMIZED=FALS","E&amp;VAR:CALENDAR=FIVEDAY&amp;VAR:SYMBOL=610728&amp;VAR:INDEX=0"}</definedName>
    <definedName name="_149__FDSAUDITLINK__" localSheetId="4"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5"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15"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19"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18"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14"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12"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24"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7"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20"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21"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11"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17"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16"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22"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9"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13"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localSheetId="23"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49__FDSAUDITLINK__" hidden="1">{"fdsup://directions/FAT Viewer?action=UPDATE&amp;creator=factset&amp;DYN_ARGS=TRUE&amp;DOC_NAME=FAT:FQL_AUDITING_CLIENT_TEMPLATE.FAT&amp;display_string=Audit&amp;VAR:KEY=XOHWFQXKTK&amp;VAR:QUERY=RkZfRElWX1lMRChBTk4sMCk=&amp;WINDOW=FIRST_POPUP&amp;HEIGHT=450&amp;WIDTH=450&amp;START_MAXIMIZED=FALS","E&amp;VAR:CALENDAR=FIVEDAY&amp;VAR:SYMBOL=681795&amp;VAR:INDEX=0"}</definedName>
    <definedName name="_15__FDSAUDITLINK__" localSheetId="4"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5"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15"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19"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18"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14"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12"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24"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7"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20"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21"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11"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17"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16"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22"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9"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13"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localSheetId="23"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__FDSAUDITLINK__" hidden="1">{"fdsup://directions/FAT Viewer?action=UPDATE&amp;creator=factset&amp;DYN_ARGS=TRUE&amp;DOC_NAME=FAT:FQL_AUDITING_CLIENT_TEMPLATE.FAT&amp;display_string=Audit&amp;VAR:KEY=OTQHOLWNGH&amp;VAR:QUERY=RkZfRU5UUlBSX1ZBTF9EQUlMWSgp&amp;WINDOW=FIRST_POPUP&amp;HEIGHT=450&amp;WIDTH=450&amp;START_MAXIMIZED=","FALSE&amp;VAR:CALENDAR=FIVEDAY&amp;VAR:SYMBOL=B2NXWC&amp;VAR:INDEX=0"}</definedName>
    <definedName name="_150__FDSAUDITLINK__" localSheetId="4"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5"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15"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19"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18"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14"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12"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24"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7"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20"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21"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11"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17"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16"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22"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9"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13"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localSheetId="23"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0__FDSAUDITLINK__" hidden="1">{"fdsup://directions/FAT Viewer?action=UPDATE&amp;creator=factset&amp;DYN_ARGS=TRUE&amp;DOC_NAME=FAT:FQL_AUDITING_CLIENT_TEMPLATE.FAT&amp;display_string=Audit&amp;VAR:KEY=DMNOVIZUFI&amp;VAR:QUERY=RkZfRElWX1lMRChBTk4sMCk=&amp;WINDOW=FIRST_POPUP&amp;HEIGHT=450&amp;WIDTH=450&amp;START_MAXIMIZED=FALS","E&amp;VAR:CALENDAR=FIVEDAY&amp;VAR:SYMBOL=639321&amp;VAR:INDEX=0"}</definedName>
    <definedName name="_151__FDSAUDITLINK__" localSheetId="4"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5"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15"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19"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18"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14"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12"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24"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7"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20"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21"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11"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17"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16"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22"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9"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13"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localSheetId="23"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1__FDSAUDITLINK__" hidden="1">{"fdsup://directions/FAT Viewer?action=UPDATE&amp;creator=factset&amp;DYN_ARGS=TRUE&amp;DOC_NAME=FAT:FQL_AUDITING_CLIENT_TEMPLATE.FAT&amp;display_string=Audit&amp;VAR:KEY=ROXAJSXAFE&amp;VAR:QUERY=RkZfRElWX1lMRChBTk4sMCk=&amp;WINDOW=FIRST_POPUP&amp;HEIGHT=450&amp;WIDTH=450&amp;START_MAXIMIZED=FALS","E&amp;VAR:CALENDAR=FIVEDAY&amp;VAR:SYMBOL=633393&amp;VAR:INDEX=0"}</definedName>
    <definedName name="_152__FDSAUDITLINK__" localSheetId="4"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5"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15"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19"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18"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14"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12"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24"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7"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20"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21"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11"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17"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16"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22"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9"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13"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localSheetId="23"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2__FDSAUDITLINK__" hidden="1">{"fdsup://directions/FAT Viewer?action=UPDATE&amp;creator=factset&amp;DYN_ARGS=TRUE&amp;DOC_NAME=FAT:FQL_AUDITING_CLIENT_TEMPLATE.FAT&amp;display_string=Audit&amp;VAR:KEY=XERYFYXOLI&amp;VAR:QUERY=RkZfRElWX1lMRChBTk4sMCk=&amp;WINDOW=FIRST_POPUP&amp;HEIGHT=450&amp;WIDTH=450&amp;START_MAXIMIZED=FALS","E&amp;VAR:CALENDAR=FIVEDAY&amp;VAR:SYMBOL=690461&amp;VAR:INDEX=0"}</definedName>
    <definedName name="_153__FDSAUDITLINK__" localSheetId="4"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5"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15"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19"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18"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14"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12"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24"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7"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20"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21"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11"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17"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16"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22"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9"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13"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localSheetId="23"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3__FDSAUDITLINK__" hidden="1">{"fdsup://directions/FAT Viewer?action=UPDATE&amp;creator=factset&amp;DYN_ARGS=TRUE&amp;DOC_NAME=FAT:FQL_AUDITING_CLIENT_TEMPLATE.FAT&amp;display_string=Audit&amp;VAR:KEY=PQXOFOXQTC&amp;VAR:QUERY=RkZfRElWX1lMRChBTk4sMCk=&amp;WINDOW=FIRST_POPUP&amp;HEIGHT=450&amp;WIDTH=450&amp;START_MAXIMIZED=FALS","E&amp;VAR:CALENDAR=FIVEDAY&amp;VAR:SYMBOL=629423&amp;VAR:INDEX=0"}</definedName>
    <definedName name="_154__FDSAUDITLINK__" localSheetId="4"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5"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15"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19"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18"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14"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12"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24"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7"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20"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21"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11"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17"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16"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22"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9"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13"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localSheetId="23"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4__FDSAUDITLINK__" hidden="1">{"fdsup://directions/FAT Viewer?action=UPDATE&amp;creator=factset&amp;DYN_ARGS=TRUE&amp;DOC_NAME=FAT:FQL_AUDITING_CLIENT_TEMPLATE.FAT&amp;display_string=Audit&amp;VAR:KEY=NOXONAZCRA&amp;VAR:QUERY=RkZfRElWX1lMRChBTk4sMCk=&amp;WINDOW=FIRST_POPUP&amp;HEIGHT=450&amp;WIDTH=450&amp;START_MAXIMIZED=FALS","E&amp;VAR:CALENDAR=FIVEDAY&amp;VAR:SYMBOL=618207&amp;VAR:INDEX=0"}</definedName>
    <definedName name="_155__FDSAUDITLINK__" localSheetId="4"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5"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15"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19"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18"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14"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12"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24"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7"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20"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21"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11"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17"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16"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22"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9"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13"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localSheetId="23"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5__FDSAUDITLINK__" hidden="1">{"fdsup://directions/FAT Viewer?action=UPDATE&amp;creator=factset&amp;DYN_ARGS=TRUE&amp;DOC_NAME=FAT:FQL_AUDITING_CLIENT_TEMPLATE.FAT&amp;display_string=Audit&amp;VAR:KEY=NOHYXEFCXK&amp;VAR:QUERY=RkZfRElWX1lMRChBTk4sMCk=&amp;WINDOW=FIRST_POPUP&amp;HEIGHT=450&amp;WIDTH=450&amp;START_MAXIMIZED=FALS","E&amp;VAR:CALENDAR=FIVEDAY&amp;VAR:SYMBOL=649573&amp;VAR:INDEX=0"}</definedName>
    <definedName name="_156__FDSAUDITLINK__" localSheetId="4"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5"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15"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19"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18"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14"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12"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24"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7"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20"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21"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11"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17"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16"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22"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9"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13"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localSheetId="23"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6__FDSAUDITLINK__" hidden="1">{"fdsup://directions/FAT Viewer?action=UPDATE&amp;creator=factset&amp;DYN_ARGS=TRUE&amp;DOC_NAME=FAT:FQL_AUDITING_CLIENT_TEMPLATE.FAT&amp;display_string=Audit&amp;VAR:KEY=ROVKRMXUNS&amp;VAR:QUERY=RkZfRElWX1lMRChBTk4sMCk=&amp;WINDOW=FIRST_POPUP&amp;HEIGHT=450&amp;WIDTH=450&amp;START_MAXIMIZED=FALS","E&amp;VAR:CALENDAR=FIVEDAY&amp;VAR:SYMBOL=609967&amp;VAR:INDEX=0"}</definedName>
    <definedName name="_157__FDSAUDITLINK__" localSheetId="4"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5"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15"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19"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18"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14"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12"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24"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7"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20"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21"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11"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17"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16"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22"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9"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13"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localSheetId="23"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7__FDSAUDITLINK__" hidden="1">{"fdsup://directions/FAT Viewer?action=UPDATE&amp;creator=factset&amp;DYN_ARGS=TRUE&amp;DOC_NAME=FAT:FQL_AUDITING_CLIENT_TEMPLATE.FAT&amp;display_string=Audit&amp;VAR:KEY=MVKFGPMPGF&amp;VAR:QUERY=RkZfRU5UUlBSX1ZBTF9EQUlMWSgwLCwsLCwnRElMJykvRUNBX01FQU5fRUJJVERBKCsxLDAp&amp;WINDOW=FIRST","_POPUP&amp;HEIGHT=450&amp;WIDTH=450&amp;START_MAXIMIZED=FALSE&amp;VAR:CALENDAR=FIVEDAY&amp;VAR:SYMBOL=622010&amp;VAR:INDEX=0"}</definedName>
    <definedName name="_158__FDSAUDITLINK__" localSheetId="4"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5"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15"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19"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18"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14"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12"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24"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7"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20"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21"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11"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17"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16"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22"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9"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13"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localSheetId="23"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8__FDSAUDITLINK__" hidden="1">{"fdsup://directions/FAT Viewer?action=UPDATE&amp;creator=factset&amp;DYN_ARGS=TRUE&amp;DOC_NAME=FAT:FQL_AUDITING_CLIENT_TEMPLATE.FAT&amp;display_string=Audit&amp;VAR:KEY=CNKNYHOPQJ&amp;VAR:QUERY=RkZfRU5UUlBSX1ZBTF9FQklUREEoQU5OLDAp&amp;WINDOW=FIRST_POPUP&amp;HEIGHT=450&amp;WIDTH=450&amp;START_MA","XIMIZED=FALSE&amp;VAR:CALENDAR=FIVEDAY&amp;VAR:SYMBOL=614469&amp;VAR:INDEX=0"}</definedName>
    <definedName name="_159__FDSAUDITLINK__" localSheetId="4"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5"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15"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19"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18"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14"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12"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24"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7"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20"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21"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11"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17"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16"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22"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9"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13"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localSheetId="23"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59__FDSAUDITLINK__" hidden="1">{"fdsup://directions/FAT Viewer?action=UPDATE&amp;creator=factset&amp;DYN_ARGS=TRUE&amp;DOC_NAME=FAT:FQL_AUDITING_CLIENT_TEMPLATE.FAT&amp;display_string=Audit&amp;VAR:KEY=ETWJSXEDIP&amp;VAR:QUERY=RkZfRElWX1lMRChBTk4sMCk=&amp;WINDOW=FIRST_POPUP&amp;HEIGHT=450&amp;WIDTH=450&amp;START_MAXIMIZED=FALS","E&amp;VAR:CALENDAR=FIVEDAY&amp;VAR:SYMBOL=622010&amp;VAR:INDEX=0"}</definedName>
    <definedName name="_16__FDSAUDITLINK__" localSheetId="4"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5"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15"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19"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18"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14"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12"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24"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7"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20"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21"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11"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17"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16"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22"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9"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13"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localSheetId="23"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__FDSAUDITLINK__" hidden="1">{"fdsup://directions/FAT Viewer?action=UPDATE&amp;creator=factset&amp;DYN_ARGS=TRUE&amp;DOC_NAME=FAT:FQL_AUDITING_CLIENT_TEMPLATE.FAT&amp;display_string=Audit&amp;VAR:KEY=QJCHMBOVID&amp;VAR:QUERY=RkZfRU5UUlBSX1ZBTF9EQUlMWSgp&amp;WINDOW=FIRST_POPUP&amp;HEIGHT=450&amp;WIDTH=450&amp;START_MAXIMIZED=","FALSE&amp;VAR:CALENDAR=FIVEDAY&amp;VAR:SYMBOL=B28XXH&amp;VAR:INDEX=0"}</definedName>
    <definedName name="_160__FDSAUDITLINK__" localSheetId="4"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5"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15"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19"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18"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14"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12"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24"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7"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20"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21"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11"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17"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16"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22"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9"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13"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localSheetId="23"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0__FDSAUDITLINK__" hidden="1">{"fdsup://directions/FAT Viewer?action=UPDATE&amp;creator=factset&amp;DYN_ARGS=TRUE&amp;DOC_NAME=FAT:FQL_AUDITING_CLIENT_TEMPLATE.FAT&amp;display_string=Audit&amp;VAR:KEY=OVMZWVYBSL&amp;VAR:QUERY=RkZfRElWX1lMRChBTk4sMCk=&amp;WINDOW=FIRST_POPUP&amp;HEIGHT=450&amp;WIDTH=450&amp;START_MAXIMIZED=FALS","E&amp;VAR:CALENDAR=FIVEDAY&amp;VAR:SYMBOL=03938010&amp;VAR:INDEX=0"}</definedName>
    <definedName name="_161__FDSAUDITLINK__" localSheetId="4"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5"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15"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19"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18"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14"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12"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24"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7"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20"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21"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11"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17"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16"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22"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9"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13"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localSheetId="23"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1__FDSAUDITLINK__" hidden="1">{"fdsup://directions/FAT Viewer?action=UPDATE&amp;creator=factset&amp;DYN_ARGS=TRUE&amp;DOC_NAME=FAT:FQL_AUDITING_CLIENT_TEMPLATE.FAT&amp;display_string=Audit&amp;VAR:KEY=SNYJOVEDIX&amp;VAR:QUERY=RkZfRElWX1lMRChBTk4sMCk=&amp;WINDOW=FIRST_POPUP&amp;HEIGHT=450&amp;WIDTH=450&amp;START_MAXIMIZED=FALS","E&amp;VAR:CALENDAR=FIVEDAY&amp;VAR:SYMBOL=B1JNK8&amp;VAR:INDEX=0"}</definedName>
    <definedName name="_162__FDSAUDITLINK__" localSheetId="4"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5"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15"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19"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18"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14"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12"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24"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7"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20"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21"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11"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17"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16"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22"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9"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13"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localSheetId="23"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2__FDSAUDITLINK__" hidden="1">{"fdsup://directions/FAT Viewer?action=UPDATE&amp;creator=factset&amp;DYN_ARGS=TRUE&amp;DOC_NAME=FAT:FQL_AUDITING_CLIENT_TEMPLATE.FAT&amp;display_string=Audit&amp;VAR:KEY=SPAXABUVSH&amp;VAR:QUERY=RkZfRElWX1lMRChBTk4sMCk=&amp;WINDOW=FIRST_POPUP&amp;HEIGHT=450&amp;WIDTH=450&amp;START_MAXIMIZED=FALS","E&amp;VAR:CALENDAR=FIVEDAY&amp;VAR:SYMBOL=614469&amp;VAR:INDEX=0"}</definedName>
    <definedName name="_163__FDSAUDITLINK__" localSheetId="4"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5"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15"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19"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18"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14"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12"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24"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7"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20"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21"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11"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17"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16"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22"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9"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13"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localSheetId="23"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3__FDSAUDITLINK__" hidden="1">{"fdsup://directions/FAT Viewer?action=UPDATE&amp;creator=factset&amp;DYN_ARGS=TRUE&amp;DOC_NAME=FAT:FQL_AUDITING_CLIENT_TEMPLATE.FAT&amp;display_string=Audit&amp;VAR:KEY=GJKXWJCZEP&amp;VAR:QUERY=RkZfRElWX1lMRChBTk4sMCk=&amp;WINDOW=FIRST_POPUP&amp;HEIGHT=450&amp;WIDTH=450&amp;START_MAXIMIZED=FALS","E&amp;VAR:CALENDAR=FIVEDAY&amp;VAR:SYMBOL=314110&amp;VAR:INDEX=0"}</definedName>
    <definedName name="_164__FDSAUDITLINK__" localSheetId="4"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5"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15"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19"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18"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14"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12"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24"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7"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20"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21"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11"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17"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16"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22"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9"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13"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localSheetId="23"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4__FDSAUDITLINK__" hidden="1">{"fdsup://directions/FAT Viewer?action=UPDATE&amp;creator=factset&amp;DYN_ARGS=TRUE&amp;DOC_NAME=FAT:FQL_AUDITING_CLIENT_TEMPLATE.FAT&amp;display_string=Audit&amp;VAR:KEY=GNQDEDIRKR&amp;VAR:QUERY=RkZfRElWX1lMRChBTk4sMCk=&amp;WINDOW=FIRST_POPUP&amp;HEIGHT=450&amp;WIDTH=450&amp;START_MAXIMIZED=FALS","E&amp;VAR:CALENDAR=FIVEDAY&amp;VAR:SYMBOL=604348&amp;VAR:INDEX=0"}</definedName>
    <definedName name="_165__FDSAUDITLINK__" localSheetId="4"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5"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15"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19"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18"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14"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12"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24"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7"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20"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21"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11"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17"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16"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22"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9"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13"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localSheetId="23"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5__FDSAUDITLINK__" hidden="1">{"fdsup://directions/FAT Viewer?action=UPDATE&amp;creator=factset&amp;DYN_ARGS=TRUE&amp;DOC_NAME=FAT:FQL_AUDITING_CLIENT_TEMPLATE.FAT&amp;display_string=Audit&amp;VAR:KEY=RAHKBAZWFA&amp;VAR:QUERY=RkZfUk9JQyhBTk4sMCk=&amp;WINDOW=FIRST_POPUP&amp;HEIGHT=450&amp;WIDTH=450&amp;START_MAXIMIZED=FALSE&amp;VA","R:CALENDAR=FIVEDAY&amp;VAR:SYMBOL=691316&amp;VAR:INDEX=0"}</definedName>
    <definedName name="_166__FDSAUDITLINK__" localSheetId="4"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5"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15"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19"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18"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14"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12"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24"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7"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20"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21"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11"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17"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16"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22"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9"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13"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localSheetId="23"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6__FDSAUDITLINK__" hidden="1">{"fdsup://directions/FAT Viewer?action=UPDATE&amp;creator=factset&amp;DYN_ARGS=TRUE&amp;DOC_NAME=FAT:FQL_AUDITING_CLIENT_TEMPLATE.FAT&amp;display_string=Audit&amp;VAR:KEY=FYXCVKDYBM&amp;VAR:QUERY=RkZfUk9JQyhBTk4sMCk=&amp;WINDOW=FIRST_POPUP&amp;HEIGHT=450&amp;WIDTH=450&amp;START_MAXIMIZED=FALSE&amp;VA","R:CALENDAR=FIVEDAY&amp;VAR:SYMBOL=610728&amp;VAR:INDEX=0"}</definedName>
    <definedName name="_167__FDSAUDITLINK__" localSheetId="4"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5"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15"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19"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18"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14"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12"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24"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7"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20"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21"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11"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17"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16"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22"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9"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13"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localSheetId="23"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7__FDSAUDITLINK__" hidden="1">{"fdsup://directions/FAT Viewer?action=UPDATE&amp;creator=factset&amp;DYN_ARGS=TRUE&amp;DOC_NAME=FAT:FQL_AUDITING_CLIENT_TEMPLATE.FAT&amp;display_string=Audit&amp;VAR:KEY=ZCHWTWNGNW&amp;VAR:QUERY=RkZfUk9JQyhBTk4sMCk=&amp;WINDOW=FIRST_POPUP&amp;HEIGHT=450&amp;WIDTH=450&amp;START_MAXIMIZED=FALSE&amp;VA","R:CALENDAR=FIVEDAY&amp;VAR:SYMBOL=681795&amp;VAR:INDEX=0"}</definedName>
    <definedName name="_168__FDSAUDITLINK__" localSheetId="4"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5"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15"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19"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18"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14"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12"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24"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7"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20"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21"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11"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17"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16"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22"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9"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13"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localSheetId="23"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8__FDSAUDITLINK__" hidden="1">{"fdsup://directions/FAT Viewer?action=UPDATE&amp;creator=factset&amp;DYN_ARGS=TRUE&amp;DOC_NAME=FAT:FQL_AUDITING_CLIENT_TEMPLATE.FAT&amp;display_string=Audit&amp;VAR:KEY=HYDURWPENY&amp;VAR:QUERY=RkZfUk9JQyhBTk4sMCk=&amp;WINDOW=FIRST_POPUP&amp;HEIGHT=450&amp;WIDTH=450&amp;START_MAXIMIZED=FALSE&amp;VA","R:CALENDAR=FIVEDAY&amp;VAR:SYMBOL=639321&amp;VAR:INDEX=0"}</definedName>
    <definedName name="_169__FDSAUDITLINK__" localSheetId="4"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5"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15"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19"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18"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14"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12"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24"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7"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20"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21"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11"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17"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16"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22"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9"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13"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localSheetId="23"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69__FDSAUDITLINK__" hidden="1">{"fdsup://directions/FAT Viewer?action=UPDATE&amp;creator=factset&amp;DYN_ARGS=TRUE&amp;DOC_NAME=FAT:FQL_AUDITING_CLIENT_TEMPLATE.FAT&amp;display_string=Audit&amp;VAR:KEY=NCBMHQDEFU&amp;VAR:QUERY=RkZfUk9JQyhBTk4sMCk=&amp;WINDOW=FIRST_POPUP&amp;HEIGHT=450&amp;WIDTH=450&amp;START_MAXIMIZED=FALSE&amp;VA","R:CALENDAR=FIVEDAY&amp;VAR:SYMBOL=633393&amp;VAR:INDEX=0"}</definedName>
    <definedName name="_17__FDSAUDITLINK__" localSheetId="4"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5"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15"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19"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18"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14"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12"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24"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7"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20"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21"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11"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17"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16"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22"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9"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13"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localSheetId="23"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__FDSAUDITLINK__" hidden="1">{"fdsup://directions/FAT Viewer?action=UPDATE&amp;creator=factset&amp;DYN_ARGS=TRUE&amp;DOC_NAME=FAT:FQL_AUDITING_CLIENT_TEMPLATE.FAT&amp;display_string=Audit&amp;VAR:KEY=OBKDKRCHAD&amp;VAR:QUERY=RkZfRU5UUlBSX1ZBTF9EQUlMWSgp&amp;WINDOW=FIRST_POPUP&amp;HEIGHT=450&amp;WIDTH=450&amp;START_MAXIMIZED=","FALSE&amp;VAR:CALENDAR=FIVEDAY&amp;VAR:SYMBOL=B236TJ&amp;VAR:INDEX=0"}</definedName>
    <definedName name="_170__FDSAUDITLINK__" localSheetId="4"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5"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15"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19"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18"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14"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12"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24"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7"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20"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21"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11"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17"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16"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22"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9"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13"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localSheetId="23"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0__FDSAUDITLINK__" hidden="1">{"fdsup://directions/FAT Viewer?action=UPDATE&amp;creator=factset&amp;DYN_ARGS=TRUE&amp;DOC_NAME=FAT:FQL_AUDITING_CLIENT_TEMPLATE.FAT&amp;display_string=Audit&amp;VAR:KEY=XGNCFGLCFW&amp;VAR:QUERY=RkZfUk9JQyhBTk4sMCk=&amp;WINDOW=FIRST_POPUP&amp;HEIGHT=450&amp;WIDTH=450&amp;START_MAXIMIZED=FALSE&amp;VA","R:CALENDAR=FIVEDAY&amp;VAR:SYMBOL=690461&amp;VAR:INDEX=0"}</definedName>
    <definedName name="_171__FDSAUDITLINK__" localSheetId="4"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5"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15"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19"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18"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14"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12"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24"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7"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20"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21"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11"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17"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16"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22"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9"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13"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localSheetId="23"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1__FDSAUDITLINK__" hidden="1">{"fdsup://directions/FAT Viewer?action=UPDATE&amp;creator=factset&amp;DYN_ARGS=TRUE&amp;DOC_NAME=FAT:FQL_AUDITING_CLIENT_TEMPLATE.FAT&amp;display_string=Audit&amp;VAR:KEY=NQVUVWZCLY&amp;VAR:QUERY=RkZfUk9JQyhBTk4sMCk=&amp;WINDOW=FIRST_POPUP&amp;HEIGHT=450&amp;WIDTH=450&amp;START_MAXIMIZED=FALSE&amp;VA","R:CALENDAR=FIVEDAY&amp;VAR:SYMBOL=629423&amp;VAR:INDEX=0"}</definedName>
    <definedName name="_172__FDSAUDITLINK__" localSheetId="4"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5"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15"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19"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18"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14"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12"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24"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7"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20"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21"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11"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17"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16"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22"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9"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13"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localSheetId="23"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2__FDSAUDITLINK__" hidden="1">{"fdsup://directions/FAT Viewer?action=UPDATE&amp;creator=factset&amp;DYN_ARGS=TRUE&amp;DOC_NAME=FAT:FQL_AUDITING_CLIENT_TEMPLATE.FAT&amp;display_string=Audit&amp;VAR:KEY=PUZIFWJSDY&amp;VAR:QUERY=RkZfUk9JQyhBTk4sMCk=&amp;WINDOW=FIRST_POPUP&amp;HEIGHT=450&amp;WIDTH=450&amp;START_MAXIMIZED=FALSE&amp;VA","R:CALENDAR=FIVEDAY&amp;VAR:SYMBOL=618207&amp;VAR:INDEX=0"}</definedName>
    <definedName name="_173__FDSAUDITLINK__" localSheetId="4"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5"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15"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19"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18"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14"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12"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24"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7"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20"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21"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11"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17"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16"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22"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9"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13"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localSheetId="23"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3__FDSAUDITLINK__" hidden="1">{"fdsup://directions/FAT Viewer?action=UPDATE&amp;creator=factset&amp;DYN_ARGS=TRUE&amp;DOC_NAME=FAT:FQL_AUDITING_CLIENT_TEMPLATE.FAT&amp;display_string=Audit&amp;VAR:KEY=VANYFAVQXI&amp;VAR:QUERY=RkZfUk9JQyhBTk4sMCk=&amp;WINDOW=FIRST_POPUP&amp;HEIGHT=450&amp;WIDTH=450&amp;START_MAXIMIZED=FALSE&amp;VA","R:CALENDAR=FIVEDAY&amp;VAR:SYMBOL=649573&amp;VAR:INDEX=0"}</definedName>
    <definedName name="_174__FDSAUDITLINK__" localSheetId="4"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5"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15"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19"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18"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14"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12"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24"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7"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20"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21"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11"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17"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16"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22"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9"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13"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localSheetId="23"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4__FDSAUDITLINK__" hidden="1">{"fdsup://directions/FAT Viewer?action=UPDATE&amp;creator=factset&amp;DYN_ARGS=TRUE&amp;DOC_NAME=FAT:FQL_AUDITING_CLIENT_TEMPLATE.FAT&amp;display_string=Audit&amp;VAR:KEY=LWBGRIFSVU&amp;VAR:QUERY=RkZfUk9JQyhBTk4sMCk=&amp;WINDOW=FIRST_POPUP&amp;HEIGHT=450&amp;WIDTH=450&amp;START_MAXIMIZED=FALSE&amp;VA","R:CALENDAR=FIVEDAY&amp;VAR:SYMBOL=609967&amp;VAR:INDEX=0"}</definedName>
    <definedName name="_175__FDSAUDITLINK__" localSheetId="4"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5"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15"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19"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18"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14"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12"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24"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7"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20"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21"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11"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17"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16"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22"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9"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13"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localSheetId="23"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5__FDSAUDITLINK__" hidden="1">{"fdsup://directions/FAT Viewer?action=UPDATE&amp;creator=factset&amp;DYN_ARGS=TRUE&amp;DOC_NAME=FAT:FQL_AUDITING_CLIENT_TEMPLATE.FAT&amp;display_string=Audit&amp;VAR:KEY=GBIXALYLSJ&amp;VAR:QUERY=RkZfRU5UUlBSX1ZBTF9FQklUREEoQU5OLDAp&amp;WINDOW=FIRST_POPUP&amp;HEIGHT=450&amp;WIDTH=450&amp;START_MA","XIMIZED=FALSE&amp;VAR:CALENDAR=FIVEDAY&amp;VAR:SYMBOL=622010&amp;VAR:INDEX=0"}</definedName>
    <definedName name="_176__FDSAUDITLINK__" localSheetId="4"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5"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15"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19"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18"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14"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12"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24"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7"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20"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21"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11"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17"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16"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22"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9"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13"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localSheetId="23"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6__FDSAUDITLINK__" hidden="1">{"fdsup://directions/FAT Viewer?action=UPDATE&amp;creator=factset&amp;DYN_ARGS=TRUE&amp;DOC_NAME=FAT:FQL_AUDITING_CLIENT_TEMPLATE.FAT&amp;display_string=Audit&amp;VAR:KEY=GXQJOLONIL&amp;VAR:QUERY=RkZfRU5UUlBSX1ZBTF9EQUlMWSgwLCwsLCwnRElMJykvRUNBX01FQU5fRUJJVERBKCsyLDAp&amp;WINDOW=FIRST","_POPUP&amp;HEIGHT=450&amp;WIDTH=450&amp;START_MAXIMIZED=FALSE&amp;VAR:CALENDAR=FIVEDAY&amp;VAR:SYMBOL=B1JNK8&amp;VAR:INDEX=0"}</definedName>
    <definedName name="_177__FDSAUDITLINK__" localSheetId="4"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5"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15"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19"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18"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14"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12"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24"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7"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20"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21"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11"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17"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16"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22"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9"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13"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localSheetId="23"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7__FDSAUDITLINK__" hidden="1">{"fdsup://directions/FAT Viewer?action=UPDATE&amp;creator=factset&amp;DYN_ARGS=TRUE&amp;DOC_NAME=FAT:FQL_AUDITING_CLIENT_TEMPLATE.FAT&amp;display_string=Audit&amp;VAR:KEY=ENQZMFWXSL&amp;VAR:QUERY=RkZfRElWX1lMRChBTk4sMCk=&amp;WINDOW=FIRST_POPUP&amp;HEIGHT=450&amp;WIDTH=450&amp;START_MAXIMIZED=FALS","E&amp;VAR:CALENDAR=FIVEDAY&amp;VAR:SYMBOL=70454910&amp;VAR:INDEX=0"}</definedName>
    <definedName name="_178__FDSAUDITLINK__" localSheetId="4"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5"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15"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19"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18"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14"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12"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24"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7"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20"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21"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11"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17"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16"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22"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9"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13"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localSheetId="23"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8__FDSAUDITLINK__" hidden="1">{"fdsup://directions/FAT Viewer?action=UPDATE&amp;creator=factset&amp;DYN_ARGS=TRUE&amp;DOC_NAME=FAT:FQL_AUDITING_CLIENT_TEMPLATE.FAT&amp;display_string=Audit&amp;VAR:KEY=NSNCROXWPQ&amp;VAR:QUERY=RkZfUEUoQU5OLDAp&amp;WINDOW=FIRST_POPUP&amp;HEIGHT=450&amp;WIDTH=450&amp;START_MAXIMIZED=FALSE&amp;VAR:CA","LENDAR=FIVEDAY&amp;VAR:SYMBOL=B243RD&amp;VAR:INDEX=0"}</definedName>
    <definedName name="_179__FDSAUDITLINK__" localSheetId="4"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5"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15"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19"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18"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14"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12"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24"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7"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20"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21"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11"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17"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16"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22"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9"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13"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localSheetId="23"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79__FDSAUDITLINK__" hidden="1">{"fdsup://directions/FAT Viewer?action=UPDATE&amp;creator=factset&amp;DYN_ARGS=TRUE&amp;DOC_NAME=FAT:FQL_AUDITING_CLIENT_TEMPLATE.FAT&amp;display_string=Audit&amp;VAR:KEY=TYTGTADYVQ&amp;VAR:QUERY=RkZfUEJLKEFOTiwwKQ==&amp;WINDOW=FIRST_POPUP&amp;HEIGHT=450&amp;WIDTH=450&amp;START_MAXIMIZED=FALSE&amp;VA","R:CALENDAR=FIVEDAY&amp;VAR:SYMBOL=B243RD&amp;VAR:INDEX=0"}</definedName>
    <definedName name="_18__FDSAUDITLINK__" localSheetId="4"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5"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15"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19"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18"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14"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12"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24"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7"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20"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21"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11"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17"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16"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22"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9"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13"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localSheetId="23"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__FDSAUDITLINK__" hidden="1">{"fdsup://directions/FAT Viewer?action=UPDATE&amp;creator=factset&amp;DYN_ARGS=TRUE&amp;DOC_NAME=FAT:FQL_AUDITING_CLIENT_TEMPLATE.FAT&amp;display_string=Audit&amp;VAR:KEY=MNIVKDQXYH&amp;VAR:QUERY=RkZfRU5UUlBSX1ZBTF9EQUlMWSgp&amp;WINDOW=FIRST_POPUP&amp;HEIGHT=450&amp;WIDTH=450&amp;START_MAXIMIZED=","FALSE&amp;VAR:CALENDAR=FIVEDAY&amp;VAR:SYMBOL=B0XTD1&amp;VAR:INDEX=0"}</definedName>
    <definedName name="_180__FDSAUDITLINK__" localSheetId="4"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5"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15"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19"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18"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14"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12"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24"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7"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20"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21"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11"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17"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16"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22"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9"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13"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localSheetId="23"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0__FDSAUDITLINK__" hidden="1">{"fdsup://directions/FAT Viewer?action=UPDATE&amp;creator=factset&amp;DYN_ARGS=TRUE&amp;DOC_NAME=FAT:FQL_AUDITING_CLIENT_TEMPLATE.FAT&amp;display_string=Audit&amp;VAR:KEY=FGPQPERMZI&amp;VAR:QUERY=RkZfUk9FKEFOTiwwKQ==&amp;WINDOW=FIRST_POPUP&amp;HEIGHT=450&amp;WIDTH=450&amp;START_MAXIMIZED=FALSE&amp;VA","R:CALENDAR=FIVEDAY&amp;VAR:SYMBOL=B243RD&amp;VAR:INDEX=0"}</definedName>
    <definedName name="_181__FDSAUDITLINK__" localSheetId="4"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5"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15"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19"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18"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14"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12"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24"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7"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20"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21"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11"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17"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16"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22"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9"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13"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localSheetId="23"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1__FDSAUDITLINK__" hidden="1">{"fdsup://directions/FAT Viewer?action=UPDATE&amp;creator=factset&amp;DYN_ARGS=TRUE&amp;DOC_NAME=FAT:FQL_AUDITING_CLIENT_TEMPLATE.FAT&amp;display_string=Audit&amp;VAR:KEY=PWLWLEZGBQ&amp;VAR:QUERY=RkZfUk9JQyhBTk4sMCk=&amp;WINDOW=FIRST_POPUP&amp;HEIGHT=450&amp;WIDTH=450&amp;START_MAXIMIZED=FALSE&amp;VA","R:CALENDAR=FIVEDAY&amp;VAR:SYMBOL=B243RD&amp;VAR:INDEX=0"}</definedName>
    <definedName name="_182__FDSAUDITLINK__" localSheetId="4"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5"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15"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19"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18"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14"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12"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24"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7"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20"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21"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11"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17"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16"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22"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9"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13"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localSheetId="23"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2__FDSAUDITLINK__" hidden="1">{"fdsup://directions/FAT Viewer?action=UPDATE&amp;creator=factset&amp;DYN_ARGS=TRUE&amp;DOC_NAME=FAT:FQL_AUDITING_CLIENT_TEMPLATE.FAT&amp;display_string=Audit&amp;VAR:KEY=ZEHOLCRUBC&amp;VAR:QUERY=RkZfRElWX1lMRChBTk4sMCk=&amp;WINDOW=FIRST_POPUP&amp;HEIGHT=450&amp;WIDTH=450&amp;START_MAXIMIZED=FALS","E&amp;VAR:CALENDAR=FIVEDAY&amp;VAR:SYMBOL=B243RD&amp;VAR:INDEX=0"}</definedName>
    <definedName name="_183__FDSAUDITLINK__" localSheetId="4"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5"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15"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19"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18"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14"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12"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24"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7"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20"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21"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11"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17"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16"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22"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9"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13"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localSheetId="23"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3__FDSAUDITLINK__" hidden="1">{"fdsup://directions/FAT Viewer?action=UPDATE&amp;creator=factset&amp;DYN_ARGS=TRUE&amp;DOC_NAME=FAT:FQL_AUDITING_CLIENT_TEMPLATE.FAT&amp;display_string=Audit&amp;VAR:KEY=BSPKPEZGDA&amp;VAR:QUERY=RkZfUk9FKEFOTiwwKQ==&amp;WINDOW=FIRST_POPUP&amp;HEIGHT=450&amp;WIDTH=450&amp;START_MAXIMIZED=FALSE&amp;VA","R:CALENDAR=FIVEDAY&amp;VAR:SYMBOL=691316&amp;VAR:INDEX=0"}</definedName>
    <definedName name="_184__FDSAUDITLINK__" localSheetId="4"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5"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15"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19"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18"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14"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12"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24"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7"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20"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21"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11"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17"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16"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22"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9"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13"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localSheetId="23"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4__FDSAUDITLINK__" hidden="1">{"fdsup://directions/FAT Viewer?action=UPDATE&amp;creator=factset&amp;DYN_ARGS=TRUE&amp;DOC_NAME=FAT:FQL_AUDITING_CLIENT_TEMPLATE.FAT&amp;display_string=Audit&amp;VAR:KEY=LYXUNCRGNE&amp;VAR:QUERY=RkZfUk9FKEFOTiwwKQ==&amp;WINDOW=FIRST_POPUP&amp;HEIGHT=450&amp;WIDTH=450&amp;START_MAXIMIZED=FALSE&amp;VA","R:CALENDAR=FIVEDAY&amp;VAR:SYMBOL=610728&amp;VAR:INDEX=0"}</definedName>
    <definedName name="_185__FDSAUDITLINK__" localSheetId="4"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5"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15"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19"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18"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14"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12"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24"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7"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20"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21"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11"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17"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16"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22"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9"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13"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localSheetId="23"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5__FDSAUDITLINK__" hidden="1">{"fdsup://directions/FAT Viewer?action=UPDATE&amp;creator=factset&amp;DYN_ARGS=TRUE&amp;DOC_NAME=FAT:FQL_AUDITING_CLIENT_TEMPLATE.FAT&amp;display_string=Audit&amp;VAR:KEY=PWZEPSPQPW&amp;VAR:QUERY=RkZfUk9FKEFOTiwwKQ==&amp;WINDOW=FIRST_POPUP&amp;HEIGHT=450&amp;WIDTH=450&amp;START_MAXIMIZED=FALSE&amp;VA","R:CALENDAR=FIVEDAY&amp;VAR:SYMBOL=681795&amp;VAR:INDEX=0"}</definedName>
    <definedName name="_186__FDSAUDITLINK__" localSheetId="4"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5"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15"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19"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18"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14"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12"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24"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7"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20"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21"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11"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17"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16"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22"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9"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13"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localSheetId="23"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6__FDSAUDITLINK__" hidden="1">{"fdsup://directions/FAT Viewer?action=UPDATE&amp;creator=factset&amp;DYN_ARGS=TRUE&amp;DOC_NAME=FAT:FQL_AUDITING_CLIENT_TEMPLATE.FAT&amp;display_string=Audit&amp;VAR:KEY=FCRERGZYLK&amp;VAR:QUERY=RkZfUk9FKEFOTiwwKQ==&amp;WINDOW=FIRST_POPUP&amp;HEIGHT=450&amp;WIDTH=450&amp;START_MAXIMIZED=FALSE&amp;VA","R:CALENDAR=FIVEDAY&amp;VAR:SYMBOL=639321&amp;VAR:INDEX=0"}</definedName>
    <definedName name="_187__FDSAUDITLINK__" localSheetId="4"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5"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15"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19"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18"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14"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12"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24"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7"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20"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21"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11"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17"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16"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22"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9"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13"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localSheetId="23"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7__FDSAUDITLINK__" hidden="1">{"fdsup://directions/FAT Viewer?action=UPDATE&amp;creator=factset&amp;DYN_ARGS=TRUE&amp;DOC_NAME=FAT:FQL_AUDITING_CLIENT_TEMPLATE.FAT&amp;display_string=Audit&amp;VAR:KEY=DGDQZCFORQ&amp;VAR:QUERY=RkZfUk9FKEFOTiwwKQ==&amp;WINDOW=FIRST_POPUP&amp;HEIGHT=450&amp;WIDTH=450&amp;START_MAXIMIZED=FALSE&amp;VA","R:CALENDAR=FIVEDAY&amp;VAR:SYMBOL=633393&amp;VAR:INDEX=0"}</definedName>
    <definedName name="_188__FDSAUDITLINK__" localSheetId="4"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5"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15"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19"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18"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14"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12"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24"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7"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20"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21"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11"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17"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16"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22"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9"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13"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localSheetId="23"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8__FDSAUDITLINK__" hidden="1">{"fdsup://directions/FAT Viewer?action=UPDATE&amp;creator=factset&amp;DYN_ARGS=TRUE&amp;DOC_NAME=FAT:FQL_AUDITING_CLIENT_TEMPLATE.FAT&amp;display_string=Audit&amp;VAR:KEY=PWRSROXUHC&amp;VAR:QUERY=RkZfUk9FKEFOTiwwKQ==&amp;WINDOW=FIRST_POPUP&amp;HEIGHT=450&amp;WIDTH=450&amp;START_MAXIMIZED=FALSE&amp;VA","R:CALENDAR=FIVEDAY&amp;VAR:SYMBOL=690461&amp;VAR:INDEX=0"}</definedName>
    <definedName name="_189__FDSAUDITLINK__" localSheetId="4"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5"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15"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19"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18"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14"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12"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24"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7"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20"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21"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11"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17"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16"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22"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9"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13"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localSheetId="23"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89__FDSAUDITLINK__" hidden="1">{"fdsup://directions/FAT Viewer?action=UPDATE&amp;creator=factset&amp;DYN_ARGS=TRUE&amp;DOC_NAME=FAT:FQL_AUDITING_CLIENT_TEMPLATE.FAT&amp;display_string=Audit&amp;VAR:KEY=LSHSZKNGHK&amp;VAR:QUERY=RkZfUk9FKEFOTiwwKQ==&amp;WINDOW=FIRST_POPUP&amp;HEIGHT=450&amp;WIDTH=450&amp;START_MAXIMIZED=FALSE&amp;VA","R:CALENDAR=FIVEDAY&amp;VAR:SYMBOL=629423&amp;VAR:INDEX=0"}</definedName>
    <definedName name="_19__FDSAUDITLINK__" localSheetId="4"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5"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15"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19"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18"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14"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12"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24"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7"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20"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21"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11"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17"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16"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22"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9"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13"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localSheetId="23"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__FDSAUDITLINK__" hidden="1">{"fdsup://directions/FAT Viewer?action=UPDATE&amp;creator=factset&amp;DYN_ARGS=TRUE&amp;DOC_NAME=FAT:FQL_AUDITING_CLIENT_TEMPLATE.FAT&amp;display_string=Audit&amp;VAR:KEY=ABYXOLQLAT&amp;VAR:QUERY=RkZfRU5UUlBSX1ZBTF9EQUlMWSgp&amp;WINDOW=FIRST_POPUP&amp;HEIGHT=450&amp;WIDTH=450&amp;START_MAXIMIZED=","FALSE&amp;VAR:CALENDAR=FIVEDAY&amp;VAR:SYMBOL=B0FXGP&amp;VAR:INDEX=0"}</definedName>
    <definedName name="_190__FDSAUDITLINK__" localSheetId="4"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5"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15"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19"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18"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14"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12"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24"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7"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20"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21"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11"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17"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16"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22"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9"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13"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localSheetId="23"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0__FDSAUDITLINK__" hidden="1">{"fdsup://directions/FAT Viewer?action=UPDATE&amp;creator=factset&amp;DYN_ARGS=TRUE&amp;DOC_NAME=FAT:FQL_AUDITING_CLIENT_TEMPLATE.FAT&amp;display_string=Audit&amp;VAR:KEY=FAZSHELKRC&amp;VAR:QUERY=RkZfUk9FKEFOTiwwKQ==&amp;WINDOW=FIRST_POPUP&amp;HEIGHT=450&amp;WIDTH=450&amp;START_MAXIMIZED=FALSE&amp;VA","R:CALENDAR=FIVEDAY&amp;VAR:SYMBOL=618207&amp;VAR:INDEX=0"}</definedName>
    <definedName name="_191__FDSAUDITLINK__" localSheetId="4"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5"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15"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19"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18"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14"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12"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24"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7"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20"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21"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11"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17"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16"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22"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9"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13"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localSheetId="23"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1__FDSAUDITLINK__" hidden="1">{"fdsup://directions/FAT Viewer?action=UPDATE&amp;creator=factset&amp;DYN_ARGS=TRUE&amp;DOC_NAME=FAT:FQL_AUDITING_CLIENT_TEMPLATE.FAT&amp;display_string=Audit&amp;VAR:KEY=NQVENYXETQ&amp;VAR:QUERY=RkZfUk9FKEFOTiwwKQ==&amp;WINDOW=FIRST_POPUP&amp;HEIGHT=450&amp;WIDTH=450&amp;START_MAXIMIZED=FALSE&amp;VA","R:CALENDAR=FIVEDAY&amp;VAR:SYMBOL=649573&amp;VAR:INDEX=0"}</definedName>
    <definedName name="_192__FDSAUDITLINK__" localSheetId="4"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5"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15"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19"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18"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14"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12"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24"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7"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20"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21"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11"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17"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16"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22"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9"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13"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localSheetId="23"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2__FDSAUDITLINK__" hidden="1">{"fdsup://directions/FAT Viewer?action=UPDATE&amp;creator=factset&amp;DYN_ARGS=TRUE&amp;DOC_NAME=FAT:FQL_AUDITING_CLIENT_TEMPLATE.FAT&amp;display_string=Audit&amp;VAR:KEY=PATAHSPQZI&amp;VAR:QUERY=RkZfUk9FKEFOTiwwKQ==&amp;WINDOW=FIRST_POPUP&amp;HEIGHT=450&amp;WIDTH=450&amp;START_MAXIMIZED=FALSE&amp;VA","R:CALENDAR=FIVEDAY&amp;VAR:SYMBOL=609967&amp;VAR:INDEX=0"}</definedName>
    <definedName name="_193__FDSAUDITLINK__" localSheetId="4"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5"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15"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19"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18"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14"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12"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24"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7"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20"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21"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11"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17"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16"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22"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9"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13"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localSheetId="23"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3__FDSAUDITLINK__" hidden="1">{"fdsup://directions/FAT Viewer?action=UPDATE&amp;creator=factset&amp;DYN_ARGS=TRUE&amp;DOC_NAME=FAT:FQL_AUDITING_CLIENT_TEMPLATE.FAT&amp;display_string=Audit&amp;VAR:KEY=OZOPEXONEJ&amp;VAR:QUERY=RkZfRU5UUlBSX1ZBTF9EQUlMWSgwLCwsLCwnRElMJykvRUNBX01FQU5fRUJJVERBKCsyLDAp&amp;WINDOW=FIRST","_POPUP&amp;HEIGHT=450&amp;WIDTH=450&amp;START_MAXIMIZED=FALSE&amp;VAR:CALENDAR=FIVEDAY&amp;VAR:SYMBOL=70454910&amp;VAR:INDEX=0"}</definedName>
    <definedName name="_194__FDSAUDITLINK__" localSheetId="4"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5"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15"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19"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18"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14"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12"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24"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7"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20"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21"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11"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17"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16"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22"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9"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13"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localSheetId="23"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4__FDSAUDITLINK__" hidden="1">{"fdsup://directions/FAT Viewer?action=UPDATE&amp;creator=factset&amp;DYN_ARGS=TRUE&amp;DOC_NAME=FAT:FQL_AUDITING_CLIENT_TEMPLATE.FAT&amp;display_string=Audit&amp;VAR:KEY=EDKXMZGJUV&amp;VAR:QUERY=RkZfRU5UUlBSX1ZBTF9EQUlMWSgwLCwsLCwnRElMJykvRUNBX01FQU5fRUJJVERBKCsxLDAp&amp;WINDOW=FIRST","_POPUP&amp;HEIGHT=450&amp;WIDTH=450&amp;START_MAXIMIZED=FALSE&amp;VAR:CALENDAR=FIVEDAY&amp;VAR:SYMBOL=B1JNK8&amp;VAR:INDEX=0"}</definedName>
    <definedName name="_195__FDSAUDITLINK__" localSheetId="4"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5"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15"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19"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18"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14"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12"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24"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7"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20"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21"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11"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17"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16"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22"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9"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13"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localSheetId="23"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5__FDSAUDITLINK__" hidden="1">{"fdsup://directions/FAT Viewer?action=UPDATE&amp;creator=factset&amp;DYN_ARGS=TRUE&amp;DOC_NAME=FAT:FQL_AUDITING_CLIENT_TEMPLATE.FAT&amp;display_string=Audit&amp;VAR:KEY=SHQBQZIVMX&amp;VAR:QUERY=RkZfRElWX1lMRChBTk4sMCk=&amp;WINDOW=FIRST_POPUP&amp;HEIGHT=450&amp;WIDTH=450&amp;START_MAXIMIZED=FALS","E&amp;VAR:CALENDAR=FIVEDAY&amp;VAR:SYMBOL=B09N7M&amp;VAR:INDEX=0"}</definedName>
    <definedName name="_196__FDSAUDITLINK__" localSheetId="4"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5"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15"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19"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18"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14"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12"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24"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7"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20"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21"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11"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17"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16"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22"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9"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13"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localSheetId="23"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6__FDSAUDITLINK__" hidden="1">{"fdsup://directions/FAT Viewer?action=UPDATE&amp;creator=factset&amp;DYN_ARGS=TRUE&amp;DOC_NAME=FAT:FQL_AUDITING_CLIENT_TEMPLATE.FAT&amp;display_string=Audit&amp;VAR:KEY=GBQPUNKVGT&amp;VAR:QUERY=RkZfUEUoQU5OLDAp&amp;WINDOW=FIRST_POPUP&amp;HEIGHT=450&amp;WIDTH=450&amp;START_MAXIMIZED=FALSE&amp;VAR:CA","LENDAR=FIVEDAY&amp;VAR:SYMBOL=622010&amp;VAR:INDEX=0"}</definedName>
    <definedName name="_197__FDSAUDITLINK__" localSheetId="4"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5"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15"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19"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18"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14"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12"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24"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7"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20"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21"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11"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17"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16"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22"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9"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13"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localSheetId="23"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7__FDSAUDITLINK__" hidden="1">{"fdsup://directions/FAT Viewer?action=UPDATE&amp;creator=factset&amp;DYN_ARGS=TRUE&amp;DOC_NAME=FAT:FQL_AUDITING_CLIENT_TEMPLATE.FAT&amp;display_string=Audit&amp;VAR:KEY=CZABYPINSX&amp;VAR:QUERY=RkZfUEJLKEFOTiwwKQ==&amp;WINDOW=FIRST_POPUP&amp;HEIGHT=450&amp;WIDTH=450&amp;START_MAXIMIZED=FALSE&amp;VA","R:CALENDAR=FIVEDAY&amp;VAR:SYMBOL=70454910&amp;VAR:INDEX=0"}</definedName>
    <definedName name="_198__FDSAUDITLINK__" localSheetId="4"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5"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15"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19"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18"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14"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12"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24"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7"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20"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21"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11"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17"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16"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22"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9"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13"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localSheetId="23"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8__FDSAUDITLINK__" hidden="1">{"fdsup://directions/FAT Viewer?action=UPDATE&amp;creator=factset&amp;DYN_ARGS=TRUE&amp;DOC_NAME=FAT:FQL_AUDITING_CLIENT_TEMPLATE.FAT&amp;display_string=Audit&amp;VAR:KEY=CJOXEDUTMB&amp;VAR:QUERY=RkZfUk9FKEFOTiwwKQ==&amp;WINDOW=FIRST_POPUP&amp;HEIGHT=450&amp;WIDTH=450&amp;START_MAXIMIZED=FALSE&amp;VA","R:CALENDAR=FIVEDAY&amp;VAR:SYMBOL=B09N7M&amp;VAR:INDEX=0"}</definedName>
    <definedName name="_199__FDSAUDITLINK__" localSheetId="4"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5"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15"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19"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18"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14"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12"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24"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7"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20"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21"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11"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17"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16"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22"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9"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13"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localSheetId="23"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199__FDSAUDITLINK__" hidden="1">{"fdsup://directions/FAT Viewer?action=UPDATE&amp;creator=factset&amp;DYN_ARGS=TRUE&amp;DOC_NAME=FAT:FQL_AUDITING_CLIENT_TEMPLATE.FAT&amp;display_string=Audit&amp;VAR:KEY=AXYLQTWZGX&amp;VAR:QUERY=RkZfUk9FKEFOTiwwKQ==&amp;WINDOW=FIRST_POPUP&amp;HEIGHT=450&amp;WIDTH=450&amp;START_MAXIMIZED=FALSE&amp;VA","R:CALENDAR=FIVEDAY&amp;VAR:SYMBOL=604348&amp;VAR:INDEX=0"}</definedName>
    <definedName name="_2__123Graph_XCHART_2" hidden="1">#REF!</definedName>
    <definedName name="_2__FDSAUDITLINK__" localSheetId="4"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5"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15"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19"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18"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14"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12"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24"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7"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20"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21"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11"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17"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16"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22"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9"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13"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localSheetId="23"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_FDSAUDITLINK__" hidden="1">{"fdsup://directions/FAT Viewer?action=UPDATE&amp;creator=factset&amp;DYN_ARGS=TRUE&amp;DOC_NAME=FAT:FQL_AUDITING_CLIENT_TEMPLATE.FAT&amp;display_string=Audit&amp;VAR:KEY=SDWDMNWPMZ&amp;VAR:QUERY=RkZfRU5UUlBSX1ZBTF9EQUlMWSgp&amp;WINDOW=FIRST_POPUP&amp;HEIGHT=450&amp;WIDTH=450&amp;START_MAXIMIZED=","FALSE&amp;VAR:CALENDAR=FIVEDAY&amp;VAR:SYMBOL=613989&amp;VAR:INDEX=0"}</definedName>
    <definedName name="_2_0NOPAT_Sh">#REF!</definedName>
    <definedName name="_20__FDSAUDITLINK__" localSheetId="4"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5"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15"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19"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18"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14"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12"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24"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7"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20"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21"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11"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17"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16"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22"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9"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13"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localSheetId="23"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__FDSAUDITLINK__" hidden="1">{"fdsup://directions/FAT Viewer?action=UPDATE&amp;creator=factset&amp;DYN_ARGS=TRUE&amp;DOC_NAME=FAT:FQL_AUDITING_CLIENT_TEMPLATE.FAT&amp;display_string=Audit&amp;VAR:KEY=KHQJEBSJQH&amp;VAR:QUERY=RkZfRU5UUlBSX1ZBTF9EQUlMWSgp&amp;WINDOW=FIRST_POPUP&amp;HEIGHT=450&amp;WIDTH=450&amp;START_MAXIMIZED=","FALSE&amp;VAR:CALENDAR=FIVEDAY&amp;VAR:SYMBOL=B10SSR&amp;VAR:INDEX=0"}</definedName>
    <definedName name="_200__FDSAUDITLINK__" localSheetId="4"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5"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15"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19"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18"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14"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12"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24"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7"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20"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21"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11"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17"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16"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22"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9"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13"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localSheetId="23"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0__FDSAUDITLINK__" hidden="1">{"fdsup://directions/FAT Viewer?action=UPDATE&amp;creator=factset&amp;DYN_ARGS=TRUE&amp;DOC_NAME=FAT:FQL_AUDITING_CLIENT_TEMPLATE.FAT&amp;display_string=Audit&amp;VAR:KEY=CLWZEPWJYD&amp;VAR:QUERY=RkZfUk9JQyhBTk4sMCk=&amp;WINDOW=FIRST_POPUP&amp;HEIGHT=450&amp;WIDTH=450&amp;START_MAXIMIZED=FALSE&amp;VA","R:CALENDAR=FIVEDAY&amp;VAR:SYMBOL=314110&amp;VAR:INDEX=0"}</definedName>
    <definedName name="_201__FDSAUDITLINK__" localSheetId="4"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5"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15"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19"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18"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14"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12"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24"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7"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20"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21"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11"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17"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16"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22"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9"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13"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localSheetId="23"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1__FDSAUDITLINK__" hidden="1">{"fdsup://directions/FAT Viewer?action=UPDATE&amp;creator=factset&amp;DYN_ARGS=TRUE&amp;DOC_NAME=FAT:FQL_AUDITING_CLIENT_TEMPLATE.FAT&amp;display_string=Audit&amp;VAR:KEY=LOJUFCRYDC&amp;VAR:QUERY=RkZfUEJLKEFOTiwwKQ==&amp;WINDOW=FIRST_POPUP&amp;HEIGHT=450&amp;WIDTH=450&amp;START_MAXIMIZED=FALSE&amp;VA","R:CALENDAR=FIVEDAY&amp;VAR:SYMBOL=691316&amp;VAR:INDEX=0"}</definedName>
    <definedName name="_202__FDSAUDITLINK__" localSheetId="4"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5"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15"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19"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18"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14"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12"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24"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7"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20"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21"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11"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17"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16"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22"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9"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13"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localSheetId="23"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2__FDSAUDITLINK__" hidden="1">{"fdsup://directions/FAT Viewer?action=UPDATE&amp;creator=factset&amp;DYN_ARGS=TRUE&amp;DOC_NAME=FAT:FQL_AUDITING_CLIENT_TEMPLATE.FAT&amp;display_string=Audit&amp;VAR:KEY=VYLQPADSNG&amp;VAR:QUERY=RkZfUEJLKEFOTiwwKQ==&amp;WINDOW=FIRST_POPUP&amp;HEIGHT=450&amp;WIDTH=450&amp;START_MAXIMIZED=FALSE&amp;VA","R:CALENDAR=FIVEDAY&amp;VAR:SYMBOL=610728&amp;VAR:INDEX=0"}</definedName>
    <definedName name="_203__FDSAUDITLINK__" localSheetId="4"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5"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15"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19"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18"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14"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12"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24"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7"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20"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21"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11"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17"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16"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22"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9"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13"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localSheetId="23"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3__FDSAUDITLINK__" hidden="1">{"fdsup://directions/FAT Viewer?action=UPDATE&amp;creator=factset&amp;DYN_ARGS=TRUE&amp;DOC_NAME=FAT:FQL_AUDITING_CLIENT_TEMPLATE.FAT&amp;display_string=Audit&amp;VAR:KEY=DGBQHCPQJG&amp;VAR:QUERY=RkZfUEJLKEFOTiwwKQ==&amp;WINDOW=FIRST_POPUP&amp;HEIGHT=450&amp;WIDTH=450&amp;START_MAXIMIZED=FALSE&amp;VA","R:CALENDAR=FIVEDAY&amp;VAR:SYMBOL=681795&amp;VAR:INDEX=0"}</definedName>
    <definedName name="_204__FDSAUDITLINK__" localSheetId="4"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5"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15"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19"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18"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14"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12"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24"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7"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20"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21"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11"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17"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16"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22"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9"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13"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localSheetId="23"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4__FDSAUDITLINK__" hidden="1">{"fdsup://directions/FAT Viewer?action=UPDATE&amp;creator=factset&amp;DYN_ARGS=TRUE&amp;DOC_NAME=FAT:FQL_AUDITING_CLIENT_TEMPLATE.FAT&amp;display_string=Audit&amp;VAR:KEY=TWFCREBODW&amp;VAR:QUERY=RkZfUEJLKEFOTiwwKQ==&amp;WINDOW=FIRST_POPUP&amp;HEIGHT=450&amp;WIDTH=450&amp;START_MAXIMIZED=FALSE&amp;VA","R:CALENDAR=FIVEDAY&amp;VAR:SYMBOL=639321&amp;VAR:INDEX=0"}</definedName>
    <definedName name="_205__FDSAUDITLINK__" localSheetId="4"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5"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15"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19"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18"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14"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12"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24"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7"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20"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21"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11"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17"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16"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22"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9"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13"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localSheetId="23"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5__FDSAUDITLINK__" hidden="1">{"fdsup://directions/FAT Viewer?action=UPDATE&amp;creator=factset&amp;DYN_ARGS=TRUE&amp;DOC_NAME=FAT:FQL_AUDITING_CLIENT_TEMPLATE.FAT&amp;display_string=Audit&amp;VAR:KEY=PSPOFADGZE&amp;VAR:QUERY=RkZfUEJLKEFOTiwwKQ==&amp;WINDOW=FIRST_POPUP&amp;HEIGHT=450&amp;WIDTH=450&amp;START_MAXIMIZED=FALSE&amp;VA","R:CALENDAR=FIVEDAY&amp;VAR:SYMBOL=633393&amp;VAR:INDEX=0"}</definedName>
    <definedName name="_206__FDSAUDITLINK__" localSheetId="4"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5"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15"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19"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18"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14"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12"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24"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7"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20"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21"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11"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17"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16"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22"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9"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13"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localSheetId="23"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6__FDSAUDITLINK__" hidden="1">{"fdsup://directions/FAT Viewer?action=UPDATE&amp;creator=factset&amp;DYN_ARGS=TRUE&amp;DOC_NAME=FAT:FQL_AUDITING_CLIENT_TEMPLATE.FAT&amp;display_string=Audit&amp;VAR:KEY=LOTQFQDSPQ&amp;VAR:QUERY=RkZfUEJLKEFOTiwwKQ==&amp;WINDOW=FIRST_POPUP&amp;HEIGHT=450&amp;WIDTH=450&amp;START_MAXIMIZED=FALSE&amp;VA","R:CALENDAR=FIVEDAY&amp;VAR:SYMBOL=690461&amp;VAR:INDEX=0"}</definedName>
    <definedName name="_207__FDSAUDITLINK__" localSheetId="4"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5"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15"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19"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18"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14"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12"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24"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7"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20"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21"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11"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17"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16"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22"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9"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13"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localSheetId="23"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7__FDSAUDITLINK__" hidden="1">{"fdsup://directions/FAT Viewer?action=UPDATE&amp;creator=factset&amp;DYN_ARGS=TRUE&amp;DOC_NAME=FAT:FQL_AUDITING_CLIENT_TEMPLATE.FAT&amp;display_string=Audit&amp;VAR:KEY=FYXKPGFOTS&amp;VAR:QUERY=RkZfUEJLKEFOTiwwKQ==&amp;WINDOW=FIRST_POPUP&amp;HEIGHT=450&amp;WIDTH=450&amp;START_MAXIMIZED=FALSE&amp;VA","R:CALENDAR=FIVEDAY&amp;VAR:SYMBOL=629423&amp;VAR:INDEX=0"}</definedName>
    <definedName name="_208__FDSAUDITLINK__" localSheetId="4"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5"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15"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19"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18"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14"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12"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24"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7"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20"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21"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11"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17"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16"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22"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9"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13"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localSheetId="23"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8__FDSAUDITLINK__" hidden="1">{"fdsup://directions/FAT Viewer?action=UPDATE&amp;creator=factset&amp;DYN_ARGS=TRUE&amp;DOC_NAME=FAT:FQL_AUDITING_CLIENT_TEMPLATE.FAT&amp;display_string=Audit&amp;VAR:KEY=VGVYLOJEPA&amp;VAR:QUERY=RkZfUEJLKEFOTiwwKQ==&amp;WINDOW=FIRST_POPUP&amp;HEIGHT=450&amp;WIDTH=450&amp;START_MAXIMIZED=FALSE&amp;VA","R:CALENDAR=FIVEDAY&amp;VAR:SYMBOL=618207&amp;VAR:INDEX=0"}</definedName>
    <definedName name="_209__FDSAUDITLINK__" localSheetId="4"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5"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15"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19"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18"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14"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12"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24"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7"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20"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21"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11"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17"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16"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22"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9"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13"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localSheetId="23"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09__FDSAUDITLINK__" hidden="1">{"fdsup://directions/FAT Viewer?action=UPDATE&amp;creator=factset&amp;DYN_ARGS=TRUE&amp;DOC_NAME=FAT:FQL_AUDITING_CLIENT_TEMPLATE.FAT&amp;display_string=Audit&amp;VAR:KEY=LITEHWFSTU&amp;VAR:QUERY=RkZfUEJLKEFOTiwwKQ==&amp;WINDOW=FIRST_POPUP&amp;HEIGHT=450&amp;WIDTH=450&amp;START_MAXIMIZED=FALSE&amp;VA","R:CALENDAR=FIVEDAY&amp;VAR:SYMBOL=649573&amp;VAR:INDEX=0"}</definedName>
    <definedName name="_21__FDSAUDITLINK__" localSheetId="4"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5"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15"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19"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18"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14"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12"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24"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7"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20"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21"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11"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17"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16"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22"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9"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13"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localSheetId="23"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__FDSAUDITLINK__" hidden="1">{"fdsup://directions/FAT Viewer?action=UPDATE&amp;creator=factset&amp;DYN_ARGS=TRUE&amp;DOC_NAME=FAT:FQL_AUDITING_CLIENT_TEMPLATE.FAT&amp;display_string=Audit&amp;VAR:KEY=KJWZIFQXWX&amp;VAR:QUERY=RkZfRU5UUlBSX1ZBTF9EQUlMWSgp&amp;WINDOW=FIRST_POPUP&amp;HEIGHT=450&amp;WIDTH=450&amp;START_MAXIMIZED=","FALSE&amp;VAR:CALENDAR=FIVEDAY&amp;VAR:SYMBOL=B1VJSG&amp;VAR:INDEX=0"}</definedName>
    <definedName name="_210__FDSAUDITLINK__" localSheetId="4"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5"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15"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19"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18"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14"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12"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24"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7"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20"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21"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11"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17"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16"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22"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9"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13"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localSheetId="23"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0__FDSAUDITLINK__" hidden="1">{"fdsup://directions/FAT Viewer?action=UPDATE&amp;creator=factset&amp;DYN_ARGS=TRUE&amp;DOC_NAME=FAT:FQL_AUDITING_CLIENT_TEMPLATE.FAT&amp;display_string=Audit&amp;VAR:KEY=PWZKFQPGZO&amp;VAR:QUERY=RkZfUEJLKEFOTiwwKQ==&amp;WINDOW=FIRST_POPUP&amp;HEIGHT=450&amp;WIDTH=450&amp;START_MAXIMIZED=FALSE&amp;VA","R:CALENDAR=FIVEDAY&amp;VAR:SYMBOL=609967&amp;VAR:INDEX=0"}</definedName>
    <definedName name="_211__FDSAUDITLINK__" localSheetId="4"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5"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15"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19"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18"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14"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12"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24"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7"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20"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21"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11"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17"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16"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22"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9"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13"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localSheetId="23"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1__FDSAUDITLINK__" hidden="1">{"fdsup://directions/FAT Viewer?action=UPDATE&amp;creator=factset&amp;DYN_ARGS=TRUE&amp;DOC_NAME=FAT:FQL_AUDITING_CLIENT_TEMPLATE.FAT&amp;display_string=Audit&amp;VAR:KEY=OBCBGDYNQD&amp;VAR:QUERY=RkZfRU5UUlBSX1ZBTF9EQUlMWSgwLCwsLCwnRElMJykvRUNBX01FQU5fRUJJVERBKCsxLDAp&amp;WINDOW=FIRST","_POPUP&amp;HEIGHT=450&amp;WIDTH=450&amp;START_MAXIMIZED=FALSE&amp;VAR:CALENDAR=FIVEDAY&amp;VAR:SYMBOL=70454910&amp;VAR:INDEX=0"}</definedName>
    <definedName name="_212__FDSAUDITLINK__" localSheetId="4"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5"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15"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19"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18"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14"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12"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24"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7"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20"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21"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11"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17"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16"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22"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9"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13"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localSheetId="23"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2__FDSAUDITLINK__" hidden="1">{"fdsup://directions/FAT Viewer?action=UPDATE&amp;creator=factset&amp;DYN_ARGS=TRUE&amp;DOC_NAME=FAT:FQL_AUDITING_CLIENT_TEMPLATE.FAT&amp;display_string=Audit&amp;VAR:KEY=WFIHURMRAB&amp;VAR:QUERY=RkZfRU5UUlBSX1ZBTF9FQklUREEoQU5OLDAp&amp;WINDOW=FIRST_POPUP&amp;HEIGHT=450&amp;WIDTH=450&amp;START_MA","XIMIZED=FALSE&amp;VAR:CALENDAR=FIVEDAY&amp;VAR:SYMBOL=B1JNK8&amp;VAR:INDEX=0"}</definedName>
    <definedName name="_213__FDSAUDITLINK__" localSheetId="4"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5"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15"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19"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18"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14"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12"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24"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7"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20"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21"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11"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17"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16"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22"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9"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13"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localSheetId="23"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3__FDSAUDITLINK__" hidden="1">{"fdsup://directions/FAT Viewer?action=UPDATE&amp;creator=factset&amp;DYN_ARGS=TRUE&amp;DOC_NAME=FAT:FQL_AUDITING_CLIENT_TEMPLATE.FAT&amp;display_string=Audit&amp;VAR:KEY=LSZGHMJGFC&amp;VAR:QUERY=RkZfRU5UUlBSX1ZBTF9EQUlMWSgwLCwsLCwnRElMJykvRUNBX01FQU5fRUJJVERBKCsyLDAp&amp;WINDOW=FIRST","_POPUP&amp;HEIGHT=450&amp;WIDTH=450&amp;START_MAXIMIZED=FALSE&amp;VAR:CALENDAR=FIVEDAY&amp;VAR:SYMBOL=B243RD&amp;VAR:INDEX=0"}</definedName>
    <definedName name="_214__FDSAUDITLINK__" localSheetId="4"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5"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15"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19"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18"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14"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12"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24"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7"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20"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21"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11"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17"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16"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22"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9"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13"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localSheetId="23"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4__FDSAUDITLINK__" hidden="1">{"fdsup://directions/FAT Viewer?action=UPDATE&amp;creator=factset&amp;DYN_ARGS=TRUE&amp;DOC_NAME=FAT:FQL_AUDITING_CLIENT_TEMPLATE.FAT&amp;display_string=Audit&amp;VAR:KEY=OVKNQNCRMT&amp;VAR:QUERY=RkZfUEUoQU5OLDAp&amp;WINDOW=FIRST_POPUP&amp;HEIGHT=450&amp;WIDTH=450&amp;START_MAXIMIZED=FALSE&amp;VAR:CA","LENDAR=FIVEDAY&amp;VAR:SYMBOL=70454910&amp;VAR:INDEX=0"}</definedName>
    <definedName name="_215__FDSAUDITLINK__" localSheetId="4"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5"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15"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19"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18"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14"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12"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24"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7"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20"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21"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11"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17"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16"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22"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9"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13"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localSheetId="23"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5__FDSAUDITLINK__" hidden="1">{"fdsup://directions/FAT Viewer?action=UPDATE&amp;creator=factset&amp;DYN_ARGS=TRUE&amp;DOC_NAME=FAT:FQL_AUDITING_CLIENT_TEMPLATE.FAT&amp;display_string=Audit&amp;VAR:KEY=GDWBCFODSV&amp;VAR:QUERY=RkZfUEJLKEFOTiwwKQ==&amp;WINDOW=FIRST_POPUP&amp;HEIGHT=450&amp;WIDTH=450&amp;START_MAXIMIZED=FALSE&amp;VA","R:CALENDAR=FIVEDAY&amp;VAR:SYMBOL=B09N7M&amp;VAR:INDEX=0"}</definedName>
    <definedName name="_216__FDSAUDITLINK__" localSheetId="4"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5"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15"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19"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18"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14"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12"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24"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7"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20"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21"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11"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17"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16"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22"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9"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13"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localSheetId="23"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6__FDSAUDITLINK__" hidden="1">{"fdsup://directions/FAT Viewer?action=UPDATE&amp;creator=factset&amp;DYN_ARGS=TRUE&amp;DOC_NAME=FAT:FQL_AUDITING_CLIENT_TEMPLATE.FAT&amp;display_string=Audit&amp;VAR:KEY=UDIBWNMJYB&amp;VAR:QUERY=RkZfUEJLKEFOTiwwKQ==&amp;WINDOW=FIRST_POPUP&amp;HEIGHT=450&amp;WIDTH=450&amp;START_MAXIMIZED=FALSE&amp;VA","R:CALENDAR=FIVEDAY&amp;VAR:SYMBOL=604348&amp;VAR:INDEX=0"}</definedName>
    <definedName name="_217__FDSAUDITLINK__" localSheetId="4"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5"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15"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19"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18"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14"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12"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24"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7"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20"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21"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11"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17"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16"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22"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9"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13"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localSheetId="23"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7__FDSAUDITLINK__" hidden="1">{"fdsup://directions/FAT Viewer?action=UPDATE&amp;creator=factset&amp;DYN_ARGS=TRUE&amp;DOC_NAME=FAT:FQL_AUDITING_CLIENT_TEMPLATE.FAT&amp;display_string=Audit&amp;VAR:KEY=OXCJQNWXID&amp;VAR:QUERY=RkZfUk9FKEFOTiwwKQ==&amp;WINDOW=FIRST_POPUP&amp;HEIGHT=450&amp;WIDTH=450&amp;START_MAXIMIZED=FALSE&amp;VA","R:CALENDAR=FIVEDAY&amp;VAR:SYMBOL=314110&amp;VAR:INDEX=0"}</definedName>
    <definedName name="_218__FDSAUDITLINK__" localSheetId="4"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5"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15"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19"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18"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14"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12"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24"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7"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20"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21"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11"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17"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16"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22"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9"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13"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localSheetId="23"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8__FDSAUDITLINK__" hidden="1">{"fdsup://directions/FAT Viewer?action=UPDATE&amp;creator=factset&amp;DYN_ARGS=TRUE&amp;DOC_NAME=FAT:FQL_AUDITING_CLIENT_TEMPLATE.FAT&amp;display_string=Audit&amp;VAR:KEY=IRYBGVKFYN&amp;VAR:QUERY=RkZfUk9JQyhBTk4sMCk=&amp;WINDOW=FIRST_POPUP&amp;HEIGHT=450&amp;WIDTH=450&amp;START_MAXIMIZED=FALSE&amp;VA","R:CALENDAR=FIVEDAY&amp;VAR:SYMBOL=614469&amp;VAR:INDEX=0"}</definedName>
    <definedName name="_219__FDSAUDITLINK__" localSheetId="4"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5"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15"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19"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18"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14"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12"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24"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7"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20"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21"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11"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17"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16"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22"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9"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13"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localSheetId="23"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19__FDSAUDITLINK__" hidden="1">{"fdsup://directions/FAT Viewer?action=UPDATE&amp;creator=factset&amp;DYN_ARGS=TRUE&amp;DOC_NAME=FAT:FQL_AUDITING_CLIENT_TEMPLATE.FAT&amp;display_string=Audit&amp;VAR:KEY=ZCRCTKBIVC&amp;VAR:QUERY=RkZfUEUoQU5OLDAp&amp;WINDOW=FIRST_POPUP&amp;HEIGHT=450&amp;WIDTH=450&amp;START_MAXIMIZED=FALSE&amp;VAR:CA","LENDAR=FIVEDAY&amp;VAR:SYMBOL=691316&amp;VAR:INDEX=0"}</definedName>
    <definedName name="_22__FDSAUDITLINK__" localSheetId="4"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5"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15"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19"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18"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14"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12"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24"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7"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20"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21"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11"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17"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16"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22"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9"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13"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localSheetId="23"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__FDSAUDITLINK__" hidden="1">{"fdsup://directions/FAT Viewer?action=UPDATE&amp;creator=factset&amp;DYN_ARGS=TRUE&amp;DOC_NAME=FAT:FQL_AUDITING_CLIENT_TEMPLATE.FAT&amp;display_string=Audit&amp;VAR:KEY=QHYDKZCTKL&amp;VAR:QUERY=RkZfRU5UUlBSX1ZBTF9EQUlMWSgp&amp;WINDOW=FIRST_POPUP&amp;HEIGHT=450&amp;WIDTH=450&amp;START_MAXIMIZED=","FALSE&amp;VAR:CALENDAR=FIVEDAY&amp;VAR:SYMBOL=B10SSP&amp;VAR:INDEX=0"}</definedName>
    <definedName name="_220__FDSAUDITLINK__" localSheetId="4"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5"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15"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19"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18"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14"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12"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24"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7"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20"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21"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11"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17"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16"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22"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9"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13"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localSheetId="23"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0__FDSAUDITLINK__" hidden="1">{"fdsup://directions/FAT Viewer?action=UPDATE&amp;creator=factset&amp;DYN_ARGS=TRUE&amp;DOC_NAME=FAT:FQL_AUDITING_CLIENT_TEMPLATE.FAT&amp;display_string=Audit&amp;VAR:KEY=FEZENEBGLG&amp;VAR:QUERY=RkZfUEUoQU5OLDAp&amp;WINDOW=FIRST_POPUP&amp;HEIGHT=450&amp;WIDTH=450&amp;START_MAXIMIZED=FALSE&amp;VAR:CA","LENDAR=FIVEDAY&amp;VAR:SYMBOL=610728&amp;VAR:INDEX=0"}</definedName>
    <definedName name="_221__FDSAUDITLINK__" localSheetId="4"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5"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15"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19"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18"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14"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12"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24"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7"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20"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21"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11"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17"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16"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22"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9"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13"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localSheetId="23"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1__FDSAUDITLINK__" hidden="1">{"fdsup://directions/FAT Viewer?action=UPDATE&amp;creator=factset&amp;DYN_ARGS=TRUE&amp;DOC_NAME=FAT:FQL_AUDITING_CLIENT_TEMPLATE.FAT&amp;display_string=Audit&amp;VAR:KEY=FCPSXWJQBM&amp;VAR:QUERY=RkZfUEUoQU5OLDAp&amp;WINDOW=FIRST_POPUP&amp;HEIGHT=450&amp;WIDTH=450&amp;START_MAXIMIZED=FALSE&amp;VAR:CA","LENDAR=FIVEDAY&amp;VAR:SYMBOL=681795&amp;VAR:INDEX=0"}</definedName>
    <definedName name="_222__FDSAUDITLINK__" localSheetId="4"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5"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15"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19"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18"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14"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12"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24"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7"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20"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21"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11"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17"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16"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22"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9"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13"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localSheetId="23"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2__FDSAUDITLINK__" hidden="1">{"fdsup://directions/FAT Viewer?action=UPDATE&amp;creator=factset&amp;DYN_ARGS=TRUE&amp;DOC_NAME=FAT:FQL_AUDITING_CLIENT_TEMPLATE.FAT&amp;display_string=Audit&amp;VAR:KEY=XCHQLWXUXO&amp;VAR:QUERY=RkZfUEUoQU5OLDAp&amp;WINDOW=FIRST_POPUP&amp;HEIGHT=450&amp;WIDTH=450&amp;START_MAXIMIZED=FALSE&amp;VAR:CA","LENDAR=FIVEDAY&amp;VAR:SYMBOL=639321&amp;VAR:INDEX=0"}</definedName>
    <definedName name="_223__FDSAUDITLINK__" localSheetId="4"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5"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15"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19"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18"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14"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12"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24"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7"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20"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21"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11"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17"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16"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22"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9"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13"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localSheetId="23"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3__FDSAUDITLINK__" hidden="1">{"fdsup://directions/FAT Viewer?action=UPDATE&amp;creator=factset&amp;DYN_ARGS=TRUE&amp;DOC_NAME=FAT:FQL_AUDITING_CLIENT_TEMPLATE.FAT&amp;display_string=Audit&amp;VAR:KEY=RGFCJSJQBU&amp;VAR:QUERY=RkZfUEUoQU5OLDAp&amp;WINDOW=FIRST_POPUP&amp;HEIGHT=450&amp;WIDTH=450&amp;START_MAXIMIZED=FALSE&amp;VAR:CA","LENDAR=FIVEDAY&amp;VAR:SYMBOL=633393&amp;VAR:INDEX=0"}</definedName>
    <definedName name="_224__FDSAUDITLINK__" localSheetId="4"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5"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15"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19"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18"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14"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12"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24"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7"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20"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21"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11"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17"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16"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22"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9"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13"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localSheetId="23"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4__FDSAUDITLINK__" hidden="1">{"fdsup://directions/FAT Viewer?action=UPDATE&amp;creator=factset&amp;DYN_ARGS=TRUE&amp;DOC_NAME=FAT:FQL_AUDITING_CLIENT_TEMPLATE.FAT&amp;display_string=Audit&amp;VAR:KEY=PEJSNMZOVK&amp;VAR:QUERY=RkZfUEUoQU5OLDAp&amp;WINDOW=FIRST_POPUP&amp;HEIGHT=450&amp;WIDTH=450&amp;START_MAXIMIZED=FALSE&amp;VAR:CA","LENDAR=FIVEDAY&amp;VAR:SYMBOL=690461&amp;VAR:INDEX=0"}</definedName>
    <definedName name="_225__FDSAUDITLINK__" localSheetId="4"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5"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15"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19"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18"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14"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12"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24"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7"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20"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21"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11"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17"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16"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22"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9"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13"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localSheetId="23"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5__FDSAUDITLINK__" hidden="1">{"fdsup://directions/FAT Viewer?action=UPDATE&amp;creator=factset&amp;DYN_ARGS=TRUE&amp;DOC_NAME=FAT:FQL_AUDITING_CLIENT_TEMPLATE.FAT&amp;display_string=Audit&amp;VAR:KEY=ZSNALMHWTC&amp;VAR:QUERY=RkZfUEUoQU5OLDAp&amp;WINDOW=FIRST_POPUP&amp;HEIGHT=450&amp;WIDTH=450&amp;START_MAXIMIZED=FALSE&amp;VAR:CA","LENDAR=FIVEDAY&amp;VAR:SYMBOL=629423&amp;VAR:INDEX=0"}</definedName>
    <definedName name="_226__FDSAUDITLINK__" localSheetId="4"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5"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15"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19"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18"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14"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12"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24"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7"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20"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21"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11"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17"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16"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22"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9"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13"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localSheetId="23"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6__FDSAUDITLINK__" hidden="1">{"fdsup://directions/FAT Viewer?action=UPDATE&amp;creator=factset&amp;DYN_ARGS=TRUE&amp;DOC_NAME=FAT:FQL_AUDITING_CLIENT_TEMPLATE.FAT&amp;display_string=Audit&amp;VAR:KEY=NIVYRMDCPC&amp;VAR:QUERY=RkZfUEUoQU5OLDAp&amp;WINDOW=FIRST_POPUP&amp;HEIGHT=450&amp;WIDTH=450&amp;START_MAXIMIZED=FALSE&amp;VAR:CA","LENDAR=FIVEDAY&amp;VAR:SYMBOL=618207&amp;VAR:INDEX=0"}</definedName>
    <definedName name="_227__FDSAUDITLINK__" localSheetId="4"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5"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15"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19"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18"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14"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12"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24"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7"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20"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21"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11"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17"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16"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22"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9"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13"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localSheetId="23"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7__FDSAUDITLINK__" hidden="1">{"fdsup://directions/FAT Viewer?action=UPDATE&amp;creator=factset&amp;DYN_ARGS=TRUE&amp;DOC_NAME=FAT:FQL_AUDITING_CLIENT_TEMPLATE.FAT&amp;display_string=Audit&amp;VAR:KEY=BARKDEDEZG&amp;VAR:QUERY=RkZfUEUoQU5OLDAp&amp;WINDOW=FIRST_POPUP&amp;HEIGHT=450&amp;WIDTH=450&amp;START_MAXIMIZED=FALSE&amp;VAR:CA","LENDAR=FIVEDAY&amp;VAR:SYMBOL=649573&amp;VAR:INDEX=0"}</definedName>
    <definedName name="_228__FDSAUDITLINK__" localSheetId="4"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5"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15"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19"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18"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14"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12"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24"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7"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20"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21"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11"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17"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16"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22"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9"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13"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localSheetId="23"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8__FDSAUDITLINK__" hidden="1">{"fdsup://directions/FAT Viewer?action=UPDATE&amp;creator=factset&amp;DYN_ARGS=TRUE&amp;DOC_NAME=FAT:FQL_AUDITING_CLIENT_TEMPLATE.FAT&amp;display_string=Audit&amp;VAR:KEY=JIBKFQNWRI&amp;VAR:QUERY=RkZfUEUoQU5OLDAp&amp;WINDOW=FIRST_POPUP&amp;HEIGHT=450&amp;WIDTH=450&amp;START_MAXIMIZED=FALSE&amp;VAR:CA","LENDAR=FIVEDAY&amp;VAR:SYMBOL=609967&amp;VAR:INDEX=0"}</definedName>
    <definedName name="_229__FDSAUDITLINK__" localSheetId="4"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5"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15"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19"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18"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14"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12"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24"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7"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20"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21"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11"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17"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16"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22"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9"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13"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localSheetId="23"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29__FDSAUDITLINK__" hidden="1">{"fdsup://directions/FAT Viewer?action=UPDATE&amp;creator=factset&amp;DYN_ARGS=TRUE&amp;DOC_NAME=FAT:FQL_AUDITING_CLIENT_TEMPLATE.FAT&amp;display_string=Audit&amp;VAR:KEY=ETKZMVWNIR&amp;VAR:QUERY=RkZfRU5UUlBSX1ZBTF9FQklUREEoQU5OLDAp&amp;WINDOW=FIRST_POPUP&amp;HEIGHT=450&amp;WIDTH=450&amp;START_MA","XIMIZED=FALSE&amp;VAR:CALENDAR=FIVEDAY&amp;VAR:SYMBOL=70454910&amp;VAR:INDEX=0"}</definedName>
    <definedName name="_23__FDSAUDITLINK__" localSheetId="4"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5"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15"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19"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18"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14"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12"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24"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7"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20"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21"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11"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17"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16"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22"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9"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13"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localSheetId="23"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__FDSAUDITLINK__" hidden="1">{"fdsup://directions/FAT Viewer?action=UPDATE&amp;creator=factset&amp;DYN_ARGS=TRUE&amp;DOC_NAME=FAT:FQL_AUDITING_CLIENT_TEMPLATE.FAT&amp;display_string=Audit&amp;VAR:KEY=ETURGHENEP&amp;VAR:QUERY=RkZfRU5UUlBSX1ZBTF9EQUlMWSgp&amp;WINDOW=FIRST_POPUP&amp;HEIGHT=450&amp;WIDTH=450&amp;START_MAXIMIZED=","FALSE&amp;VAR:CALENDAR=FIVEDAY&amp;VAR:SYMBOL=B1FCQX&amp;VAR:INDEX=0"}</definedName>
    <definedName name="_230__FDSAUDITLINK__" localSheetId="4"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5"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15"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19"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18"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14"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12"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24"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7"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20"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21"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11"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17"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16"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22"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9"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13"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localSheetId="23"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0__FDSAUDITLINK__" hidden="1">{"fdsup://directions/FAT Viewer?action=UPDATE&amp;creator=factset&amp;DYN_ARGS=TRUE&amp;DOC_NAME=FAT:FQL_AUDITING_CLIENT_TEMPLATE.FAT&amp;display_string=Audit&amp;VAR:KEY=IJMTATCXKT&amp;VAR:QUERY=RkZfRU5UUlBSX1ZBTF9EQUlMWSgwLCwsLCwnRElMJykvRUNBX01FQU5fRUJJVERBKCsyLDAp&amp;WINDOW=FIRST","_POPUP&amp;HEIGHT=450&amp;WIDTH=450&amp;START_MAXIMIZED=FALSE&amp;VAR:CALENDAR=FIVEDAY&amp;VAR:SYMBOL=03938010&amp;VAR:INDEX=0"}</definedName>
    <definedName name="_231__FDSAUDITLINK__" localSheetId="4"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5"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15"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19"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18"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14"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12"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24"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7"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20"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21"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11"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17"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16"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22"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9"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13"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localSheetId="23"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1__FDSAUDITLINK__" hidden="1">{"fdsup://directions/FAT Viewer?action=UPDATE&amp;creator=factset&amp;DYN_ARGS=TRUE&amp;DOC_NAME=FAT:FQL_AUDITING_CLIENT_TEMPLATE.FAT&amp;display_string=Audit&amp;VAR:KEY=LIPWJUZSDK&amp;VAR:QUERY=RkZfRU5UUlBSX1ZBTF9EQUlMWSgwLCwsLCwnRElMJykvRUNBX01FQU5fRUJJVERBKCsxLDAp&amp;WINDOW=FIRST","_POPUP&amp;HEIGHT=450&amp;WIDTH=450&amp;START_MAXIMIZED=FALSE&amp;VAR:CALENDAR=FIVEDAY&amp;VAR:SYMBOL=B243RD&amp;VAR:INDEX=0"}</definedName>
    <definedName name="_232__FDSAUDITLINK__" localSheetId="4"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5"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15"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19"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18"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14"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12"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24"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7"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20"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21"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11"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17"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16"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22"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9"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13"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localSheetId="23"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2__FDSAUDITLINK__" hidden="1">{"fdsup://directions/FAT Viewer?action=UPDATE&amp;creator=factset&amp;DYN_ARGS=TRUE&amp;DOC_NAME=FAT:FQL_AUDITING_CLIENT_TEMPLATE.FAT&amp;display_string=Audit&amp;VAR:KEY=IHETYNIBWX&amp;VAR:QUERY=RkZfUEUoQU5OLDAp&amp;WINDOW=FIRST_POPUP&amp;HEIGHT=450&amp;WIDTH=450&amp;START_MAXIMIZED=FALSE&amp;VAR:CA","LENDAR=FIVEDAY&amp;VAR:SYMBOL=B09N7M&amp;VAR:INDEX=0"}</definedName>
    <definedName name="_233__FDSAUDITLINK__" localSheetId="4"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5"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15"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19"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18"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14"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12"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24"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7"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20"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21"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11"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17"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16"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22"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9"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13"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localSheetId="23"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3__FDSAUDITLINK__" hidden="1">{"fdsup://directions/FAT Viewer?action=UPDATE&amp;creator=factset&amp;DYN_ARGS=TRUE&amp;DOC_NAME=FAT:FQL_AUDITING_CLIENT_TEMPLATE.FAT&amp;display_string=Audit&amp;VAR:KEY=CFCLEREBGR&amp;VAR:QUERY=RkZfUEUoQU5OLDAp&amp;WINDOW=FIRST_POPUP&amp;HEIGHT=450&amp;WIDTH=450&amp;START_MAXIMIZED=FALSE&amp;VAR:CA","LENDAR=FIVEDAY&amp;VAR:SYMBOL=604348&amp;VAR:INDEX=0"}</definedName>
    <definedName name="_234__FDSAUDITLINK__" localSheetId="4"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5"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15"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19"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18"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14"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12"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24"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7"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20"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21"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11"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17"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16"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22"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9"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13"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localSheetId="23"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4__FDSAUDITLINK__" hidden="1">{"fdsup://directions/FAT Viewer?action=UPDATE&amp;creator=factset&amp;DYN_ARGS=TRUE&amp;DOC_NAME=FAT:FQL_AUDITING_CLIENT_TEMPLATE.FAT&amp;display_string=Audit&amp;VAR:KEY=URENMHUHCP&amp;VAR:QUERY=RkZfUEJLKEFOTiwwKQ==&amp;WINDOW=FIRST_POPUP&amp;HEIGHT=450&amp;WIDTH=450&amp;START_MAXIMIZED=FALSE&amp;VA","R:CALENDAR=FIVEDAY&amp;VAR:SYMBOL=314110&amp;VAR:INDEX=0"}</definedName>
    <definedName name="_235__FDSAUDITLINK__" localSheetId="4"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5"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15"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19"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18"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14"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12"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24"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7"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20"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21"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11"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17"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16"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22"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9"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13"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localSheetId="23"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5__FDSAUDITLINK__" hidden="1">{"fdsup://directions/FAT Viewer?action=UPDATE&amp;creator=factset&amp;DYN_ARGS=TRUE&amp;DOC_NAME=FAT:FQL_AUDITING_CLIENT_TEMPLATE.FAT&amp;display_string=Audit&amp;VAR:KEY=MHANUVADGX&amp;VAR:QUERY=RkZfUk9FKEFOTiwwKQ==&amp;WINDOW=FIRST_POPUP&amp;HEIGHT=450&amp;WIDTH=450&amp;START_MAXIMIZED=FALSE&amp;VA","R:CALENDAR=FIVEDAY&amp;VAR:SYMBOL=614469&amp;VAR:INDEX=0"}</definedName>
    <definedName name="_236__FDSAUDITLINK__" localSheetId="4"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5"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15"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19"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18"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14"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12"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24"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7"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20"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21"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11"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17"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16"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22"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9"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13"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localSheetId="23"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6__FDSAUDITLINK__" hidden="1">{"fdsup://directions/FAT Viewer?action=UPDATE&amp;creator=factset&amp;DYN_ARGS=TRUE&amp;DOC_NAME=FAT:FQL_AUDITING_CLIENT_TEMPLATE.FAT&amp;display_string=Audit&amp;VAR:KEY=KROXCDKFAL&amp;VAR:QUERY=RkZfUk9JQyhBTk4sMCk=&amp;WINDOW=FIRST_POPUP&amp;HEIGHT=450&amp;WIDTH=450&amp;START_MAXIMIZED=FALSE&amp;VA","R:CALENDAR=FIVEDAY&amp;VAR:SYMBOL=B1JNK8&amp;VAR:INDEX=0"}</definedName>
    <definedName name="_237__FDSAUDITLINK__" localSheetId="4"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5"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15"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19"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18"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14"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12"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24"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7"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20"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21"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11"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17"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16"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22"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9"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13"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localSheetId="23"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7__FDSAUDITLINK__" hidden="1">{"fdsup://directions/FAT Viewer?action=UPDATE&amp;creator=factset&amp;DYN_ARGS=TRUE&amp;DOC_NAME=FAT:FQL_AUDITING_CLIENT_TEMPLATE.FAT&amp;display_string=Audit&amp;VAR:KEY=FGZCXMNCPK&amp;VAR:QUERY=RkZfRU5UUlBSX1ZBTF9EQUlMWSgwLCwsLCwnRElMJykvRUNBX01FQU5fRUJJVERBKCsyLDAp&amp;WINDOW=FIRST","_POPUP&amp;HEIGHT=450&amp;WIDTH=450&amp;START_MAXIMIZED=FALSE&amp;VAR:CALENDAR=FIVEDAY&amp;VAR:SYMBOL=691316&amp;VAR:INDEX=0"}</definedName>
    <definedName name="_238__FDSAUDITLINK__" localSheetId="4"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5"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15"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19"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18"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14"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12"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24"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7"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20"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21"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11"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17"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16"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22"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9"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13"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localSheetId="23"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8__FDSAUDITLINK__" hidden="1">{"fdsup://directions/FAT Viewer?action=UPDATE&amp;creator=factset&amp;DYN_ARGS=TRUE&amp;DOC_NAME=FAT:FQL_AUDITING_CLIENT_TEMPLATE.FAT&amp;display_string=Audit&amp;VAR:KEY=ZEJKJKFYBW&amp;VAR:QUERY=RkZfRU5UUlBSX1ZBTF9EQUlMWSgwLCwsLCwnRElMJykvRUNBX01FQU5fRUJJVERBKCsxLDAp&amp;WINDOW=FIRST","_POPUP&amp;HEIGHT=450&amp;WIDTH=450&amp;START_MAXIMIZED=FALSE&amp;VAR:CALENDAR=FIVEDAY&amp;VAR:SYMBOL=691316&amp;VAR:INDEX=0"}</definedName>
    <definedName name="_239__FDSAUDITLINK__" localSheetId="4"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5"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15"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19"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18"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14"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12"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24"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7"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20"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21"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11"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17"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16"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22"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9"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13"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localSheetId="23"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39__FDSAUDITLINK__" hidden="1">{"fdsup://directions/FAT Viewer?action=UPDATE&amp;creator=factset&amp;DYN_ARGS=TRUE&amp;DOC_NAME=FAT:FQL_AUDITING_CLIENT_TEMPLATE.FAT&amp;display_string=Audit&amp;VAR:KEY=HQHYVYFAVS&amp;VAR:QUERY=RkZfRU5UUlBSX1ZBTF9FQklUREEoQU5OLDAp&amp;WINDOW=FIRST_POPUP&amp;HEIGHT=450&amp;WIDTH=450&amp;START_MA","XIMIZED=FALSE&amp;VAR:CALENDAR=FIVEDAY&amp;VAR:SYMBOL=691316&amp;VAR:INDEX=0"}</definedName>
    <definedName name="_24__FDSAUDITLINK__" localSheetId="4"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5"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15"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19"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18"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14"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12"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24"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7"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20"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21"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11"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17"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16"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22"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9"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13"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localSheetId="23"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__FDSAUDITLINK__" hidden="1">{"fdsup://directions/FAT Viewer?action=UPDATE&amp;creator=factset&amp;DYN_ARGS=TRUE&amp;DOC_NAME=FAT:FQL_AUDITING_CLIENT_TEMPLATE.FAT&amp;display_string=Audit&amp;VAR:KEY=MPALGTQJMV&amp;VAR:QUERY=RkZfRU5UUlBSX1ZBTF9EQUlMWSgp&amp;WINDOW=FIRST_POPUP&amp;HEIGHT=450&amp;WIDTH=450&amp;START_MAXIMIZED=","FALSE&amp;VAR:CALENDAR=FIVEDAY&amp;VAR:SYMBOL=B1Y9QS&amp;VAR:INDEX=0"}</definedName>
    <definedName name="_240__FDSAUDITLINK__" localSheetId="4"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5"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15"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19"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18"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14"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12"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24"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7"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20"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21"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11"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17"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16"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22"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9"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13"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localSheetId="23"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0__FDSAUDITLINK__" hidden="1">{"fdsup://directions/FAT Viewer?action=UPDATE&amp;creator=factset&amp;DYN_ARGS=TRUE&amp;DOC_NAME=FAT:FQL_AUDITING_CLIENT_TEMPLATE.FAT&amp;display_string=Audit&amp;VAR:KEY=NOVGBMLMLQ&amp;VAR:QUERY=RkZfRU5UUlBSX1ZBTF9EQUlMWSgwLCwsLCwnRElMJykvRUNBX01FQU5fRUJJVERBKCsyLDAp&amp;WINDOW=FIRST","_POPUP&amp;HEIGHT=450&amp;WIDTH=450&amp;START_MAXIMIZED=FALSE&amp;VAR:CALENDAR=FIVEDAY&amp;VAR:SYMBOL=610728&amp;VAR:INDEX=0"}</definedName>
    <definedName name="_241__FDSAUDITLINK__" localSheetId="4"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5"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15"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19"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18"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14"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12"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24"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7"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20"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21"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11"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17"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16"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22"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9"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13"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localSheetId="23"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1__FDSAUDITLINK__" hidden="1">{"fdsup://directions/FAT Viewer?action=UPDATE&amp;creator=factset&amp;DYN_ARGS=TRUE&amp;DOC_NAME=FAT:FQL_AUDITING_CLIENT_TEMPLATE.FAT&amp;display_string=Audit&amp;VAR:KEY=TYLUJCBIRS&amp;VAR:QUERY=RkZfRU5UUlBSX1ZBTF9EQUlMWSgwLCwsLCwnRElMJykvRUNBX01FQU5fRUJJVERBKCsxLDAp&amp;WINDOW=FIRST","_POPUP&amp;HEIGHT=450&amp;WIDTH=450&amp;START_MAXIMIZED=FALSE&amp;VAR:CALENDAR=FIVEDAY&amp;VAR:SYMBOL=610728&amp;VAR:INDEX=0"}</definedName>
    <definedName name="_242__FDSAUDITLINK__" localSheetId="4"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5"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15"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19"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18"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14"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12"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24"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7"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20"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21"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11"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17"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16"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22"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9"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13"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localSheetId="23"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2__FDSAUDITLINK__" hidden="1">{"fdsup://directions/FAT Viewer?action=UPDATE&amp;creator=factset&amp;DYN_ARGS=TRUE&amp;DOC_NAME=FAT:FQL_AUDITING_CLIENT_TEMPLATE.FAT&amp;display_string=Audit&amp;VAR:KEY=DMZQLORIRQ&amp;VAR:QUERY=RkZfRU5UUlBSX1ZBTF9FQklUREEoQU5OLDAp&amp;WINDOW=FIRST_POPUP&amp;HEIGHT=450&amp;WIDTH=450&amp;START_MA","XIMIZED=FALSE&amp;VAR:CALENDAR=FIVEDAY&amp;VAR:SYMBOL=610728&amp;VAR:INDEX=0"}</definedName>
    <definedName name="_243__FDSAUDITLINK__" localSheetId="4"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5"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15"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19"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18"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14"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12"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24"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7"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20"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21"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11"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17"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16"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22"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9"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13"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localSheetId="23"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3__FDSAUDITLINK__" hidden="1">{"fdsup://directions/FAT Viewer?action=UPDATE&amp;creator=factset&amp;DYN_ARGS=TRUE&amp;DOC_NAME=FAT:FQL_AUDITING_CLIENT_TEMPLATE.FAT&amp;display_string=Audit&amp;VAR:KEY=BYLODGLOBS&amp;VAR:QUERY=RkZfRU5UUlBSX1ZBTF9EQUlMWSgwLCwsLCwnRElMJykvRUNBX01FQU5fRUJJVERBKCsyLDAp&amp;WINDOW=FIRST","_POPUP&amp;HEIGHT=450&amp;WIDTH=450&amp;START_MAXIMIZED=FALSE&amp;VAR:CALENDAR=FIVEDAY&amp;VAR:SYMBOL=681795&amp;VAR:INDEX=0"}</definedName>
    <definedName name="_244__FDSAUDITLINK__" localSheetId="4"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5"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15"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19"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18"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14"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12"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24"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7"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20"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21"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11"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17"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16"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22"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9"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13"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localSheetId="23"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4__FDSAUDITLINK__" hidden="1">{"fdsup://directions/FAT Viewer?action=UPDATE&amp;creator=factset&amp;DYN_ARGS=TRUE&amp;DOC_NAME=FAT:FQL_AUDITING_CLIENT_TEMPLATE.FAT&amp;display_string=Audit&amp;VAR:KEY=FCTATKTKPK&amp;VAR:QUERY=RkZfRU5UUlBSX1ZBTF9EQUlMWSgwLCwsLCwnRElMJykvRUNBX01FQU5fRUJJVERBKCsxLDAp&amp;WINDOW=FIRST","_POPUP&amp;HEIGHT=450&amp;WIDTH=450&amp;START_MAXIMIZED=FALSE&amp;VAR:CALENDAR=FIVEDAY&amp;VAR:SYMBOL=681795&amp;VAR:INDEX=0"}</definedName>
    <definedName name="_245__FDSAUDITLINK__" localSheetId="4"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5"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15"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19"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18"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14"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12"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24"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7"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20"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21"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11"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17"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16"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22"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9"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13"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localSheetId="23"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5__FDSAUDITLINK__" hidden="1">{"fdsup://directions/FAT Viewer?action=UPDATE&amp;creator=factset&amp;DYN_ARGS=TRUE&amp;DOC_NAME=FAT:FQL_AUDITING_CLIENT_TEMPLATE.FAT&amp;display_string=Audit&amp;VAR:KEY=DGBSTQLKFO&amp;VAR:QUERY=RkZfRU5UUlBSX1ZBTF9FQklUREEoQU5OLDAp&amp;WINDOW=FIRST_POPUP&amp;HEIGHT=450&amp;WIDTH=450&amp;START_MA","XIMIZED=FALSE&amp;VAR:CALENDAR=FIVEDAY&amp;VAR:SYMBOL=681795&amp;VAR:INDEX=0"}</definedName>
    <definedName name="_246__FDSAUDITLINK__" localSheetId="4"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5"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15"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19"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18"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14"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12"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24"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7"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20"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21"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11"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17"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16"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22"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9"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13"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localSheetId="23"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6__FDSAUDITLINK__" hidden="1">{"fdsup://directions/FAT Viewer?action=UPDATE&amp;creator=factset&amp;DYN_ARGS=TRUE&amp;DOC_NAME=FAT:FQL_AUDITING_CLIENT_TEMPLATE.FAT&amp;display_string=Audit&amp;VAR:KEY=ZAHMDMPSXU&amp;VAR:QUERY=RkZfRU5UUlBSX1ZBTF9EQUlMWSgwLCwsLCwnRElMJykvRUNBX01FQU5fRUJJVERBKCsyLDAp&amp;WINDOW=FIRST","_POPUP&amp;HEIGHT=450&amp;WIDTH=450&amp;START_MAXIMIZED=FALSE&amp;VAR:CALENDAR=FIVEDAY&amp;VAR:SYMBOL=639321&amp;VAR:INDEX=0"}</definedName>
    <definedName name="_247__FDSAUDITLINK__" localSheetId="4"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5"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15"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19"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18"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14"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12"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24"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7"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20"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21"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11"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17"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16"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22"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9"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13"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localSheetId="23"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7__FDSAUDITLINK__" hidden="1">{"fdsup://directions/FAT Viewer?action=UPDATE&amp;creator=factset&amp;DYN_ARGS=TRUE&amp;DOC_NAME=FAT:FQL_AUDITING_CLIENT_TEMPLATE.FAT&amp;display_string=Audit&amp;VAR:KEY=DMVYTEZEXG&amp;VAR:QUERY=RkZfRU5UUlBSX1ZBTF9EQUlMWSgwLCwsLCwnRElMJykvRUNBX01FQU5fRUJJVERBKCsxLDAp&amp;WINDOW=FIRST","_POPUP&amp;HEIGHT=450&amp;WIDTH=450&amp;START_MAXIMIZED=FALSE&amp;VAR:CALENDAR=FIVEDAY&amp;VAR:SYMBOL=639321&amp;VAR:INDEX=0"}</definedName>
    <definedName name="_248__FDSAUDITLINK__" localSheetId="4"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5"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15"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19"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18"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14"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12"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24"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7"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20"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21"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11"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17"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16"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22"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9"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13"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localSheetId="23"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8__FDSAUDITLINK__" hidden="1">{"fdsup://directions/FAT Viewer?action=UPDATE&amp;creator=factset&amp;DYN_ARGS=TRUE&amp;DOC_NAME=FAT:FQL_AUDITING_CLIENT_TEMPLATE.FAT&amp;display_string=Audit&amp;VAR:KEY=FQTIJOLGJA&amp;VAR:QUERY=RkZfRU5UUlBSX1ZBTF9FQklUREEoQU5OLDAp&amp;WINDOW=FIRST_POPUP&amp;HEIGHT=450&amp;WIDTH=450&amp;START_MA","XIMIZED=FALSE&amp;VAR:CALENDAR=FIVEDAY&amp;VAR:SYMBOL=639321&amp;VAR:INDEX=0"}</definedName>
    <definedName name="_249__FDSAUDITLINK__" localSheetId="4"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5"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15"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19"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18"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14"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12"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24"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7"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20"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21"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11"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17"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16"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22"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9"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13"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localSheetId="23"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49__FDSAUDITLINK__" hidden="1">{"fdsup://directions/FAT Viewer?action=UPDATE&amp;creator=factset&amp;DYN_ARGS=TRUE&amp;DOC_NAME=FAT:FQL_AUDITING_CLIENT_TEMPLATE.FAT&amp;display_string=Audit&amp;VAR:KEY=VWVUFCHARY&amp;VAR:QUERY=RkZfRU5UUlBSX1ZBTF9EQUlMWSgwLCwsLCwnRElMJykvRUNBX01FQU5fRUJJVERBKCsyLDAp&amp;WINDOW=FIRST","_POPUP&amp;HEIGHT=450&amp;WIDTH=450&amp;START_MAXIMIZED=FALSE&amp;VAR:CALENDAR=FIVEDAY&amp;VAR:SYMBOL=633393&amp;VAR:INDEX=0"}</definedName>
    <definedName name="_25__FDSAUDITLINK__" localSheetId="4"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5"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15"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19"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18"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14"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12"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24"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7"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20"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21"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11"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17"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16"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22"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9"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13"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localSheetId="23"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__FDSAUDITLINK__" hidden="1">{"fdsup://directions/FAT Viewer?action=UPDATE&amp;creator=factset&amp;DYN_ARGS=TRUE&amp;DOC_NAME=FAT:FQL_AUDITING_CLIENT_TEMPLATE.FAT&amp;display_string=Audit&amp;VAR:KEY=QNCLAVYPUB&amp;VAR:QUERY=RkZfRU5UUlBSX1ZBTF9EQUlMWSgp&amp;WINDOW=FIRST_POPUP&amp;HEIGHT=450&amp;WIDTH=450&amp;START_MAXIMIZED=","FALSE&amp;VAR:CALENDAR=FIVEDAY&amp;VAR:SYMBOL=B0DX8R&amp;VAR:INDEX=0"}</definedName>
    <definedName name="_250__FDSAUDITLINK__" localSheetId="4"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5"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15"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19"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18"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14"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12"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24"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7"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20"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21"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11"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17"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16"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22"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9"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13"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localSheetId="23"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0__FDSAUDITLINK__" hidden="1">{"fdsup://directions/FAT Viewer?action=UPDATE&amp;creator=factset&amp;DYN_ARGS=TRUE&amp;DOC_NAME=FAT:FQL_AUDITING_CLIENT_TEMPLATE.FAT&amp;display_string=Audit&amp;VAR:KEY=VMRSZAJGPE&amp;VAR:QUERY=RkZfRU5UUlBSX1ZBTF9EQUlMWSgwLCwsLCwnRElMJykvRUNBX01FQU5fRUJJVERBKCsxLDAp&amp;WINDOW=FIRST","_POPUP&amp;HEIGHT=450&amp;WIDTH=450&amp;START_MAXIMIZED=FALSE&amp;VAR:CALENDAR=FIVEDAY&amp;VAR:SYMBOL=633393&amp;VAR:INDEX=0"}</definedName>
    <definedName name="_251__FDSAUDITLINK__" localSheetId="4"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5"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15"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19"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18"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14"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12"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24"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7"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20"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21"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11"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17"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16"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22"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9"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13"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localSheetId="23"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1__FDSAUDITLINK__" hidden="1">{"fdsup://directions/FAT Viewer?action=UPDATE&amp;creator=factset&amp;DYN_ARGS=TRUE&amp;DOC_NAME=FAT:FQL_AUDITING_CLIENT_TEMPLATE.FAT&amp;display_string=Audit&amp;VAR:KEY=PWPQTAHMBC&amp;VAR:QUERY=RkZfRU5UUlBSX1ZBTF9FQklUREEoQU5OLDAp&amp;WINDOW=FIRST_POPUP&amp;HEIGHT=450&amp;WIDTH=450&amp;START_MA","XIMIZED=FALSE&amp;VAR:CALENDAR=FIVEDAY&amp;VAR:SYMBOL=633393&amp;VAR:INDEX=0"}</definedName>
    <definedName name="_252__FDSAUDITLINK__" localSheetId="4"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5"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15"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19"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18"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14"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12"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24"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7"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20"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21"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11"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17"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16"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22"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9"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13"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localSheetId="23"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2__FDSAUDITLINK__" hidden="1">{"fdsup://directions/FAT Viewer?action=UPDATE&amp;creator=factset&amp;DYN_ARGS=TRUE&amp;DOC_NAME=FAT:FQL_AUDITING_CLIENT_TEMPLATE.FAT&amp;display_string=Audit&amp;VAR:KEY=HELURQHQVM&amp;VAR:QUERY=RkZfRU5UUlBSX1ZBTF9EQUlMWSgwLCwsLCwnRElMJykvRUNBX01FQU5fRUJJVERBKCsyLDAp&amp;WINDOW=FIRST","_POPUP&amp;HEIGHT=450&amp;WIDTH=450&amp;START_MAXIMIZED=FALSE&amp;VAR:CALENDAR=FIVEDAY&amp;VAR:SYMBOL=690461&amp;VAR:INDEX=0"}</definedName>
    <definedName name="_253__FDSAUDITLINK__" localSheetId="4"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5"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15"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19"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18"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14"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12"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24"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7"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20"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21"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11"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17"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16"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22"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9"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13"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localSheetId="23"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3__FDSAUDITLINK__" hidden="1">{"fdsup://directions/FAT Viewer?action=UPDATE&amp;creator=factset&amp;DYN_ARGS=TRUE&amp;DOC_NAME=FAT:FQL_AUDITING_CLIENT_TEMPLATE.FAT&amp;display_string=Audit&amp;VAR:KEY=LMTWJMBQBI&amp;VAR:QUERY=RkZfRU5UUlBSX1ZBTF9EQUlMWSgwLCwsLCwnRElMJykvRUNBX01FQU5fRUJJVERBKCsxLDAp&amp;WINDOW=FIRST","_POPUP&amp;HEIGHT=450&amp;WIDTH=450&amp;START_MAXIMIZED=FALSE&amp;VAR:CALENDAR=FIVEDAY&amp;VAR:SYMBOL=690461&amp;VAR:INDEX=0"}</definedName>
    <definedName name="_254__FDSAUDITLINK__" localSheetId="4"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5"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15"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19"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18"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14"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12"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24"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7"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20"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21"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11"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17"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16"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22"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9"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13"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localSheetId="23"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4__FDSAUDITLINK__" hidden="1">{"fdsup://directions/FAT Viewer?action=UPDATE&amp;creator=factset&amp;DYN_ARGS=TRUE&amp;DOC_NAME=FAT:FQL_AUDITING_CLIENT_TEMPLATE.FAT&amp;display_string=Audit&amp;VAR:KEY=FKZANKTUZO&amp;VAR:QUERY=RkZfRU5UUlBSX1ZBTF9FQklUREEoQU5OLDAp&amp;WINDOW=FIRST_POPUP&amp;HEIGHT=450&amp;WIDTH=450&amp;START_MA","XIMIZED=FALSE&amp;VAR:CALENDAR=FIVEDAY&amp;VAR:SYMBOL=690461&amp;VAR:INDEX=0"}</definedName>
    <definedName name="_255__FDSAUDITLINK__" localSheetId="4"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5"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15"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19"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18"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14"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12"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24"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7"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20"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21"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11"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17"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16"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22"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9"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13"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localSheetId="23"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5__FDSAUDITLINK__" hidden="1">{"fdsup://directions/FAT Viewer?action=UPDATE&amp;creator=factset&amp;DYN_ARGS=TRUE&amp;DOC_NAME=FAT:FQL_AUDITING_CLIENT_TEMPLATE.FAT&amp;display_string=Audit&amp;VAR:KEY=HIZABWNGXI&amp;VAR:QUERY=RkZfRU5UUlBSX1ZBTF9EQUlMWSgwLCwsLCwnRElMJykvRUNBX01FQU5fRUJJVERBKCsyLDAp&amp;WINDOW=FIRST","_POPUP&amp;HEIGHT=450&amp;WIDTH=450&amp;START_MAXIMIZED=FALSE&amp;VAR:CALENDAR=FIVEDAY&amp;VAR:SYMBOL=629423&amp;VAR:INDEX=0"}</definedName>
    <definedName name="_256__FDSAUDITLINK__" localSheetId="4"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5"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15"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19"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18"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14"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12"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24"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7"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20"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21"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11"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17"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16"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22"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9"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13"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localSheetId="23"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6__FDSAUDITLINK__" hidden="1">{"fdsup://directions/FAT Viewer?action=UPDATE&amp;creator=factset&amp;DYN_ARGS=TRUE&amp;DOC_NAME=FAT:FQL_AUDITING_CLIENT_TEMPLATE.FAT&amp;display_string=Audit&amp;VAR:KEY=RMTQPULONC&amp;VAR:QUERY=RkZfRU5UUlBSX1ZBTF9EQUlMWSgwLCwsLCwnRElMJykvRUNBX01FQU5fRUJJVERBKCsxLDAp&amp;WINDOW=FIRST","_POPUP&amp;HEIGHT=450&amp;WIDTH=450&amp;START_MAXIMIZED=FALSE&amp;VAR:CALENDAR=FIVEDAY&amp;VAR:SYMBOL=629423&amp;VAR:INDEX=0"}</definedName>
    <definedName name="_257__FDSAUDITLINK__" localSheetId="4"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5"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15"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19"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18"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14"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12"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24"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7"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20"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21"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11"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17"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16"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22"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9"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13"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localSheetId="23"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7__FDSAUDITLINK__" hidden="1">{"fdsup://directions/FAT Viewer?action=UPDATE&amp;creator=factset&amp;DYN_ARGS=TRUE&amp;DOC_NAME=FAT:FQL_AUDITING_CLIENT_TEMPLATE.FAT&amp;display_string=Audit&amp;VAR:KEY=PMRGTYVOPQ&amp;VAR:QUERY=RkZfRU5UUlBSX1ZBTF9FQklUREEoQU5OLDAp&amp;WINDOW=FIRST_POPUP&amp;HEIGHT=450&amp;WIDTH=450&amp;START_MA","XIMIZED=FALSE&amp;VAR:CALENDAR=FIVEDAY&amp;VAR:SYMBOL=629423&amp;VAR:INDEX=0"}</definedName>
    <definedName name="_258__FDSAUDITLINK__" localSheetId="4"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5"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15"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19"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18"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14"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12"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24"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7"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20"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21"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11"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17"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16"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22"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9"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13"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localSheetId="23"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8__FDSAUDITLINK__" hidden="1">{"fdsup://directions/FAT Viewer?action=UPDATE&amp;creator=factset&amp;DYN_ARGS=TRUE&amp;DOC_NAME=FAT:FQL_AUDITING_CLIENT_TEMPLATE.FAT&amp;display_string=Audit&amp;VAR:KEY=DSXKBMNCFU&amp;VAR:QUERY=RkZfRU5UUlBSX1ZBTF9EQUlMWSgwLCwsLCwnRElMJykvRUNBX01FQU5fRUJJVERBKCsyLDAp&amp;WINDOW=FIRST","_POPUP&amp;HEIGHT=450&amp;WIDTH=450&amp;START_MAXIMIZED=FALSE&amp;VAR:CALENDAR=FIVEDAY&amp;VAR:SYMBOL=618207&amp;VAR:INDEX=0"}</definedName>
    <definedName name="_259__FDSAUDITLINK__" localSheetId="4"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5"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15"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19"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18"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14"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12"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24"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7"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20"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21"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11"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17"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16"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22"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9"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13"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localSheetId="23"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59__FDSAUDITLINK__" hidden="1">{"fdsup://directions/FAT Viewer?action=UPDATE&amp;creator=factset&amp;DYN_ARGS=TRUE&amp;DOC_NAME=FAT:FQL_AUDITING_CLIENT_TEMPLATE.FAT&amp;display_string=Audit&amp;VAR:KEY=XODAXINOXG&amp;VAR:QUERY=RkZfRU5UUlBSX1ZBTF9EQUlMWSgwLCwsLEVDX0NVUlIoKSwnRElMJykvRUNBX01FQU5fRUJJVERBKCsxLDAp&amp;","WINDOW=FIRST_POPUP&amp;HEIGHT=450&amp;WIDTH=450&amp;START_MAXIMIZED=FALSE&amp;VAR:CALENDAR=FIVEDAY&amp;VAR:SYMBOL=618207&amp;VAR:INDEX=0"}</definedName>
    <definedName name="_26__FDSAUDITLINK__" localSheetId="4"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5"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15"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19"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18"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14"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12"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24"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7"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20"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21"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11"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17"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16"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22"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9"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13"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localSheetId="23"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__FDSAUDITLINK__" hidden="1">{"fdsup://directions/FAT Viewer?action=UPDATE&amp;creator=factset&amp;DYN_ARGS=TRUE&amp;DOC_NAME=FAT:FQL_AUDITING_CLIENT_TEMPLATE.FAT&amp;display_string=Audit&amp;VAR:KEY=WHQTOXWJQZ&amp;VAR:QUERY=RkZfRU5UUlBSX1ZBTF9EQUlMWSgp&amp;WINDOW=FIRST_POPUP&amp;HEIGHT=450&amp;WIDTH=450&amp;START_MAXIMIZED=","FALSE&amp;VAR:CALENDAR=FIVEDAY&amp;VAR:SYMBOL=B29NPH&amp;VAR:INDEX=0"}</definedName>
    <definedName name="_260__FDSAUDITLINK__" localSheetId="4"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5"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15"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19"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18"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14"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12"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24"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7"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20"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21"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11"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17"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16"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22"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9"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13"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localSheetId="23"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0__FDSAUDITLINK__" hidden="1">{"fdsup://directions/FAT Viewer?action=UPDATE&amp;creator=factset&amp;DYN_ARGS=TRUE&amp;DOC_NAME=FAT:FQL_AUDITING_CLIENT_TEMPLATE.FAT&amp;display_string=Audit&amp;VAR:KEY=NAVEZYPCBG&amp;VAR:QUERY=RkZfRU5UUlBSX1ZBTF9FQklUREEoQU5OLDAp&amp;WINDOW=FIRST_POPUP&amp;HEIGHT=450&amp;WIDTH=450&amp;START_MA","XIMIZED=FALSE&amp;VAR:CALENDAR=FIVEDAY&amp;VAR:SYMBOL=618207&amp;VAR:INDEX=0"}</definedName>
    <definedName name="_261__FDSAUDITLINK__" localSheetId="4"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5"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15"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19"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18"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14"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12"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24"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7"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20"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21"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11"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17"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16"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22"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9"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13"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localSheetId="23"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1__FDSAUDITLINK__" hidden="1">{"fdsup://directions/FAT Viewer?action=UPDATE&amp;creator=factset&amp;DYN_ARGS=TRUE&amp;DOC_NAME=FAT:FQL_AUDITING_CLIENT_TEMPLATE.FAT&amp;display_string=Audit&amp;VAR:KEY=FQTCVEBSBA&amp;VAR:QUERY=RkZfRU5UUlBSX1ZBTF9EQUlMWSgwLCwsLCwnRElMJykvRUNBX01FQU5fRUJJVERBKCsyLDAp&amp;WINDOW=FIRST","_POPUP&amp;HEIGHT=450&amp;WIDTH=450&amp;START_MAXIMIZED=FALSE&amp;VAR:CALENDAR=FIVEDAY&amp;VAR:SYMBOL=649573&amp;VAR:INDEX=0"}</definedName>
    <definedName name="_262__FDSAUDITLINK__" localSheetId="4"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5"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15"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19"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18"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14"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12"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24"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7"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20"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21"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11"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17"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16"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22"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9"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13"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localSheetId="23"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2__FDSAUDITLINK__" hidden="1">{"fdsup://directions/FAT Viewer?action=UPDATE&amp;creator=factset&amp;DYN_ARGS=TRUE&amp;DOC_NAME=FAT:FQL_AUDITING_CLIENT_TEMPLATE.FAT&amp;display_string=Audit&amp;VAR:KEY=DWPEFEVABQ&amp;VAR:QUERY=RkZfRU5UUlBSX1ZBTF9EQUlMWSgwLCwsLEVDX0NVUlIoKSwnRElMJykvRUNBX01FQU5fRUJJVERBKCsxLDAp&amp;","WINDOW=FIRST_POPUP&amp;HEIGHT=450&amp;WIDTH=450&amp;START_MAXIMIZED=FALSE&amp;VAR:CALENDAR=FIVEDAY&amp;VAR:SYMBOL=649573&amp;VAR:INDEX=0"}</definedName>
    <definedName name="_263__FDSAUDITLINK__" localSheetId="4"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5"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15"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19"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18"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14"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12"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24"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7"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20"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21"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11"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17"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16"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22"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9"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13"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localSheetId="23"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3__FDSAUDITLINK__" hidden="1">{"fdsup://directions/FAT Viewer?action=UPDATE&amp;creator=factset&amp;DYN_ARGS=TRUE&amp;DOC_NAME=FAT:FQL_AUDITING_CLIENT_TEMPLATE.FAT&amp;display_string=Audit&amp;VAR:KEY=TQZWJCPGLY&amp;VAR:QUERY=RkZfRU5UUlBSX1ZBTF9FQklUREEoQU5OLDAp&amp;WINDOW=FIRST_POPUP&amp;HEIGHT=450&amp;WIDTH=450&amp;START_MA","XIMIZED=FALSE&amp;VAR:CALENDAR=FIVEDAY&amp;VAR:SYMBOL=649573&amp;VAR:INDEX=0"}</definedName>
    <definedName name="_264__FDSAUDITLINK__" localSheetId="4"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5"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15"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19"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18"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14"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12"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24"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7"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20"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21"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11"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17"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16"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22"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9"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13"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localSheetId="23"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4__FDSAUDITLINK__" hidden="1">{"fdsup://directions/FAT Viewer?action=UPDATE&amp;creator=factset&amp;DYN_ARGS=TRUE&amp;DOC_NAME=FAT:FQL_AUDITING_CLIENT_TEMPLATE.FAT&amp;display_string=Audit&amp;VAR:KEY=DWJUVIZIZM&amp;VAR:QUERY=RkZfRU5UUlBSX1ZBTF9EQUlMWSgwLCwsLCwnRElMJykvRUNBX01FQU5fRUJJVERBKCsyLDAp&amp;WINDOW=FIRST","_POPUP&amp;HEIGHT=450&amp;WIDTH=450&amp;START_MAXIMIZED=FALSE&amp;VAR:CALENDAR=FIVEDAY&amp;VAR:SYMBOL=609967&amp;VAR:INDEX=0"}</definedName>
    <definedName name="_265__FDSAUDITLINK__" localSheetId="4"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5"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15"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19"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18"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14"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12"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24"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7"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20"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21"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11"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17"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16"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22"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9"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13"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localSheetId="23"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5__FDSAUDITLINK__" hidden="1">{"fdsup://directions/FAT Viewer?action=UPDATE&amp;creator=factset&amp;DYN_ARGS=TRUE&amp;DOC_NAME=FAT:FQL_AUDITING_CLIENT_TEMPLATE.FAT&amp;display_string=Audit&amp;VAR:KEY=JEZGPGBEJE&amp;VAR:QUERY=RkZfRU5UUlBSX1ZBTF9EQUlMWSgwLCwsLCwnRElMJykvRUNBX01FQU5fRUJJVERBKCsxLDAp&amp;WINDOW=FIRST","_POPUP&amp;HEIGHT=450&amp;WIDTH=450&amp;START_MAXIMIZED=FALSE&amp;VAR:CALENDAR=FIVEDAY&amp;VAR:SYMBOL=609967&amp;VAR:INDEX=0"}</definedName>
    <definedName name="_266__FDSAUDITLINK__" localSheetId="4"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5"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15"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19"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18"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14"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12"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24"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7"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20"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21"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11"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17"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16"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22"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9"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13"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localSheetId="23"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6__FDSAUDITLINK__" hidden="1">{"fdsup://directions/FAT Viewer?action=UPDATE&amp;creator=factset&amp;DYN_ARGS=TRUE&amp;DOC_NAME=FAT:FQL_AUDITING_CLIENT_TEMPLATE.FAT&amp;display_string=Audit&amp;VAR:KEY=HIJKJKTSRU&amp;VAR:QUERY=RkZfRU5UUlBSX1ZBTF9FQklUREEoQU5OLDAp&amp;WINDOW=FIRST_POPUP&amp;HEIGHT=450&amp;WIDTH=450&amp;START_MA","XIMIZED=FALSE&amp;VAR:CALENDAR=FIVEDAY&amp;VAR:SYMBOL=609967&amp;VAR:INDEX=0"}</definedName>
    <definedName name="_267__FDSAUDITLINK__" localSheetId="4"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5"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15"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19"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18"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14"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12"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24"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7"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20"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21"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11"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17"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16"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22"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9"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13"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localSheetId="23"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7__FDSAUDITLINK__" hidden="1">{"fdsup://directions/FAT Viewer?action=UPDATE&amp;creator=factset&amp;DYN_ARGS=TRUE&amp;DOC_NAME=FAT:FQL_AUDITING_CLIENT_TEMPLATE.FAT&amp;display_string=Audit&amp;VAR:KEY=CTUHMJCVIV&amp;VAR:QUERY=RkZfRU5UUlBSX1ZBTF9EQUlMWSgwLCwsLCwnRElMJykvRUNBX01FQU5fRUJJVERBKCsyLDAp&amp;WINDOW=FIRST","_POPUP&amp;HEIGHT=450&amp;WIDTH=450&amp;START_MAXIMIZED=FALSE&amp;VAR:CALENDAR=FIVEDAY&amp;VAR:SYMBOL=B09N7M&amp;VAR:INDEX=0"}</definedName>
    <definedName name="_268__FDSAUDITLINK__" localSheetId="4"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5"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15"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19"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18"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14"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12"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24"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7"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20"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21"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11"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17"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16"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22"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9"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13"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localSheetId="23"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8__FDSAUDITLINK__" hidden="1">{"fdsup://directions/FAT Viewer?action=UPDATE&amp;creator=factset&amp;DYN_ARGS=TRUE&amp;DOC_NAME=FAT:FQL_AUDITING_CLIENT_TEMPLATE.FAT&amp;display_string=Audit&amp;VAR:KEY=KDKPOBCBER&amp;VAR:QUERY=RkZfRU5UUlBSX1ZBTF9EQUlMWSgwLCwsLCwnRElMJykvRUNBX01FQU5fRUJJVERBKCsxLDAp&amp;WINDOW=FIRST","_POPUP&amp;HEIGHT=450&amp;WIDTH=450&amp;START_MAXIMIZED=FALSE&amp;VAR:CALENDAR=FIVEDAY&amp;VAR:SYMBOL=B09N7M&amp;VAR:INDEX=0"}</definedName>
    <definedName name="_269__FDSAUDITLINK__" localSheetId="4"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5"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15"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19"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18"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14"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12"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24"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7"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20"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21"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11"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17"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16"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22"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9"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13"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localSheetId="23"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69__FDSAUDITLINK__" hidden="1">{"fdsup://directions/FAT Viewer?action=UPDATE&amp;creator=factset&amp;DYN_ARGS=TRUE&amp;DOC_NAME=FAT:FQL_AUDITING_CLIENT_TEMPLATE.FAT&amp;display_string=Audit&amp;VAR:KEY=OVYPANYZMV&amp;VAR:QUERY=RkZfRU5UUlBSX1ZBTF9FQklUREEoQU5OLDAp&amp;WINDOW=FIRST_POPUP&amp;HEIGHT=450&amp;WIDTH=450&amp;START_MA","XIMIZED=FALSE&amp;VAR:CALENDAR=FIVEDAY&amp;VAR:SYMBOL=B09N7M&amp;VAR:INDEX=0"}</definedName>
    <definedName name="_27__FDSAUDITLINK__" localSheetId="4"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5"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15"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19"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18"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14"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12"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24"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7"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20"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21"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11"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17"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16"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22"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9"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13"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localSheetId="23"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__FDSAUDITLINK__" hidden="1">{"fdsup://directions/FAT Viewer?action=UPDATE&amp;creator=factset&amp;DYN_ARGS=TRUE&amp;DOC_NAME=FAT:FQL_AUDITING_CLIENT_TEMPLATE.FAT&amp;display_string=Audit&amp;VAR:KEY=QXGVIRCVEL&amp;VAR:QUERY=RkZfRU5UUlBSX1ZBTF9EQUlMWSgp&amp;WINDOW=FIRST_POPUP&amp;HEIGHT=450&amp;WIDTH=450&amp;START_MAXIMIZED=","FALSE&amp;VAR:CALENDAR=FIVEDAY&amp;VAR:SYMBOL=B15T56&amp;VAR:INDEX=0"}</definedName>
    <definedName name="_270__FDSAUDITLINK__" localSheetId="4"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5"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15"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19"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18"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14"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12"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24"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7"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20"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21"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11"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17"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16"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22"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9"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13"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localSheetId="23"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0__FDSAUDITLINK__" hidden="1">{"fdsup://directions/FAT Viewer?action=UPDATE&amp;creator=factset&amp;DYN_ARGS=TRUE&amp;DOC_NAME=FAT:FQL_AUDITING_CLIENT_TEMPLATE.FAT&amp;display_string=Audit&amp;VAR:KEY=MNAZMBIRIV&amp;VAR:QUERY=RkZfRU5UUlBSX1ZBTF9EQUlMWSgwLCwsLCwnRElMJykvRUNBX01FQU5fRUJJVERBKCsxLDAp&amp;WINDOW=FIRST","_POPUP&amp;HEIGHT=450&amp;WIDTH=450&amp;START_MAXIMIZED=FALSE&amp;VAR:CALENDAR=FIVEDAY&amp;VAR:SYMBOL=03938010&amp;VAR:INDEX=0"}</definedName>
    <definedName name="_271__FDSAUDITLINK__" localSheetId="4"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5"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15"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19"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18"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14"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12"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24"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7"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20"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21"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11"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17"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16"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22"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9"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13"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localSheetId="23"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1__FDSAUDITLINK__" hidden="1">{"fdsup://directions/FAT Viewer?action=UPDATE&amp;creator=factset&amp;DYN_ARGS=TRUE&amp;DOC_NAME=FAT:FQL_AUDITING_CLIENT_TEMPLATE.FAT&amp;display_string=Audit&amp;VAR:KEY=IJUDYRQDIR&amp;VAR:QUERY=RkZfRU5UUlBSX1ZBTF9FQklUREEoQU5OLDAp&amp;WINDOW=FIRST_POPUP&amp;HEIGHT=450&amp;WIDTH=450&amp;START_MA","XIMIZED=FALSE&amp;VAR:CALENDAR=FIVEDAY&amp;VAR:SYMBOL=03938010&amp;VAR:INDEX=0"}</definedName>
    <definedName name="_272__FDSAUDITLINK__" localSheetId="4"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5"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15"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19"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18"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14"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12"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24"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7"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20"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21"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11"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17"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16"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22"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9"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13"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localSheetId="23"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2__FDSAUDITLINK__" hidden="1">{"fdsup://directions/FAT Viewer?action=UPDATE&amp;creator=factset&amp;DYN_ARGS=TRUE&amp;DOC_NAME=FAT:FQL_AUDITING_CLIENT_TEMPLATE.FAT&amp;display_string=Audit&amp;VAR:KEY=YLUHSLQDAB&amp;VAR:QUERY=RkZfRU5UUlBSX1ZBTF9EQUlMWSgwLCwsLCwnRElMJykvRUNBX01FQU5fRUJJVERBKCsyLDAp&amp;WINDOW=FIRST","_POPUP&amp;HEIGHT=450&amp;WIDTH=450&amp;START_MAXIMIZED=FALSE&amp;VAR:CALENDAR=FIVEDAY&amp;VAR:SYMBOL=622010&amp;VAR:INDEX=0"}</definedName>
    <definedName name="_273__FDSAUDITLINK__" localSheetId="4"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5"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15"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19"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18"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14"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12"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24"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7"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20"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21"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11"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17"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16"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22"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9"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13"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localSheetId="23"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3__FDSAUDITLINK__" hidden="1">{"fdsup://directions/FAT Viewer?action=UPDATE&amp;creator=factset&amp;DYN_ARGS=TRUE&amp;DOC_NAME=FAT:FQL_AUDITING_CLIENT_TEMPLATE.FAT&amp;display_string=Audit&amp;VAR:KEY=BMLWPYPWXC&amp;VAR:QUERY=RkZfRU5UUlBSX1ZBTF9FQklUREEoQU5OLDAp&amp;WINDOW=FIRST_POPUP&amp;HEIGHT=450&amp;WIDTH=450&amp;START_MA","XIMIZED=FALSE&amp;VAR:CALENDAR=FIVEDAY&amp;VAR:SYMBOL=B243RD&amp;VAR:INDEX=0"}</definedName>
    <definedName name="_274__FDSAUDITLINK__" localSheetId="4"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5"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15"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19"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18"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14"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12"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24"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7"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20"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21"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11"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17"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16"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22"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9"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13"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localSheetId="23"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4__FDSAUDITLINK__" hidden="1">{"fdsup://directions/FAT Viewer?action=UPDATE&amp;creator=factset&amp;DYN_ARGS=TRUE&amp;DOC_NAME=FAT:FQL_AUDITING_CLIENT_TEMPLATE.FAT&amp;display_string=Audit&amp;VAR:KEY=UTGXWPCTOD&amp;VAR:QUERY=RkZfRU5UUlBSX1ZBTF9EQUlMWSgwLCwsLCwnRElMJykvRUNBX01FQU5fRUJJVERBKCsyLDAp&amp;WINDOW=FIRST","_POPUP&amp;HEIGHT=450&amp;WIDTH=450&amp;START_MAXIMIZED=FALSE&amp;VAR:CALENDAR=FIVEDAY&amp;VAR:SYMBOL=614469&amp;VAR:INDEX=0"}</definedName>
    <definedName name="_275__FDSAUDITLINK__" localSheetId="4"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5"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15"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19"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18"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14"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12"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24"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7"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20"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21"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11"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17"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16"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22"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9"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13"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localSheetId="23"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5__FDSAUDITLINK__" hidden="1">{"fdsup://directions/FAT Viewer?action=UPDATE&amp;creator=factset&amp;DYN_ARGS=TRUE&amp;DOC_NAME=FAT:FQL_AUDITING_CLIENT_TEMPLATE.FAT&amp;display_string=Audit&amp;VAR:KEY=KZUNUNGNYF&amp;VAR:QUERY=RkZfRU5UUlBSX1ZBTF9EQUlMWSgwLCwsLCwnRElMJykvRUNBX01FQU5fRUJJVERBKCsxLDAp&amp;WINDOW=FIRST","_POPUP&amp;HEIGHT=450&amp;WIDTH=450&amp;START_MAXIMIZED=FALSE&amp;VAR:CALENDAR=FIVEDAY&amp;VAR:SYMBOL=614469&amp;VAR:INDEX=0"}</definedName>
    <definedName name="_276__FDSAUDITLINK__" localSheetId="4"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5"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15"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19"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18"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14"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12"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24"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7"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20"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21"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11"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17"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16"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22"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9"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13"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localSheetId="23"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6__FDSAUDITLINK__" hidden="1">{"fdsup://directions/FAT Viewer?action=UPDATE&amp;creator=factset&amp;DYN_ARGS=TRUE&amp;DOC_NAME=FAT:FQL_AUDITING_CLIENT_TEMPLATE.FAT&amp;display_string=Audit&amp;VAR:KEY=CTULEXUTMN&amp;VAR:QUERY=RkZfRU5UUlBSX1ZBTF9EQUlMWSgwLCwsLCwnRElMJykvRUNBX01FQU5fRUJJVERBKCsyLDAp&amp;WINDOW=FIRST","_POPUP&amp;HEIGHT=450&amp;WIDTH=450&amp;START_MAXIMIZED=FALSE&amp;VAR:CALENDAR=FIVEDAY&amp;VAR:SYMBOL=604348&amp;VAR:INDEX=0"}</definedName>
    <definedName name="_277__FDSAUDITLINK__" localSheetId="4"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5"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15"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19"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18"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14"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12"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24"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7"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20"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21"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11"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17"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16"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22"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9"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13"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localSheetId="23"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7__FDSAUDITLINK__" hidden="1">{"fdsup://directions/FAT Viewer?action=UPDATE&amp;creator=factset&amp;DYN_ARGS=TRUE&amp;DOC_NAME=FAT:FQL_AUDITING_CLIENT_TEMPLATE.FAT&amp;display_string=Audit&amp;VAR:KEY=OBARAPYDMN&amp;VAR:QUERY=RkZfRU5UUlBSX1ZBTF9EQUlMWSgwLCwsLCwnRElMJykvRUNBX01FQU5fRUJJVERBKCsxLDAp&amp;WINDOW=FIRST","_POPUP&amp;HEIGHT=450&amp;WIDTH=450&amp;START_MAXIMIZED=FALSE&amp;VAR:CALENDAR=FIVEDAY&amp;VAR:SYMBOL=604348&amp;VAR:INDEX=0"}</definedName>
    <definedName name="_278__FDSAUDITLINK__" localSheetId="4"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5"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15"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19"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18"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14"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12"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24"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7"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20"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21"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11"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17"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16"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22"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9"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13"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localSheetId="23"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8__FDSAUDITLINK__" hidden="1">{"fdsup://directions/FAT Viewer?action=UPDATE&amp;creator=factset&amp;DYN_ARGS=TRUE&amp;DOC_NAME=FAT:FQL_AUDITING_CLIENT_TEMPLATE.FAT&amp;display_string=Audit&amp;VAR:KEY=OZMXARCPEX&amp;VAR:QUERY=RkZfRU5UUlBSX1ZBTF9FQklUREEoQU5OLDAp&amp;WINDOW=FIRST_POPUP&amp;HEIGHT=450&amp;WIDTH=450&amp;START_MA","XIMIZED=FALSE&amp;VAR:CALENDAR=FIVEDAY&amp;VAR:SYMBOL=604348&amp;VAR:INDEX=0"}</definedName>
    <definedName name="_279__FDSAUDITLINK__" localSheetId="4"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5"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15"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19"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18"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14"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12"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24"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7"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20"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21"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11"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17"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16"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22"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9"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13"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localSheetId="23"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79__FDSAUDITLINK__" hidden="1">{"fdsup://directions/FAT Viewer?action=UPDATE&amp;creator=factset&amp;DYN_ARGS=TRUE&amp;DOC_NAME=FAT:FQL_AUDITING_CLIENT_TEMPLATE.FAT&amp;display_string=Audit&amp;VAR:KEY=WHUHEVOTSZ&amp;VAR:QUERY=RkZfUEUoQU5OLDAp&amp;WINDOW=FIRST_POPUP&amp;HEIGHT=450&amp;WIDTH=450&amp;START_MAXIMIZED=FALSE&amp;VAR:CA","LENDAR=FIVEDAY&amp;VAR:SYMBOL=314110&amp;VAR:INDEX=0"}</definedName>
    <definedName name="_28__FDSAUDITLINK__" localSheetId="4"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5"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15"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19"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18"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14"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12"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24"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7"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20"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21"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11"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17"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16"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22"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9"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13"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localSheetId="23"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__FDSAUDITLINK__" hidden="1">{"fdsup://directions/FAT Viewer?action=UPDATE&amp;creator=factset&amp;DYN_ARGS=TRUE&amp;DOC_NAME=FAT:FQL_AUDITING_CLIENT_TEMPLATE.FAT&amp;display_string=Audit&amp;VAR:KEY=YDALCFQDIB&amp;VAR:QUERY=RkZfRU5UUlBSX1ZBTF9EQUlMWSgp&amp;WINDOW=FIRST_POPUP&amp;HEIGHT=450&amp;WIDTH=450&amp;START_MAXIMIZED=","FALSE&amp;VAR:CALENDAR=FIVEDAY&amp;VAR:SYMBOL=B1B90H&amp;VAR:INDEX=0"}</definedName>
    <definedName name="_280__FDSAUDITLINK__" localSheetId="4"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5"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15"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19"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18"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14"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12"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24"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7"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20"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21"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11"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17"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16"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22"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9"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13"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localSheetId="23"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0__FDSAUDITLINK__" hidden="1">{"fdsup://directions/FAT Viewer?action=UPDATE&amp;creator=factset&amp;DYN_ARGS=TRUE&amp;DOC_NAME=FAT:FQL_AUDITING_CLIENT_TEMPLATE.FAT&amp;display_string=Audit&amp;VAR:KEY=YVSVAHGREV&amp;VAR:QUERY=RkZfUEUoQU5OLDAp&amp;WINDOW=FIRST_POPUP&amp;HEIGHT=450&amp;WIDTH=450&amp;START_MAXIMIZED=FALSE&amp;VAR:CA","LENDAR=FIVEDAY&amp;VAR:SYMBOL=614469&amp;VAR:INDEX=0"}</definedName>
    <definedName name="_281__FDSAUDITLINK__" localSheetId="4"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5"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15"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19"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18"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14"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12"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24"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7"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20"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21"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11"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17"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16"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22"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9"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13"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localSheetId="23"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1__FDSAUDITLINK__" hidden="1">{"fdsup://directions/FAT Viewer?action=UPDATE&amp;creator=factset&amp;DYN_ARGS=TRUE&amp;DOC_NAME=FAT:FQL_AUDITING_CLIENT_TEMPLATE.FAT&amp;display_string=Audit&amp;VAR:KEY=KNEPKHEDOT&amp;VAR:QUERY=RkZfUEUoQU5OLDAp&amp;WINDOW=FIRST_POPUP&amp;HEIGHT=450&amp;WIDTH=450&amp;START_MAXIMIZED=FALSE&amp;VAR:CA","LENDAR=FIVEDAY&amp;VAR:SYMBOL=B1JNK8&amp;VAR:INDEX=0"}</definedName>
    <definedName name="_282__FDSAUDITLINK__" localSheetId="4"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5"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15"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19"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18"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14"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12"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24"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7"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20"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21"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11"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17"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16"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22"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9"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13"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localSheetId="23"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2__FDSAUDITLINK__" hidden="1">{"fdsup://directions/FAT Viewer?action=UPDATE&amp;creator=factset&amp;DYN_ARGS=TRUE&amp;DOC_NAME=FAT:FQL_AUDITING_CLIENT_TEMPLATE.FAT&amp;display_string=Audit&amp;VAR:KEY=EVENOVOTEP&amp;VAR:QUERY=RkZfUEJLKEFOTiwwKQ==&amp;WINDOW=FIRST_POPUP&amp;HEIGHT=450&amp;WIDTH=450&amp;START_MAXIMIZED=FALSE&amp;VA","R:CALENDAR=FIVEDAY&amp;VAR:SYMBOL=614469&amp;VAR:INDEX=0"}</definedName>
    <definedName name="_283__FDSAUDITLINK__" localSheetId="4"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5"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15"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19"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18"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14"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12"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24"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7"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20"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21"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11"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17"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16"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22"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9"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13"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localSheetId="23"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3__FDSAUDITLINK__" hidden="1">{"fdsup://directions/FAT Viewer?action=UPDATE&amp;creator=factset&amp;DYN_ARGS=TRUE&amp;DOC_NAME=FAT:FQL_AUDITING_CLIENT_TEMPLATE.FAT&amp;display_string=Audit&amp;VAR:KEY=EVKBCPWFYR&amp;VAR:QUERY=RkZfUEJLKEFOTiwwKQ==&amp;WINDOW=FIRST_POPUP&amp;HEIGHT=450&amp;WIDTH=450&amp;START_MAXIMIZED=FALSE&amp;VA","R:CALENDAR=FIVEDAY&amp;VAR:SYMBOL=B1JNK8&amp;VAR:INDEX=0"}</definedName>
    <definedName name="_284__FDSAUDITLINK__" localSheetId="4"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5"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15"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19"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18"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14"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12"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24"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7"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20"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21"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11"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17"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16"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22"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9"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13"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localSheetId="23"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4__FDSAUDITLINK__" hidden="1">{"fdsup://directions/FAT Viewer?action=UPDATE&amp;creator=factset&amp;DYN_ARGS=TRUE&amp;DOC_NAME=FAT:FQL_AUDITING_CLIENT_TEMPLATE.FAT&amp;display_string=Audit&amp;VAR:KEY=SBMJMHGVGX&amp;VAR:QUERY=RkZfUEJLKEFOTiwwKQ==&amp;WINDOW=FIRST_POPUP&amp;HEIGHT=450&amp;WIDTH=450&amp;START_MAXIMIZED=FALSE&amp;VA","R:CALENDAR=FIVEDAY&amp;VAR:SYMBOL=03938010&amp;VAR:INDEX=0"}</definedName>
    <definedName name="_285__FDSAUDITLINK__" localSheetId="4"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5"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15"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19"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18"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14"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12"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24"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7"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20"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21"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11"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17"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16"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22"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9"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13"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localSheetId="23"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5__FDSAUDITLINK__" hidden="1">{"fdsup://directions/FAT Viewer?action=UPDATE&amp;creator=factset&amp;DYN_ARGS=TRUE&amp;DOC_NAME=FAT:FQL_AUDITING_CLIENT_TEMPLATE.FAT&amp;display_string=Audit&amp;VAR:KEY=EXCFAZUPSZ&amp;VAR:QUERY=RkZfUk9FKEFOTiwwKQ==&amp;WINDOW=FIRST_POPUP&amp;HEIGHT=450&amp;WIDTH=450&amp;START_MAXIMIZED=FALSE&amp;VA","R:CALENDAR=FIVEDAY&amp;VAR:SYMBOL=B1JNK8&amp;VAR:INDEX=0"}</definedName>
    <definedName name="_286__FDSAUDITLINK__" localSheetId="4"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5"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15"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19"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18"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14"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12"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24"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7"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20"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21"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11"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17"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16"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22"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9"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13"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localSheetId="23"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6__FDSAUDITLINK__" hidden="1">{"fdsup://directions/FAT Viewer?action=UPDATE&amp;creator=factset&amp;DYN_ARGS=TRUE&amp;DOC_NAME=FAT:FQL_AUDITING_CLIENT_TEMPLATE.FAT&amp;display_string=Audit&amp;VAR:KEY=SHKVYXCRCV&amp;VAR:QUERY=RkZfUk9FKEFOTiwwKQ==&amp;WINDOW=FIRST_POPUP&amp;HEIGHT=450&amp;WIDTH=450&amp;START_MAXIMIZED=FALSE&amp;VA","R:CALENDAR=FIVEDAY&amp;VAR:SYMBOL=03938010&amp;VAR:INDEX=0"}</definedName>
    <definedName name="_287__FDSAUDITLINK__" localSheetId="4"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5"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15"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19"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18"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14"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12"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24"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7"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20"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21"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11"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17"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16"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22"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9"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13"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localSheetId="23"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7__FDSAUDITLINK__" hidden="1">{"fdsup://directions/FAT Viewer?action=UPDATE&amp;creator=factset&amp;DYN_ARGS=TRUE&amp;DOC_NAME=FAT:FQL_AUDITING_CLIENT_TEMPLATE.FAT&amp;display_string=Audit&amp;VAR:KEY=WFCBEDEZCR&amp;VAR:QUERY=RkZfUk9FKEFOTiwwKQ==&amp;WINDOW=FIRST_POPUP&amp;HEIGHT=450&amp;WIDTH=450&amp;START_MAXIMIZED=FALSE&amp;VA","R:CALENDAR=FIVEDAY&amp;VAR:SYMBOL=622010&amp;VAR:INDEX=0"}</definedName>
    <definedName name="_288__FDSAUDITLINK__" localSheetId="4"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5"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15"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19"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18"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14"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12"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24"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7"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20"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21"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11"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17"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16"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22"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9"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13"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localSheetId="23"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8__FDSAUDITLINK__" hidden="1">{"fdsup://directions/FAT Viewer?action=UPDATE&amp;creator=factset&amp;DYN_ARGS=TRUE&amp;DOC_NAME=FAT:FQL_AUDITING_CLIENT_TEMPLATE.FAT&amp;display_string=Audit&amp;VAR:KEY=IXAXEPMJAX&amp;VAR:QUERY=RkZfUk9JQyhBTk4sMCk=&amp;WINDOW=FIRST_POPUP&amp;HEIGHT=450&amp;WIDTH=450&amp;START_MAXIMIZED=FALSE&amp;VA","R:CALENDAR=FIVEDAY&amp;VAR:SYMBOL=03938010&amp;VAR:INDEX=0"}</definedName>
    <definedName name="_289__FDSAUDITLINK__" localSheetId="4"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5"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15"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19"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18"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14"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12"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24"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7"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20"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21"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11"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17"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16"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22"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9"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13"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localSheetId="23"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89__FDSAUDITLINK__" hidden="1">{"fdsup://directions/FAT Viewer?action=UPDATE&amp;creator=factset&amp;DYN_ARGS=TRUE&amp;DOC_NAME=FAT:FQL_AUDITING_CLIENT_TEMPLATE.FAT&amp;display_string=Audit&amp;VAR:KEY=YDGPYBENCF&amp;VAR:QUERY=RkZfUk9JQyhBTk4sMCk=&amp;WINDOW=FIRST_POPUP&amp;HEIGHT=450&amp;WIDTH=450&amp;START_MAXIMIZED=FALSE&amp;VA","R:CALENDAR=FIVEDAY&amp;VAR:SYMBOL=622010&amp;VAR:INDEX=0"}</definedName>
    <definedName name="_29__FDSAUDITLINK__" localSheetId="4"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5"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15"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19"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18"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14"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12"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24"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7"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20"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21"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11"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17"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16"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22"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9"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13"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localSheetId="23"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__FDSAUDITLINK__" hidden="1">{"fdsup://directions/FAT Viewer?action=UPDATE&amp;creator=factset&amp;DYN_ARGS=TRUE&amp;DOC_NAME=FAT:FQL_AUDITING_CLIENT_TEMPLATE.FAT&amp;display_string=Audit&amp;VAR:KEY=IPQHSNSXKR&amp;VAR:QUERY=RkZfRU5UUlBSX1ZBTF9EQUlMWSgp&amp;WINDOW=FIRST_POPUP&amp;HEIGHT=450&amp;WIDTH=450&amp;START_MAXIMIZED=","FALSE&amp;VAR:CALENDAR=FIVEDAY&amp;VAR:SYMBOL=B0166K&amp;VAR:INDEX=0"}</definedName>
    <definedName name="_290__FDSAUDITLINK__" localSheetId="4"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5"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15"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19"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18"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14"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12"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24"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7"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20"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21"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11"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17"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16"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22"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9"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13"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localSheetId="23"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90__FDSAUDITLINK__" hidden="1">{"fdsup://directions/FAT Viewer?action=UPDATE&amp;creator=factset&amp;DYN_ARGS=TRUE&amp;DOC_NAME=FAT:FQL_AUDITING_CLIENT_TEMPLATE.FAT&amp;display_string=Audit&amp;VAR:KEY=AFOJGRYHIR&amp;VAR:QUERY=RkZfUk9JQyhBTk4sMCk=&amp;WINDOW=FIRST_POPUP&amp;HEIGHT=450&amp;WIDTH=450&amp;START_MAXIMIZED=FALSE&amp;VA","R:CALENDAR=FIVEDAY&amp;VAR:SYMBOL=70454910&amp;VAR:INDEX=0"}</definedName>
    <definedName name="_2RMconsu">#REF!</definedName>
    <definedName name="_3_._0Restructuring_char">#REF!</definedName>
    <definedName name="_3__FDSAUDITLINK__" localSheetId="4"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5"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15"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19"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18"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14"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12"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24"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7"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20"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21"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11"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17"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16"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22"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9"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13"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localSheetId="23"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__FDSAUDITLINK__" hidden="1">{"fdsup://directions/FAT Viewer?action=UPDATE&amp;creator=factset&amp;DYN_ARGS=TRUE&amp;DOC_NAME=FAT:FQL_AUDITING_CLIENT_TEMPLATE.FAT&amp;display_string=Audit&amp;VAR:KEY=SVAVOTWHOL&amp;VAR:QUERY=RkZfRU5UUlBSX1ZBTF9EQUlMWSgp&amp;WINDOW=FIRST_POPUP&amp;HEIGHT=450&amp;WIDTH=450&amp;START_MAXIMIZED=","FALSE&amp;VAR:CALENDAR=FIVEDAY&amp;VAR:SYMBOL=609986&amp;VAR:INDEX=0"}</definedName>
    <definedName name="_30__FDSAUDITLINK__" localSheetId="4"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5"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15"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19"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18"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14"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12"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24"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7"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20"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21"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11"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17"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16"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22"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9"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13"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localSheetId="23"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0__FDSAUDITLINK__" hidden="1">{"fdsup://directions/FAT Viewer?action=UPDATE&amp;creator=factset&amp;DYN_ARGS=TRUE&amp;DOC_NAME=FAT:FQL_AUDITING_CLIENT_TEMPLATE.FAT&amp;display_string=Audit&amp;VAR:KEY=CJUTSDQFQF&amp;VAR:QUERY=RkZfRU5UUlBSX1ZBTF9EQUlMWSgp&amp;WINDOW=FIRST_POPUP&amp;HEIGHT=450&amp;WIDTH=450&amp;START_MAXIMIZED=","FALSE&amp;VAR:CALENDAR=FIVEDAY&amp;VAR:SYMBOL=612952&amp;VAR:INDEX=0"}</definedName>
    <definedName name="_31__FDSAUDITLINK__" localSheetId="4"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5"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15"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19"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18"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14"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12"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24"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7"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20"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21"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11"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17"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16"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22"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9"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13"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localSheetId="23" hidden="1">{"fdsup://Directions/FactSet Auditing Viewer?action=AUDIT_VALUE&amp;DB=129&amp;ID1=B10SSR&amp;VALUEID=01001&amp;SDATE=2008&amp;PERIODTYPE=ANN_STD&amp;window=popup_no_bar&amp;width=385&amp;height=120&amp;START_MAXIMIZED=FALSE&amp;creator=factset&amp;display_string=Audit"}</definedName>
    <definedName name="_31__FDSAUDITLINK__" hidden="1">{"fdsup://Directions/FactSet Auditing Viewer?action=AUDIT_VALUE&amp;DB=129&amp;ID1=B10SSR&amp;VALUEID=01001&amp;SDATE=2008&amp;PERIODTYPE=ANN_STD&amp;window=popup_no_bar&amp;width=385&amp;height=120&amp;START_MAXIMIZED=FALSE&amp;creator=factset&amp;display_string=Audit"}</definedName>
    <definedName name="_32__FDSAUDITLINK__" localSheetId="4"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5"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15"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19"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18"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14"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12"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24"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7"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20"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21"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11"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17"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16"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22"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9"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13"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localSheetId="23" hidden="1">{"fdsup://Directions/FactSet Auditing Viewer?action=AUDIT_VALUE&amp;DB=129&amp;ID1=B1VJSG&amp;VALUEID=01001&amp;SDATE=2008&amp;PERIODTYPE=ANN_STD&amp;window=popup_no_bar&amp;width=385&amp;height=120&amp;START_MAXIMIZED=FALSE&amp;creator=factset&amp;display_string=Audit"}</definedName>
    <definedName name="_32__FDSAUDITLINK__" hidden="1">{"fdsup://Directions/FactSet Auditing Viewer?action=AUDIT_VALUE&amp;DB=129&amp;ID1=B1VJSG&amp;VALUEID=01001&amp;SDATE=2008&amp;PERIODTYPE=ANN_STD&amp;window=popup_no_bar&amp;width=385&amp;height=120&amp;START_MAXIMIZED=FALSE&amp;creator=factset&amp;display_string=Audit"}</definedName>
    <definedName name="_33__FDSAUDITLINK__" localSheetId="4"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5"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15"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19"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18"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14"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12"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24"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7"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20"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21"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11"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17"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16"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22"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9"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13"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localSheetId="23" hidden="1">{"fdsup://Directions/FactSet Auditing Viewer?action=AUDIT_VALUE&amp;DB=129&amp;ID1=B10SSP&amp;VALUEID=01001&amp;SDATE=2008&amp;PERIODTYPE=ANN_STD&amp;window=popup_no_bar&amp;width=385&amp;height=120&amp;START_MAXIMIZED=FALSE&amp;creator=factset&amp;display_string=Audit"}</definedName>
    <definedName name="_33__FDSAUDITLINK__" hidden="1">{"fdsup://Directions/FactSet Auditing Viewer?action=AUDIT_VALUE&amp;DB=129&amp;ID1=B10SSP&amp;VALUEID=01001&amp;SDATE=2008&amp;PERIODTYPE=ANN_STD&amp;window=popup_no_bar&amp;width=385&amp;height=120&amp;START_MAXIMIZED=FALSE&amp;creator=factset&amp;display_string=Audit"}</definedName>
    <definedName name="_34__FDSAUDITLINK__" localSheetId="4"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5"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15"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19"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18"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14"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12"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24"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7"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20"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21"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11"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17"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16"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22"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9"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13"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localSheetId="23" hidden="1">{"fdsup://Directions/FactSet Auditing Viewer?action=AUDIT_VALUE&amp;DB=129&amp;ID1=B0DX8R&amp;VALUEID=01001&amp;SDATE=2008&amp;PERIODTYPE=ANN_STD&amp;window=popup_no_bar&amp;width=385&amp;height=120&amp;START_MAXIMIZED=FALSE&amp;creator=factset&amp;display_string=Audit"}</definedName>
    <definedName name="_34__FDSAUDITLINK__" hidden="1">{"fdsup://Directions/FactSet Auditing Viewer?action=AUDIT_VALUE&amp;DB=129&amp;ID1=B0DX8R&amp;VALUEID=01001&amp;SDATE=2008&amp;PERIODTYPE=ANN_STD&amp;window=popup_no_bar&amp;width=385&amp;height=120&amp;START_MAXIMIZED=FALSE&amp;creator=factset&amp;display_string=Audit"}</definedName>
    <definedName name="_35__FDSAUDITLINK__" localSheetId="4"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5"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15"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19"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18"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14"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12"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24"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7"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20"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21"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11"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17"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16"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22"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9"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13"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localSheetId="23" hidden="1">{"fdsup://Directions/FactSet Auditing Viewer?action=AUDIT_VALUE&amp;DB=129&amp;ID1=B29NPH&amp;VALUEID=01001&amp;SDATE=2008&amp;PERIODTYPE=ANN_STD&amp;window=popup_no_bar&amp;width=385&amp;height=120&amp;START_MAXIMIZED=FALSE&amp;creator=factset&amp;display_string=Audit"}</definedName>
    <definedName name="_35__FDSAUDITLINK__" hidden="1">{"fdsup://Directions/FactSet Auditing Viewer?action=AUDIT_VALUE&amp;DB=129&amp;ID1=B29NPH&amp;VALUEID=01001&amp;SDATE=2008&amp;PERIODTYPE=ANN_STD&amp;window=popup_no_bar&amp;width=385&amp;height=120&amp;START_MAXIMIZED=FALSE&amp;creator=factset&amp;display_string=Audit"}</definedName>
    <definedName name="_36__FDSAUDITLINK__" localSheetId="4"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5"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15"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19"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18"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14"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12"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24"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7"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20"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21"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11"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17"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16"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22"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9"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13"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localSheetId="23" hidden="1">{"fdsup://Directions/FactSet Auditing Viewer?action=AUDIT_VALUE&amp;DB=129&amp;ID1=612952&amp;VALUEID=01001&amp;SDATE=2008&amp;PERIODTYPE=ANN_STD&amp;window=popup_no_bar&amp;width=385&amp;height=120&amp;START_MAXIMIZED=FALSE&amp;creator=factset&amp;display_string=Audit"}</definedName>
    <definedName name="_36__FDSAUDITLINK__" hidden="1">{"fdsup://Directions/FactSet Auditing Viewer?action=AUDIT_VALUE&amp;DB=129&amp;ID1=612952&amp;VALUEID=01001&amp;SDATE=2008&amp;PERIODTYPE=ANN_STD&amp;window=popup_no_bar&amp;width=385&amp;height=120&amp;START_MAXIMIZED=FALSE&amp;creator=factset&amp;display_string=Audit"}</definedName>
    <definedName name="_37__FDSAUDITLINK__" localSheetId="4"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5"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15"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19"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18"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14"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12"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24"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7"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20"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21"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11"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17"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16"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22"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9"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13"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localSheetId="23" hidden="1">{"fdsup://Directions/FactSet Auditing Viewer?action=AUDIT_VALUE&amp;DB=129&amp;ID1=613989&amp;VALUEID=01001&amp;SDATE=2007&amp;PERIODTYPE=ANN_STD&amp;window=popup_no_bar&amp;width=385&amp;height=120&amp;START_MAXIMIZED=FALSE&amp;creator=factset&amp;display_string=Audit"}</definedName>
    <definedName name="_37__FDSAUDITLINK__" hidden="1">{"fdsup://Directions/FactSet Auditing Viewer?action=AUDIT_VALUE&amp;DB=129&amp;ID1=613989&amp;VALUEID=01001&amp;SDATE=2007&amp;PERIODTYPE=ANN_STD&amp;window=popup_no_bar&amp;width=385&amp;height=120&amp;START_MAXIMIZED=FALSE&amp;creator=factset&amp;display_string=Audit"}</definedName>
    <definedName name="_38__FDSAUDITLINK__" localSheetId="4"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5"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15"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19"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18"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14"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12"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24"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7"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20"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21"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11"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17"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16"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22"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9"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13"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localSheetId="23" hidden="1">{"fdsup://Directions/FactSet Auditing Viewer?action=AUDIT_VALUE&amp;DB=129&amp;ID1=609986&amp;VALUEID=01001&amp;SDATE=2007&amp;PERIODTYPE=ANN_STD&amp;window=popup_no_bar&amp;width=385&amp;height=120&amp;START_MAXIMIZED=FALSE&amp;creator=factset&amp;display_string=Audit"}</definedName>
    <definedName name="_38__FDSAUDITLINK__" hidden="1">{"fdsup://Directions/FactSet Auditing Viewer?action=AUDIT_VALUE&amp;DB=129&amp;ID1=609986&amp;VALUEID=01001&amp;SDATE=2007&amp;PERIODTYPE=ANN_STD&amp;window=popup_no_bar&amp;width=385&amp;height=120&amp;START_MAXIMIZED=FALSE&amp;creator=factset&amp;display_string=Audit"}</definedName>
    <definedName name="_39__FDSAUDITLINK__" localSheetId="4"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5"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15"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19"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18"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14"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12"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24"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7"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20"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21"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11"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17"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16"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22"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9"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13"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localSheetId="23" hidden="1">{"fdsup://Directions/FactSet Auditing Viewer?action=AUDIT_VALUE&amp;DB=129&amp;ID1=B0388F&amp;VALUEID=01001&amp;SDATE=2007&amp;PERIODTYPE=ANN_STD&amp;window=popup_no_bar&amp;width=385&amp;height=120&amp;START_MAXIMIZED=FALSE&amp;creator=factset&amp;display_string=Audit"}</definedName>
    <definedName name="_39__FDSAUDITLINK__" hidden="1">{"fdsup://Directions/FactSet Auditing Viewer?action=AUDIT_VALUE&amp;DB=129&amp;ID1=B0388F&amp;VALUEID=01001&amp;SDATE=2007&amp;PERIODTYPE=ANN_STD&amp;window=popup_no_bar&amp;width=385&amp;height=120&amp;START_MAXIMIZED=FALSE&amp;creator=factset&amp;display_string=Audit"}</definedName>
    <definedName name="_4_._0SGA_gro">#REF!</definedName>
    <definedName name="_4__FDSAUDITLINK__" localSheetId="4"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5"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15"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19"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18"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14"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12"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24"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7"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20"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21"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11"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17"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16"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22"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9"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13"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localSheetId="23"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__FDSAUDITLINK__" hidden="1">{"fdsup://directions/FAT Viewer?action=UPDATE&amp;creator=factset&amp;DYN_ARGS=TRUE&amp;DOC_NAME=FAT:FQL_AUDITING_CLIENT_TEMPLATE.FAT&amp;display_string=Audit&amp;VAR:KEY=CNQJSZUPSH&amp;VAR:QUERY=RkZfRU5UUlBSX1ZBTF9EQUlMWSgp&amp;WINDOW=FIRST_POPUP&amp;HEIGHT=450&amp;WIDTH=450&amp;START_MAXIMIZED=","FALSE&amp;VAR:CALENDAR=FIVEDAY&amp;VAR:SYMBOL=B0388F&amp;VAR:INDEX=0"}</definedName>
    <definedName name="_40__FDSAUDITLINK__" localSheetId="4"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5"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15"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19"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18"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14"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12"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24"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7"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20"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21"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11"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17"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16"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22"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9"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13"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localSheetId="23" hidden="1">{"fdsup://Directions/FactSet Auditing Viewer?action=AUDIT_VALUE&amp;DB=129&amp;ID1=B13D25&amp;VALUEID=01001&amp;SDATE=2007&amp;PERIODTYPE=ANN_STD&amp;window=popup_no_bar&amp;width=385&amp;height=120&amp;START_MAXIMIZED=FALSE&amp;creator=factset&amp;display_string=Audit"}</definedName>
    <definedName name="_40__FDSAUDITLINK__" hidden="1">{"fdsup://Directions/FactSet Auditing Viewer?action=AUDIT_VALUE&amp;DB=129&amp;ID1=B13D25&amp;VALUEID=01001&amp;SDATE=2007&amp;PERIODTYPE=ANN_STD&amp;window=popup_no_bar&amp;width=385&amp;height=120&amp;START_MAXIMIZED=FALSE&amp;creator=factset&amp;display_string=Audit"}</definedName>
    <definedName name="_41__FDSAUDITLINK__" localSheetId="4"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5"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15"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19"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18"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14"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12"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24"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7"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20"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21"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11"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17"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16"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22"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9"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13"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localSheetId="23" hidden="1">{"fdsup://Directions/FactSet Auditing Viewer?action=AUDIT_VALUE&amp;DB=129&amp;ID1=B02N26&amp;VALUEID=01001&amp;SDATE=2007&amp;PERIODTYPE=ANN_STD&amp;window=popup_no_bar&amp;width=385&amp;height=120&amp;START_MAXIMIZED=FALSE&amp;creator=factset&amp;display_string=Audit"}</definedName>
    <definedName name="_41__FDSAUDITLINK__" hidden="1">{"fdsup://Directions/FactSet Auditing Viewer?action=AUDIT_VALUE&amp;DB=129&amp;ID1=B02N26&amp;VALUEID=01001&amp;SDATE=2007&amp;PERIODTYPE=ANN_STD&amp;window=popup_no_bar&amp;width=385&amp;height=120&amp;START_MAXIMIZED=FALSE&amp;creator=factset&amp;display_string=Audit"}</definedName>
    <definedName name="_42__FDSAUDITLINK__" localSheetId="4"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5"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15"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19"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18"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14"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12"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24"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7"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20"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21"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11"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17"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16"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22"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9"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13"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localSheetId="23" hidden="1">{"fdsup://Directions/FactSet Auditing Viewer?action=AUDIT_VALUE&amp;DB=129&amp;ID1=B0YJJ2&amp;VALUEID=01001&amp;SDATE=2007&amp;PERIODTYPE=ANN_STD&amp;window=popup_no_bar&amp;width=385&amp;height=120&amp;START_MAXIMIZED=FALSE&amp;creator=factset&amp;display_string=Audit"}</definedName>
    <definedName name="_42__FDSAUDITLINK__" hidden="1">{"fdsup://Directions/FactSet Auditing Viewer?action=AUDIT_VALUE&amp;DB=129&amp;ID1=B0YJJ2&amp;VALUEID=01001&amp;SDATE=2007&amp;PERIODTYPE=ANN_STD&amp;window=popup_no_bar&amp;width=385&amp;height=120&amp;START_MAXIMIZED=FALSE&amp;creator=factset&amp;display_string=Audit"}</definedName>
    <definedName name="_43__FDSAUDITLINK__" localSheetId="4"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5"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15"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19"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18"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14"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12"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24"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7"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20"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21"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11"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17"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16"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22"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9"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13"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localSheetId="23" hidden="1">{"fdsup://Directions/FactSet Auditing Viewer?action=AUDIT_VALUE&amp;DB=129&amp;ID1=B18P3B&amp;VALUEID=01001&amp;SDATE=2007&amp;PERIODTYPE=ANN_STD&amp;window=popup_no_bar&amp;width=385&amp;height=120&amp;START_MAXIMIZED=FALSE&amp;creator=factset&amp;display_string=Audit"}</definedName>
    <definedName name="_43__FDSAUDITLINK__" hidden="1">{"fdsup://Directions/FactSet Auditing Viewer?action=AUDIT_VALUE&amp;DB=129&amp;ID1=B18P3B&amp;VALUEID=01001&amp;SDATE=2007&amp;PERIODTYPE=ANN_STD&amp;window=popup_no_bar&amp;width=385&amp;height=120&amp;START_MAXIMIZED=FALSE&amp;creator=factset&amp;display_string=Audit"}</definedName>
    <definedName name="_44__FDSAUDITLINK__" localSheetId="4"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5"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15"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19"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18"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14"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12"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24"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7"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20"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21"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11"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17"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16"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22"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9"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13"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localSheetId="23" hidden="1">{"fdsup://Directions/FactSet Auditing Viewer?action=AUDIT_VALUE&amp;DB=129&amp;ID1=610098&amp;VALUEID=01001&amp;SDATE=2007&amp;PERIODTYPE=ANN_STD&amp;window=popup_no_bar&amp;width=385&amp;height=120&amp;START_MAXIMIZED=FALSE&amp;creator=factset&amp;display_string=Audit"}</definedName>
    <definedName name="_44__FDSAUDITLINK__" hidden="1">{"fdsup://Directions/FactSet Auditing Viewer?action=AUDIT_VALUE&amp;DB=129&amp;ID1=610098&amp;VALUEID=01001&amp;SDATE=2007&amp;PERIODTYPE=ANN_STD&amp;window=popup_no_bar&amp;width=385&amp;height=120&amp;START_MAXIMIZED=FALSE&amp;creator=factset&amp;display_string=Audit"}</definedName>
    <definedName name="_45__FDSAUDITLINK__" localSheetId="4"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5"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15"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19"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18"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14"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12"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24"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7"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20"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21"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11"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17"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16"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22"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9"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13"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localSheetId="23" hidden="1">{"fdsup://Directions/FactSet Auditing Viewer?action=AUDIT_VALUE&amp;DB=129&amp;ID1=B0XXJX&amp;VALUEID=01001&amp;SDATE=2007&amp;PERIODTYPE=ANN_STD&amp;window=popup_no_bar&amp;width=385&amp;height=120&amp;START_MAXIMIZED=FALSE&amp;creator=factset&amp;display_string=Audit"}</definedName>
    <definedName name="_45__FDSAUDITLINK__" hidden="1">{"fdsup://Directions/FactSet Auditing Viewer?action=AUDIT_VALUE&amp;DB=129&amp;ID1=B0XXJX&amp;VALUEID=01001&amp;SDATE=2007&amp;PERIODTYPE=ANN_STD&amp;window=popup_no_bar&amp;width=385&amp;height=120&amp;START_MAXIMIZED=FALSE&amp;creator=factset&amp;display_string=Audit"}</definedName>
    <definedName name="_46__FDSAUDITLINK__" localSheetId="4"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5"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15"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19"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18"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14"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12"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24"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7"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20"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21"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11"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17"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16"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22"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9"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13"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localSheetId="23" hidden="1">{"fdsup://Directions/FactSet Auditing Viewer?action=AUDIT_VALUE&amp;DB=129&amp;ID1=B2NXWC&amp;VALUEID=01001&amp;SDATE=2007&amp;PERIODTYPE=ANN_STD&amp;window=popup_no_bar&amp;width=385&amp;height=120&amp;START_MAXIMIZED=FALSE&amp;creator=factset&amp;display_string=Audit"}</definedName>
    <definedName name="_46__FDSAUDITLINK__" hidden="1">{"fdsup://Directions/FactSet Auditing Viewer?action=AUDIT_VALUE&amp;DB=129&amp;ID1=B2NXWC&amp;VALUEID=01001&amp;SDATE=2007&amp;PERIODTYPE=ANN_STD&amp;window=popup_no_bar&amp;width=385&amp;height=120&amp;START_MAXIMIZED=FALSE&amp;creator=factset&amp;display_string=Audit"}</definedName>
    <definedName name="_47__FDSAUDITLINK__" localSheetId="4"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5"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15"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19"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18"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14"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12"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24"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7"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20"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21"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11"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17"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16"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22"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9"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13"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localSheetId="23" hidden="1">{"fdsup://Directions/FactSet Auditing Viewer?action=AUDIT_VALUE&amp;DB=129&amp;ID1=B28XXH&amp;VALUEID=01001&amp;SDATE=2007&amp;PERIODTYPE=ANN_STD&amp;window=popup_no_bar&amp;width=385&amp;height=120&amp;START_MAXIMIZED=FALSE&amp;creator=factset&amp;display_string=Audit"}</definedName>
    <definedName name="_47__FDSAUDITLINK__" hidden="1">{"fdsup://Directions/FactSet Auditing Viewer?action=AUDIT_VALUE&amp;DB=129&amp;ID1=B28XXH&amp;VALUEID=01001&amp;SDATE=2007&amp;PERIODTYPE=ANN_STD&amp;window=popup_no_bar&amp;width=385&amp;height=120&amp;START_MAXIMIZED=FALSE&amp;creator=factset&amp;display_string=Audit"}</definedName>
    <definedName name="_48__FDSAUDITLINK__" localSheetId="4"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5"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15"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19"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18"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14"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12"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24"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7"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20"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21"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11"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17"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16"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22"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9"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13"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localSheetId="23" hidden="1">{"fdsup://Directions/FactSet Auditing Viewer?action=AUDIT_VALUE&amp;DB=129&amp;ID1=B236TJ&amp;VALUEID=01001&amp;SDATE=2007&amp;PERIODTYPE=ANN_STD&amp;window=popup_no_bar&amp;width=385&amp;height=120&amp;START_MAXIMIZED=FALSE&amp;creator=factset&amp;display_string=Audit"}</definedName>
    <definedName name="_48__FDSAUDITLINK__" hidden="1">{"fdsup://Directions/FactSet Auditing Viewer?action=AUDIT_VALUE&amp;DB=129&amp;ID1=B236TJ&amp;VALUEID=01001&amp;SDATE=2007&amp;PERIODTYPE=ANN_STD&amp;window=popup_no_bar&amp;width=385&amp;height=120&amp;START_MAXIMIZED=FALSE&amp;creator=factset&amp;display_string=Audit"}</definedName>
    <definedName name="_49__FDSAUDITLINK__" localSheetId="4"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5"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15"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19"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18"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14"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12"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24"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7"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20"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21"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11"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17"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16"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22"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9"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13"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localSheetId="23" hidden="1">{"fdsup://Directions/FactSet Auditing Viewer?action=AUDIT_VALUE&amp;DB=129&amp;ID1=B0FXGP&amp;VALUEID=01001&amp;SDATE=2007&amp;PERIODTYPE=ANN_STD&amp;window=popup_no_bar&amp;width=385&amp;height=120&amp;START_MAXIMIZED=FALSE&amp;creator=factset&amp;display_string=Audit"}</definedName>
    <definedName name="_49__FDSAUDITLINK__" hidden="1">{"fdsup://Directions/FactSet Auditing Viewer?action=AUDIT_VALUE&amp;DB=129&amp;ID1=B0FXGP&amp;VALUEID=01001&amp;SDATE=2007&amp;PERIODTYPE=ANN_STD&amp;window=popup_no_bar&amp;width=385&amp;height=120&amp;START_MAXIMIZED=FALSE&amp;creator=factset&amp;display_string=Audit"}</definedName>
    <definedName name="_5_._0Shares_repurchase_liabil">#REF!</definedName>
    <definedName name="_5__FDSAUDITLINK__" localSheetId="4"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5"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15"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19"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18"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14"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12"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24"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7"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20"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21"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11"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17"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16"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22"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9"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13"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localSheetId="23"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__FDSAUDITLINK__" hidden="1">{"fdsup://directions/FAT Viewer?action=UPDATE&amp;creator=factset&amp;DYN_ARGS=TRUE&amp;DOC_NAME=FAT:FQL_AUDITING_CLIENT_TEMPLATE.FAT&amp;display_string=Audit&amp;VAR:KEY=YBMPIVSXCN&amp;VAR:QUERY=RkZfRU5UUlBSX1ZBTF9EQUlMWSgp&amp;WINDOW=FIRST_POPUP&amp;HEIGHT=450&amp;WIDTH=450&amp;START_MAXIMIZED=","FALSE&amp;VAR:CALENDAR=FIVEDAY&amp;VAR:SYMBOL=640663&amp;VAR:INDEX=0"}</definedName>
    <definedName name="_50__FDSAUDITLINK__" localSheetId="4"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5"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15"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19"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18"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14"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12"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24"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7"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20"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21"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11"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17"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16"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22"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9"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13"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localSheetId="23" hidden="1">{"fdsup://Directions/FactSet Auditing Viewer?action=AUDIT_VALUE&amp;DB=129&amp;ID1=B10SSR&amp;VALUEID=01001&amp;SDATE=2007&amp;PERIODTYPE=ANN_STD&amp;window=popup_no_bar&amp;width=385&amp;height=120&amp;START_MAXIMIZED=FALSE&amp;creator=factset&amp;display_string=Audit"}</definedName>
    <definedName name="_50__FDSAUDITLINK__" hidden="1">{"fdsup://Directions/FactSet Auditing Viewer?action=AUDIT_VALUE&amp;DB=129&amp;ID1=B10SSR&amp;VALUEID=01001&amp;SDATE=2007&amp;PERIODTYPE=ANN_STD&amp;window=popup_no_bar&amp;width=385&amp;height=120&amp;START_MAXIMIZED=FALSE&amp;creator=factset&amp;display_string=Audit"}</definedName>
    <definedName name="_51__FDSAUDITLINK__" localSheetId="4"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5"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15"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19"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18"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14"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12"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24"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7"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20"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21"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11"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17"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16"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22"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9"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13"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localSheetId="23" hidden="1">{"fdsup://Directions/FactSet Auditing Viewer?action=AUDIT_VALUE&amp;DB=129&amp;ID1=B1VJSG&amp;VALUEID=01001&amp;SDATE=2007&amp;PERIODTYPE=ANN_STD&amp;window=popup_no_bar&amp;width=385&amp;height=120&amp;START_MAXIMIZED=FALSE&amp;creator=factset&amp;display_string=Audit"}</definedName>
    <definedName name="_51__FDSAUDITLINK__" hidden="1">{"fdsup://Directions/FactSet Auditing Viewer?action=AUDIT_VALUE&amp;DB=129&amp;ID1=B1VJSG&amp;VALUEID=01001&amp;SDATE=2007&amp;PERIODTYPE=ANN_STD&amp;window=popup_no_bar&amp;width=385&amp;height=120&amp;START_MAXIMIZED=FALSE&amp;creator=factset&amp;display_string=Audit"}</definedName>
    <definedName name="_52__FDSAUDITLINK__" localSheetId="4"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5"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15"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19"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18"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14"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12"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24"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7"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20"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21"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11"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17"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16"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22"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9"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13"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localSheetId="23" hidden="1">{"fdsup://Directions/FactSet Auditing Viewer?action=AUDIT_VALUE&amp;DB=129&amp;ID1=B10SSP&amp;VALUEID=01001&amp;SDATE=2007&amp;PERIODTYPE=ANN_STD&amp;window=popup_no_bar&amp;width=385&amp;height=120&amp;START_MAXIMIZED=FALSE&amp;creator=factset&amp;display_string=Audit"}</definedName>
    <definedName name="_52__FDSAUDITLINK__" hidden="1">{"fdsup://Directions/FactSet Auditing Viewer?action=AUDIT_VALUE&amp;DB=129&amp;ID1=B10SSP&amp;VALUEID=01001&amp;SDATE=2007&amp;PERIODTYPE=ANN_STD&amp;window=popup_no_bar&amp;width=385&amp;height=120&amp;START_MAXIMIZED=FALSE&amp;creator=factset&amp;display_string=Audit"}</definedName>
    <definedName name="_53__FDSAUDITLINK__" localSheetId="4"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5"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15"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19"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18"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14"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12"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24"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7"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20"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21"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11"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17"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16"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22"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9"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13"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localSheetId="23" hidden="1">{"fdsup://Directions/FactSet Auditing Viewer?action=AUDIT_VALUE&amp;DB=129&amp;ID1=B1FCQX&amp;VALUEID=01001&amp;SDATE=2007&amp;PERIODTYPE=ANN_STD&amp;window=popup_no_bar&amp;width=385&amp;height=120&amp;START_MAXIMIZED=FALSE&amp;creator=factset&amp;display_string=Audit"}</definedName>
    <definedName name="_53__FDSAUDITLINK__" hidden="1">{"fdsup://Directions/FactSet Auditing Viewer?action=AUDIT_VALUE&amp;DB=129&amp;ID1=B1FCQX&amp;VALUEID=01001&amp;SDATE=2007&amp;PERIODTYPE=ANN_STD&amp;window=popup_no_bar&amp;width=385&amp;height=120&amp;START_MAXIMIZED=FALSE&amp;creator=factset&amp;display_string=Audit"}</definedName>
    <definedName name="_54__FDSAUDITLINK__" localSheetId="4"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5"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15"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19"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18"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14"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12"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24"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7"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20"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21"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11"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17"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16"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22"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9"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13"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localSheetId="23" hidden="1">{"fdsup://Directions/FactSet Auditing Viewer?action=AUDIT_VALUE&amp;DB=129&amp;ID1=B29NPH&amp;VALUEID=01001&amp;SDATE=2007&amp;PERIODTYPE=ANN_STD&amp;window=popup_no_bar&amp;width=385&amp;height=120&amp;START_MAXIMIZED=FALSE&amp;creator=factset&amp;display_string=Audit"}</definedName>
    <definedName name="_54__FDSAUDITLINK__" hidden="1">{"fdsup://Directions/FactSet Auditing Viewer?action=AUDIT_VALUE&amp;DB=129&amp;ID1=B29NPH&amp;VALUEID=01001&amp;SDATE=2007&amp;PERIODTYPE=ANN_STD&amp;window=popup_no_bar&amp;width=385&amp;height=120&amp;START_MAXIMIZED=FALSE&amp;creator=factset&amp;display_string=Audit"}</definedName>
    <definedName name="_55__FDSAUDITLINK__" localSheetId="4"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5"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15"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19"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18"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14"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12"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24"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7"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20"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21"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11"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17"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16"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22"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9"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13"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localSheetId="23" hidden="1">{"fdsup://Directions/FactSet Auditing Viewer?action=AUDIT_VALUE&amp;DB=129&amp;ID1=612952&amp;VALUEID=01001&amp;SDATE=2007&amp;PERIODTYPE=ANN_STD&amp;window=popup_no_bar&amp;width=385&amp;height=120&amp;START_MAXIMIZED=FALSE&amp;creator=factset&amp;display_string=Audit"}</definedName>
    <definedName name="_55__FDSAUDITLINK__" hidden="1">{"fdsup://Directions/FactSet Auditing Viewer?action=AUDIT_VALUE&amp;DB=129&amp;ID1=612952&amp;VALUEID=01001&amp;SDATE=2007&amp;PERIODTYPE=ANN_STD&amp;window=popup_no_bar&amp;width=385&amp;height=120&amp;START_MAXIMIZED=FALSE&amp;creator=factset&amp;display_string=Audit"}</definedName>
    <definedName name="_56__FDSAUDITLINK__" localSheetId="4"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5"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15"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19"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18"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14"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12"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24"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7"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20"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21"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11"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17"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16"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22"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9"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13"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localSheetId="23" hidden="1">{"fdsup://Directions/FactSet Auditing Viewer?action=AUDIT_VALUE&amp;DB=129&amp;ID1=B1FDHG&amp;VALUEID=01001&amp;SDATE=2008&amp;PERIODTYPE=ANN_STD&amp;window=popup_no_bar&amp;width=385&amp;height=120&amp;START_MAXIMIZED=FALSE&amp;creator=factset&amp;display_string=Audit"}</definedName>
    <definedName name="_56__FDSAUDITLINK__" hidden="1">{"fdsup://Directions/FactSet Auditing Viewer?action=AUDIT_VALUE&amp;DB=129&amp;ID1=B1FDHG&amp;VALUEID=01001&amp;SDATE=2008&amp;PERIODTYPE=ANN_STD&amp;window=popup_no_bar&amp;width=385&amp;height=120&amp;START_MAXIMIZED=FALSE&amp;creator=factset&amp;display_string=Audit"}</definedName>
    <definedName name="_57__FDSAUDITLINK__" localSheetId="4"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5"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15"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19"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18"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14"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12"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24"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7"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20"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21"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11"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17"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16"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22"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9"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13"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localSheetId="23" hidden="1">{"fdsup://Directions/FactSet Auditing Viewer?action=AUDIT_VALUE&amp;DB=129&amp;ID1=B1FDHG&amp;VALUEID=01001&amp;SDATE=2007&amp;PERIODTYPE=ANN_STD&amp;window=popup_no_bar&amp;width=385&amp;height=120&amp;START_MAXIMIZED=FALSE&amp;creator=factset&amp;display_string=Audit"}</definedName>
    <definedName name="_57__FDSAUDITLINK__" hidden="1">{"fdsup://Directions/FactSet Auditing Viewer?action=AUDIT_VALUE&amp;DB=129&amp;ID1=B1FDHG&amp;VALUEID=01001&amp;SDATE=2007&amp;PERIODTYPE=ANN_STD&amp;window=popup_no_bar&amp;width=385&amp;height=120&amp;START_MAXIMIZED=FALSE&amp;creator=factset&amp;display_string=Audit"}</definedName>
    <definedName name="_58__FDSAUDITLINK__" localSheetId="4"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5"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15"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19"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18"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14"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12"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24"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7"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20"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21"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11"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17"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16"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22"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9"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13"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localSheetId="23"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8__FDSAUDITLINK__" hidden="1">{"fdsup://directions/FAT Viewer?action=UPDATE&amp;creator=factset&amp;DYN_ARGS=TRUE&amp;DOC_NAME=FAT:FQL_AUDITING_CLIENT_TEMPLATE.FAT&amp;display_string=Audit&amp;VAR:KEY=PSPMBCNIXW&amp;VAR:QUERY=RkZfRU5UUlBSX1ZBTF9EQUlMWSgwLCwsLCwnRElMJykvRUNBX01FQU5fRUJJVERBKCsxLDAp&amp;WINDOW=FIRST","_POPUP&amp;HEIGHT=450&amp;WIDTH=450&amp;START_MAXIMIZED=FALSE&amp;VAR:CALENDAR=FIVEDAY&amp;VAR:SYMBOL=476896&amp;VAR:INDEX=0"}</definedName>
    <definedName name="_59__FDSAUDITLINK__" localSheetId="4"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5"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15"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19"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18"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14"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12"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24"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7"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20"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21"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11"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17"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16"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22"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9"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13"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localSheetId="23"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59__FDSAUDITLINK__" hidden="1">{"fdsup://directions/FAT Viewer?action=UPDATE&amp;creator=factset&amp;DYN_ARGS=TRUE&amp;DOC_NAME=FAT:FQL_AUDITING_CLIENT_TEMPLATE.FAT&amp;display_string=Audit&amp;VAR:KEY=ZIJUPGPCLW&amp;VAR:QUERY=RkZfRU5UUlBSX1ZBTF9FQklUREEoJ0FOTicsMCk=&amp;WINDOW=FIRST_POPUP&amp;HEIGHT=450&amp;WIDTH=450&amp;STAR","T_MAXIMIZED=FALSE&amp;VAR:CALENDAR=FIVEDAY&amp;VAR:SYMBOL=476896&amp;VAR:INDEX=0"}</definedName>
    <definedName name="_6__FDSAUDITLINK__" localSheetId="4"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5"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15"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19"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18"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14"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12"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24"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7"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20"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21"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11"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17"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16"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22"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9"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13"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localSheetId="23"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_FDSAUDITLINK__" hidden="1">{"fdsup://directions/FAT Viewer?action=UPDATE&amp;creator=factset&amp;DYN_ARGS=TRUE&amp;DOC_NAME=FAT:FQL_AUDITING_CLIENT_TEMPLATE.FAT&amp;display_string=Audit&amp;VAR:KEY=CVAFEVKLCJ&amp;VAR:QUERY=RkZfRU5UUlBSX1ZBTF9EQUlMWSgp&amp;WINDOW=FIRST_POPUP&amp;HEIGHT=450&amp;WIDTH=450&amp;START_MAXIMIZED=","FALSE&amp;VAR:CALENDAR=FIVEDAY&amp;VAR:SYMBOL=B13D25&amp;VAR:INDEX=0"}</definedName>
    <definedName name="_6_3_0Other_Segment_Reven">#REF!</definedName>
    <definedName name="_60__FDSAUDITLINK__" localSheetId="4"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5"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15"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19"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18"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14"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12"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24"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7"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20"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21"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11"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17"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16"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22"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9"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13"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localSheetId="23"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0__FDSAUDITLINK__" hidden="1">{"fdsup://directions/FAT Viewer?action=UPDATE&amp;creator=factset&amp;DYN_ARGS=TRUE&amp;DOC_NAME=FAT:FQL_AUDITING_CLIENT_TEMPLATE.FAT&amp;display_string=Audit&amp;VAR:KEY=TCRGNYFYDI&amp;VAR:QUERY=RkZfRU5UUlBSX1ZBTF9EQUlMWSgwLCwsLCwnRElMJykvRUNBX01FQU5fRUJJVERBKCsyLDAp&amp;WINDOW=FIRST","_POPUP&amp;HEIGHT=450&amp;WIDTH=450&amp;START_MAXIMIZED=FALSE&amp;VAR:CALENDAR=FIVEDAY&amp;VAR:SYMBOL=572377&amp;VAR:INDEX=0"}</definedName>
    <definedName name="_61__FDSAUDITLINK__" localSheetId="4"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5"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15"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19"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18"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14"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12"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24"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7"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20"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21"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11"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17"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16"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22"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9"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13"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localSheetId="23"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1__FDSAUDITLINK__" hidden="1">{"fdsup://directions/FAT Viewer?action=UPDATE&amp;creator=factset&amp;DYN_ARGS=TRUE&amp;DOC_NAME=FAT:FQL_AUDITING_CLIENT_TEMPLATE.FAT&amp;display_string=Audit&amp;VAR:KEY=NCFINWBOZU&amp;VAR:QUERY=RkZfRU5UUlBSX1ZBTF9EQUlMWSgwLCwsLCwnRElMJykvRUNBX01FQU5fRUJJVERBKCsxLDAp&amp;WINDOW=FIRST","_POPUP&amp;HEIGHT=450&amp;WIDTH=450&amp;START_MAXIMIZED=FALSE&amp;VAR:CALENDAR=FIVEDAY&amp;VAR:SYMBOL=572377&amp;VAR:INDEX=0"}</definedName>
    <definedName name="_62__FDSAUDITLINK__" localSheetId="4"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5"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15"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19"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18"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14"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12"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24"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7"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20"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21"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11"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17"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16"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22"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9"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13"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localSheetId="23"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2__FDSAUDITLINK__" hidden="1">{"fdsup://directions/FAT Viewer?action=UPDATE&amp;creator=factset&amp;DYN_ARGS=TRUE&amp;DOC_NAME=FAT:FQL_AUDITING_CLIENT_TEMPLATE.FAT&amp;display_string=Audit&amp;VAR:KEY=TEJSPQZAHC&amp;VAR:QUERY=RkZfRU5UUlBSX1ZBTF9FQklUREEoJ0FOTicsMCk=&amp;WINDOW=FIRST_POPUP&amp;HEIGHT=450&amp;WIDTH=450&amp;STAR","T_MAXIMIZED=FALSE&amp;VAR:CALENDAR=FIVEDAY&amp;VAR:SYMBOL=572377&amp;VAR:INDEX=0"}</definedName>
    <definedName name="_63__FDSAUDITLINK__" localSheetId="4"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5"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15"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19"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18"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14"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12"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24"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7"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20"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21"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11"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17"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16"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22"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9"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13"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localSheetId="23"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3__FDSAUDITLINK__" hidden="1">{"fdsup://directions/FAT Viewer?action=UPDATE&amp;creator=factset&amp;DYN_ARGS=TRUE&amp;DOC_NAME=FAT:FQL_AUDITING_CLIENT_TEMPLATE.FAT&amp;display_string=Audit&amp;VAR:KEY=BMFIJIBCTW&amp;VAR:QUERY=RkZfRU5UUlBSX1ZBTF9EQUlMWSgwLCwsLCwnRElMJykvRUNBX01FQU5fRUJJVERBKCsyLDAp&amp;WINDOW=FIRST","_POPUP&amp;HEIGHT=450&amp;WIDTH=450&amp;START_MAXIMIZED=FALSE&amp;VAR:CALENDAR=FIVEDAY&amp;VAR:SYMBOL=B288C9&amp;VAR:INDEX=0"}</definedName>
    <definedName name="_64__FDSAUDITLINK__" localSheetId="4"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5"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15"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19"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18"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14"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12"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24"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7"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20"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21"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11"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17"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16"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22"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9"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13"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localSheetId="23"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4__FDSAUDITLINK__" hidden="1">{"fdsup://directions/FAT Viewer?action=UPDATE&amp;creator=factset&amp;DYN_ARGS=TRUE&amp;DOC_NAME=FAT:FQL_AUDITING_CLIENT_TEMPLATE.FAT&amp;display_string=Audit&amp;VAR:KEY=VCPOPSTKHG&amp;VAR:QUERY=RkZfRU5UUlBSX1ZBTF9EQUlMWSgwLCwsLCwnRElMJykvRUNBX01FQU5fRUJJVERBKCsxLDAp&amp;WINDOW=FIRST","_POPUP&amp;HEIGHT=450&amp;WIDTH=450&amp;START_MAXIMIZED=FALSE&amp;VAR:CALENDAR=FIVEDAY&amp;VAR:SYMBOL=B288C9&amp;VAR:INDEX=0"}</definedName>
    <definedName name="_65__FDSAUDITLINK__" localSheetId="4"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5"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15"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19"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18"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14"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12"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24"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7"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20"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21"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11"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17"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16"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22"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9"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13"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localSheetId="23"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5__FDSAUDITLINK__" hidden="1">{"fdsup://directions/FAT Viewer?action=UPDATE&amp;creator=factset&amp;DYN_ARGS=TRUE&amp;DOC_NAME=FAT:FQL_AUDITING_CLIENT_TEMPLATE.FAT&amp;display_string=Audit&amp;VAR:KEY=DONMTGPWRW&amp;VAR:QUERY=RkZfRU5UUlBSX1ZBTF9FQklUREEoJ0FOTicsMCk=&amp;WINDOW=FIRST_POPUP&amp;HEIGHT=450&amp;WIDTH=450&amp;STAR","T_MAXIMIZED=FALSE&amp;VAR:CALENDAR=FIVEDAY&amp;VAR:SYMBOL=B288C9&amp;VAR:INDEX=0"}</definedName>
    <definedName name="_66__FDSAUDITLINK__" localSheetId="4"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5"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15"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19"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18"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14"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12"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24"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7"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20"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21"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11"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17"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16"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22"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9"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13"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localSheetId="23"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6__FDSAUDITLINK__" hidden="1">{"fdsup://directions/FAT Viewer?action=UPDATE&amp;creator=factset&amp;DYN_ARGS=TRUE&amp;DOC_NAME=FAT:FQL_AUDITING_CLIENT_TEMPLATE.FAT&amp;display_string=Audit&amp;VAR:KEY=HUXWLSTADE&amp;VAR:QUERY=RkZfRU5UUlBSX1ZBTF9EQUlMWSgwLCwsLCwnRElMJykvRUNBX01FQU5fRUJJVERBKCsyLDAp&amp;WINDOW=FIRST","_POPUP&amp;HEIGHT=450&amp;WIDTH=450&amp;START_MAXIMIZED=FALSE&amp;VAR:CALENDAR=FIVEDAY&amp;VAR:SYMBOL=714456&amp;VAR:INDEX=0"}</definedName>
    <definedName name="_67__FDSAUDITLINK__" localSheetId="4"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5"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15"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19"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18"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14"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12"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24"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7"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20"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21"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11"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17"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16"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22"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9"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13"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localSheetId="23"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7__FDSAUDITLINK__" hidden="1">{"fdsup://directions/FAT Viewer?action=UPDATE&amp;creator=factset&amp;DYN_ARGS=TRUE&amp;DOC_NAME=FAT:FQL_AUDITING_CLIENT_TEMPLATE.FAT&amp;display_string=Audit&amp;VAR:KEY=DODGPYTILM&amp;VAR:QUERY=RkZfRU5UUlBSX1ZBTF9EQUlMWSgwLCwsLCwnRElMJykvRUNBX01FQU5fRUJJVERBKCsxLDAp&amp;WINDOW=FIRST","_POPUP&amp;HEIGHT=450&amp;WIDTH=450&amp;START_MAXIMIZED=FALSE&amp;VAR:CALENDAR=FIVEDAY&amp;VAR:SYMBOL=714456&amp;VAR:INDEX=0"}</definedName>
    <definedName name="_68__FDSAUDITLINK__" localSheetId="4"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5"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15"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19"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18"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14"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12"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24"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7"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20"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21"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11"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17"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16"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22"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9"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13"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localSheetId="23"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8__FDSAUDITLINK__" hidden="1">{"fdsup://directions/FAT Viewer?action=UPDATE&amp;creator=factset&amp;DYN_ARGS=TRUE&amp;DOC_NAME=FAT:FQL_AUDITING_CLIENT_TEMPLATE.FAT&amp;display_string=Audit&amp;VAR:KEY=RMPUBKJUPW&amp;VAR:QUERY=RkZfRU5UUlBSX1ZBTF9FQklUREEoJ0FOTicsMCk=&amp;WINDOW=FIRST_POPUP&amp;HEIGHT=450&amp;WIDTH=450&amp;STAR","T_MAXIMIZED=FALSE&amp;VAR:CALENDAR=FIVEDAY&amp;VAR:SYMBOL=714456&amp;VAR:INDEX=0"}</definedName>
    <definedName name="_69__FDSAUDITLINK__" localSheetId="4"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5"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15"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19"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18"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14"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12"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24"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7"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20"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21"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11"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17"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16"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22"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9"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13"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localSheetId="23"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69__FDSAUDITLINK__" hidden="1">{"fdsup://directions/FAT Viewer?action=UPDATE&amp;creator=factset&amp;DYN_ARGS=TRUE&amp;DOC_NAME=FAT:FQL_AUDITING_CLIENT_TEMPLATE.FAT&amp;display_string=Audit&amp;VAR:KEY=HADSXIDGTM&amp;VAR:QUERY=RkZfRU5UUlBSX1ZBTF9EQUlMWSgwLCwsLCwnRElMJykvRUNBX01FQU5fRUJJVERBKCsyLDAp&amp;WINDOW=FIRST","_POPUP&amp;HEIGHT=450&amp;WIDTH=450&amp;START_MAXIMIZED=FALSE&amp;VAR:CALENDAR=FIVEDAY&amp;VAR:SYMBOL=527178&amp;VAR:INDEX=0"}</definedName>
    <definedName name="_7__FDSAUDITLINK__" localSheetId="4"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5"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15"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19"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18"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14"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12"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24"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7"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20"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21"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11"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17"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16"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22"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9"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13"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localSheetId="23"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__FDSAUDITLINK__" hidden="1">{"fdsup://directions/FAT Viewer?action=UPDATE&amp;creator=factset&amp;DYN_ARGS=TRUE&amp;DOC_NAME=FAT:FQL_AUDITING_CLIENT_TEMPLATE.FAT&amp;display_string=Audit&amp;VAR:KEY=CVEFMHIHQT&amp;VAR:QUERY=RkZfRU5UUlBSX1ZBTF9EQUlMWSgp&amp;WINDOW=FIRST_POPUP&amp;HEIGHT=450&amp;WIDTH=450&amp;START_MAXIMIZED=","FALSE&amp;VAR:CALENDAR=FIVEDAY&amp;VAR:SYMBOL=B02N26&amp;VAR:INDEX=0"}</definedName>
    <definedName name="_70__FDSAUDITLINK__" localSheetId="4"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5"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15"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19"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18"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14"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12"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24"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7"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20"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21"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11"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17"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16"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22"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9"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13"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localSheetId="23"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0__FDSAUDITLINK__" hidden="1">{"fdsup://directions/FAT Viewer?action=UPDATE&amp;creator=factset&amp;DYN_ARGS=TRUE&amp;DOC_NAME=FAT:FQL_AUDITING_CLIENT_TEMPLATE.FAT&amp;display_string=Audit&amp;VAR:KEY=DIZANIZSFA&amp;VAR:QUERY=RkZfRU5UUlBSX1ZBTF9EQUlMWSgwLCwsLCwnRElMJykvRUNBX01FQU5fRUJJVERBKCsxLDAp&amp;WINDOW=FIRST","_POPUP&amp;HEIGHT=450&amp;WIDTH=450&amp;START_MAXIMIZED=FALSE&amp;VAR:CALENDAR=FIVEDAY&amp;VAR:SYMBOL=527178&amp;VAR:INDEX=0"}</definedName>
    <definedName name="_71__FDSAUDITLINK__" localSheetId="4"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5"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15"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19"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18"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14"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12"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24"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7"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20"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21"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11"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17"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16"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22"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9"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13"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localSheetId="23"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1__FDSAUDITLINK__" hidden="1">{"fdsup://directions/FAT Viewer?action=UPDATE&amp;creator=factset&amp;DYN_ARGS=TRUE&amp;DOC_NAME=FAT:FQL_AUDITING_CLIENT_TEMPLATE.FAT&amp;display_string=Audit&amp;VAR:KEY=ZSFODKFIHU&amp;VAR:QUERY=RkZfRU5UUlBSX1ZBTF9FQklUREEoJ0FOTicsMCk=&amp;WINDOW=FIRST_POPUP&amp;HEIGHT=450&amp;WIDTH=450&amp;STAR","T_MAXIMIZED=FALSE&amp;VAR:CALENDAR=FIVEDAY&amp;VAR:SYMBOL=527178&amp;VAR:INDEX=0"}</definedName>
    <definedName name="_72__FDSAUDITLINK__" localSheetId="4"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5"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15"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19"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18"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14"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12"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24"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7"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20"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21"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11"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17"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16"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22"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9"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13"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localSheetId="23"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2__FDSAUDITLINK__" hidden="1">{"fdsup://directions/FAT Viewer?action=UPDATE&amp;creator=factset&amp;DYN_ARGS=TRUE&amp;DOC_NAME=FAT:FQL_AUDITING_CLIENT_TEMPLATE.FAT&amp;display_string=Audit&amp;VAR:KEY=JWVKROFKJY&amp;VAR:QUERY=RkZfRU5UUlBSX1ZBTF9EQUlMWSgwLCwsLCwnRElMJykvRUNBX01FQU5fRUJJVERBKCsyLDAp&amp;WINDOW=FIRST","_POPUP&amp;HEIGHT=450&amp;WIDTH=450&amp;START_MAXIMIZED=FALSE&amp;VAR:CALENDAR=FIVEDAY&amp;VAR:SYMBOL=562403&amp;VAR:INDEX=0"}</definedName>
    <definedName name="_73__FDSAUDITLINK__" localSheetId="4"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5"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15"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19"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18"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14"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12"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24"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7"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20"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21"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11"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17"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16"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22"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9"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13"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localSheetId="23"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3__FDSAUDITLINK__" hidden="1">{"fdsup://directions/FAT Viewer?action=UPDATE&amp;creator=factset&amp;DYN_ARGS=TRUE&amp;DOC_NAME=FAT:FQL_AUDITING_CLIENT_TEMPLATE.FAT&amp;display_string=Audit&amp;VAR:KEY=VWJYLGDANM&amp;VAR:QUERY=RkZfRU5UUlBSX1ZBTF9EQUlMWSgwLCwsLCwnRElMJykvRUNBX01FQU5fRUJJVERBKCsxLDAp&amp;WINDOW=FIRST","_POPUP&amp;HEIGHT=450&amp;WIDTH=450&amp;START_MAXIMIZED=FALSE&amp;VAR:CALENDAR=FIVEDAY&amp;VAR:SYMBOL=562403&amp;VAR:INDEX=0"}</definedName>
    <definedName name="_74__FDSAUDITLINK__" localSheetId="4"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5"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15"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19"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18"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14"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12"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24"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7"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20"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21"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11"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17"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16"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22"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9"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13"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localSheetId="23"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4__FDSAUDITLINK__" hidden="1">{"fdsup://directions/FAT Viewer?action=UPDATE&amp;creator=factset&amp;DYN_ARGS=TRUE&amp;DOC_NAME=FAT:FQL_AUDITING_CLIENT_TEMPLATE.FAT&amp;display_string=Audit&amp;VAR:KEY=FQTCNCFAJS&amp;VAR:QUERY=RkZfRU5UUlBSX1ZBTF9FQklUREEoJ0FOTicsMCk=&amp;WINDOW=FIRST_POPUP&amp;HEIGHT=450&amp;WIDTH=450&amp;STAR","T_MAXIMIZED=FALSE&amp;VAR:CALENDAR=FIVEDAY&amp;VAR:SYMBOL=562403&amp;VAR:INDEX=0"}</definedName>
    <definedName name="_75__FDSAUDITLINK__" localSheetId="4"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5"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15"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19"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18"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14"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12"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24"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7"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20"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21"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11"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17"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16"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22"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9"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13"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localSheetId="23"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5__FDSAUDITLINK__" hidden="1">{"fdsup://directions/FAT Viewer?action=UPDATE&amp;creator=factset&amp;DYN_ARGS=TRUE&amp;DOC_NAME=FAT:FQL_AUDITING_CLIENT_TEMPLATE.FAT&amp;display_string=Audit&amp;VAR:KEY=HQRSPSJIJC&amp;VAR:QUERY=RkZfRElWX1lMRCgnQU5OJywwKQ==&amp;WINDOW=FIRST_POPUP&amp;HEIGHT=450&amp;WIDTH=450&amp;START_MAXIMIZED=","FALSE&amp;VAR:CALENDAR=FIVEDAY&amp;VAR:SYMBOL=81685110&amp;VAR:INDEX=0"}</definedName>
    <definedName name="_76__FDSAUDITLINK__" localSheetId="4"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5"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15"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19"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18"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14"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12"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24"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7"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20"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21"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11"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17"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16"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22"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9"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13"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localSheetId="23"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6__FDSAUDITLINK__" hidden="1">{"fdsup://directions/FAT Viewer?action=UPDATE&amp;creator=factset&amp;DYN_ARGS=TRUE&amp;DOC_NAME=FAT:FQL_AUDITING_CLIENT_TEMPLATE.FAT&amp;display_string=Audit&amp;VAR:KEY=VUXGHWPSJK&amp;VAR:QUERY=RkZfRElWX1lMRCgnQU5OJywwKQ==&amp;WINDOW=FIRST_POPUP&amp;HEIGHT=450&amp;WIDTH=450&amp;START_MAXIMIZED=","FALSE&amp;VAR:CALENDAR=FIVEDAY&amp;VAR:SYMBOL=74971X10&amp;VAR:INDEX=0"}</definedName>
    <definedName name="_77__FDSAUDITLINK__" localSheetId="4"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5"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15"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19"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18"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14"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12"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24"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7"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20"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21"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11"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17"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16"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22"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9"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13"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localSheetId="23"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7__FDSAUDITLINK__" hidden="1">{"fdsup://directions/FAT Viewer?action=UPDATE&amp;creator=factset&amp;DYN_ARGS=TRUE&amp;DOC_NAME=FAT:FQL_AUDITING_CLIENT_TEMPLATE.FAT&amp;display_string=Audit&amp;VAR:KEY=FUFALSJYZQ&amp;VAR:QUERY=RkZfRElWX1lMRCgnQU5OJywwKQ==&amp;WINDOW=FIRST_POPUP&amp;HEIGHT=450&amp;WIDTH=450&amp;START_MAXIMIZED=","FALSE&amp;VAR:CALENDAR=FIVEDAY&amp;VAR:SYMBOL=69331C10&amp;VAR:INDEX=0"}</definedName>
    <definedName name="_78__FDSAUDITLINK__" localSheetId="4"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5"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15"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19"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18"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14"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12"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24"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7"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20"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21"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11"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17"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16"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22"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9"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13"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localSheetId="23"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8__FDSAUDITLINK__" hidden="1">{"fdsup://directions/FAT Viewer?action=UPDATE&amp;creator=factset&amp;DYN_ARGS=TRUE&amp;DOC_NAME=FAT:FQL_AUDITING_CLIENT_TEMPLATE.FAT&amp;display_string=Audit&amp;VAR:KEY=XATCPWFMTU&amp;VAR:QUERY=RkZfRElWX1lMRCgnQU5OJywwKQ==&amp;WINDOW=FIRST_POPUP&amp;HEIGHT=450&amp;WIDTH=450&amp;START_MAXIMIZED=","FALSE&amp;VAR:CALENDAR=FIVEDAY&amp;VAR:SYMBOL=62937750&amp;VAR:INDEX=0"}</definedName>
    <definedName name="_79__FDSAUDITLINK__" localSheetId="4"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5"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15"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19"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18"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14"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12"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24"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7"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20"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21"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11"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17"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16"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22"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9"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13"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localSheetId="23"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79__FDSAUDITLINK__" hidden="1">{"fdsup://directions/FAT Viewer?action=UPDATE&amp;creator=factset&amp;DYN_ARGS=TRUE&amp;DOC_NAME=FAT:FQL_AUDITING_CLIENT_TEMPLATE.FAT&amp;display_string=Audit&amp;VAR:KEY=XMVYFWDCHG&amp;VAR:QUERY=RkZfRElWX1lMRCgnQU5OJywwKQ==&amp;WINDOW=FIRST_POPUP&amp;HEIGHT=450&amp;WIDTH=450&amp;START_MAXIMIZED=","FALSE&amp;VAR:CALENDAR=FIVEDAY&amp;VAR:SYMBOL=30161N10&amp;VAR:INDEX=0"}</definedName>
    <definedName name="_8__FDSAUDITLINK__" localSheetId="4"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5"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15"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19"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18"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14"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12"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24"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7"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20"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21"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11"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17"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16"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22"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9"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13"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localSheetId="23"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__FDSAUDITLINK__" hidden="1">{"fdsup://directions/FAT Viewer?action=UPDATE&amp;creator=factset&amp;DYN_ARGS=TRUE&amp;DOC_NAME=FAT:FQL_AUDITING_CLIENT_TEMPLATE.FAT&amp;display_string=Audit&amp;VAR:KEY=YRCRQBCRIR&amp;VAR:QUERY=RkZfRU5UUlBSX1ZBTF9EQUlMWSgp&amp;WINDOW=FIRST_POPUP&amp;HEIGHT=450&amp;WIDTH=450&amp;START_MAXIMIZED=","FALSE&amp;VAR:CALENDAR=FIVEDAY&amp;VAR:SYMBOL=B0YJJ2&amp;VAR:INDEX=0"}</definedName>
    <definedName name="_80__FDSAUDITLINK__" localSheetId="4"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5"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15"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19"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18"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14"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12"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24"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7"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20"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21"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11"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17"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16"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22"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9"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13"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localSheetId="23"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0__FDSAUDITLINK__" hidden="1">{"fdsup://directions/FAT Viewer?action=UPDATE&amp;creator=factset&amp;DYN_ARGS=TRUE&amp;DOC_NAME=FAT:FQL_AUDITING_CLIENT_TEMPLATE.FAT&amp;display_string=Audit&amp;VAR:KEY=FQTWFARQHO&amp;VAR:QUERY=RkZfRElWX1lMRCgnQU5OJywwKQ==&amp;WINDOW=FIRST_POPUP&amp;HEIGHT=450&amp;WIDTH=450&amp;START_MAXIMIZED=","FALSE&amp;VAR:CALENDAR=FIVEDAY&amp;VAR:SYMBOL=26441C10&amp;VAR:INDEX=0"}</definedName>
    <definedName name="_81__FDSAUDITLINK__" localSheetId="4"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5"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15"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19"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18"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14"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12"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24"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7"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20"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21"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11"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17"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16"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22"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9"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13"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localSheetId="23"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1__FDSAUDITLINK__" hidden="1">{"fdsup://directions/FAT Viewer?action=UPDATE&amp;creator=factset&amp;DYN_ARGS=TRUE&amp;DOC_NAME=FAT:FQL_AUDITING_CLIENT_TEMPLATE.FAT&amp;display_string=Audit&amp;VAR:KEY=XWFSJUBKBI&amp;VAR:QUERY=RkZfRElWX1lMRCgnQU5OJywwKQ==&amp;WINDOW=FIRST_POPUP&amp;HEIGHT=450&amp;WIDTH=450&amp;START_MAXIMIZED=","FALSE&amp;VAR:CALENDAR=FIVEDAY&amp;VAR:SYMBOL=25746U10&amp;VAR:INDEX=0"}</definedName>
    <definedName name="_82__FDSAUDITLINK__" localSheetId="4"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5"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15"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19"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18"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14"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12"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24"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7"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20"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21"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11"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17"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16"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22"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9"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13"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localSheetId="23"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2__FDSAUDITLINK__" hidden="1">{"fdsup://directions/FAT Viewer?action=UPDATE&amp;creator=factset&amp;DYN_ARGS=TRUE&amp;DOC_NAME=FAT:FQL_AUDITING_CLIENT_TEMPLATE.FAT&amp;display_string=Audit&amp;VAR:KEY=HYLWRKXWNW&amp;VAR:QUERY=RkZfRElWX1lMRCgnQU5OJywwKQ==&amp;WINDOW=FIRST_POPUP&amp;HEIGHT=450&amp;WIDTH=450&amp;START_MAXIMIZED=","FALSE&amp;VAR:CALENDAR=FIVEDAY&amp;VAR:SYMBOL=20911510&amp;VAR:INDEX=0"}</definedName>
    <definedName name="_83__FDSAUDITLINK__" localSheetId="4"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5"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15"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19"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18"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14"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12"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24"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7"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20"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21"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11"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17"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16"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22"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9"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13"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localSheetId="23"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3__FDSAUDITLINK__" hidden="1">{"fdsup://directions/FAT Viewer?action=UPDATE&amp;creator=factset&amp;DYN_ARGS=TRUE&amp;DOC_NAME=FAT:FQL_AUDITING_CLIENT_TEMPLATE.FAT&amp;display_string=Audit&amp;VAR:KEY=VYVENIJEPA&amp;VAR:QUERY=RkZfRElWX1lMRCgnQU5OJywwKQ==&amp;WINDOW=FIRST_POPUP&amp;HEIGHT=450&amp;WIDTH=450&amp;START_MAXIMIZED=","FALSE&amp;VAR:CALENDAR=FIVEDAY&amp;VAR:SYMBOL=02553710&amp;VAR:INDEX=0"}</definedName>
    <definedName name="_84__FDSAUDITLINK__" localSheetId="4"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5"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15"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19"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18"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14"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12"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24"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7"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20"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21"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11"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17"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16"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22"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9"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13"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localSheetId="23"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4__FDSAUDITLINK__" hidden="1">{"fdsup://directions/FAT Viewer?action=UPDATE&amp;creator=factset&amp;DYN_ARGS=TRUE&amp;DOC_NAME=FAT:FQL_AUDITING_CLIENT_TEMPLATE.FAT&amp;display_string=Audit&amp;VAR:KEY=LQTGZYJGFW&amp;VAR:QUERY=RkZfUk9JQygnQU5OJywwKQ==&amp;WINDOW=FIRST_POPUP&amp;HEIGHT=450&amp;WIDTH=450&amp;START_MAXIMIZED=FALS","E&amp;VAR:CALENDAR=FIVEDAY&amp;VAR:SYMBOL=81685110&amp;VAR:INDEX=0"}</definedName>
    <definedName name="_85__FDSAUDITLINK__" localSheetId="4"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5"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15"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19"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18"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14"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12"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24"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7"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20"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21"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11"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17"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16"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22"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9"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13"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localSheetId="23"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5__FDSAUDITLINK__" hidden="1">{"fdsup://directions/FAT Viewer?action=UPDATE&amp;creator=factset&amp;DYN_ARGS=TRUE&amp;DOC_NAME=FAT:FQL_AUDITING_CLIENT_TEMPLATE.FAT&amp;display_string=Audit&amp;VAR:KEY=JGBSDQVUTK&amp;VAR:QUERY=RkZfUk9JQygnQU5OJywwKQ==&amp;WINDOW=FIRST_POPUP&amp;HEIGHT=450&amp;WIDTH=450&amp;START_MAXIMIZED=FALS","E&amp;VAR:CALENDAR=FIVEDAY&amp;VAR:SYMBOL=74971X10&amp;VAR:INDEX=0"}</definedName>
    <definedName name="_86__FDSAUDITLINK__" localSheetId="4"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5"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15"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19"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18"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14"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12"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24"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7"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20"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21"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11"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17"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16"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22"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9"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13"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localSheetId="23"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6__FDSAUDITLINK__" hidden="1">{"fdsup://directions/FAT Viewer?action=UPDATE&amp;creator=factset&amp;DYN_ARGS=TRUE&amp;DOC_NAME=FAT:FQL_AUDITING_CLIENT_TEMPLATE.FAT&amp;display_string=Audit&amp;VAR:KEY=LIRYZSTGBU&amp;VAR:QUERY=RkZfUk9JQygnQU5OJywwKQ==&amp;WINDOW=FIRST_POPUP&amp;HEIGHT=450&amp;WIDTH=450&amp;START_MAXIMIZED=FALS","E&amp;VAR:CALENDAR=FIVEDAY&amp;VAR:SYMBOL=69331C10&amp;VAR:INDEX=0"}</definedName>
    <definedName name="_87__FDSAUDITLINK__" localSheetId="4"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5"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15"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19"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18"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14"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12"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24"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7"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20"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21"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11"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17"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16"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22"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9"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13"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localSheetId="23"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7__FDSAUDITLINK__" hidden="1">{"fdsup://directions/FAT Viewer?action=UPDATE&amp;creator=factset&amp;DYN_ARGS=TRUE&amp;DOC_NAME=FAT:FQL_AUDITING_CLIENT_TEMPLATE.FAT&amp;display_string=Audit&amp;VAR:KEY=LSPABELSJE&amp;VAR:QUERY=RkZfUk9JQygnQU5OJywwKQ==&amp;WINDOW=FIRST_POPUP&amp;HEIGHT=450&amp;WIDTH=450&amp;START_MAXIMIZED=FALS","E&amp;VAR:CALENDAR=FIVEDAY&amp;VAR:SYMBOL=62937750&amp;VAR:INDEX=0"}</definedName>
    <definedName name="_88__FDSAUDITLINK__" localSheetId="4"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5"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15"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19"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18"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14"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12"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24"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7"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20"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21"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11"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17"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16"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22"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9"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13"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localSheetId="23"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8__FDSAUDITLINK__" hidden="1">{"fdsup://directions/FAT Viewer?action=UPDATE&amp;creator=factset&amp;DYN_ARGS=TRUE&amp;DOC_NAME=FAT:FQL_AUDITING_CLIENT_TEMPLATE.FAT&amp;display_string=Audit&amp;VAR:KEY=TQTKBCNOZW&amp;VAR:QUERY=RkZfUk9JQygnQU5OJywwKQ==&amp;WINDOW=FIRST_POPUP&amp;HEIGHT=450&amp;WIDTH=450&amp;START_MAXIMIZED=FALS","E&amp;VAR:CALENDAR=FIVEDAY&amp;VAR:SYMBOL=30161N10&amp;VAR:INDEX=0"}</definedName>
    <definedName name="_89__FDSAUDITLINK__" localSheetId="4"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5"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15"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19"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18"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14"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12"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24"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7"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20"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21"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11"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17"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16"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22"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9"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13"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localSheetId="23"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89__FDSAUDITLINK__" hidden="1">{"fdsup://directions/FAT Viewer?action=UPDATE&amp;creator=factset&amp;DYN_ARGS=TRUE&amp;DOC_NAME=FAT:FQL_AUDITING_CLIENT_TEMPLATE.FAT&amp;display_string=Audit&amp;VAR:KEY=ZGPSBIHYZK&amp;VAR:QUERY=RkZfUk9JQygnQU5OJywwKQ==&amp;WINDOW=FIRST_POPUP&amp;HEIGHT=450&amp;WIDTH=450&amp;START_MAXIMIZED=FALS","E&amp;VAR:CALENDAR=FIVEDAY&amp;VAR:SYMBOL=26441C10&amp;VAR:INDEX=0"}</definedName>
    <definedName name="_9__FDSAUDITLINK__" localSheetId="4"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5"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15"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19"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18"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14"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12"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24"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7"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20"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21"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11"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17"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16"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22"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9"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13"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localSheetId="23"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__FDSAUDITLINK__" hidden="1">{"fdsup://directions/FAT Viewer?action=UPDATE&amp;creator=factset&amp;DYN_ARGS=TRUE&amp;DOC_NAME=FAT:FQL_AUDITING_CLIENT_TEMPLATE.FAT&amp;display_string=Audit&amp;VAR:KEY=URKXUNQTUP&amp;VAR:QUERY=RkZfRU5UUlBSX1ZBTF9EQUlMWSgp&amp;WINDOW=FIRST_POPUP&amp;HEIGHT=450&amp;WIDTH=450&amp;START_MAXIMIZED=","FALSE&amp;VAR:CALENDAR=FIVEDAY&amp;VAR:SYMBOL=B1F384&amp;VAR:INDEX=0"}</definedName>
    <definedName name="_90__FDSAUDITLINK__" localSheetId="4"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5"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15"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19"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18"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14"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12"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24"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7"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20"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21"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11"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17"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16"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22"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9"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13"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localSheetId="23"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0__FDSAUDITLINK__" hidden="1">{"fdsup://directions/FAT Viewer?action=UPDATE&amp;creator=factset&amp;DYN_ARGS=TRUE&amp;DOC_NAME=FAT:FQL_AUDITING_CLIENT_TEMPLATE.FAT&amp;display_string=Audit&amp;VAR:KEY=JCREJGFMVA&amp;VAR:QUERY=RkZfUk9JQygnQU5OJywwKQ==&amp;WINDOW=FIRST_POPUP&amp;HEIGHT=450&amp;WIDTH=450&amp;START_MAXIMIZED=FALS","E&amp;VAR:CALENDAR=FIVEDAY&amp;VAR:SYMBOL=25746U10&amp;VAR:INDEX=0"}</definedName>
    <definedName name="_91__FDSAUDITLINK__" localSheetId="4"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5"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15"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19"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18"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14"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12"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24"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7"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20"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21"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11"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17"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16"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22"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9"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13"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localSheetId="23"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1__FDSAUDITLINK__" hidden="1">{"fdsup://directions/FAT Viewer?action=UPDATE&amp;creator=factset&amp;DYN_ARGS=TRUE&amp;DOC_NAME=FAT:FQL_AUDITING_CLIENT_TEMPLATE.FAT&amp;display_string=Audit&amp;VAR:KEY=PMHIRIJUFW&amp;VAR:QUERY=RkZfUk9JQygnQU5OJywwKQ==&amp;WINDOW=FIRST_POPUP&amp;HEIGHT=450&amp;WIDTH=450&amp;START_MAXIMIZED=FALS","E&amp;VAR:CALENDAR=FIVEDAY&amp;VAR:SYMBOL=20911510&amp;VAR:INDEX=0"}</definedName>
    <definedName name="_92__FDSAUDITLINK__" localSheetId="4"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5"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15"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19"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18"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14"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12"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24"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7"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20"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21"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11"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17"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16"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22"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9"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13"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localSheetId="23"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2__FDSAUDITLINK__" hidden="1">{"fdsup://directions/FAT Viewer?action=UPDATE&amp;creator=factset&amp;DYN_ARGS=TRUE&amp;DOC_NAME=FAT:FQL_AUDITING_CLIENT_TEMPLATE.FAT&amp;display_string=Audit&amp;VAR:KEY=TEZGJYDUBS&amp;VAR:QUERY=RkZfUk9JQygnQU5OJywwKQ==&amp;WINDOW=FIRST_POPUP&amp;HEIGHT=450&amp;WIDTH=450&amp;START_MAXIMIZED=FALS","E&amp;VAR:CALENDAR=FIVEDAY&amp;VAR:SYMBOL=02553710&amp;VAR:INDEX=0"}</definedName>
    <definedName name="_93__FDSAUDITLINK__" localSheetId="4"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5"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15"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19"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18"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14"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12"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24"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7"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20"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21"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11"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17"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16"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22"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9"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13"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localSheetId="23"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3__FDSAUDITLINK__" hidden="1">{"fdsup://directions/FAT Viewer?action=UPDATE&amp;creator=factset&amp;DYN_ARGS=TRUE&amp;DOC_NAME=FAT:FQL_AUDITING_CLIENT_TEMPLATE.FAT&amp;display_string=Audit&amp;VAR:KEY=TOLOJKZIRY&amp;VAR:QUERY=RkZfUk9FKCdBTk4nLDAp&amp;WINDOW=FIRST_POPUP&amp;HEIGHT=450&amp;WIDTH=450&amp;START_MAXIMIZED=FALSE&amp;VA","R:CALENDAR=FIVEDAY&amp;VAR:SYMBOL=81685110&amp;VAR:INDEX=0"}</definedName>
    <definedName name="_94__FDSAUDITLINK__" localSheetId="4"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5"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15"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19"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18"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14"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12"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24"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7"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20"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21"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11"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17"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16"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22"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9"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13"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localSheetId="23"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4__FDSAUDITLINK__" hidden="1">{"fdsup://directions/FAT Viewer?action=UPDATE&amp;creator=factset&amp;DYN_ARGS=TRUE&amp;DOC_NAME=FAT:FQL_AUDITING_CLIENT_TEMPLATE.FAT&amp;display_string=Audit&amp;VAR:KEY=BMPMFGHOJY&amp;VAR:QUERY=RkZfUk9FKCdBTk4nLDAp&amp;WINDOW=FIRST_POPUP&amp;HEIGHT=450&amp;WIDTH=450&amp;START_MAXIMIZED=FALSE&amp;VA","R:CALENDAR=FIVEDAY&amp;VAR:SYMBOL=74971X10&amp;VAR:INDEX=0"}</definedName>
    <definedName name="_95__FDSAUDITLINK__" localSheetId="4"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5"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15"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19"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18"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14"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12"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24"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7"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20"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21"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11"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17"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16"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22"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9"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13"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localSheetId="23"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5__FDSAUDITLINK__" hidden="1">{"fdsup://directions/FAT Viewer?action=UPDATE&amp;creator=factset&amp;DYN_ARGS=TRUE&amp;DOC_NAME=FAT:FQL_AUDITING_CLIENT_TEMPLATE.FAT&amp;display_string=Audit&amp;VAR:KEY=FKRIBMNODC&amp;VAR:QUERY=RkZfUk9FKCdBTk4nLDAp&amp;WINDOW=FIRST_POPUP&amp;HEIGHT=450&amp;WIDTH=450&amp;START_MAXIMIZED=FALSE&amp;VA","R:CALENDAR=FIVEDAY&amp;VAR:SYMBOL=69331C10&amp;VAR:INDEX=0"}</definedName>
    <definedName name="_96__FDSAUDITLINK__" localSheetId="4"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5"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15"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19"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18"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14"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12"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24"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7"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20"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21"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11"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17"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16"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22"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9"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13"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localSheetId="23"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6__FDSAUDITLINK__" hidden="1">{"fdsup://directions/FAT Viewer?action=UPDATE&amp;creator=factset&amp;DYN_ARGS=TRUE&amp;DOC_NAME=FAT:FQL_AUDITING_CLIENT_TEMPLATE.FAT&amp;display_string=Audit&amp;VAR:KEY=NAJCFYFGTQ&amp;VAR:QUERY=RkZfUk9FKCdBTk4nLDAp&amp;WINDOW=FIRST_POPUP&amp;HEIGHT=450&amp;WIDTH=450&amp;START_MAXIMIZED=FALSE&amp;VA","R:CALENDAR=FIVEDAY&amp;VAR:SYMBOL=62937750&amp;VAR:INDEX=0"}</definedName>
    <definedName name="_97__FDSAUDITLINK__" localSheetId="4"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5"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15"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19"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18"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14"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12"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24"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7"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20"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21"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11"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17"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16"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22"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9"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13"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localSheetId="23"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7__FDSAUDITLINK__" hidden="1">{"fdsup://directions/FAT Viewer?action=UPDATE&amp;creator=factset&amp;DYN_ARGS=TRUE&amp;DOC_NAME=FAT:FQL_AUDITING_CLIENT_TEMPLATE.FAT&amp;display_string=Audit&amp;VAR:KEY=LYHMPELUDW&amp;VAR:QUERY=RkZfUk9FKCdBTk4nLDAp&amp;WINDOW=FIRST_POPUP&amp;HEIGHT=450&amp;WIDTH=450&amp;START_MAXIMIZED=FALSE&amp;VA","R:CALENDAR=FIVEDAY&amp;VAR:SYMBOL=30161N10&amp;VAR:INDEX=0"}</definedName>
    <definedName name="_98__FDSAUDITLINK__" localSheetId="4"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5"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15"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19"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18"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14"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12"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24"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7"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20"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21"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11"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17"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16"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22"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9"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13"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localSheetId="23"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8__FDSAUDITLINK__" hidden="1">{"fdsup://directions/FAT Viewer?action=UPDATE&amp;creator=factset&amp;DYN_ARGS=TRUE&amp;DOC_NAME=FAT:FQL_AUDITING_CLIENT_TEMPLATE.FAT&amp;display_string=Audit&amp;VAR:KEY=NQFAVOREXE&amp;VAR:QUERY=RkZfUk9FKCdBTk4nLDAp&amp;WINDOW=FIRST_POPUP&amp;HEIGHT=450&amp;WIDTH=450&amp;START_MAXIMIZED=FALSE&amp;VA","R:CALENDAR=FIVEDAY&amp;VAR:SYMBOL=26441C10&amp;VAR:INDEX=0"}</definedName>
    <definedName name="_99__FDSAUDITLINK__" localSheetId="4"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5"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15"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19"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18"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14"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12"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24"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7"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20"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21"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11"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17"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16"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22"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9"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13"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localSheetId="23"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99__FDSAUDITLINK__" hidden="1">{"fdsup://directions/FAT Viewer?action=UPDATE&amp;creator=factset&amp;DYN_ARGS=TRUE&amp;DOC_NAME=FAT:FQL_AUDITING_CLIENT_TEMPLATE.FAT&amp;display_string=Audit&amp;VAR:KEY=XMPMZYPIPW&amp;VAR:QUERY=RkZfUk9FKCdBTk4nLDAp&amp;WINDOW=FIRST_POPUP&amp;HEIGHT=450&amp;WIDTH=450&amp;START_MAXIMIZED=FALSE&amp;VA","R:CALENDAR=FIVEDAY&amp;VAR:SYMBOL=25746U10&amp;VAR:INDEX=0"}</definedName>
    <definedName name="_aa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aa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aa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BPL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C__CP_BREAKDOWN_ITEMS">"c_PUB_DRIVER:B1,B2,B3,B4"</definedName>
    <definedName name="_C__CP_BREAKDOWN_NAMES">"c_PUB_DRIVER:Number of listings,% of paid campaigns,Revenue per campaign,EBITDA margin"</definedName>
    <definedName name="_C__CP_EXPANDED_ITEMS">"PROP|cp_3135373"</definedName>
    <definedName name="_C_B_CAP_WORKING_PD">"_C_B_CAP_WORKING_PS_7_2010_2019"</definedName>
    <definedName name="_C_BALANCE_DATE_PD">"_C_BALANCE_DATE_PS_7_2010_2019"</definedName>
    <definedName name="_C_c_ANAV_PS_PD">"_C_c_ANAV_PS_PS_7_2010_2019"</definedName>
    <definedName name="_C_c_AVG_CS_ROA_EBIT_PD">"_C_c_AVG_CS_ROA_EBIT_PS_7_2010_2019"</definedName>
    <definedName name="_C_c_AVG_CS_ROA_PD">"_C_c_AVG_CS_ROA_PS_7_2010_2019"</definedName>
    <definedName name="_C_c_AVG_CS_ROE_PD">"_C_c_AVG_CS_ROE_PS_7_2010_2019"</definedName>
    <definedName name="_C_c_AVG_CS_ROTE_INT_PD">"_C_c_AVG_CS_ROTE_INT_PS_7_2010_2019"</definedName>
    <definedName name="_C_c_AVG_STATED_ROA_PD">"_C_c_AVG_STATED_ROA_PS_7_2010_2019"</definedName>
    <definedName name="_C_c_AVG_STATED_ROE_PD">"_C_c_AVG_STATED_ROE_PS_7_2010_2019"</definedName>
    <definedName name="_C_c_B_AVG_TANGIBLE_EQ_PD">"_C_c_B_AVG_TANGIBLE_EQ_PS_7_2010_2019"</definedName>
    <definedName name="_C_c_B_BRAND_PD">"_C_c_B_BRAND_PS_7_2010_2019"</definedName>
    <definedName name="_C_c_B_BV_GW_PD">"_C_c_B_BV_GW_PS_7_2010_2019"</definedName>
    <definedName name="_C_c_B_CA_BAD_DEBT_PROV_PD">"_C_c_B_CA_BAD_DEBT_PROV_PS_7_2010_2019"</definedName>
    <definedName name="_C_c_B_CA_CON_CR_FA_PD">"_C_c_B_CA_CON_CR_FA_PS_7_2010_2019"</definedName>
    <definedName name="_C_c_B_CA_DEFCOST_PD">"_C_c_B_CA_DEFCOST_PS_7_2010_2019"</definedName>
    <definedName name="_C_c_B_CA_INV_PD">"_C_c_B_CA_INV_PS_7_2010_2019"</definedName>
    <definedName name="_C_c_B_CA_INVEST_PD">"_C_c_B_CA_INVEST_PS_7_2010_2019"</definedName>
    <definedName name="_C_c_B_CA_OTH_REC_PD">"_C_c_B_CA_OTH_REC_PS_7_2010_2019"</definedName>
    <definedName name="_C_c_B_CA_OTHER_PD">"_C_c_B_CA_OTHER_PS_7_2010_2019"</definedName>
    <definedName name="_C_c_B_CA_PREPAY_PD">"_C_c_B_CA_PREPAY_PS_7_2010_2019"</definedName>
    <definedName name="_C_c_B_CA_REC_PD">"_C_c_B_CA_REC_PS_7_2010_2019"</definedName>
    <definedName name="_C_c_B_CA_TRADE_REC_PD">"_C_c_B_CA_TRADE_REC_PS_7_2010_2019"</definedName>
    <definedName name="_C_c_B_CAP_EXP_PD">"_C_c_B_CAP_EXP_PS_7_2010_2019"</definedName>
    <definedName name="_C_c_B_CASH_OPER_PD">"_C_c_B_CASH_OPER_PS_7_2010_2019"</definedName>
    <definedName name="_C_c_B_CASH_PD">"_C_c_B_CASH_PS_7_2010_2019"</definedName>
    <definedName name="_C_c_B_CL_ACCREXP_PD">"_C_c_B_CL_ACCREXP_PS_7_2010_2019"</definedName>
    <definedName name="_C_c_B_CL_CON_CR_REFIN_PD">"_C_c_B_CL_CON_CR_REFIN_PS_7_2010_2019"</definedName>
    <definedName name="_C_c_B_CL_CUSTADV_PD">"_C_c_B_CL_CUSTADV_PS_7_2010_2019"</definedName>
    <definedName name="_C_c_B_CL_DEF_REV_PD">"_C_c_B_CL_DEF_REV_PS_7_2010_2019"</definedName>
    <definedName name="_C_c_B_CL_DIV_PROV_PD">"_C_c_B_CL_DIV_PROV_PS_7_2010_2019"</definedName>
    <definedName name="_C_c_B_CL_EMP_PROV_PD">"_C_c_B_CL_EMP_PROV_PS_7_2010_2019"</definedName>
    <definedName name="_C_c_B_CL_LEASE_PD">"_C_c_B_CL_LEASE_PS_7_2010_2019"</definedName>
    <definedName name="_C_c_B_CL_OTH_PROV_PD">"_C_c_B_CL_OTH_PROV_PS_7_2010_2019"</definedName>
    <definedName name="_C_c_B_CL_PROV_PD">"_C_c_B_CL_PROV_PS_7_2010_2019"</definedName>
    <definedName name="_C_c_B_CL_RESTR_PROV_PD">"_C_c_B_CL_RESTR_PROV_PS_7_2010_2019"</definedName>
    <definedName name="_C_c_B_CL_TAX_PROV_PD">"_C_c_B_CL_TAX_PROV_PS_7_2010_2019"</definedName>
    <definedName name="_C_c_B_CURR_ASS_PD">"_C_c_B_CURR_ASS_PS_7_2010_2019"</definedName>
    <definedName name="_C_c_B_CURR_BORROW_PD">"_C_c_B_CURR_BORROW_PS_7_2010_2019"</definedName>
    <definedName name="_C_c_B_CURR_CRED_PD">"_C_c_B_CURR_CRED_PS_7_2010_2019"</definedName>
    <definedName name="_C_c_B_CURR_DEBT_PD">"_C_c_B_CURR_DEBT_PS_7_2010_2019"</definedName>
    <definedName name="_C_c_B_CURR_LIAB_PD">"_C_c_B_CURR_LIAB_PS_7_2010_2019"</definedName>
    <definedName name="_C_c_B_DERIV_PD">"_C_c_B_DERIV_PS_7_2010_2019"</definedName>
    <definedName name="_C_c_B_DERIVLIAB_PD">"_C_c_B_DERIVLIAB_PS_7_2010_2019"</definedName>
    <definedName name="_C_c_B_EV_ADJASSOC_PD">"_C_c_B_EV_ADJASSOC_PS_7_2010_2019"</definedName>
    <definedName name="_C_c_B_EV_ADJINV_PD">"_C_c_B_EV_ADJINV_PS_7_2010_2019"</definedName>
    <definedName name="_C_c_B_EV_ADJLEAS_PD">"_C_c_B_EV_ADJLEAS_PS_7_2010_2019"</definedName>
    <definedName name="_C_c_B_EV_ADJMINOR_PD">"_C_c_B_EV_ADJMINOR_PS_7_2010_2019"</definedName>
    <definedName name="_C_c_B_EV_ADJMLP_PD">"_C_c_B_EV_ADJMLP_PS_7_2010_2019"</definedName>
    <definedName name="_C_c_B_EV_ADJNONC_PD">"_C_c_B_EV_ADJNONC_PS_7_2010_2019"</definedName>
    <definedName name="_C_c_B_EV_ADJOBLIG_PD">"_C_c_B_EV_ADJOBLIG_PS_7_2010_2019"</definedName>
    <definedName name="_C_c_B_EV_ADJPENS_PD">"_C_c_B_EV_ADJPENS_PS_7_2010_2019"</definedName>
    <definedName name="_C_c_B_EV_ADJUST_PD">"_C_c_B_EV_ADJUST_PS_7_2010_2019"</definedName>
    <definedName name="_C_c_B_FUT_TAX_PD">"_C_c_B_FUT_TAX_PS_7_2010_2019"</definedName>
    <definedName name="_C_c_B_GW_AMORT_PD">"_C_c_B_GW_AMORT_PS_7_2010_2019"</definedName>
    <definedName name="_C_c_B_GW_PD">"_C_c_B_GW_PS_7_2010_2019"</definedName>
    <definedName name="_C_c_B_INTANG_PD">"_C_c_B_INTANG_PS_7_2010_2019"</definedName>
    <definedName name="_C_c_B_NCA_AGRIC_PD">"_C_c_B_NCA_AGRIC_PS_7_2010_2019"</definedName>
    <definedName name="_C_c_B_NCA_ASSOC_PD">"_C_c_B_NCA_ASSOC_PS_7_2010_2019"</definedName>
    <definedName name="_C_c_B_NCA_CWIP_PD">"_C_c_B_NCA_CWIP_PS_7_2010_2019"</definedName>
    <definedName name="_C_c_B_NCA_DERIV_PD">"_C_c_B_NCA_DERIV_PS_7_2010_2019"</definedName>
    <definedName name="_C_c_B_NCA_INV_PD">"_C_c_B_NCA_INV_PS_7_2010_2019"</definedName>
    <definedName name="_C_c_B_NCA_INVEST_PD">"_C_c_B_NCA_INVEST_PS_7_2010_2019"</definedName>
    <definedName name="_C_c_B_NCA_OTHINV_PD">"_C_c_B_NCA_OTHINV_PS_7_2010_2019"</definedName>
    <definedName name="_C_c_B_NCA_REC_PD">"_C_c_B_NCA_REC_PS_7_2010_2019"</definedName>
    <definedName name="_C_c_B_NCL_BONDS_PD">"_C_c_B_NCL_BONDS_PS_7_2010_2019"</definedName>
    <definedName name="_C_c_B_NCL_BORROW_PD">"_C_c_B_NCL_BORROW_PS_7_2010_2019"</definedName>
    <definedName name="_C_c_B_NCL_CONV_DEBT_PD">"_C_c_B_NCL_CONV_DEBT_PS_7_2010_2019"</definedName>
    <definedName name="_C_c_B_NCL_CRED_PD">"_C_c_B_NCL_CRED_PS_7_2010_2019"</definedName>
    <definedName name="_C_c_B_NCL_DERIV_PD">"_C_c_B_NCL_DERIV_PS_7_2010_2019"</definedName>
    <definedName name="_C_c_B_NCL_EMP_PROV_PD">"_C_c_B_NCL_EMP_PROV_PS_7_2010_2019"</definedName>
    <definedName name="_C_c_B_NCL_LEASES_PD">"_C_c_B_NCL_LEASES_PS_7_2010_2019"</definedName>
    <definedName name="_C_c_B_NCL_OTH_PROV_PD">"_C_c_B_NCL_OTH_PROV_PS_7_2010_2019"</definedName>
    <definedName name="_C_c_B_NCL_PROV_PD">"_C_c_B_NCL_PROV_PS_7_2010_2019"</definedName>
    <definedName name="_C_c_B_NCL_RESTR_PROV_PD">"_C_c_B_NCL_RESTR_PROV_PS_7_2010_2019"</definedName>
    <definedName name="_C_c_B_NCL_TAX_PROV_PD">"_C_c_B_NCL_TAX_PROV_PS_7_2010_2019"</definedName>
    <definedName name="_C_c_B_NON_CURR_ASS_PD">"_C_c_B_NON_CURR_ASS_PS_7_2010_2019"</definedName>
    <definedName name="_C_c_B_NON_CURR_LIAB_PD">"_C_c_B_NON_CURR_LIAB_PS_7_2010_2019"</definedName>
    <definedName name="_C_c_B_OBSF_PV_PD">"_C_c_B_OBSF_PV_PS_7_2010_2019"</definedName>
    <definedName name="_C_c_B_OTH_INT_PD">"_C_c_B_OTH_INT_PS_7_2010_2019"</definedName>
    <definedName name="_C_c_B_OTH_NCA_PD">"_C_c_B_OTH_NCA_PS_7_2010_2019"</definedName>
    <definedName name="_C_c_B_OTHER_CL_PD">"_C_c_B_OTHER_CL_PS_7_2010_2019"</definedName>
    <definedName name="_C_c_B_OTHER_CRED_PD">"_C_c_B_OTHER_CRED_PS_7_2010_2019"</definedName>
    <definedName name="_C_c_B_OTHER_NCL_PD">"_C_c_B_OTHER_NCL_PS_7_2010_2019"</definedName>
    <definedName name="_C_c_B_PPE_ACC_DEPR_PD">"_C_c_B_PPE_ACC_DEPR_PS_7_2010_2019"</definedName>
    <definedName name="_C_c_B_PPE_BOOK_VAL_PD">"_C_c_B_PPE_BOOK_VAL_PS_7_2010_2019"</definedName>
    <definedName name="_C_c_B_PPE_LEASE_IMP_PD">"_C_c_B_PPE_LEASE_IMP_PS_7_2010_2019"</definedName>
    <definedName name="_C_c_B_PPE_PD">"_C_c_B_PPE_PS_7_2010_2019"</definedName>
    <definedName name="_C_c_B_RESTR_CASH_PD">"_C_c_B_RESTR_CASH_PS_7_2010_2019"</definedName>
    <definedName name="_C_c_B_SECURITIES_PD">"_C_c_B_SECURITIES_PS_7_2010_2019"</definedName>
    <definedName name="_C_c_B_TANGIBLES_EQ_PD">"_C_c_B_TANGIBLES_EQ_PS_7_2010_2019"</definedName>
    <definedName name="_C_c_B_TOT_ASS_PD">"_C_c_B_TOT_ASS_PS_7_2010_2019"</definedName>
    <definedName name="_C_c_B_TOT_LIAB_PD">"_C_c_B_TOT_LIAB_PS_7_2010_2019"</definedName>
    <definedName name="_C_c_BORROW_PD">"_C_c_BORROW_PS_7_2010_2019"</definedName>
    <definedName name="_C_c_BPS_PD">"_C_c_BPS_PS_7_2010_2019"</definedName>
    <definedName name="_C_c_BPS_TOTEQ_PD">"_C_c_BPS_TOTEQ_PS_7_2010_2019"</definedName>
    <definedName name="_C_c_C_ACQUISITIONS_PD">"_C_c_C_ACQUISITIONS_PS_7_2010_2019"</definedName>
    <definedName name="_C_c_C_ASSOC_INV_PD">"_C_c_C_ASSOC_INV_PS_7_2010_2019"</definedName>
    <definedName name="_C_c_C_CAP_RAISING_PD">"_C_c_C_CAP_RAISING_PS_7_2010_2019"</definedName>
    <definedName name="_C_c_C_CAPEX_PD">"_C_c_C_CAPEX_PS_7_2010_2019"</definedName>
    <definedName name="_C_c_C_CHG_WC_PD">"_C_c_C_CHG_WC_PS_7_2010_2019"</definedName>
    <definedName name="_C_c_C_DISC_PD">"_C_c_C_DISC_PS_7_2010_2019"</definedName>
    <definedName name="_C_c_C_DISPOSALES_PD">"_C_c_C_DISPOSALES_PS_7_2010_2019"</definedName>
    <definedName name="_C_c_C_DIV_PAID_PD">"_C_c_C_DIV_PAID_PS_7_2010_2019"</definedName>
    <definedName name="_C_c_C_DIV_REC_PD">"_C_c_C_DIV_REC_PS_7_2010_2019"</definedName>
    <definedName name="_C_c_C_EBIT_PD">"_C_c_C_EBIT_PS_7_2010_2019"</definedName>
    <definedName name="_C_c_C_EXP_CAPEX_PD">"_C_c_C_EXP_CAPEX_PS_7_2010_2019"</definedName>
    <definedName name="_C_c_C_EXPLORATION_PD">"_C_c_C_EXPLORATION_PS_7_2010_2019"</definedName>
    <definedName name="_C_c_C_FINANCING_PD">"_C_c_C_FINANCING_PS_7_2010_2019"</definedName>
    <definedName name="_C_c_C_FOREX_PD">"_C_c_C_FOREX_PS_7_2010_2019"</definedName>
    <definedName name="_C_c_C_GROSS_PROFIT_PD">"_C_c_C_GROSS_PROFIT_PS_7_2010_2019"</definedName>
    <definedName name="_C_c_C_INT_PAID_PD">"_C_c_C_INT_PAID_PS_7_2010_2019"</definedName>
    <definedName name="_C_c_C_INT_REC_PD">"_C_c_C_INT_REC_PS_7_2010_2019"</definedName>
    <definedName name="_C_c_C_INTANG_CAP_PD">"_C_c_C_INTANG_CAP_PS_7_2010_2019"</definedName>
    <definedName name="_C_c_C_INTEREST_PD">"_C_c_C_INTEREST_PS_7_2010_2019"</definedName>
    <definedName name="_C_c_C_INVESTING_PD">"_C_c_C_INVESTING_PS_7_2010_2019"</definedName>
    <definedName name="_C_c_C_LEASE_FIN_PD">"_C_c_C_LEASE_FIN_PS_7_2010_2019"</definedName>
    <definedName name="_C_c_C_MAINT_CAPEX_PD">"_C_c_C_MAINT_CAPEX_PS_7_2010_2019"</definedName>
    <definedName name="_C_c_C_NET_BORROW_PD">"_C_c_C_NET_BORROW_PS_7_2010_2019"</definedName>
    <definedName name="_C_c_C_NON_CASH_PD">"_C_c_C_NON_CASH_PS_7_2010_2019"</definedName>
    <definedName name="_C_c_C_OPERATING_PD">"_C_c_C_OPERATING_PS_7_2010_2019"</definedName>
    <definedName name="_C_c_C_OTHER_FC_PD">"_C_c_C_OTHER_FC_PS_7_2010_2019"</definedName>
    <definedName name="_C_c_C_OTHER_IC_PD">"_C_c_C_OTHER_IC_PS_7_2010_2019"</definedName>
    <definedName name="_C_c_C_OTHER_OC_PD">"_C_c_C_OTHER_OC_PS_7_2010_2019"</definedName>
    <definedName name="_C_c_C_PAYMENTS_PD">"_C_c_C_PAYMENTS_PS_7_2010_2019"</definedName>
    <definedName name="_C_c_C_PURCHASE_PPE_PD">"_C_c_C_PURCHASE_PPE_PS_7_2010_2019"</definedName>
    <definedName name="_C_c_C_RECEIPTS_PD">"_C_c_C_RECEIPTS_PS_7_2010_2019"</definedName>
    <definedName name="_C_c_C_ROYALTIES_PD">"_C_c_C_ROYALTIES_PS_7_2010_2019"</definedName>
    <definedName name="_C_c_C_SALE_PPE_PD">"_C_c_C_SALE_PPE_PS_7_2010_2019"</definedName>
    <definedName name="_C_c_C_STOCK_BUYBACK_PD">"_C_c_C_STOCK_BUYBACK_PS_7_2010_2019"</definedName>
    <definedName name="_C_c_C_STOCK_ISSUED_PD">"_C_c_C_STOCK_ISSUED_PS_7_2010_2019"</definedName>
    <definedName name="_C_c_C_TAX_PD">"_C_c_C_TAX_PS_7_2010_2019"</definedName>
    <definedName name="_C_c_CASH_CHANGE_PD">"_C_c_CASH_CHANGE_PS_7_2010_2019"</definedName>
    <definedName name="_C_c_COMP_EPS_PD">"_C_c_COMP_EPS_PS_7_2010_2019"</definedName>
    <definedName name="_C_c_CORE_COMP_EPS_PD">"_C_c_CORE_COMP_EPS_PS_7_2010_2019"</definedName>
    <definedName name="_C_c_CORE_EPS_BASIC_PD">"_C_c_CORE_EPS_BASIC_PS_7_2010_2019"</definedName>
    <definedName name="_C_c_CP_CONVERTIBLE_PD">"_C_c_CP_CONVERTIBLE_PS_7_2010_2019"</definedName>
    <definedName name="_C_c_CP_LIMITED_VOTE_PD">"_C_c_CP_LIMITED_VOTE_PS_7_2010_2019"</definedName>
    <definedName name="_C_c_CP_OPTIONS_PD">"_C_c_CP_OPTIONS_PS_7_2010_2019"</definedName>
    <definedName name="_C_c_CP_ORDINARY_PD">"_C_c_CP_ORDINARY_PS_7_2010_2019"</definedName>
    <definedName name="_C_c_CP_OTHER_PD">"_C_c_CP_OTHER_PS_7_2010_2019"</definedName>
    <definedName name="_C_c_CP_PARTLY_PAID_PD">"_C_c_CP_PARTLY_PAID_PS_7_2010_2019"</definedName>
    <definedName name="_C_c_CP_PREF_DEBT_PD">"_C_c_CP_PREF_DEBT_PS_7_2010_2019"</definedName>
    <definedName name="_C_c_CP_PREF_EQUITY_PD">"_C_c_CP_PREF_EQUITY_PS_7_2010_2019"</definedName>
    <definedName name="_C_c_CP_SHARES_PD">"_C_c_CP_SHARES_PS_7_2010_2019"</definedName>
    <definedName name="_C_c_CP_TREASURY_PD">"_C_c_CP_TREASURY_PS_7_2010_2019"</definedName>
    <definedName name="_C_c_CPS_PD">"_C_c_CPS_PS_7_2010_2019"</definedName>
    <definedName name="_C_c_CS_BPS_PD">"_C_c_CS_BPS_PS_7_2010_2019"</definedName>
    <definedName name="_C_c_CS_EPS_BASIC_PD">"_C_c_CS_EPS_BASIC_PS_7_2010_2019"</definedName>
    <definedName name="_C_c_CT_CONVERTIBLE_PD">"_C_c_CT_CONVERTIBLE_PS_7_2010_2019"</definedName>
    <definedName name="_C_c_CT_LIMITED_VOTE_PD">"_C_c_CT_LIMITED_VOTE_PS_7_2010_2019"</definedName>
    <definedName name="_C_c_CT_OPTIONS_PD">"_C_c_CT_OPTIONS_PS_7_2010_2019"</definedName>
    <definedName name="_C_c_CT_ORDINARY_PD">"_C_c_CT_ORDINARY_PS_7_2010_2019"</definedName>
    <definedName name="_C_c_CT_OTHER_PD">"_C_c_CT_OTHER_PS_7_2010_2019"</definedName>
    <definedName name="_C_c_CT_PARTLY_PAID_PD">"_C_c_CT_PARTLY_PAID_PS_7_2010_2019"</definedName>
    <definedName name="_C_c_CT_PREF_DEBT_PD">"_C_c_CT_PREF_DEBT_PS_7_2010_2019"</definedName>
    <definedName name="_C_c_CT_PREF_EQUITY_PD">"_C_c_CT_PREF_EQUITY_PS_7_2010_2019"</definedName>
    <definedName name="_C_c_CT_SHARES_PD">"_C_c_CT_SHARES_PS_7_2010_2019"</definedName>
    <definedName name="_C_c_CT_TREASURY_PD">"_C_c_CT_TREASURY_PS_7_2010_2019"</definedName>
    <definedName name="_C_c_DEBT_MATURE_PD">"_C_c_DEBT_MATURE_PS_7_2010_2019"</definedName>
    <definedName name="_C_c_DIV_YIELD_PD">"_C_c_DIV_YIELD_PS_7_2010_2019"</definedName>
    <definedName name="_C_c_DPS_FINAL_EX_PD">"_C_c_DPS_FINAL_EX_PS_7_2010_2019"</definedName>
    <definedName name="_C_c_DPS_FINAL_PD">"_C_c_DPS_FINAL_PS_7_2010_2019"</definedName>
    <definedName name="_C_c_DPS_INTERIM_EX_PD">"_C_c_DPS_INTERIM_EX_PS_7_2010_2019"</definedName>
    <definedName name="_C_c_DPS_INTERIM_PD">"_C_c_DPS_INTERIM_PS_7_2010_2019"</definedName>
    <definedName name="_C_c_DPS_PD">"_C_c_DPS_PS_7_2010_2019"</definedName>
    <definedName name="_C_c_DPS_SPECIAL_EX_PD">"_C_c_DPS_SPECIAL_EX_PS_7_2010_2019"</definedName>
    <definedName name="_C_c_DPS_SPECIAL_PD">"_C_c_DPS_SPECIAL_PS_7_2010_2019"</definedName>
    <definedName name="_C_c_EBIT_MARGIN_PD">"_C_c_EBIT_MARGIN_PS_7_2010_2019"</definedName>
    <definedName name="_C_c_EBIT_MULTIPLE_AN_PD">"_C_c_EBIT_MULTIPLE_AN_PS_7_2010_2019"</definedName>
    <definedName name="_C_c_EBIT_MULTIPLE_CURR_PD">"_C_c_EBIT_MULTIPLE_CURR_PS_7_2010_2019"</definedName>
    <definedName name="_C_c_EBIT_MULTIPLE_PD">"_C_c_EBIT_MULTIPLE_PS_7_2010_2019"</definedName>
    <definedName name="_C_c_EBITDA_MARGIN_PD">"_C_c_EBITDA_MARGIN_PS_7_2010_2019"</definedName>
    <definedName name="_C_c_EBITDA_MULTIPLE_AN_PD">"_C_c_EBITDA_MULTIPLE_AN_PS_7_2010_2019"</definedName>
    <definedName name="_C_c_EBITDA_MULTIPLE_CU_PD">"_C_c_EBITDA_MULTIPLE_CU_PS_7_2010_2019"</definedName>
    <definedName name="_C_c_EBITDA_MULTIPLE_PD">"_C_c_EBITDA_MULTIPLE_PS_7_2010_2019"</definedName>
    <definedName name="_C_c_EBITDAR_MULTIPLE_A_PD">"_C_c_EBITDAR_MULTIPLE_A_PS_7_2010_2019"</definedName>
    <definedName name="_C_c_EBITDAR_MULTIPLE_C_PD">"_C_c_EBITDAR_MULTIPLE_C_PS_7_2010_2019"</definedName>
    <definedName name="_C_c_EBITDAR_MULTIPLE_PD">"_C_c_EBITDAR_MULTIPLE_PS_7_2010_2019"</definedName>
    <definedName name="_C_c_ENTVAL_ANNUAL_PD">"_C_c_ENTVAL_ANNUAL_PS_7_2010_2019"</definedName>
    <definedName name="_C_c_ENTVAL_CURR_PD">"_C_c_ENTVAL_CURR_PS_7_2010_2019"</definedName>
    <definedName name="_C_c_EPS_PD">"_C_c_EPS_PS_7_2010_2019"</definedName>
    <definedName name="_C_c_EPS_PRE_AMO_PD">"_C_c_EPS_PRE_AMO_PS_7_2010_2019"</definedName>
    <definedName name="_C_c_EPS_PRE_GW_PD">"_C_c_EPS_PRE_GW_PS_7_2010_2019"</definedName>
    <definedName name="_C_c_EPS_PRE_GWO_PD">"_C_c_EPS_PRE_GWO_PS_7_2010_2019"</definedName>
    <definedName name="_C_c_EPS_SHARES_PD">"_C_c_EPS_SHARES_PS_7_2010_2019"</definedName>
    <definedName name="_C_c_EQ_COMMON_PD">"_C_c_EQ_COMMON_PS_7_2010_2019"</definedName>
    <definedName name="_C_c_EQ_CONVERT_PD">"_C_c_EQ_CONVERT_PS_7_2010_2019"</definedName>
    <definedName name="_C_c_EQ_LIFE_FUND_PD">"_C_c_EQ_LIFE_FUND_PS_7_2010_2019"</definedName>
    <definedName name="_C_c_EQ_MINOR_PD">"_C_c_EQ_MINOR_PS_7_2010_2019"</definedName>
    <definedName name="_C_c_EQ_OTHER_PD">"_C_c_EQ_OTHER_PS_7_2010_2019"</definedName>
    <definedName name="_C_c_EQ_PREF_PD">"_C_c_EQ_PREF_PS_7_2010_2019"</definedName>
    <definedName name="_C_c_EQ_RESERV_ASSREV_PD">"_C_c_EQ_RESERV_ASSREV_PS_7_2010_2019"</definedName>
    <definedName name="_C_c_EQ_RESERV_OTHER_PD">"_C_c_EQ_RESERV_OTHER_PS_7_2010_2019"</definedName>
    <definedName name="_C_c_EQ_RESERV_PD">"_C_c_EQ_RESERV_PS_7_2010_2019"</definedName>
    <definedName name="_C_c_EQ_RETAIN_PROF_PD">"_C_c_EQ_RETAIN_PROF_PS_7_2010_2019"</definedName>
    <definedName name="_C_c_EQ_SHARE_RESERV_PD">"_C_c_EQ_SHARE_RESERV_PS_7_2010_2019"</definedName>
    <definedName name="_C_c_EQ_SHAREHOLD_PD">"_C_c_EQ_SHAREHOLD_PS_7_2010_2019"</definedName>
    <definedName name="_C_c_EQ_SUM_PD">"_C_c_EQ_SUM_PS_7_2010_2019"</definedName>
    <definedName name="_C_c_FCF_PS_PD">"_C_c_FCF_PS_PS_7_2010_2019"</definedName>
    <definedName name="_C_c_FCF_YIELD_PD">"_C_c_FCF_YIELD_PS_7_2010_2019"</definedName>
    <definedName name="_C_c_FREE_CASH_ADJ_PD">"_C_c_FREE_CASH_ADJ_PS_7_2010_2019"</definedName>
    <definedName name="_C_C_FREE_CF_PD">"_C_C_FREE_CF_PS_7_2010_2019"</definedName>
    <definedName name="_C_c_GEARING_PD">"_C_c_GEARING_PS_7_2010_2019"</definedName>
    <definedName name="_C_c_GROSS_MARGIN_PD">"_C_c_GROSS_MARGIN_PS_7_2010_2019"</definedName>
    <definedName name="_C_c_I_ABNORMAL_NPAT_PD">"_C_c_I_ABNORMAL_NPAT_PS_7_2010_2019"</definedName>
    <definedName name="_C_c_I_ABNORMAL_PBT_PD">"_C_c_I_ABNORMAL_PBT_PS_7_2010_2019"</definedName>
    <definedName name="_C_c_I_ABNORMAL_TAX_PD">"_C_c_I_ABNORMAL_TAX_PS_7_2010_2019"</definedName>
    <definedName name="_C_c_I_AMORT_GW_NOP_PD">"_C_c_I_AMORT_GW_NOP_PS_7_2010_2019"</definedName>
    <definedName name="_C_c_I_AMORT_GW_PD">"_C_c_I_AMORT_GW_PS_7_2010_2019"</definedName>
    <definedName name="_C_c_I_AMORT_INTAN_PD">"_C_c_I_AMORT_INTAN_PS_7_2010_2019"</definedName>
    <definedName name="_C_c_I_AMORT_OTHER_PD">"_C_c_I_AMORT_OTHER_PS_7_2010_2019"</definedName>
    <definedName name="_C_c_I_ANALYST_ADJ_CORE_PD">"_C_c_I_ANALYST_ADJ_CORE_PS_7_2010_2019"</definedName>
    <definedName name="_C_c_I_ANALYST_ADJ_PD">"_C_c_I_ANALYST_ADJ_PS_7_2010_2019"</definedName>
    <definedName name="_C_c_I_ASSET_SALES_PD">"_C_c_I_ASSET_SALES_PS_7_2010_2019"</definedName>
    <definedName name="_C_c_I_B_BRCOM_EXP_PD">"_C_c_I_B_BRCOM_EXP_PS_7_2010_2019"</definedName>
    <definedName name="_C_c_I_B_FAIR_VALUE_PD">"_C_c_I_B_FAIR_VALUE_PS_7_2010_2019"</definedName>
    <definedName name="_C_c_I_CAPGAINS_NRO_PD">"_C_c_I_CAPGAINS_NRO_PS_7_2010_2019"</definedName>
    <definedName name="_C_c_I_COGS_PD">"_C_c_I_COGS_PS_7_2010_2019"</definedName>
    <definedName name="_C_c_I_CORE_EBIT_PD">"_C_c_I_CORE_EBIT_PS_7_2010_2019"</definedName>
    <definedName name="_C_c_I_CORE_EBITA_PD">"_C_c_I_CORE_EBITA_PS_7_2010_2019"</definedName>
    <definedName name="_C_c_I_CORE_EBITDA_PD">"_C_c_I_CORE_EBITDA_PS_7_2010_2019"</definedName>
    <definedName name="_C_c_I_CORE_NPAT_PD">"_C_c_I_CORE_NPAT_PS_7_2010_2019"</definedName>
    <definedName name="_C_c_I_CORE_PBT_PD">"_C_c_I_CORE_PBT_PS_7_2010_2019"</definedName>
    <definedName name="_C_c_I_CORE_PBTADJ_PD">"_C_c_I_CORE_PBTADJ_PS_7_2010_2019"</definedName>
    <definedName name="_C_c_I_CORE_TAX_PD">"_C_c_I_CORE_TAX_PS_7_2010_2019"</definedName>
    <definedName name="_C_c_I_CORE_TAX_RATE_PD">"_C_c_I_CORE_TAX_RATE_PS_7_2010_2019"</definedName>
    <definedName name="_C_c_I_DEFINED_BEN_PD">"_C_c_I_DEFINED_BEN_PS_7_2010_2019"</definedName>
    <definedName name="_C_c_I_DEPR_AMORT_PD">"_C_c_I_DEPR_AMORT_PS_7_2010_2019"</definedName>
    <definedName name="_C_c_I_DEPR_PD">"_C_c_I_DEPR_PS_7_2010_2019"</definedName>
    <definedName name="_C_c_I_DIVIDENDS_PD">"_C_c_I_DIVIDENDS_PS_7_2010_2019"</definedName>
    <definedName name="_C_c_I_EBIT_PD">"_C_c_I_EBIT_PS_7_2010_2019"</definedName>
    <definedName name="_C_c_I_EBITA_PD">"_C_c_I_EBITA_PS_7_2010_2019"</definedName>
    <definedName name="_C_c_I_EBITDA_PD">"_C_c_I_EBITDA_PS_7_2010_2019"</definedName>
    <definedName name="_C_c_I_EMP_COST_PD">"_C_c_I_EMP_COST_PS_7_2010_2019"</definedName>
    <definedName name="_C_c_I_EMP_PERF_PD">"_C_c_I_EMP_PERF_PS_7_2010_2019"</definedName>
    <definedName name="_C_c_I_EMP_SHARES_NR_PD">"_C_c_I_EMP_SHARES_NR_PS_7_2010_2019"</definedName>
    <definedName name="_C_c_I_EMP_SHARES_PD">"_C_c_I_EMP_SHARES_PS_7_2010_2019"</definedName>
    <definedName name="_C_c_I_EMP_TOTAL_PD">"_C_c_I_EMP_TOTAL_PS_7_2010_2019"</definedName>
    <definedName name="_C_c_I_EPS_ADJ_PD">"_C_c_I_EPS_ADJ_PS_7_2010_2019"</definedName>
    <definedName name="_C_c_I_EQ_ACC_PAT_PD">"_C_c_I_EQ_ACC_PAT_PS_7_2010_2019"</definedName>
    <definedName name="_C_c_I_EQ_ACC_PBT_PD">"_C_c_I_EQ_ACC_PBT_PS_7_2010_2019"</definedName>
    <definedName name="_C_c_I_EQ_ACC_TAX_PD">"_C_c_I_EQ_ACC_TAX_PS_7_2010_2019"</definedName>
    <definedName name="_C_c_I_EXPENSES_PD">"_C_c_I_EXPENSES_PS_7_2010_2019"</definedName>
    <definedName name="_C_c_I_FINANCE_INC_PD">"_C_c_I_FINANCE_INC_PS_7_2010_2019"</definedName>
    <definedName name="_C_c_I_FOREX_LOSS_PD">"_C_c_I_FOREX_LOSS_PS_7_2010_2019"</definedName>
    <definedName name="_C_c_I_FRANCH_PD">"_C_c_I_FRANCH_PS_7_2010_2019"</definedName>
    <definedName name="_C_c_I_GROSS_PROFIT_PD">"_C_c_I_GROSS_PROFIT_PS_7_2010_2019"</definedName>
    <definedName name="_C_c_I_HEDGE_EXP_PD">"_C_c_I_HEDGE_EXP_PS_7_2010_2019"</definedName>
    <definedName name="_C_c_I_IMPAIRMENT_NRO_PD">"_C_c_I_IMPAIRMENT_NRO_PS_7_2010_2019"</definedName>
    <definedName name="_C_c_I_IMPAIRMENT_PD">"_C_c_I_IMPAIRMENT_PS_7_2010_2019"</definedName>
    <definedName name="_C_c_I_INC_DISC_PD">"_C_c_I_INC_DISC_PS_7_2010_2019"</definedName>
    <definedName name="_C_c_I_INC_TAX_PD">"_C_c_I_INC_TAX_PS_7_2010_2019"</definedName>
    <definedName name="_C_c_I_INDINC_PD">"_C_c_I_INDINC_PS_7_2010_2019"</definedName>
    <definedName name="_C_c_I_INT_CONV_EXP_PD">"_C_c_I_INT_CONV_EXP_PS_7_2010_2019"</definedName>
    <definedName name="_C_c_I_INT_EXP_PD">"_C_c_I_INT_EXP_PS_7_2010_2019"</definedName>
    <definedName name="_C_c_I_INT_INCOME_PD">"_C_c_I_INT_INCOME_PS_7_2010_2019"</definedName>
    <definedName name="_C_c_I_INT_LEASE_EXP_PD">"_C_c_I_INT_LEASE_EXP_PS_7_2010_2019"</definedName>
    <definedName name="_C_c_I_INVEST_INCOME_PD">"_C_c_I_INVEST_INCOME_PS_7_2010_2019"</definedName>
    <definedName name="_C_c_I_LEASING_EXP_PD">"_C_c_I_LEASING_EXP_PS_7_2010_2019"</definedName>
    <definedName name="_C_c_I_MINOR_PD">"_C_c_I_MINOR_PS_7_2010_2019"</definedName>
    <definedName name="_C_c_I_NET_INTEREST_PD">"_C_c_I_NET_INTEREST_PS_7_2010_2019"</definedName>
    <definedName name="_C_c_I_NONREC_ITEMS_PD">"_C_c_I_NONREC_ITEMS_PS_7_2010_2019"</definedName>
    <definedName name="_C_c_I_NOP_ITEMS_PD">"_C_c_I_NOP_ITEMS_PS_7_2010_2019"</definedName>
    <definedName name="_C_c_I_NPAT_ADJ_PD">"_C_c_I_NPAT_ADJ_PS_7_2010_2019"</definedName>
    <definedName name="_C_c_I_NPAT_PD">"_C_c_I_NPAT_PS_7_2010_2019"</definedName>
    <definedName name="_C_c_I_NRO_ITEMS_PD">"_C_c_I_NRO_ITEMS_PS_7_2010_2019"</definedName>
    <definedName name="_C_c_I_OCC_IT_COST_PD">"_C_c_I_OCC_IT_COST_PS_7_2010_2019"</definedName>
    <definedName name="_C_c_I_OOP_EXPENSES_PD">"_C_c_I_OOP_EXPENSES_PS_7_2010_2019"</definedName>
    <definedName name="_C_c_I_OOP_INCOME_PD">"_C_c_I_OOP_INCOME_PS_7_2010_2019"</definedName>
    <definedName name="_C_c_I_OOP_ITEMS_PD">"_C_c_I_OOP_ITEMS_PS_7_2010_2019"</definedName>
    <definedName name="_C_c_I_OP_DIVIDEND_PD">"_C_c_I_OP_DIVIDEND_PS_7_2010_2019"</definedName>
    <definedName name="_C_c_I_OPERATING_INC_PD">"_C_c_I_OPERATING_INC_PS_7_2010_2019"</definedName>
    <definedName name="_C_c_I_OTH_COREEBITAADJ_PD">"_C_c_I_OTH_COREEBITAADJ_PS_7_2010_2019"</definedName>
    <definedName name="_C_c_I_OTH_COREEBITADJ_PD">"_C_c_I_OTH_COREEBITADJ_PS_7_2010_2019"</definedName>
    <definedName name="_C_c_I_OTH_COREEBITDAAD_PD">"_C_c_I_OTH_COREEBITDAAD_PS_7_2010_2019"</definedName>
    <definedName name="_C_c_I_OTH_EBITADJ_PD">"_C_c_I_OTH_EBITADJ_PS_7_2010_2019"</definedName>
    <definedName name="_C_c_I_OTH_EBITDA_PD">"_C_c_I_OTH_EBITDA_PS_7_2010_2019"</definedName>
    <definedName name="_C_c_I_OTH_EXP_PD">"_C_c_I_OTH_EXP_PS_7_2010_2019"</definedName>
    <definedName name="_C_c_I_OTH_NO_AMORT_PD">"_C_c_I_OTH_NO_AMORT_PS_7_2010_2019"</definedName>
    <definedName name="_C_c_I_OTH_NO_DEPR_PD">"_C_c_I_OTH_NO_DEPR_PS_7_2010_2019"</definedName>
    <definedName name="_C_c_I_OTHER_PAT_PD">"_C_c_I_OTHER_PAT_PS_7_2010_2019"</definedName>
    <definedName name="_C_c_I_OTHER_PBT_PD">"_C_c_I_OTHER_PBT_PS_7_2010_2019"</definedName>
    <definedName name="_C_c_I_OTHER_PD">"_C_c_I_OTHER_PS_7_2010_2019"</definedName>
    <definedName name="_C_c_I_OTHER_TAX_PD">"_C_c_I_OTHER_TAX_PS_7_2010_2019"</definedName>
    <definedName name="_C_c_I_PBT_PD">"_C_c_I_PBT_PS_7_2010_2019"</definedName>
    <definedName name="_C_c_I_PBT_REPORTED_PD">"_C_c_I_PBT_REPORTED_PS_7_2010_2019"</definedName>
    <definedName name="_C_c_I_PREF_DIV_PAID_PD">"_C_c_I_PREF_DIV_PAID_PS_7_2010_2019"</definedName>
    <definedName name="_C_c_I_PROPINC_PD">"_C_c_I_PROPINC_PS_7_2010_2019"</definedName>
    <definedName name="_C_c_I_PROVISIONS_PD">"_C_c_I_PROVISIONS_PS_7_2010_2019"</definedName>
    <definedName name="_C_c_I_REP_EBIT_PD">"_C_c_I_REP_EBIT_PS_7_2010_2019"</definedName>
    <definedName name="_C_c_I_REP_EBITA_PD">"_C_c_I_REP_EBITA_PS_7_2010_2019"</definedName>
    <definedName name="_C_c_I_REP_EBITAADJ_PD">"_C_c_I_REP_EBITAADJ_PS_7_2010_2019"</definedName>
    <definedName name="_C_c_I_REP_EBITDA_PD">"_C_c_I_REP_EBITDA_PS_7_2010_2019"</definedName>
    <definedName name="_C_c_I_REP_EBITDAADJ_PD">"_C_c_I_REP_EBITDAADJ_PS_7_2010_2019"</definedName>
    <definedName name="_C_c_I_REP_NPAT_PD">"_C_c_I_REP_NPAT_PS_7_2010_2019"</definedName>
    <definedName name="_C_c_I_REP_PAT_PD">"_C_c_I_REP_PAT_PS_7_2010_2019"</definedName>
    <definedName name="_C_c_I_RES_AND_DEV_PD">"_C_c_I_RES_AND_DEV_PS_7_2010_2019"</definedName>
    <definedName name="_C_c_I_RESTRUCT_EXP_NRO_PD">"_C_c_I_RESTRUCT_EXP_NRO_PS_7_2010_2019"</definedName>
    <definedName name="_C_c_I_RESTRUCT_EXP_PD">"_C_c_I_RESTRUCT_EXP_PS_7_2010_2019"</definedName>
    <definedName name="_C_c_I_REVAL_NONREC_PD">"_C_c_I_REVAL_NONREC_PS_7_2010_2019"</definedName>
    <definedName name="_C_c_I_REVALUATIONS_PD">"_C_c_I_REVALUATIONS_PS_7_2010_2019"</definedName>
    <definedName name="_C_c_I_REVENUES_PD">"_C_c_I_REVENUES_PS_7_2010_2019"</definedName>
    <definedName name="_C_c_I_ROYALTIES_PD">"_C_c_I_ROYALTIES_PS_7_2010_2019"</definedName>
    <definedName name="_C_c_I_SALES_GWTH_PD">"_C_c_I_SALES_GWTH_PS_7_2010_2019"</definedName>
    <definedName name="_C_c_I_SALES_PD">"_C_c_I_SALES_PS_7_2010_2019"</definedName>
    <definedName name="_C_c_I_SGA_PD">"_C_c_I_SGA_PS_7_2010_2019"</definedName>
    <definedName name="_C_c_I_TAX_PD">"_C_c_I_TAX_PS_7_2010_2019"</definedName>
    <definedName name="_C_c_INT_COVER_PD">"_C_c_INT_COVER_PS_7_2010_2019"</definedName>
    <definedName name="_C_c_INV_CAP_ADJ_PD">"_C_c_INV_CAP_ADJ_PS_7_2010_2019"</definedName>
    <definedName name="_C_c_INV_CAP_OTH_PD">"_C_c_INV_CAP_OTH_PS_7_2010_2019"</definedName>
    <definedName name="_C_c_IRR_PD">"_C_c_IRR_PS_7_2010_2019"</definedName>
    <definedName name="_C_c_KD_ANN_PD">"_C_c_KD_ANN_PS_7_2010_2019"</definedName>
    <definedName name="_C_c_KE_ANN_PD">"_C_c_KE_ANN_PS_7_2010_2019"</definedName>
    <definedName name="_C_c_LEVERAGE_AVG_PD">"_C_c_LEVERAGE_AVG_PS_7_2010_2019"</definedName>
    <definedName name="_C_c_LEVERAGE_PD">"_C_c_LEVERAGE_PS_7_2010_2019"</definedName>
    <definedName name="_C_c_MVI_PD">"_C_c_MVI_PS_7_2010_2019"</definedName>
    <definedName name="_C_c_NDE_PD">"_C_c_NDE_PS_7_2010_2019"</definedName>
    <definedName name="_C_c_NET_DEBT_ADJ_PD">"_C_c_NET_DEBT_ADJ_PS_7_2010_2019"</definedName>
    <definedName name="_C_c_NET_DEBT_PD">"_C_c_NET_DEBT_PS_7_2010_2019"</definedName>
    <definedName name="_C_c_NOT_INTEREST_PD">"_C_c_NOT_INTEREST_PS_7_2010_2019"</definedName>
    <definedName name="_C_c_NTA_PD">"_C_c_NTA_PS_7_2010_2019"</definedName>
    <definedName name="_C_c_NTA_PS_PD">"_C_c_NTA_PS_PS_7_2010_2019"</definedName>
    <definedName name="_C_c_OTHER_NONREC_OP_PD">"_C_c_OTHER_NONREC_OP_PS_7_2010_2019"</definedName>
    <definedName name="_C_c_OTHER_NONREC_PD">"_C_c_OTHER_NONREC_PS_7_2010_2019"</definedName>
    <definedName name="_C_c_PAYOUT_PD">"_C_c_PAYOUT_PS_7_2010_2019"</definedName>
    <definedName name="_C_c_PB_PD">"_C_c_PB_PS_7_2010_2019"</definedName>
    <definedName name="_C_c_PE_MVI_PD">"_C_c_PE_MVI_PS_7_2010_2019"</definedName>
    <definedName name="_C_c_PE_PD">"_C_c_PE_PS_7_2010_2019"</definedName>
    <definedName name="_C_c_PEN_LIAB_PD">"_C_c_PEN_LIAB_PS_7_2010_2019"</definedName>
    <definedName name="_C_c_PNTA_PD">"_C_c_PNTA_PS_7_2010_2019"</definedName>
    <definedName name="_C_c_PSALES_PD">"_C_c_PSALES_PS_7_2010_2019"</definedName>
    <definedName name="_C_c_PUB_ADJENTVAL_PD">"_C_c_PUB_ADJENTVAL_PS_7_2010_2019"</definedName>
    <definedName name="_C_c_PUB_AVAIL_DEBTFCLT_PD">"_C_c_PUB_AVAIL_DEBTFCLT_PS_7_2010_2019"</definedName>
    <definedName name="_C_c_PUB_DPS_PD">"_C_c_PUB_DPS_PS_7_2010_2019"</definedName>
    <definedName name="_C_c_PUB_DRIVER_B1_PD">"_C_c_PUB_DRIVER_B1_PS_7_2010_2019"</definedName>
    <definedName name="_C_c_PUB_DRIVER_B2_PD">"_C_c_PUB_DRIVER_B2_PS_7_2010_2019"</definedName>
    <definedName name="_C_c_PUB_DRIVER_B3_PD">"_C_c_PUB_DRIVER_B3_PS_7_2010_2019"</definedName>
    <definedName name="_C_c_PUB_DRIVER_B4_PD">"_C_c_PUB_DRIVER_B4_PS_7_2010_2019"</definedName>
    <definedName name="_C_c_PUB_DRIVER_PD">"_C_c_PUB_DRIVER_PS_7_2010_2019"</definedName>
    <definedName name="_C_c_PUB_EBITDA_PD">"_C_c_PUB_EBITDA_PS_7_2010_2019"</definedName>
    <definedName name="_C_c_PUB_EMPLOYEE_PD">"_C_c_PUB_EMPLOYEE_PS_7_2010_2019"</definedName>
    <definedName name="_C_c_PUB_EPS_PD">"_C_c_PUB_EPS_PS_7_2010_2019"</definedName>
    <definedName name="_C_c_PUB_NETINC_PD">"_C_c_PUB_NETINC_PS_7_2010_2019"</definedName>
    <definedName name="_C_c_PUB_OP_INCOME_PD">"_C_c_PUB_OP_INCOME_PS_7_2010_2019"</definedName>
    <definedName name="_C_c_PUB_ORGANIC_GWTH_PD">"_C_c_PUB_ORGANIC_GWTH_PS_7_2010_2019"</definedName>
    <definedName name="_C_c_PUB_PBT_PD">"_C_c_PUB_PBT_PS_7_2010_2019"</definedName>
    <definedName name="_C_c_PUB_RECURRING_PROF_PD">"_C_c_PUB_RECURRING_PROF_PS_7_2010_2019"</definedName>
    <definedName name="_C_c_PUB_REVENUES_PD">"_C_c_PUB_REVENUES_PS_7_2010_2019"</definedName>
    <definedName name="_C_c_REP_EPS_BASIC_PD">"_C_c_REP_EPS_BASIC_PS_7_2010_2019"</definedName>
    <definedName name="_C_c_REP_EPS_PD">"_C_c_REP_EPS_PS_7_2010_2019"</definedName>
    <definedName name="_C_c_ROA_PD">"_C_c_ROA_PS_7_2010_2019"</definedName>
    <definedName name="_C_c_ROE_PD">"_C_c_ROE_PS_7_2010_2019"</definedName>
    <definedName name="_C_c_ROIC_PD">"_C_c_ROIC_PS_7_2010_2019"</definedName>
    <definedName name="_C_c_SHR_REPUR_PRICE_PD">"_C_c_SHR_REPUR_PRICE_PS_7_2010_2019"</definedName>
    <definedName name="_C_c_SHR_REPURCHASE_PD">"_C_c_SHR_REPURCHASE_PS_7_2010_2019"</definedName>
    <definedName name="_C_c_SOC_ADJ_PD">"_C_c_SOC_ADJ_PS_7_2010_2019"</definedName>
    <definedName name="_C_c_SOC_PD">"_C_c_SOC_PS_7_2010_2019"</definedName>
    <definedName name="_C_c_TAX_RATE_PD">"_C_c_TAX_RATE_PS_7_2010_2019"</definedName>
    <definedName name="_C_c_TAX_RATE_PF_PD">"_C_c_TAX_RATE_PF_PS_7_2010_2019"</definedName>
    <definedName name="_C_c_TBPS_EFPOWA_PD">"_C_c_TBPS_EFPOWA_PS_7_2010_2019"</definedName>
    <definedName name="_C_c_TOTAL_CF_PD">"_C_c_TOTAL_CF_PS_7_2010_2019"</definedName>
    <definedName name="_C_C_UNLEV_FREE_CF_PD">"_C_C_UNLEV_FREE_CF_PS_7_2010_2019"</definedName>
    <definedName name="_C_c_WACC_PD">"_C_c_WACC_PS_7_2010_2019"</definedName>
    <definedName name="_C_EVtoIC_PD">"_C_EVtoIC_PS_7_2010_2019"</definedName>
    <definedName name="_C_EXPENSE_CHF_PD">"_C_EXPENSE_CHF_PS_7_2010_2019"</definedName>
    <definedName name="_C_EXPENSES_CCYTOT_PD">"_C_EXPENSES_CCYTOT_PS_7_2010_2019"</definedName>
    <definedName name="_C_EXPENSES_EUR_PD">"_C_EXPENSES_EUR_PS_7_2010_2019"</definedName>
    <definedName name="_C_EXPENSES_GBP_PD">"_C_EXPENSES_GBP_PS_7_2010_2019"</definedName>
    <definedName name="_C_EXPENSES_JPY_PD">"_C_EXPENSES_JPY_PS_7_2010_2019"</definedName>
    <definedName name="_C_EXPENSES_OTH_PD">"_C_EXPENSES_OTH_PS_7_2010_2019"</definedName>
    <definedName name="_C_EXPENSES_USD_PD">"_C_EXPENSES_USD_PS_7_2010_2019"</definedName>
    <definedName name="_C_GSALES_AE_PD">"_C_GSALES_AE_PS_7_2010_2019"</definedName>
    <definedName name="_C_GSALES_AFRICA_PD">"_C_GSALES_AFRICA_PS_7_2010_2019"</definedName>
    <definedName name="_C_GSALES_AMERICAS_PD">"_C_GSALES_AMERICAS_PS_7_2010_2019"</definedName>
    <definedName name="_C_GSALES_AR_PD">"_C_GSALES_AR_PS_7_2010_2019"</definedName>
    <definedName name="_C_GSALES_ASIA_PD">"_C_GSALES_ASIA_PS_7_2010_2019"</definedName>
    <definedName name="_C_GSALES_AT_PD">"_C_GSALES_AT_PS_7_2010_2019"</definedName>
    <definedName name="_C_GSALES_AU_PD">"_C_GSALES_AU_PS_7_2010_2019"</definedName>
    <definedName name="_C_GSALES_BE_PD">"_C_GSALES_BE_PS_7_2010_2019"</definedName>
    <definedName name="_C_GSALES_BG_PD">"_C_GSALES_BG_PS_7_2010_2019"</definedName>
    <definedName name="_C_GSALES_BR_PD">"_C_GSALES_BR_PS_7_2010_2019"</definedName>
    <definedName name="_C_GSALES_CA_PD">"_C_GSALES_CA_PS_7_2010_2019"</definedName>
    <definedName name="_C_GSALES_CH_PD">"_C_GSALES_CH_PS_7_2010_2019"</definedName>
    <definedName name="_C_GSALES_CL_PD">"_C_GSALES_CL_PS_7_2010_2019"</definedName>
    <definedName name="_C_GSALES_CN_PD">"_C_GSALES_CN_PS_7_2010_2019"</definedName>
    <definedName name="_C_GSALES_CO_PD">"_C_GSALES_CO_PS_7_2010_2019"</definedName>
    <definedName name="_C_GSALES_CZ_PD">"_C_GSALES_CZ_PS_7_2010_2019"</definedName>
    <definedName name="_C_GSALES_DE_PD">"_C_GSALES_DE_PS_7_2010_2019"</definedName>
    <definedName name="_C_GSALES_DEV_EUR_PD">"_C_GSALES_DEV_EUR_PS_7_2010_2019"</definedName>
    <definedName name="_C_GSALES_DK_PD">"_C_GSALES_DK_PS_7_2010_2019"</definedName>
    <definedName name="_C_GSALES_EG_PD">"_C_GSALES_EG_PS_7_2010_2019"</definedName>
    <definedName name="_C_GSALES_EME_PD">"_C_GSALES_EME_PS_7_2010_2019"</definedName>
    <definedName name="_C_GSALES_ES_PD">"_C_GSALES_ES_PS_7_2010_2019"</definedName>
    <definedName name="_C_GSALES_EUROPE_PD">"_C_GSALES_EUROPE_PS_7_2010_2019"</definedName>
    <definedName name="_C_GSALES_EUROZ_PD">"_C_GSALES_EUROZ_PS_7_2010_2019"</definedName>
    <definedName name="_C_GSALES_FI_PD">"_C_GSALES_FI_PS_7_2010_2019"</definedName>
    <definedName name="_C_GSALES_FR_PD">"_C_GSALES_FR_PS_7_2010_2019"</definedName>
    <definedName name="_C_GSALES_GB_PD">"_C_GSALES_GB_PS_7_2010_2019"</definedName>
    <definedName name="_C_GSALES_GR_PD">"_C_GSALES_GR_PS_7_2010_2019"</definedName>
    <definedName name="_C_GSALES_HK_PD">"_C_GSALES_HK_PS_7_2010_2019"</definedName>
    <definedName name="_C_GSALES_HR_PD">"_C_GSALES_HR_PS_7_2010_2019"</definedName>
    <definedName name="_C_GSALES_HU_PD">"_C_GSALES_HU_PS_7_2010_2019"</definedName>
    <definedName name="_C_GSALES_ID_PD">"_C_GSALES_ID_PS_7_2010_2019"</definedName>
    <definedName name="_C_GSALES_IE_PD">"_C_GSALES_IE_PS_7_2010_2019"</definedName>
    <definedName name="_C_GSALES_IL_PD">"_C_GSALES_IL_PS_7_2010_2019"</definedName>
    <definedName name="_C_GSALES_IN_PD">"_C_GSALES_IN_PS_7_2010_2019"</definedName>
    <definedName name="_C_GSALES_IOC_PD">"_C_GSALES_IOC_PS_7_2010_2019"</definedName>
    <definedName name="_C_GSALES_IT_PD">"_C_GSALES_IT_PS_7_2010_2019"</definedName>
    <definedName name="_C_GSALES_JP_PD">"_C_GSALES_JP_PS_7_2010_2019"</definedName>
    <definedName name="_C_GSALES_KR_PD">"_C_GSALES_KR_PS_7_2010_2019"</definedName>
    <definedName name="_C_GSALES_KZ_PD">"_C_GSALES_KZ_PS_7_2010_2019"</definedName>
    <definedName name="_C_GSALES_LU_PD">"_C_GSALES_LU_PS_7_2010_2019"</definedName>
    <definedName name="_C_GSALES_MA_PD">"_C_GSALES_MA_PS_7_2010_2019"</definedName>
    <definedName name="_C_GSALES_MD_PD">"_C_GSALES_MD_PS_7_2010_2019"</definedName>
    <definedName name="_C_GSALES_MIDEAST_PD">"_C_GSALES_MIDEAST_PS_7_2010_2019"</definedName>
    <definedName name="_C_GSALES_MX_PD">"_C_GSALES_MX_PS_7_2010_2019"</definedName>
    <definedName name="_C_GSALES_MY_PD">"_C_GSALES_MY_PS_7_2010_2019"</definedName>
    <definedName name="_C_GSALES_NG_PD">"_C_GSALES_NG_PS_7_2010_2019"</definedName>
    <definedName name="_C_GSALES_NJA_PD">"_C_GSALES_NJA_PS_7_2010_2019"</definedName>
    <definedName name="_C_GSALES_NL_PD">"_C_GSALES_NL_PS_7_2010_2019"</definedName>
    <definedName name="_C_GSALES_NO_PD">"_C_GSALES_NO_PS_7_2010_2019"</definedName>
    <definedName name="_C_GSALES_NOR_PD">"_C_GSALES_NOR_PS_7_2010_2019"</definedName>
    <definedName name="_C_GSALES_NTHAM_PD">"_C_GSALES_NTHAM_PS_7_2010_2019"</definedName>
    <definedName name="_C_GSALES_NZ_PD">"_C_GSALES_NZ_PS_7_2010_2019"</definedName>
    <definedName name="_C_GSALES_OAFRICA_PD">"_C_GSALES_OAFRICA_PS_7_2010_2019"</definedName>
    <definedName name="_C_GSALES_OAMERICAS_PD">"_C_GSALES_OAMERICAS_PS_7_2010_2019"</definedName>
    <definedName name="_C_GSALES_OASIA_PD">"_C_GSALES_OASIA_PS_7_2010_2019"</definedName>
    <definedName name="_C_GSALES_OCEANIA_PD">"_C_GSALES_OCEANIA_PS_7_2010_2019"</definedName>
    <definedName name="_C_GSALES_ODE_PD">"_C_GSALES_ODE_PS_7_2010_2019"</definedName>
    <definedName name="_C_GSALES_OEUROPE_PD">"_C_GSALES_OEUROPE_PS_7_2010_2019"</definedName>
    <definedName name="_C_GSALES_OME_PD">"_C_GSALES_OME_PS_7_2010_2019"</definedName>
    <definedName name="_C_GSALES_OTHER_PD">"_C_GSALES_OTHER_PS_7_2010_2019"</definedName>
    <definedName name="_C_GSALES_PH_PD">"_C_GSALES_PH_PS_7_2010_2019"</definedName>
    <definedName name="_C_GSALES_PK_PD">"_C_GSALES_PK_PS_7_2010_2019"</definedName>
    <definedName name="_C_GSALES_PL_PD">"_C_GSALES_PL_PS_7_2010_2019"</definedName>
    <definedName name="_C_GSALES_PT_PD">"_C_GSALES_PT_PS_7_2010_2019"</definedName>
    <definedName name="_C_GSALES_QA_PD">"_C_GSALES_QA_PS_7_2010_2019"</definedName>
    <definedName name="_C_GSALES_RO_PD">"_C_GSALES_RO_PS_7_2010_2019"</definedName>
    <definedName name="_C_GSALES_RS_PD">"_C_GSALES_RS_PS_7_2010_2019"</definedName>
    <definedName name="_C_GSALES_RU_PD">"_C_GSALES_RU_PS_7_2010_2019"</definedName>
    <definedName name="_C_GSALES_SA_PD">"_C_GSALES_SA_PS_7_2010_2019"</definedName>
    <definedName name="_C_GSALES_SE_PD">"_C_GSALES_SE_PS_7_2010_2019"</definedName>
    <definedName name="_C_GSALES_SG_PD">"_C_GSALES_SG_PS_7_2010_2019"</definedName>
    <definedName name="_C_GSALES_SK_PD">"_C_GSALES_SK_PS_7_2010_2019"</definedName>
    <definedName name="_C_GSALES_STHAM_PD">"_C_GSALES_STHAM_PS_7_2010_2019"</definedName>
    <definedName name="_C_GSALES_TH_PD">"_C_GSALES_TH_PS_7_2010_2019"</definedName>
    <definedName name="_C_GSALES_TOTAL_PD">"_C_GSALES_TOTAL_PS_7_2010_2019"</definedName>
    <definedName name="_C_GSALES_TR_PD">"_C_GSALES_TR_PS_7_2010_2019"</definedName>
    <definedName name="_C_GSALES_TW_PD">"_C_GSALES_TW_PS_7_2010_2019"</definedName>
    <definedName name="_C_GSALES_UA_PD">"_C_GSALES_UA_PS_7_2010_2019"</definedName>
    <definedName name="_C_GSALES_US_PD">"_C_GSALES_US_PS_7_2010_2019"</definedName>
    <definedName name="_C_GSALES_UY_PD">"_C_GSALES_UY_PS_7_2010_2019"</definedName>
    <definedName name="_C_GSALES_VN_PD">"_C_GSALES_VN_PS_7_2010_2019"</definedName>
    <definedName name="_C_GSALES_ZA_PD">"_C_GSALES_ZA_PS_7_2010_2019"</definedName>
    <definedName name="_C_OPEN_ASSUMPTION_PAGES">"RAT|PUB|GEOS"</definedName>
    <definedName name="_C_TARGET_PRICE">#REF!</definedName>
    <definedName name="_C_TEMPLATE_BUSINESS_TYPES">"NONFIN"</definedName>
    <definedName name="_C_TEMPLATE_COIN_DISPLAY">"DEFAULT"</definedName>
    <definedName name="_C_TEMPLATE_CREATED">"#15-Sep-2014 18:23#"</definedName>
    <definedName name="_C_TEMPLATE_CREATED_BY">"njain56"</definedName>
    <definedName name="_C_TEMPLATE_TEMPLATE_NAME">"LIVE"</definedName>
    <definedName name="_Cf1" localSheetId="4">#REF!</definedName>
    <definedName name="_Cf1" localSheetId="9">#REF!</definedName>
    <definedName name="_Cf1">#REF!</definedName>
    <definedName name="_DAT1">#REF!</definedName>
    <definedName name="_DAT10">#REF!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st_Values" localSheetId="4" hidden="1">#REF!</definedName>
    <definedName name="_Dist_Values" localSheetId="5" hidden="1">#REF!</definedName>
    <definedName name="_Dist_Values" localSheetId="15" hidden="1">#REF!</definedName>
    <definedName name="_Dist_Values" localSheetId="19" hidden="1">#REF!</definedName>
    <definedName name="_Dist_Values" localSheetId="18" hidden="1">#REF!</definedName>
    <definedName name="_Dist_Values" localSheetId="14" hidden="1">#REF!</definedName>
    <definedName name="_Dist_Values" localSheetId="12" hidden="1">#REF!</definedName>
    <definedName name="_Dist_Values" localSheetId="24" hidden="1">#REF!</definedName>
    <definedName name="_Dist_Values" localSheetId="7" hidden="1">#REF!</definedName>
    <definedName name="_Dist_Values" localSheetId="20" hidden="1">#REF!</definedName>
    <definedName name="_Dist_Values" localSheetId="21" hidden="1">#REF!</definedName>
    <definedName name="_Dist_Values" localSheetId="11" hidden="1">#REF!</definedName>
    <definedName name="_Dist_Values" localSheetId="17" hidden="1">#REF!</definedName>
    <definedName name="_Dist_Values" localSheetId="16" hidden="1">#REF!</definedName>
    <definedName name="_Dist_Values" localSheetId="22" hidden="1">#REF!</definedName>
    <definedName name="_Dist_Values" localSheetId="9" hidden="1">#REF!</definedName>
    <definedName name="_Dist_Values" localSheetId="13" hidden="1">#REF!</definedName>
    <definedName name="_Dist_Values" localSheetId="23" hidden="1">#REF!</definedName>
    <definedName name="_Dist_Values" hidden="1">#REF!</definedName>
    <definedName name="_DOWN_" localSheetId="4">#REF!</definedName>
    <definedName name="_DOWN_" localSheetId="5">#REF!</definedName>
    <definedName name="_DOWN_" localSheetId="15">#REF!</definedName>
    <definedName name="_DOWN_" localSheetId="19">#REF!</definedName>
    <definedName name="_DOWN_" localSheetId="18">#REF!</definedName>
    <definedName name="_DOWN_" localSheetId="14">#REF!</definedName>
    <definedName name="_DOWN_" localSheetId="12">#REF!</definedName>
    <definedName name="_DOWN_" localSheetId="24">#REF!</definedName>
    <definedName name="_DOWN_" localSheetId="7">#REF!</definedName>
    <definedName name="_DOWN_" localSheetId="20">#REF!</definedName>
    <definedName name="_DOWN_" localSheetId="21">#REF!</definedName>
    <definedName name="_DOWN_" localSheetId="11">#REF!</definedName>
    <definedName name="_DOWN_" localSheetId="17">#REF!</definedName>
    <definedName name="_DOWN_" localSheetId="16">#REF!</definedName>
    <definedName name="_DOWN_" localSheetId="22">#REF!</definedName>
    <definedName name="_DOWN_" localSheetId="9">#REF!</definedName>
    <definedName name="_DOWN_" localSheetId="13">#REF!</definedName>
    <definedName name="_DOWN_" localSheetId="23">#REF!</definedName>
    <definedName name="_DOWN_">#REF!</definedName>
    <definedName name="_EDIT__HOME__DE" localSheetId="4">#REF!</definedName>
    <definedName name="_EDIT__HOME__DE" localSheetId="9">#REF!</definedName>
    <definedName name="_EDIT__HOME__DE">#REF!</definedName>
    <definedName name="_Fill" localSheetId="4" hidden="1">#REF!</definedName>
    <definedName name="_Fill" localSheetId="5" hidden="1">#REF!</definedName>
    <definedName name="_Fill" localSheetId="15" hidden="1">#REF!</definedName>
    <definedName name="_Fill" localSheetId="19" hidden="1">#REF!</definedName>
    <definedName name="_Fill" localSheetId="18" hidden="1">#REF!</definedName>
    <definedName name="_Fill" localSheetId="14" hidden="1">#REF!</definedName>
    <definedName name="_Fill" localSheetId="12" hidden="1">#REF!</definedName>
    <definedName name="_Fill" localSheetId="24" hidden="1">#REF!</definedName>
    <definedName name="_Fill" localSheetId="7" hidden="1">#REF!</definedName>
    <definedName name="_Fill" localSheetId="20" hidden="1">#REF!</definedName>
    <definedName name="_Fill" localSheetId="21" hidden="1">#REF!</definedName>
    <definedName name="_Fill" localSheetId="11" hidden="1">#REF!</definedName>
    <definedName name="_Fill" localSheetId="17" hidden="1">#REF!</definedName>
    <definedName name="_Fill" localSheetId="16" hidden="1">#REF!</definedName>
    <definedName name="_Fill" localSheetId="22" hidden="1">#REF!</definedName>
    <definedName name="_Fill" localSheetId="9" hidden="1">#REF!</definedName>
    <definedName name="_Fill" localSheetId="13" hidden="1">#REF!</definedName>
    <definedName name="_Fill" localSheetId="23" hidden="1">#REF!</definedName>
    <definedName name="_Fill" hidden="1">#REF!</definedName>
    <definedName name="_xlnm._FilterDatabase" localSheetId="5" hidden="1">Consol!$B$71:$B$71</definedName>
    <definedName name="_xlnm._FilterDatabase" localSheetId="15" hidden="1">Dharmtar!#REF!</definedName>
    <definedName name="_xlnm._FilterDatabase" localSheetId="19" hidden="1">'Ennore Bulk'!#REF!</definedName>
    <definedName name="_xlnm._FilterDatabase" localSheetId="18" hidden="1">'Ennore Coal'!#REF!</definedName>
    <definedName name="_xlnm._FilterDatabase" localSheetId="14" hidden="1">Goa!#REF!</definedName>
    <definedName name="_xlnm._FilterDatabase" localSheetId="12" hidden="1">Jaigarh!#REF!</definedName>
    <definedName name="_xlnm._FilterDatabase" localSheetId="24" hidden="1">'JNPT Liquid'!#REF!</definedName>
    <definedName name="_xlnm._FilterDatabase" localSheetId="7" hidden="1">Logistics!#REF!</definedName>
    <definedName name="_xlnm._FilterDatabase" localSheetId="20" hidden="1">'Mangalore Coal'!#REF!</definedName>
    <definedName name="_xlnm._FilterDatabase" localSheetId="21" hidden="1">'Mangalore Container'!#REF!</definedName>
    <definedName name="_xlnm._FilterDatabase" localSheetId="11" hidden="1">'Navkar Qtrly'!#REF!</definedName>
    <definedName name="_xlnm._FilterDatabase" localSheetId="17" hidden="1">'Paradip Coal'!#REF!</definedName>
    <definedName name="_xlnm._FilterDatabase" localSheetId="16" hidden="1">'Paradip Iron'!#REF!</definedName>
    <definedName name="_xlnm._FilterDatabase" localSheetId="22" hidden="1">PNP!#REF!</definedName>
    <definedName name="_xlnm._FilterDatabase" localSheetId="13" hidden="1">Standalone!#REF!</definedName>
    <definedName name="_xlnm._FilterDatabase" localSheetId="23" hidden="1">Tuticorin!#REF!</definedName>
    <definedName name="_Key1" localSheetId="4" hidden="1">#REF!</definedName>
    <definedName name="_Key1" localSheetId="5" hidden="1">#REF!</definedName>
    <definedName name="_Key1" localSheetId="15" hidden="1">#REF!</definedName>
    <definedName name="_Key1" localSheetId="19" hidden="1">#REF!</definedName>
    <definedName name="_Key1" localSheetId="18" hidden="1">#REF!</definedName>
    <definedName name="_Key1" localSheetId="14" hidden="1">#REF!</definedName>
    <definedName name="_Key1" localSheetId="12" hidden="1">#REF!</definedName>
    <definedName name="_Key1" localSheetId="24" hidden="1">#REF!</definedName>
    <definedName name="_Key1" localSheetId="7" hidden="1">#REF!</definedName>
    <definedName name="_Key1" localSheetId="20" hidden="1">#REF!</definedName>
    <definedName name="_Key1" localSheetId="21" hidden="1">#REF!</definedName>
    <definedName name="_Key1" localSheetId="11" hidden="1">#REF!</definedName>
    <definedName name="_Key1" localSheetId="17" hidden="1">#REF!</definedName>
    <definedName name="_Key1" localSheetId="16" hidden="1">#REF!</definedName>
    <definedName name="_Key1" localSheetId="22" hidden="1">#REF!</definedName>
    <definedName name="_Key1" localSheetId="9" hidden="1">#REF!</definedName>
    <definedName name="_Key1" localSheetId="13" hidden="1">#REF!</definedName>
    <definedName name="_Key1" localSheetId="23" hidden="1">#REF!</definedName>
    <definedName name="_Key1" hidden="1">#REF!</definedName>
    <definedName name="_Key2" localSheetId="4" hidden="1">#REF!</definedName>
    <definedName name="_Key2" localSheetId="5" hidden="1">#REF!</definedName>
    <definedName name="_Key2" localSheetId="15" hidden="1">#REF!</definedName>
    <definedName name="_Key2" localSheetId="19" hidden="1">#REF!</definedName>
    <definedName name="_Key2" localSheetId="18" hidden="1">#REF!</definedName>
    <definedName name="_Key2" localSheetId="14" hidden="1">#REF!</definedName>
    <definedName name="_Key2" localSheetId="12" hidden="1">#REF!</definedName>
    <definedName name="_Key2" localSheetId="24" hidden="1">#REF!</definedName>
    <definedName name="_Key2" localSheetId="7" hidden="1">#REF!</definedName>
    <definedName name="_Key2" localSheetId="20" hidden="1">#REF!</definedName>
    <definedName name="_Key2" localSheetId="21" hidden="1">#REF!</definedName>
    <definedName name="_Key2" localSheetId="11" hidden="1">#REF!</definedName>
    <definedName name="_Key2" localSheetId="17" hidden="1">#REF!</definedName>
    <definedName name="_Key2" localSheetId="16" hidden="1">#REF!</definedName>
    <definedName name="_Key2" localSheetId="22" hidden="1">#REF!</definedName>
    <definedName name="_Key2" localSheetId="9" hidden="1">#REF!</definedName>
    <definedName name="_Key2" localSheetId="13" hidden="1">#REF!</definedName>
    <definedName name="_Key2" localSheetId="23" hidden="1">#REF!</definedName>
    <definedName name="_Key2" hidden="1">#REF!</definedName>
    <definedName name="_MatInverse_In" hidden="1">#N/A</definedName>
    <definedName name="_MatInverse_Out" localSheetId="4" hidden="1">#REF!</definedName>
    <definedName name="_MatInverse_Out" localSheetId="5" hidden="1">#REF!</definedName>
    <definedName name="_MatInverse_Out" localSheetId="15" hidden="1">#REF!</definedName>
    <definedName name="_MatInverse_Out" localSheetId="19" hidden="1">#REF!</definedName>
    <definedName name="_MatInverse_Out" localSheetId="18" hidden="1">#REF!</definedName>
    <definedName name="_MatInverse_Out" localSheetId="14" hidden="1">#REF!</definedName>
    <definedName name="_MatInverse_Out" localSheetId="12" hidden="1">#REF!</definedName>
    <definedName name="_MatInverse_Out" localSheetId="24" hidden="1">#REF!</definedName>
    <definedName name="_MatInverse_Out" localSheetId="7" hidden="1">#REF!</definedName>
    <definedName name="_MatInverse_Out" localSheetId="20" hidden="1">#REF!</definedName>
    <definedName name="_MatInverse_Out" localSheetId="21" hidden="1">#REF!</definedName>
    <definedName name="_MatInverse_Out" localSheetId="11" hidden="1">#REF!</definedName>
    <definedName name="_MatInverse_Out" localSheetId="17" hidden="1">#REF!</definedName>
    <definedName name="_MatInverse_Out" localSheetId="16" hidden="1">#REF!</definedName>
    <definedName name="_MatInverse_Out" localSheetId="22" hidden="1">#REF!</definedName>
    <definedName name="_MatInverse_Out" localSheetId="9" hidden="1">#REF!</definedName>
    <definedName name="_MatInverse_Out" localSheetId="13" hidden="1">#REF!</definedName>
    <definedName name="_MatInverse_Out" localSheetId="23" hidden="1">#REF!</definedName>
    <definedName name="_MatInverse_Out" hidden="1">#REF!</definedName>
    <definedName name="_May01">#REF!</definedName>
    <definedName name="_nn05" localSheetId="4" hidden="1">{#N/A,#N/A,FALSE,"Status of Projects";#N/A,#N/A,FALSE,"CEA-TEC";#N/A,#N/A,FALSE,"U-Constr.";#N/A,#N/A,FALSE,"summary";#N/A,#N/A,FALSE,"PPP-3 yrs"}</definedName>
    <definedName name="_nn05" localSheetId="9" hidden="1">{#N/A,#N/A,FALSE,"Status of Projects";#N/A,#N/A,FALSE,"CEA-TEC";#N/A,#N/A,FALSE,"U-Constr.";#N/A,#N/A,FALSE,"summary";#N/A,#N/A,FALSE,"PPP-3 yrs"}</definedName>
    <definedName name="_nn05" hidden="1">{#N/A,#N/A,FALSE,"Status of Projects";#N/A,#N/A,FALSE,"CEA-TEC";#N/A,#N/A,FALSE,"U-Constr.";#N/A,#N/A,FALSE,"summary";#N/A,#N/A,FALSE,"PPP-3 yrs"}</definedName>
    <definedName name="_no1" localSheetId="4" hidden="1">{#N/A,#N/A,FALSE,"Status of Projects";#N/A,#N/A,FALSE,"CEA-TEC";#N/A,#N/A,FALSE,"U-Constr.";#N/A,#N/A,FALSE,"summary";#N/A,#N/A,FALSE,"PPP-3 yrs"}</definedName>
    <definedName name="_no1" localSheetId="9" hidden="1">{#N/A,#N/A,FALSE,"Status of Projects";#N/A,#N/A,FALSE,"CEA-TEC";#N/A,#N/A,FALSE,"U-Constr.";#N/A,#N/A,FALSE,"summary";#N/A,#N/A,FALSE,"PPP-3 yrs"}</definedName>
    <definedName name="_no1" hidden="1">{#N/A,#N/A,FALSE,"Status of Projects";#N/A,#N/A,FALSE,"CEA-TEC";#N/A,#N/A,FALSE,"U-Constr.";#N/A,#N/A,FALSE,"summary";#N/A,#N/A,FALSE,"PPP-3 yrs"}</definedName>
    <definedName name="_Order1" hidden="1">255</definedName>
    <definedName name="_Order2" hidden="1">255</definedName>
    <definedName name="_Parse_Out" localSheetId="4" hidden="1">#REF!</definedName>
    <definedName name="_Parse_Out" localSheetId="5" hidden="1">#REF!</definedName>
    <definedName name="_Parse_Out" localSheetId="15" hidden="1">#REF!</definedName>
    <definedName name="_Parse_Out" localSheetId="19" hidden="1">#REF!</definedName>
    <definedName name="_Parse_Out" localSheetId="18" hidden="1">#REF!</definedName>
    <definedName name="_Parse_Out" localSheetId="14" hidden="1">#REF!</definedName>
    <definedName name="_Parse_Out" localSheetId="12" hidden="1">#REF!</definedName>
    <definedName name="_Parse_Out" localSheetId="24" hidden="1">#REF!</definedName>
    <definedName name="_Parse_Out" localSheetId="7" hidden="1">#REF!</definedName>
    <definedName name="_Parse_Out" localSheetId="20" hidden="1">#REF!</definedName>
    <definedName name="_Parse_Out" localSheetId="21" hidden="1">#REF!</definedName>
    <definedName name="_Parse_Out" localSheetId="11" hidden="1">#REF!</definedName>
    <definedName name="_Parse_Out" localSheetId="17" hidden="1">#REF!</definedName>
    <definedName name="_Parse_Out" localSheetId="16" hidden="1">#REF!</definedName>
    <definedName name="_Parse_Out" localSheetId="22" hidden="1">#REF!</definedName>
    <definedName name="_Parse_Out" localSheetId="9" hidden="1">#REF!</definedName>
    <definedName name="_Parse_Out" localSheetId="13" hidden="1">#REF!</definedName>
    <definedName name="_Parse_Out" localSheetId="23" hidden="1">#REF!</definedName>
    <definedName name="_Parse_Out" hidden="1">#REF!</definedName>
    <definedName name="_Q1" hidden="1">{"'Standalone List Price Trends'!$A$1:$X$56"}</definedName>
    <definedName name="_Q2" hidden="1">{"'Standalone List Price Trends'!$A$1:$X$56"}</definedName>
    <definedName name="_Q3" hidden="1">{"'Standalone List Price Trends'!$A$1:$X$56"}</definedName>
    <definedName name="_Q4" hidden="1">{"'Standalone List Price Trends'!$A$1:$X$56"}</definedName>
    <definedName name="_Q5" hidden="1">{"'Standalone List Price Trends'!$A$1:$X$56"}</definedName>
    <definedName name="_Q9" hidden="1">{"'Standalone List Price Trends'!$A$1:$X$56"}</definedName>
    <definedName name="_qwe345"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Regression_Int" hidden="1">1</definedName>
    <definedName name="_Regression_Out" localSheetId="4" hidden="1">#REF!</definedName>
    <definedName name="_Regression_Out" localSheetId="9" hidden="1">#REF!</definedName>
    <definedName name="_Regression_Out" hidden="1">#REF!</definedName>
    <definedName name="_Regression_X" hidden="1">#REF!</definedName>
    <definedName name="_Regression_Y" hidden="1">#REF!</definedName>
    <definedName name="_RT1">#REF!</definedName>
    <definedName name="_RT2">#REF!</definedName>
    <definedName name="_Sort" localSheetId="4" hidden="1">#REF!</definedName>
    <definedName name="_Sort" localSheetId="5" hidden="1">#REF!</definedName>
    <definedName name="_Sort" localSheetId="15" hidden="1">#REF!</definedName>
    <definedName name="_Sort" localSheetId="19" hidden="1">#REF!</definedName>
    <definedName name="_Sort" localSheetId="18" hidden="1">#REF!</definedName>
    <definedName name="_Sort" localSheetId="14" hidden="1">#REF!</definedName>
    <definedName name="_Sort" localSheetId="12" hidden="1">#REF!</definedName>
    <definedName name="_Sort" localSheetId="24" hidden="1">#REF!</definedName>
    <definedName name="_Sort" localSheetId="7" hidden="1">#REF!</definedName>
    <definedName name="_Sort" localSheetId="20" hidden="1">#REF!</definedName>
    <definedName name="_Sort" localSheetId="21" hidden="1">#REF!</definedName>
    <definedName name="_Sort" localSheetId="11" hidden="1">#REF!</definedName>
    <definedName name="_Sort" localSheetId="17" hidden="1">#REF!</definedName>
    <definedName name="_Sort" localSheetId="16" hidden="1">#REF!</definedName>
    <definedName name="_Sort" localSheetId="22" hidden="1">#REF!</definedName>
    <definedName name="_Sort" localSheetId="9" hidden="1">#REF!</definedName>
    <definedName name="_Sort" localSheetId="13" hidden="1">#REF!</definedName>
    <definedName name="_Sort" localSheetId="23" hidden="1">#REF!</definedName>
    <definedName name="_Sort" hidden="1">#REF!</definedName>
    <definedName name="_Sort2" localSheetId="4" hidden="1">#REF!</definedName>
    <definedName name="_Sort2" localSheetId="5" hidden="1">#REF!</definedName>
    <definedName name="_Sort2" localSheetId="15" hidden="1">#REF!</definedName>
    <definedName name="_Sort2" localSheetId="19" hidden="1">#REF!</definedName>
    <definedName name="_Sort2" localSheetId="18" hidden="1">#REF!</definedName>
    <definedName name="_Sort2" localSheetId="14" hidden="1">#REF!</definedName>
    <definedName name="_Sort2" localSheetId="12" hidden="1">#REF!</definedName>
    <definedName name="_Sort2" localSheetId="24" hidden="1">#REF!</definedName>
    <definedName name="_Sort2" localSheetId="7" hidden="1">#REF!</definedName>
    <definedName name="_Sort2" localSheetId="20" hidden="1">#REF!</definedName>
    <definedName name="_Sort2" localSheetId="21" hidden="1">#REF!</definedName>
    <definedName name="_Sort2" localSheetId="11" hidden="1">#REF!</definedName>
    <definedName name="_Sort2" localSheetId="17" hidden="1">#REF!</definedName>
    <definedName name="_Sort2" localSheetId="16" hidden="1">#REF!</definedName>
    <definedName name="_Sort2" localSheetId="22" hidden="1">#REF!</definedName>
    <definedName name="_Sort2" localSheetId="9" hidden="1">#REF!</definedName>
    <definedName name="_Sort2" localSheetId="13" hidden="1">#REF!</definedName>
    <definedName name="_Sort2" localSheetId="23" hidden="1">#REF!</definedName>
    <definedName name="_Sort2" hidden="1">#REF!</definedName>
    <definedName name="_Table1_In1" localSheetId="4" hidden="1">#REF!</definedName>
    <definedName name="_Table1_In1" localSheetId="5" hidden="1">#REF!</definedName>
    <definedName name="_Table1_In1" localSheetId="15" hidden="1">#REF!</definedName>
    <definedName name="_Table1_In1" localSheetId="19" hidden="1">#REF!</definedName>
    <definedName name="_Table1_In1" localSheetId="18" hidden="1">#REF!</definedName>
    <definedName name="_Table1_In1" localSheetId="14" hidden="1">#REF!</definedName>
    <definedName name="_Table1_In1" localSheetId="12" hidden="1">#REF!</definedName>
    <definedName name="_Table1_In1" localSheetId="24" hidden="1">#REF!</definedName>
    <definedName name="_Table1_In1" localSheetId="7" hidden="1">#REF!</definedName>
    <definedName name="_Table1_In1" localSheetId="20" hidden="1">#REF!</definedName>
    <definedName name="_Table1_In1" localSheetId="21" hidden="1">#REF!</definedName>
    <definedName name="_Table1_In1" localSheetId="11" hidden="1">#REF!</definedName>
    <definedName name="_Table1_In1" localSheetId="17" hidden="1">#REF!</definedName>
    <definedName name="_Table1_In1" localSheetId="16" hidden="1">#REF!</definedName>
    <definedName name="_Table1_In1" localSheetId="22" hidden="1">#REF!</definedName>
    <definedName name="_Table1_In1" localSheetId="9" hidden="1">#REF!</definedName>
    <definedName name="_Table1_In1" localSheetId="13" hidden="1">#REF!</definedName>
    <definedName name="_Table1_In1" localSheetId="23" hidden="1">#REF!</definedName>
    <definedName name="_Table1_In1" hidden="1">#REF!</definedName>
    <definedName name="_Table1_Out" localSheetId="4" hidden="1">#REF!</definedName>
    <definedName name="_Table1_Out" localSheetId="5" hidden="1">#REF!</definedName>
    <definedName name="_Table1_Out" localSheetId="15" hidden="1">#REF!</definedName>
    <definedName name="_Table1_Out" localSheetId="19" hidden="1">#REF!</definedName>
    <definedName name="_Table1_Out" localSheetId="18" hidden="1">#REF!</definedName>
    <definedName name="_Table1_Out" localSheetId="14" hidden="1">#REF!</definedName>
    <definedName name="_Table1_Out" localSheetId="12" hidden="1">#REF!</definedName>
    <definedName name="_Table1_Out" localSheetId="24" hidden="1">#REF!</definedName>
    <definedName name="_Table1_Out" localSheetId="7" hidden="1">#REF!</definedName>
    <definedName name="_Table1_Out" localSheetId="20" hidden="1">#REF!</definedName>
    <definedName name="_Table1_Out" localSheetId="21" hidden="1">#REF!</definedName>
    <definedName name="_Table1_Out" localSheetId="11" hidden="1">#REF!</definedName>
    <definedName name="_Table1_Out" localSheetId="17" hidden="1">#REF!</definedName>
    <definedName name="_Table1_Out" localSheetId="16" hidden="1">#REF!</definedName>
    <definedName name="_Table1_Out" localSheetId="22" hidden="1">#REF!</definedName>
    <definedName name="_Table1_Out" localSheetId="9" hidden="1">#REF!</definedName>
    <definedName name="_Table1_Out" localSheetId="13" hidden="1">#REF!</definedName>
    <definedName name="_Table1_Out" localSheetId="23" hidden="1">#REF!</definedName>
    <definedName name="_Table1_Out" hidden="1">#REF!</definedName>
    <definedName name="_Table2_In1" localSheetId="4" hidden="1">#REF!</definedName>
    <definedName name="_Table2_In1" localSheetId="9" hidden="1">#REF!</definedName>
    <definedName name="_Table2_In1" hidden="1">#REF!</definedName>
    <definedName name="_Table2_In2" localSheetId="4" hidden="1">#REF!</definedName>
    <definedName name="_Table2_In2" localSheetId="5" hidden="1">#REF!</definedName>
    <definedName name="_Table2_In2" localSheetId="15" hidden="1">#REF!</definedName>
    <definedName name="_Table2_In2" localSheetId="19" hidden="1">#REF!</definedName>
    <definedName name="_Table2_In2" localSheetId="18" hidden="1">#REF!</definedName>
    <definedName name="_Table2_In2" localSheetId="14" hidden="1">#REF!</definedName>
    <definedName name="_Table2_In2" localSheetId="12" hidden="1">#REF!</definedName>
    <definedName name="_Table2_In2" localSheetId="24" hidden="1">#REF!</definedName>
    <definedName name="_Table2_In2" localSheetId="7" hidden="1">#REF!</definedName>
    <definedName name="_Table2_In2" localSheetId="20" hidden="1">#REF!</definedName>
    <definedName name="_Table2_In2" localSheetId="21" hidden="1">#REF!</definedName>
    <definedName name="_Table2_In2" localSheetId="11" hidden="1">#REF!</definedName>
    <definedName name="_Table2_In2" localSheetId="17" hidden="1">#REF!</definedName>
    <definedName name="_Table2_In2" localSheetId="16" hidden="1">#REF!</definedName>
    <definedName name="_Table2_In2" localSheetId="22" hidden="1">#REF!</definedName>
    <definedName name="_Table2_In2" localSheetId="9" hidden="1">#REF!</definedName>
    <definedName name="_Table2_In2" localSheetId="13" hidden="1">#REF!</definedName>
    <definedName name="_Table2_In2" localSheetId="23" hidden="1">#REF!</definedName>
    <definedName name="_Table2_In2" hidden="1">#REF!</definedName>
    <definedName name="_Table2_Out" localSheetId="4" hidden="1">#REF!</definedName>
    <definedName name="_Table2_Out" localSheetId="5" hidden="1">#REF!</definedName>
    <definedName name="_Table2_Out" localSheetId="15" hidden="1">#REF!</definedName>
    <definedName name="_Table2_Out" localSheetId="19" hidden="1">#REF!</definedName>
    <definedName name="_Table2_Out" localSheetId="18" hidden="1">#REF!</definedName>
    <definedName name="_Table2_Out" localSheetId="14" hidden="1">#REF!</definedName>
    <definedName name="_Table2_Out" localSheetId="12" hidden="1">#REF!</definedName>
    <definedName name="_Table2_Out" localSheetId="24" hidden="1">#REF!</definedName>
    <definedName name="_Table2_Out" localSheetId="7" hidden="1">#REF!</definedName>
    <definedName name="_Table2_Out" localSheetId="20" hidden="1">#REF!</definedName>
    <definedName name="_Table2_Out" localSheetId="21" hidden="1">#REF!</definedName>
    <definedName name="_Table2_Out" localSheetId="11" hidden="1">#REF!</definedName>
    <definedName name="_Table2_Out" localSheetId="17" hidden="1">#REF!</definedName>
    <definedName name="_Table2_Out" localSheetId="16" hidden="1">#REF!</definedName>
    <definedName name="_Table2_Out" localSheetId="22" hidden="1">#REF!</definedName>
    <definedName name="_Table2_Out" localSheetId="9" hidden="1">#REF!</definedName>
    <definedName name="_Table2_Out" localSheetId="13" hidden="1">#REF!</definedName>
    <definedName name="_Table2_Out" localSheetId="23" hidden="1">#REF!</definedName>
    <definedName name="_Table2_Out" hidden="1">#REF!</definedName>
    <definedName name="_TL1">#REF!</definedName>
    <definedName name="_vr1"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wrn1"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1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2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1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localSheetId="2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2" localSheetId="4" hidden="1">{#N/A,#N/A,FALSE,"INPUTS";#N/A,#N/A,FALSE,"PROFORMA BSHEET";#N/A,#N/A,FALSE,"COMBINED";#N/A,#N/A,FALSE,"HIGH YIELD";#N/A,#N/A,FALSE,"COMB_GRAPHS"}</definedName>
    <definedName name="_wrn2" localSheetId="5" hidden="1">{#N/A,#N/A,FALSE,"INPUTS";#N/A,#N/A,FALSE,"PROFORMA BSHEET";#N/A,#N/A,FALSE,"COMBINED";#N/A,#N/A,FALSE,"HIGH YIELD";#N/A,#N/A,FALSE,"COMB_GRAPHS"}</definedName>
    <definedName name="_wrn2" localSheetId="15" hidden="1">{#N/A,#N/A,FALSE,"INPUTS";#N/A,#N/A,FALSE,"PROFORMA BSHEET";#N/A,#N/A,FALSE,"COMBINED";#N/A,#N/A,FALSE,"HIGH YIELD";#N/A,#N/A,FALSE,"COMB_GRAPHS"}</definedName>
    <definedName name="_wrn2" localSheetId="19" hidden="1">{#N/A,#N/A,FALSE,"INPUTS";#N/A,#N/A,FALSE,"PROFORMA BSHEET";#N/A,#N/A,FALSE,"COMBINED";#N/A,#N/A,FALSE,"HIGH YIELD";#N/A,#N/A,FALSE,"COMB_GRAPHS"}</definedName>
    <definedName name="_wrn2" localSheetId="18" hidden="1">{#N/A,#N/A,FALSE,"INPUTS";#N/A,#N/A,FALSE,"PROFORMA BSHEET";#N/A,#N/A,FALSE,"COMBINED";#N/A,#N/A,FALSE,"HIGH YIELD";#N/A,#N/A,FALSE,"COMB_GRAPHS"}</definedName>
    <definedName name="_wrn2" localSheetId="14" hidden="1">{#N/A,#N/A,FALSE,"INPUTS";#N/A,#N/A,FALSE,"PROFORMA BSHEET";#N/A,#N/A,FALSE,"COMBINED";#N/A,#N/A,FALSE,"HIGH YIELD";#N/A,#N/A,FALSE,"COMB_GRAPHS"}</definedName>
    <definedName name="_wrn2" localSheetId="12" hidden="1">{#N/A,#N/A,FALSE,"INPUTS";#N/A,#N/A,FALSE,"PROFORMA BSHEET";#N/A,#N/A,FALSE,"COMBINED";#N/A,#N/A,FALSE,"HIGH YIELD";#N/A,#N/A,FALSE,"COMB_GRAPHS"}</definedName>
    <definedName name="_wrn2" localSheetId="24" hidden="1">{#N/A,#N/A,FALSE,"INPUTS";#N/A,#N/A,FALSE,"PROFORMA BSHEET";#N/A,#N/A,FALSE,"COMBINED";#N/A,#N/A,FALSE,"HIGH YIELD";#N/A,#N/A,FALSE,"COMB_GRAPHS"}</definedName>
    <definedName name="_wrn2" localSheetId="7" hidden="1">{#N/A,#N/A,FALSE,"INPUTS";#N/A,#N/A,FALSE,"PROFORMA BSHEET";#N/A,#N/A,FALSE,"COMBINED";#N/A,#N/A,FALSE,"HIGH YIELD";#N/A,#N/A,FALSE,"COMB_GRAPHS"}</definedName>
    <definedName name="_wrn2" localSheetId="20" hidden="1">{#N/A,#N/A,FALSE,"INPUTS";#N/A,#N/A,FALSE,"PROFORMA BSHEET";#N/A,#N/A,FALSE,"COMBINED";#N/A,#N/A,FALSE,"HIGH YIELD";#N/A,#N/A,FALSE,"COMB_GRAPHS"}</definedName>
    <definedName name="_wrn2" localSheetId="21" hidden="1">{#N/A,#N/A,FALSE,"INPUTS";#N/A,#N/A,FALSE,"PROFORMA BSHEET";#N/A,#N/A,FALSE,"COMBINED";#N/A,#N/A,FALSE,"HIGH YIELD";#N/A,#N/A,FALSE,"COMB_GRAPHS"}</definedName>
    <definedName name="_wrn2" localSheetId="11" hidden="1">{#N/A,#N/A,FALSE,"INPUTS";#N/A,#N/A,FALSE,"PROFORMA BSHEET";#N/A,#N/A,FALSE,"COMBINED";#N/A,#N/A,FALSE,"HIGH YIELD";#N/A,#N/A,FALSE,"COMB_GRAPHS"}</definedName>
    <definedName name="_wrn2" localSheetId="17" hidden="1">{#N/A,#N/A,FALSE,"INPUTS";#N/A,#N/A,FALSE,"PROFORMA BSHEET";#N/A,#N/A,FALSE,"COMBINED";#N/A,#N/A,FALSE,"HIGH YIELD";#N/A,#N/A,FALSE,"COMB_GRAPHS"}</definedName>
    <definedName name="_wrn2" localSheetId="16" hidden="1">{#N/A,#N/A,FALSE,"INPUTS";#N/A,#N/A,FALSE,"PROFORMA BSHEET";#N/A,#N/A,FALSE,"COMBINED";#N/A,#N/A,FALSE,"HIGH YIELD";#N/A,#N/A,FALSE,"COMB_GRAPHS"}</definedName>
    <definedName name="_wrn2" localSheetId="22" hidden="1">{#N/A,#N/A,FALSE,"INPUTS";#N/A,#N/A,FALSE,"PROFORMA BSHEET";#N/A,#N/A,FALSE,"COMBINED";#N/A,#N/A,FALSE,"HIGH YIELD";#N/A,#N/A,FALSE,"COMB_GRAPHS"}</definedName>
    <definedName name="_wrn2" localSheetId="9" hidden="1">{#N/A,#N/A,FALSE,"INPUTS";#N/A,#N/A,FALSE,"PROFORMA BSHEET";#N/A,#N/A,FALSE,"COMBINED";#N/A,#N/A,FALSE,"HIGH YIELD";#N/A,#N/A,FALSE,"COMB_GRAPHS"}</definedName>
    <definedName name="_wrn2" localSheetId="13" hidden="1">{#N/A,#N/A,FALSE,"INPUTS";#N/A,#N/A,FALSE,"PROFORMA BSHEET";#N/A,#N/A,FALSE,"COMBINED";#N/A,#N/A,FALSE,"HIGH YIELD";#N/A,#N/A,FALSE,"COMB_GRAPHS"}</definedName>
    <definedName name="_wrn2" localSheetId="23" hidden="1">{#N/A,#N/A,FALSE,"INPUTS";#N/A,#N/A,FALSE,"PROFORMA BSHEET";#N/A,#N/A,FALSE,"COMBINED";#N/A,#N/A,FALSE,"HIGH YIELD";#N/A,#N/A,FALSE,"COMB_GRAPHS"}</definedName>
    <definedName name="_wrn2" hidden="1">{#N/A,#N/A,FALSE,"INPUTS";#N/A,#N/A,FALSE,"PROFORMA BSHEET";#N/A,#N/A,FALSE,"COMBINED";#N/A,#N/A,FALSE,"HIGH YIELD";#N/A,#N/A,FALSE,"COMB_GRAPHS"}</definedName>
    <definedName name="_wrn3" localSheetId="4" hidden="1">{#N/A,#N/A,FALSE,"ACQ_GRAPHS";#N/A,#N/A,FALSE,"T_1 GRAPHS";#N/A,#N/A,FALSE,"T_2 GRAPHS";#N/A,#N/A,FALSE,"COMB_GRAPHS"}</definedName>
    <definedName name="_wrn3" localSheetId="5" hidden="1">{#N/A,#N/A,FALSE,"ACQ_GRAPHS";#N/A,#N/A,FALSE,"T_1 GRAPHS";#N/A,#N/A,FALSE,"T_2 GRAPHS";#N/A,#N/A,FALSE,"COMB_GRAPHS"}</definedName>
    <definedName name="_wrn3" localSheetId="15" hidden="1">{#N/A,#N/A,FALSE,"ACQ_GRAPHS";#N/A,#N/A,FALSE,"T_1 GRAPHS";#N/A,#N/A,FALSE,"T_2 GRAPHS";#N/A,#N/A,FALSE,"COMB_GRAPHS"}</definedName>
    <definedName name="_wrn3" localSheetId="19" hidden="1">{#N/A,#N/A,FALSE,"ACQ_GRAPHS";#N/A,#N/A,FALSE,"T_1 GRAPHS";#N/A,#N/A,FALSE,"T_2 GRAPHS";#N/A,#N/A,FALSE,"COMB_GRAPHS"}</definedName>
    <definedName name="_wrn3" localSheetId="18" hidden="1">{#N/A,#N/A,FALSE,"ACQ_GRAPHS";#N/A,#N/A,FALSE,"T_1 GRAPHS";#N/A,#N/A,FALSE,"T_2 GRAPHS";#N/A,#N/A,FALSE,"COMB_GRAPHS"}</definedName>
    <definedName name="_wrn3" localSheetId="14" hidden="1">{#N/A,#N/A,FALSE,"ACQ_GRAPHS";#N/A,#N/A,FALSE,"T_1 GRAPHS";#N/A,#N/A,FALSE,"T_2 GRAPHS";#N/A,#N/A,FALSE,"COMB_GRAPHS"}</definedName>
    <definedName name="_wrn3" localSheetId="12" hidden="1">{#N/A,#N/A,FALSE,"ACQ_GRAPHS";#N/A,#N/A,FALSE,"T_1 GRAPHS";#N/A,#N/A,FALSE,"T_2 GRAPHS";#N/A,#N/A,FALSE,"COMB_GRAPHS"}</definedName>
    <definedName name="_wrn3" localSheetId="24" hidden="1">{#N/A,#N/A,FALSE,"ACQ_GRAPHS";#N/A,#N/A,FALSE,"T_1 GRAPHS";#N/A,#N/A,FALSE,"T_2 GRAPHS";#N/A,#N/A,FALSE,"COMB_GRAPHS"}</definedName>
    <definedName name="_wrn3" localSheetId="7" hidden="1">{#N/A,#N/A,FALSE,"ACQ_GRAPHS";#N/A,#N/A,FALSE,"T_1 GRAPHS";#N/A,#N/A,FALSE,"T_2 GRAPHS";#N/A,#N/A,FALSE,"COMB_GRAPHS"}</definedName>
    <definedName name="_wrn3" localSheetId="20" hidden="1">{#N/A,#N/A,FALSE,"ACQ_GRAPHS";#N/A,#N/A,FALSE,"T_1 GRAPHS";#N/A,#N/A,FALSE,"T_2 GRAPHS";#N/A,#N/A,FALSE,"COMB_GRAPHS"}</definedName>
    <definedName name="_wrn3" localSheetId="21" hidden="1">{#N/A,#N/A,FALSE,"ACQ_GRAPHS";#N/A,#N/A,FALSE,"T_1 GRAPHS";#N/A,#N/A,FALSE,"T_2 GRAPHS";#N/A,#N/A,FALSE,"COMB_GRAPHS"}</definedName>
    <definedName name="_wrn3" localSheetId="11" hidden="1">{#N/A,#N/A,FALSE,"ACQ_GRAPHS";#N/A,#N/A,FALSE,"T_1 GRAPHS";#N/A,#N/A,FALSE,"T_2 GRAPHS";#N/A,#N/A,FALSE,"COMB_GRAPHS"}</definedName>
    <definedName name="_wrn3" localSheetId="17" hidden="1">{#N/A,#N/A,FALSE,"ACQ_GRAPHS";#N/A,#N/A,FALSE,"T_1 GRAPHS";#N/A,#N/A,FALSE,"T_2 GRAPHS";#N/A,#N/A,FALSE,"COMB_GRAPHS"}</definedName>
    <definedName name="_wrn3" localSheetId="16" hidden="1">{#N/A,#N/A,FALSE,"ACQ_GRAPHS";#N/A,#N/A,FALSE,"T_1 GRAPHS";#N/A,#N/A,FALSE,"T_2 GRAPHS";#N/A,#N/A,FALSE,"COMB_GRAPHS"}</definedName>
    <definedName name="_wrn3" localSheetId="22" hidden="1">{#N/A,#N/A,FALSE,"ACQ_GRAPHS";#N/A,#N/A,FALSE,"T_1 GRAPHS";#N/A,#N/A,FALSE,"T_2 GRAPHS";#N/A,#N/A,FALSE,"COMB_GRAPHS"}</definedName>
    <definedName name="_wrn3" localSheetId="9" hidden="1">{#N/A,#N/A,FALSE,"ACQ_GRAPHS";#N/A,#N/A,FALSE,"T_1 GRAPHS";#N/A,#N/A,FALSE,"T_2 GRAPHS";#N/A,#N/A,FALSE,"COMB_GRAPHS"}</definedName>
    <definedName name="_wrn3" localSheetId="13" hidden="1">{#N/A,#N/A,FALSE,"ACQ_GRAPHS";#N/A,#N/A,FALSE,"T_1 GRAPHS";#N/A,#N/A,FALSE,"T_2 GRAPHS";#N/A,#N/A,FALSE,"COMB_GRAPHS"}</definedName>
    <definedName name="_wrn3" localSheetId="23" hidden="1">{#N/A,#N/A,FALSE,"ACQ_GRAPHS";#N/A,#N/A,FALSE,"T_1 GRAPHS";#N/A,#N/A,FALSE,"T_2 GRAPHS";#N/A,#N/A,FALSE,"COMB_GRAPHS"}</definedName>
    <definedName name="_wrn3" hidden="1">{#N/A,#N/A,FALSE,"ACQ_GRAPHS";#N/A,#N/A,FALSE,"T_1 GRAPHS";#N/A,#N/A,FALSE,"T_2 GRAPHS";#N/A,#N/A,FALSE,"COMB_GRAPHS"}</definedName>
    <definedName name="_wrn4" localSheetId="4" hidden="1">{"vi1",#N/A,FALSE,"Financial Statements";"vi2",#N/A,FALSE,"Financial Statements";#N/A,#N/A,FALSE,"DCF"}</definedName>
    <definedName name="_wrn4" localSheetId="5" hidden="1">{"vi1",#N/A,FALSE,"Financial Statements";"vi2",#N/A,FALSE,"Financial Statements";#N/A,#N/A,FALSE,"DCF"}</definedName>
    <definedName name="_wrn4" localSheetId="15" hidden="1">{"vi1",#N/A,FALSE,"Financial Statements";"vi2",#N/A,FALSE,"Financial Statements";#N/A,#N/A,FALSE,"DCF"}</definedName>
    <definedName name="_wrn4" localSheetId="19" hidden="1">{"vi1",#N/A,FALSE,"Financial Statements";"vi2",#N/A,FALSE,"Financial Statements";#N/A,#N/A,FALSE,"DCF"}</definedName>
    <definedName name="_wrn4" localSheetId="18" hidden="1">{"vi1",#N/A,FALSE,"Financial Statements";"vi2",#N/A,FALSE,"Financial Statements";#N/A,#N/A,FALSE,"DCF"}</definedName>
    <definedName name="_wrn4" localSheetId="14" hidden="1">{"vi1",#N/A,FALSE,"Financial Statements";"vi2",#N/A,FALSE,"Financial Statements";#N/A,#N/A,FALSE,"DCF"}</definedName>
    <definedName name="_wrn4" localSheetId="12" hidden="1">{"vi1",#N/A,FALSE,"Financial Statements";"vi2",#N/A,FALSE,"Financial Statements";#N/A,#N/A,FALSE,"DCF"}</definedName>
    <definedName name="_wrn4" localSheetId="24" hidden="1">{"vi1",#N/A,FALSE,"Financial Statements";"vi2",#N/A,FALSE,"Financial Statements";#N/A,#N/A,FALSE,"DCF"}</definedName>
    <definedName name="_wrn4" localSheetId="7" hidden="1">{"vi1",#N/A,FALSE,"Financial Statements";"vi2",#N/A,FALSE,"Financial Statements";#N/A,#N/A,FALSE,"DCF"}</definedName>
    <definedName name="_wrn4" localSheetId="20" hidden="1">{"vi1",#N/A,FALSE,"Financial Statements";"vi2",#N/A,FALSE,"Financial Statements";#N/A,#N/A,FALSE,"DCF"}</definedName>
    <definedName name="_wrn4" localSheetId="21" hidden="1">{"vi1",#N/A,FALSE,"Financial Statements";"vi2",#N/A,FALSE,"Financial Statements";#N/A,#N/A,FALSE,"DCF"}</definedName>
    <definedName name="_wrn4" localSheetId="11" hidden="1">{"vi1",#N/A,FALSE,"Financial Statements";"vi2",#N/A,FALSE,"Financial Statements";#N/A,#N/A,FALSE,"DCF"}</definedName>
    <definedName name="_wrn4" localSheetId="17" hidden="1">{"vi1",#N/A,FALSE,"Financial Statements";"vi2",#N/A,FALSE,"Financial Statements";#N/A,#N/A,FALSE,"DCF"}</definedName>
    <definedName name="_wrn4" localSheetId="16" hidden="1">{"vi1",#N/A,FALSE,"Financial Statements";"vi2",#N/A,FALSE,"Financial Statements";#N/A,#N/A,FALSE,"DCF"}</definedName>
    <definedName name="_wrn4" localSheetId="22" hidden="1">{"vi1",#N/A,FALSE,"Financial Statements";"vi2",#N/A,FALSE,"Financial Statements";#N/A,#N/A,FALSE,"DCF"}</definedName>
    <definedName name="_wrn4" localSheetId="9" hidden="1">{"vi1",#N/A,FALSE,"Financial Statements";"vi2",#N/A,FALSE,"Financial Statements";#N/A,#N/A,FALSE,"DCF"}</definedName>
    <definedName name="_wrn4" localSheetId="13" hidden="1">{"vi1",#N/A,FALSE,"Financial Statements";"vi2",#N/A,FALSE,"Financial Statements";#N/A,#N/A,FALSE,"DCF"}</definedName>
    <definedName name="_wrn4" localSheetId="23" hidden="1">{"vi1",#N/A,FALSE,"Financial Statements";"vi2",#N/A,FALSE,"Financial Statements";#N/A,#N/A,FALSE,"DCF"}</definedName>
    <definedName name="_wrn4" hidden="1">{"vi1",#N/A,FALSE,"Financial Statements";"vi2",#N/A,FALSE,"Financial Statements";#N/A,#N/A,FALSE,"DCF"}</definedName>
    <definedName name="_wrn5" localSheetId="4" hidden="1">{#N/A,#N/A,FALSE,"Valuation Assumptions";#N/A,#N/A,FALSE,"Summary";#N/A,#N/A,FALSE,"DCF";#N/A,#N/A,FALSE,"Valuation";#N/A,#N/A,FALSE,"WACC";#N/A,#N/A,FALSE,"UBVH";#N/A,#N/A,FALSE,"Free Cash Flow"}</definedName>
    <definedName name="_wrn5" localSheetId="5" hidden="1">{#N/A,#N/A,FALSE,"Valuation Assumptions";#N/A,#N/A,FALSE,"Summary";#N/A,#N/A,FALSE,"DCF";#N/A,#N/A,FALSE,"Valuation";#N/A,#N/A,FALSE,"WACC";#N/A,#N/A,FALSE,"UBVH";#N/A,#N/A,FALSE,"Free Cash Flow"}</definedName>
    <definedName name="_wrn5" localSheetId="15" hidden="1">{#N/A,#N/A,FALSE,"Valuation Assumptions";#N/A,#N/A,FALSE,"Summary";#N/A,#N/A,FALSE,"DCF";#N/A,#N/A,FALSE,"Valuation";#N/A,#N/A,FALSE,"WACC";#N/A,#N/A,FALSE,"UBVH";#N/A,#N/A,FALSE,"Free Cash Flow"}</definedName>
    <definedName name="_wrn5" localSheetId="19" hidden="1">{#N/A,#N/A,FALSE,"Valuation Assumptions";#N/A,#N/A,FALSE,"Summary";#N/A,#N/A,FALSE,"DCF";#N/A,#N/A,FALSE,"Valuation";#N/A,#N/A,FALSE,"WACC";#N/A,#N/A,FALSE,"UBVH";#N/A,#N/A,FALSE,"Free Cash Flow"}</definedName>
    <definedName name="_wrn5" localSheetId="18" hidden="1">{#N/A,#N/A,FALSE,"Valuation Assumptions";#N/A,#N/A,FALSE,"Summary";#N/A,#N/A,FALSE,"DCF";#N/A,#N/A,FALSE,"Valuation";#N/A,#N/A,FALSE,"WACC";#N/A,#N/A,FALSE,"UBVH";#N/A,#N/A,FALSE,"Free Cash Flow"}</definedName>
    <definedName name="_wrn5" localSheetId="14" hidden="1">{#N/A,#N/A,FALSE,"Valuation Assumptions";#N/A,#N/A,FALSE,"Summary";#N/A,#N/A,FALSE,"DCF";#N/A,#N/A,FALSE,"Valuation";#N/A,#N/A,FALSE,"WACC";#N/A,#N/A,FALSE,"UBVH";#N/A,#N/A,FALSE,"Free Cash Flow"}</definedName>
    <definedName name="_wrn5" localSheetId="12" hidden="1">{#N/A,#N/A,FALSE,"Valuation Assumptions";#N/A,#N/A,FALSE,"Summary";#N/A,#N/A,FALSE,"DCF";#N/A,#N/A,FALSE,"Valuation";#N/A,#N/A,FALSE,"WACC";#N/A,#N/A,FALSE,"UBVH";#N/A,#N/A,FALSE,"Free Cash Flow"}</definedName>
    <definedName name="_wrn5" localSheetId="24" hidden="1">{#N/A,#N/A,FALSE,"Valuation Assumptions";#N/A,#N/A,FALSE,"Summary";#N/A,#N/A,FALSE,"DCF";#N/A,#N/A,FALSE,"Valuation";#N/A,#N/A,FALSE,"WACC";#N/A,#N/A,FALSE,"UBVH";#N/A,#N/A,FALSE,"Free Cash Flow"}</definedName>
    <definedName name="_wrn5" localSheetId="7" hidden="1">{#N/A,#N/A,FALSE,"Valuation Assumptions";#N/A,#N/A,FALSE,"Summary";#N/A,#N/A,FALSE,"DCF";#N/A,#N/A,FALSE,"Valuation";#N/A,#N/A,FALSE,"WACC";#N/A,#N/A,FALSE,"UBVH";#N/A,#N/A,FALSE,"Free Cash Flow"}</definedName>
    <definedName name="_wrn5" localSheetId="20" hidden="1">{#N/A,#N/A,FALSE,"Valuation Assumptions";#N/A,#N/A,FALSE,"Summary";#N/A,#N/A,FALSE,"DCF";#N/A,#N/A,FALSE,"Valuation";#N/A,#N/A,FALSE,"WACC";#N/A,#N/A,FALSE,"UBVH";#N/A,#N/A,FALSE,"Free Cash Flow"}</definedName>
    <definedName name="_wrn5" localSheetId="21" hidden="1">{#N/A,#N/A,FALSE,"Valuation Assumptions";#N/A,#N/A,FALSE,"Summary";#N/A,#N/A,FALSE,"DCF";#N/A,#N/A,FALSE,"Valuation";#N/A,#N/A,FALSE,"WACC";#N/A,#N/A,FALSE,"UBVH";#N/A,#N/A,FALSE,"Free Cash Flow"}</definedName>
    <definedName name="_wrn5" localSheetId="11" hidden="1">{#N/A,#N/A,FALSE,"Valuation Assumptions";#N/A,#N/A,FALSE,"Summary";#N/A,#N/A,FALSE,"DCF";#N/A,#N/A,FALSE,"Valuation";#N/A,#N/A,FALSE,"WACC";#N/A,#N/A,FALSE,"UBVH";#N/A,#N/A,FALSE,"Free Cash Flow"}</definedName>
    <definedName name="_wrn5" localSheetId="17" hidden="1">{#N/A,#N/A,FALSE,"Valuation Assumptions";#N/A,#N/A,FALSE,"Summary";#N/A,#N/A,FALSE,"DCF";#N/A,#N/A,FALSE,"Valuation";#N/A,#N/A,FALSE,"WACC";#N/A,#N/A,FALSE,"UBVH";#N/A,#N/A,FALSE,"Free Cash Flow"}</definedName>
    <definedName name="_wrn5" localSheetId="16" hidden="1">{#N/A,#N/A,FALSE,"Valuation Assumptions";#N/A,#N/A,FALSE,"Summary";#N/A,#N/A,FALSE,"DCF";#N/A,#N/A,FALSE,"Valuation";#N/A,#N/A,FALSE,"WACC";#N/A,#N/A,FALSE,"UBVH";#N/A,#N/A,FALSE,"Free Cash Flow"}</definedName>
    <definedName name="_wrn5" localSheetId="22" hidden="1">{#N/A,#N/A,FALSE,"Valuation Assumptions";#N/A,#N/A,FALSE,"Summary";#N/A,#N/A,FALSE,"DCF";#N/A,#N/A,FALSE,"Valuation";#N/A,#N/A,FALSE,"WACC";#N/A,#N/A,FALSE,"UBVH";#N/A,#N/A,FALSE,"Free Cash Flow"}</definedName>
    <definedName name="_wrn5" localSheetId="9" hidden="1">{#N/A,#N/A,FALSE,"Valuation Assumptions";#N/A,#N/A,FALSE,"Summary";#N/A,#N/A,FALSE,"DCF";#N/A,#N/A,FALSE,"Valuation";#N/A,#N/A,FALSE,"WACC";#N/A,#N/A,FALSE,"UBVH";#N/A,#N/A,FALSE,"Free Cash Flow"}</definedName>
    <definedName name="_wrn5" localSheetId="13" hidden="1">{#N/A,#N/A,FALSE,"Valuation Assumptions";#N/A,#N/A,FALSE,"Summary";#N/A,#N/A,FALSE,"DCF";#N/A,#N/A,FALSE,"Valuation";#N/A,#N/A,FALSE,"WACC";#N/A,#N/A,FALSE,"UBVH";#N/A,#N/A,FALSE,"Free Cash Flow"}</definedName>
    <definedName name="_wrn5" localSheetId="23" hidden="1">{#N/A,#N/A,FALSE,"Valuation Assumptions";#N/A,#N/A,FALSE,"Summary";#N/A,#N/A,FALSE,"DCF";#N/A,#N/A,FALSE,"Valuation";#N/A,#N/A,FALSE,"WACC";#N/A,#N/A,FALSE,"UBVH";#N/A,#N/A,FALSE,"Free Cash Flow"}</definedName>
    <definedName name="_wrn5" hidden="1">{#N/A,#N/A,FALSE,"Valuation Assumptions";#N/A,#N/A,FALSE,"Summary";#N/A,#N/A,FALSE,"DCF";#N/A,#N/A,FALSE,"Valuation";#N/A,#N/A,FALSE,"WACC";#N/A,#N/A,FALSE,"UBVH";#N/A,#N/A,FALSE,"Free Cash Flow"}</definedName>
    <definedName name="_wrn6" localSheetId="4" hidden="1">{#N/A,#N/A,FALSE,"INPUTS";#N/A,#N/A,FALSE,"PROFORMA BSHEET";#N/A,#N/A,FALSE,"COMBINED";#N/A,#N/A,FALSE,"ACQUIROR";#N/A,#N/A,FALSE,"TARGET 1";#N/A,#N/A,FALSE,"TARGET 2";#N/A,#N/A,FALSE,"HIGH YIELD";#N/A,#N/A,FALSE,"OVERFUND"}</definedName>
    <definedName name="_wrn6" localSheetId="5" hidden="1">{#N/A,#N/A,FALSE,"INPUTS";#N/A,#N/A,FALSE,"PROFORMA BSHEET";#N/A,#N/A,FALSE,"COMBINED";#N/A,#N/A,FALSE,"ACQUIROR";#N/A,#N/A,FALSE,"TARGET 1";#N/A,#N/A,FALSE,"TARGET 2";#N/A,#N/A,FALSE,"HIGH YIELD";#N/A,#N/A,FALSE,"OVERFUND"}</definedName>
    <definedName name="_wrn6" localSheetId="15" hidden="1">{#N/A,#N/A,FALSE,"INPUTS";#N/A,#N/A,FALSE,"PROFORMA BSHEET";#N/A,#N/A,FALSE,"COMBINED";#N/A,#N/A,FALSE,"ACQUIROR";#N/A,#N/A,FALSE,"TARGET 1";#N/A,#N/A,FALSE,"TARGET 2";#N/A,#N/A,FALSE,"HIGH YIELD";#N/A,#N/A,FALSE,"OVERFUND"}</definedName>
    <definedName name="_wrn6" localSheetId="19" hidden="1">{#N/A,#N/A,FALSE,"INPUTS";#N/A,#N/A,FALSE,"PROFORMA BSHEET";#N/A,#N/A,FALSE,"COMBINED";#N/A,#N/A,FALSE,"ACQUIROR";#N/A,#N/A,FALSE,"TARGET 1";#N/A,#N/A,FALSE,"TARGET 2";#N/A,#N/A,FALSE,"HIGH YIELD";#N/A,#N/A,FALSE,"OVERFUND"}</definedName>
    <definedName name="_wrn6" localSheetId="18" hidden="1">{#N/A,#N/A,FALSE,"INPUTS";#N/A,#N/A,FALSE,"PROFORMA BSHEET";#N/A,#N/A,FALSE,"COMBINED";#N/A,#N/A,FALSE,"ACQUIROR";#N/A,#N/A,FALSE,"TARGET 1";#N/A,#N/A,FALSE,"TARGET 2";#N/A,#N/A,FALSE,"HIGH YIELD";#N/A,#N/A,FALSE,"OVERFUND"}</definedName>
    <definedName name="_wrn6" localSheetId="14" hidden="1">{#N/A,#N/A,FALSE,"INPUTS";#N/A,#N/A,FALSE,"PROFORMA BSHEET";#N/A,#N/A,FALSE,"COMBINED";#N/A,#N/A,FALSE,"ACQUIROR";#N/A,#N/A,FALSE,"TARGET 1";#N/A,#N/A,FALSE,"TARGET 2";#N/A,#N/A,FALSE,"HIGH YIELD";#N/A,#N/A,FALSE,"OVERFUND"}</definedName>
    <definedName name="_wrn6" localSheetId="12" hidden="1">{#N/A,#N/A,FALSE,"INPUTS";#N/A,#N/A,FALSE,"PROFORMA BSHEET";#N/A,#N/A,FALSE,"COMBINED";#N/A,#N/A,FALSE,"ACQUIROR";#N/A,#N/A,FALSE,"TARGET 1";#N/A,#N/A,FALSE,"TARGET 2";#N/A,#N/A,FALSE,"HIGH YIELD";#N/A,#N/A,FALSE,"OVERFUND"}</definedName>
    <definedName name="_wrn6" localSheetId="24" hidden="1">{#N/A,#N/A,FALSE,"INPUTS";#N/A,#N/A,FALSE,"PROFORMA BSHEET";#N/A,#N/A,FALSE,"COMBINED";#N/A,#N/A,FALSE,"ACQUIROR";#N/A,#N/A,FALSE,"TARGET 1";#N/A,#N/A,FALSE,"TARGET 2";#N/A,#N/A,FALSE,"HIGH YIELD";#N/A,#N/A,FALSE,"OVERFUND"}</definedName>
    <definedName name="_wrn6" localSheetId="7" hidden="1">{#N/A,#N/A,FALSE,"INPUTS";#N/A,#N/A,FALSE,"PROFORMA BSHEET";#N/A,#N/A,FALSE,"COMBINED";#N/A,#N/A,FALSE,"ACQUIROR";#N/A,#N/A,FALSE,"TARGET 1";#N/A,#N/A,FALSE,"TARGET 2";#N/A,#N/A,FALSE,"HIGH YIELD";#N/A,#N/A,FALSE,"OVERFUND"}</definedName>
    <definedName name="_wrn6" localSheetId="20" hidden="1">{#N/A,#N/A,FALSE,"INPUTS";#N/A,#N/A,FALSE,"PROFORMA BSHEET";#N/A,#N/A,FALSE,"COMBINED";#N/A,#N/A,FALSE,"ACQUIROR";#N/A,#N/A,FALSE,"TARGET 1";#N/A,#N/A,FALSE,"TARGET 2";#N/A,#N/A,FALSE,"HIGH YIELD";#N/A,#N/A,FALSE,"OVERFUND"}</definedName>
    <definedName name="_wrn6" localSheetId="21" hidden="1">{#N/A,#N/A,FALSE,"INPUTS";#N/A,#N/A,FALSE,"PROFORMA BSHEET";#N/A,#N/A,FALSE,"COMBINED";#N/A,#N/A,FALSE,"ACQUIROR";#N/A,#N/A,FALSE,"TARGET 1";#N/A,#N/A,FALSE,"TARGET 2";#N/A,#N/A,FALSE,"HIGH YIELD";#N/A,#N/A,FALSE,"OVERFUND"}</definedName>
    <definedName name="_wrn6" localSheetId="11" hidden="1">{#N/A,#N/A,FALSE,"INPUTS";#N/A,#N/A,FALSE,"PROFORMA BSHEET";#N/A,#N/A,FALSE,"COMBINED";#N/A,#N/A,FALSE,"ACQUIROR";#N/A,#N/A,FALSE,"TARGET 1";#N/A,#N/A,FALSE,"TARGET 2";#N/A,#N/A,FALSE,"HIGH YIELD";#N/A,#N/A,FALSE,"OVERFUND"}</definedName>
    <definedName name="_wrn6" localSheetId="17" hidden="1">{#N/A,#N/A,FALSE,"INPUTS";#N/A,#N/A,FALSE,"PROFORMA BSHEET";#N/A,#N/A,FALSE,"COMBINED";#N/A,#N/A,FALSE,"ACQUIROR";#N/A,#N/A,FALSE,"TARGET 1";#N/A,#N/A,FALSE,"TARGET 2";#N/A,#N/A,FALSE,"HIGH YIELD";#N/A,#N/A,FALSE,"OVERFUND"}</definedName>
    <definedName name="_wrn6" localSheetId="16" hidden="1">{#N/A,#N/A,FALSE,"INPUTS";#N/A,#N/A,FALSE,"PROFORMA BSHEET";#N/A,#N/A,FALSE,"COMBINED";#N/A,#N/A,FALSE,"ACQUIROR";#N/A,#N/A,FALSE,"TARGET 1";#N/A,#N/A,FALSE,"TARGET 2";#N/A,#N/A,FALSE,"HIGH YIELD";#N/A,#N/A,FALSE,"OVERFUND"}</definedName>
    <definedName name="_wrn6" localSheetId="22" hidden="1">{#N/A,#N/A,FALSE,"INPUTS";#N/A,#N/A,FALSE,"PROFORMA BSHEET";#N/A,#N/A,FALSE,"COMBINED";#N/A,#N/A,FALSE,"ACQUIROR";#N/A,#N/A,FALSE,"TARGET 1";#N/A,#N/A,FALSE,"TARGET 2";#N/A,#N/A,FALSE,"HIGH YIELD";#N/A,#N/A,FALSE,"OVERFUND"}</definedName>
    <definedName name="_wrn6" localSheetId="9" hidden="1">{#N/A,#N/A,FALSE,"INPUTS";#N/A,#N/A,FALSE,"PROFORMA BSHEET";#N/A,#N/A,FALSE,"COMBINED";#N/A,#N/A,FALSE,"ACQUIROR";#N/A,#N/A,FALSE,"TARGET 1";#N/A,#N/A,FALSE,"TARGET 2";#N/A,#N/A,FALSE,"HIGH YIELD";#N/A,#N/A,FALSE,"OVERFUND"}</definedName>
    <definedName name="_wrn6" localSheetId="13" hidden="1">{#N/A,#N/A,FALSE,"INPUTS";#N/A,#N/A,FALSE,"PROFORMA BSHEET";#N/A,#N/A,FALSE,"COMBINED";#N/A,#N/A,FALSE,"ACQUIROR";#N/A,#N/A,FALSE,"TARGET 1";#N/A,#N/A,FALSE,"TARGET 2";#N/A,#N/A,FALSE,"HIGH YIELD";#N/A,#N/A,FALSE,"OVERFUND"}</definedName>
    <definedName name="_wrn6" localSheetId="23" hidden="1">{#N/A,#N/A,FALSE,"INPUTS";#N/A,#N/A,FALSE,"PROFORMA BSHEET";#N/A,#N/A,FALSE,"COMBINED";#N/A,#N/A,FALSE,"ACQUIROR";#N/A,#N/A,FALSE,"TARGET 1";#N/A,#N/A,FALSE,"TARGET 2";#N/A,#N/A,FALSE,"HIGH YIELD";#N/A,#N/A,FALSE,"OVERFUND"}</definedName>
    <definedName name="_wrn6" hidden="1">{#N/A,#N/A,FALSE,"INPUTS";#N/A,#N/A,FALSE,"PROFORMA BSHEET";#N/A,#N/A,FALSE,"COMBINED";#N/A,#N/A,FALSE,"ACQUIROR";#N/A,#N/A,FALSE,"TARGET 1";#N/A,#N/A,FALSE,"TARGET 2";#N/A,#N/A,FALSE,"HIGH YIELD";#N/A,#N/A,FALSE,"OVERFUND"}</definedName>
    <definedName name="a" localSheetId="4">#REF!</definedName>
    <definedName name="A" localSheetId="5">#REF!</definedName>
    <definedName name="A" localSheetId="15">#REF!</definedName>
    <definedName name="A" localSheetId="19">#REF!</definedName>
    <definedName name="A" localSheetId="18">#REF!</definedName>
    <definedName name="A" localSheetId="14">#REF!</definedName>
    <definedName name="A" localSheetId="12">#REF!</definedName>
    <definedName name="A" localSheetId="24">#REF!</definedName>
    <definedName name="A" localSheetId="7">#REF!</definedName>
    <definedName name="A" localSheetId="20">#REF!</definedName>
    <definedName name="A" localSheetId="21">#REF!</definedName>
    <definedName name="A" localSheetId="11">#REF!</definedName>
    <definedName name="A" localSheetId="17">#REF!</definedName>
    <definedName name="A" localSheetId="16">#REF!</definedName>
    <definedName name="A" localSheetId="22">#REF!</definedName>
    <definedName name="a" localSheetId="9">#REF!</definedName>
    <definedName name="A" localSheetId="13">#REF!</definedName>
    <definedName name="A" localSheetId="23">#REF!</definedName>
    <definedName name="A">#REF!</definedName>
    <definedName name="aa" localSheetId="4">#REF!</definedName>
    <definedName name="aa" localSheetId="5">#REF!</definedName>
    <definedName name="aa" localSheetId="15">#REF!</definedName>
    <definedName name="aa" localSheetId="19">#REF!</definedName>
    <definedName name="aa" localSheetId="18">#REF!</definedName>
    <definedName name="aa" localSheetId="14">#REF!</definedName>
    <definedName name="aa" localSheetId="12">#REF!</definedName>
    <definedName name="aa" localSheetId="24">#REF!</definedName>
    <definedName name="aa" localSheetId="7">#REF!</definedName>
    <definedName name="aa" localSheetId="20">#REF!</definedName>
    <definedName name="aa" localSheetId="21">#REF!</definedName>
    <definedName name="aa" localSheetId="11">#REF!</definedName>
    <definedName name="aa" localSheetId="17">#REF!</definedName>
    <definedName name="aa" localSheetId="16">#REF!</definedName>
    <definedName name="aa" localSheetId="22">#REF!</definedName>
    <definedName name="aa" localSheetId="9">#REF!</definedName>
    <definedName name="aa" localSheetId="13">#REF!</definedName>
    <definedName name="aa" localSheetId="23">#REF!</definedName>
    <definedName name="aa">#REF!</definedName>
    <definedName name="aaa" localSheetId="4" hidden="1">{"'PS-SOTM'!$A$1","'PS-SOTM'!$A$2:$M$30","'PS-SOTM'!$A$31:$A$38"}</definedName>
    <definedName name="aaa" localSheetId="9" hidden="1">{"'PS-SOTM'!$A$1","'PS-SOTM'!$A$2:$M$30","'PS-SOTM'!$A$31:$A$38"}</definedName>
    <definedName name="aaa" hidden="1">{"'PS-SOTM'!$A$1","'PS-SOTM'!$A$2:$M$30","'PS-SOTM'!$A$31:$A$38"}</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cc" localSheetId="4" hidden="1">{#N/A,#N/A,FALSE,"Status of Projects";#N/A,#N/A,FALSE,"CEA-TEC";#N/A,#N/A,FALSE,"U-Constr.";#N/A,#N/A,FALSE,"summary";#N/A,#N/A,FALSE,"PPP-3 yrs"}</definedName>
    <definedName name="acc" localSheetId="5" hidden="1">{#N/A,#N/A,FALSE,"Status of Projects";#N/A,#N/A,FALSE,"CEA-TEC";#N/A,#N/A,FALSE,"U-Constr.";#N/A,#N/A,FALSE,"summary";#N/A,#N/A,FALSE,"PPP-3 yrs"}</definedName>
    <definedName name="acc" localSheetId="15" hidden="1">{#N/A,#N/A,FALSE,"Status of Projects";#N/A,#N/A,FALSE,"CEA-TEC";#N/A,#N/A,FALSE,"U-Constr.";#N/A,#N/A,FALSE,"summary";#N/A,#N/A,FALSE,"PPP-3 yrs"}</definedName>
    <definedName name="acc" localSheetId="19" hidden="1">{#N/A,#N/A,FALSE,"Status of Projects";#N/A,#N/A,FALSE,"CEA-TEC";#N/A,#N/A,FALSE,"U-Constr.";#N/A,#N/A,FALSE,"summary";#N/A,#N/A,FALSE,"PPP-3 yrs"}</definedName>
    <definedName name="acc" localSheetId="18" hidden="1">{#N/A,#N/A,FALSE,"Status of Projects";#N/A,#N/A,FALSE,"CEA-TEC";#N/A,#N/A,FALSE,"U-Constr.";#N/A,#N/A,FALSE,"summary";#N/A,#N/A,FALSE,"PPP-3 yrs"}</definedName>
    <definedName name="acc" localSheetId="14" hidden="1">{#N/A,#N/A,FALSE,"Status of Projects";#N/A,#N/A,FALSE,"CEA-TEC";#N/A,#N/A,FALSE,"U-Constr.";#N/A,#N/A,FALSE,"summary";#N/A,#N/A,FALSE,"PPP-3 yrs"}</definedName>
    <definedName name="acc" localSheetId="12" hidden="1">{#N/A,#N/A,FALSE,"Status of Projects";#N/A,#N/A,FALSE,"CEA-TEC";#N/A,#N/A,FALSE,"U-Constr.";#N/A,#N/A,FALSE,"summary";#N/A,#N/A,FALSE,"PPP-3 yrs"}</definedName>
    <definedName name="acc" localSheetId="24" hidden="1">{#N/A,#N/A,FALSE,"Status of Projects";#N/A,#N/A,FALSE,"CEA-TEC";#N/A,#N/A,FALSE,"U-Constr.";#N/A,#N/A,FALSE,"summary";#N/A,#N/A,FALSE,"PPP-3 yrs"}</definedName>
    <definedName name="acc" localSheetId="7" hidden="1">{#N/A,#N/A,FALSE,"Status of Projects";#N/A,#N/A,FALSE,"CEA-TEC";#N/A,#N/A,FALSE,"U-Constr.";#N/A,#N/A,FALSE,"summary";#N/A,#N/A,FALSE,"PPP-3 yrs"}</definedName>
    <definedName name="acc" localSheetId="20" hidden="1">{#N/A,#N/A,FALSE,"Status of Projects";#N/A,#N/A,FALSE,"CEA-TEC";#N/A,#N/A,FALSE,"U-Constr.";#N/A,#N/A,FALSE,"summary";#N/A,#N/A,FALSE,"PPP-3 yrs"}</definedName>
    <definedName name="acc" localSheetId="21" hidden="1">{#N/A,#N/A,FALSE,"Status of Projects";#N/A,#N/A,FALSE,"CEA-TEC";#N/A,#N/A,FALSE,"U-Constr.";#N/A,#N/A,FALSE,"summary";#N/A,#N/A,FALSE,"PPP-3 yrs"}</definedName>
    <definedName name="acc" localSheetId="11" hidden="1">{#N/A,#N/A,FALSE,"Status of Projects";#N/A,#N/A,FALSE,"CEA-TEC";#N/A,#N/A,FALSE,"U-Constr.";#N/A,#N/A,FALSE,"summary";#N/A,#N/A,FALSE,"PPP-3 yrs"}</definedName>
    <definedName name="acc" localSheetId="17" hidden="1">{#N/A,#N/A,FALSE,"Status of Projects";#N/A,#N/A,FALSE,"CEA-TEC";#N/A,#N/A,FALSE,"U-Constr.";#N/A,#N/A,FALSE,"summary";#N/A,#N/A,FALSE,"PPP-3 yrs"}</definedName>
    <definedName name="acc" localSheetId="16" hidden="1">{#N/A,#N/A,FALSE,"Status of Projects";#N/A,#N/A,FALSE,"CEA-TEC";#N/A,#N/A,FALSE,"U-Constr.";#N/A,#N/A,FALSE,"summary";#N/A,#N/A,FALSE,"PPP-3 yrs"}</definedName>
    <definedName name="acc" localSheetId="22" hidden="1">{#N/A,#N/A,FALSE,"Status of Projects";#N/A,#N/A,FALSE,"CEA-TEC";#N/A,#N/A,FALSE,"U-Constr.";#N/A,#N/A,FALSE,"summary";#N/A,#N/A,FALSE,"PPP-3 yrs"}</definedName>
    <definedName name="acc" localSheetId="9" hidden="1">{#N/A,#N/A,FALSE,"Status of Projects";#N/A,#N/A,FALSE,"CEA-TEC";#N/A,#N/A,FALSE,"U-Constr.";#N/A,#N/A,FALSE,"summary";#N/A,#N/A,FALSE,"PPP-3 yrs"}</definedName>
    <definedName name="acc" localSheetId="13" hidden="1">{#N/A,#N/A,FALSE,"Status of Projects";#N/A,#N/A,FALSE,"CEA-TEC";#N/A,#N/A,FALSE,"U-Constr.";#N/A,#N/A,FALSE,"summary";#N/A,#N/A,FALSE,"PPP-3 yrs"}</definedName>
    <definedName name="acc" localSheetId="23" hidden="1">{#N/A,#N/A,FALSE,"Status of Projects";#N/A,#N/A,FALSE,"CEA-TEC";#N/A,#N/A,FALSE,"U-Constr.";#N/A,#N/A,FALSE,"summary";#N/A,#N/A,FALSE,"PPP-3 yrs"}</definedName>
    <definedName name="acc" hidden="1">{#N/A,#N/A,FALSE,"Status of Projects";#N/A,#N/A,FALSE,"CEA-TEC";#N/A,#N/A,FALSE,"U-Constr.";#N/A,#N/A,FALSE,"summary";#N/A,#N/A,FALSE,"PPP-3 yrs"}</definedName>
    <definedName name="Acc_payable" localSheetId="4">#REF!</definedName>
    <definedName name="Acc_payable" localSheetId="9">#REF!</definedName>
    <definedName name="Acc_payable">#REF!</definedName>
    <definedName name="Acc_payable_growth_fore" localSheetId="4">#REF!</definedName>
    <definedName name="Acc_payable_growth_fore" localSheetId="5">#REF!</definedName>
    <definedName name="Acc_payable_growth_fore" localSheetId="15">#REF!</definedName>
    <definedName name="Acc_payable_growth_fore" localSheetId="19">#REF!</definedName>
    <definedName name="Acc_payable_growth_fore" localSheetId="18">#REF!</definedName>
    <definedName name="Acc_payable_growth_fore" localSheetId="14">#REF!</definedName>
    <definedName name="Acc_payable_growth_fore" localSheetId="12">#REF!</definedName>
    <definedName name="Acc_payable_growth_fore" localSheetId="24">#REF!</definedName>
    <definedName name="Acc_payable_growth_fore" localSheetId="7">#REF!</definedName>
    <definedName name="Acc_payable_growth_fore" localSheetId="20">#REF!</definedName>
    <definedName name="Acc_payable_growth_fore" localSheetId="21">#REF!</definedName>
    <definedName name="Acc_payable_growth_fore" localSheetId="11">#REF!</definedName>
    <definedName name="Acc_payable_growth_fore" localSheetId="17">#REF!</definedName>
    <definedName name="Acc_payable_growth_fore" localSheetId="16">#REF!</definedName>
    <definedName name="Acc_payable_growth_fore" localSheetId="22">#REF!</definedName>
    <definedName name="Acc_payable_growth_fore" localSheetId="9">#REF!</definedName>
    <definedName name="Acc_payable_growth_fore" localSheetId="13">#REF!</definedName>
    <definedName name="Acc_payable_growth_fore" localSheetId="23">#REF!</definedName>
    <definedName name="Acc_payable_growth_fore">#REF!</definedName>
    <definedName name="Acc_Rec" localSheetId="4">#REF!</definedName>
    <definedName name="Acc_Rec" localSheetId="9">#REF!</definedName>
    <definedName name="Acc_Rec">#REF!</definedName>
    <definedName name="Acc_Rec_growth_fore" localSheetId="4">#REF!</definedName>
    <definedName name="Acc_Rec_growth_fore" localSheetId="5">#REF!</definedName>
    <definedName name="Acc_Rec_growth_fore" localSheetId="15">#REF!</definedName>
    <definedName name="Acc_Rec_growth_fore" localSheetId="19">#REF!</definedName>
    <definedName name="Acc_Rec_growth_fore" localSheetId="18">#REF!</definedName>
    <definedName name="Acc_Rec_growth_fore" localSheetId="14">#REF!</definedName>
    <definedName name="Acc_Rec_growth_fore" localSheetId="12">#REF!</definedName>
    <definedName name="Acc_Rec_growth_fore" localSheetId="24">#REF!</definedName>
    <definedName name="Acc_Rec_growth_fore" localSheetId="7">#REF!</definedName>
    <definedName name="Acc_Rec_growth_fore" localSheetId="20">#REF!</definedName>
    <definedName name="Acc_Rec_growth_fore" localSheetId="21">#REF!</definedName>
    <definedName name="Acc_Rec_growth_fore" localSheetId="11">#REF!</definedName>
    <definedName name="Acc_Rec_growth_fore" localSheetId="17">#REF!</definedName>
    <definedName name="Acc_Rec_growth_fore" localSheetId="16">#REF!</definedName>
    <definedName name="Acc_Rec_growth_fore" localSheetId="22">#REF!</definedName>
    <definedName name="Acc_Rec_growth_fore" localSheetId="9">#REF!</definedName>
    <definedName name="Acc_Rec_growth_fore" localSheetId="13">#REF!</definedName>
    <definedName name="Acc_Rec_growth_fore" localSheetId="23">#REF!</definedName>
    <definedName name="Acc_Rec_growth_fore">#REF!</definedName>
    <definedName name="Acc_Rec_turns" localSheetId="4">#REF!</definedName>
    <definedName name="Acc_Rec_turns" localSheetId="9">#REF!</definedName>
    <definedName name="Acc_Rec_turns">#REF!</definedName>
    <definedName name="Accel_Ratio" localSheetId="4">#REF!</definedName>
    <definedName name="Accel_Ratio" localSheetId="9">#REF!</definedName>
    <definedName name="Accel_Ratio">#REF!</definedName>
    <definedName name="AccessDatabase" hidden="1">"D:\MIS\TALLY  31.09.04 sep\AS PER TALLY 31.09.04.mdb"</definedName>
    <definedName name="Accrued_compensation" localSheetId="4">#REF!</definedName>
    <definedName name="Accrued_compensation" localSheetId="9">#REF!</definedName>
    <definedName name="Accrued_compensation">#REF!</definedName>
    <definedName name="Accrued_compensation_growth_fore" localSheetId="4">#REF!</definedName>
    <definedName name="Accrued_compensation_growth_fore" localSheetId="5">#REF!</definedName>
    <definedName name="Accrued_compensation_growth_fore" localSheetId="15">#REF!</definedName>
    <definedName name="Accrued_compensation_growth_fore" localSheetId="19">#REF!</definedName>
    <definedName name="Accrued_compensation_growth_fore" localSheetId="18">#REF!</definedName>
    <definedName name="Accrued_compensation_growth_fore" localSheetId="14">#REF!</definedName>
    <definedName name="Accrued_compensation_growth_fore" localSheetId="12">#REF!</definedName>
    <definedName name="Accrued_compensation_growth_fore" localSheetId="24">#REF!</definedName>
    <definedName name="Accrued_compensation_growth_fore" localSheetId="7">#REF!</definedName>
    <definedName name="Accrued_compensation_growth_fore" localSheetId="20">#REF!</definedName>
    <definedName name="Accrued_compensation_growth_fore" localSheetId="21">#REF!</definedName>
    <definedName name="Accrued_compensation_growth_fore" localSheetId="11">#REF!</definedName>
    <definedName name="Accrued_compensation_growth_fore" localSheetId="17">#REF!</definedName>
    <definedName name="Accrued_compensation_growth_fore" localSheetId="16">#REF!</definedName>
    <definedName name="Accrued_compensation_growth_fore" localSheetId="22">#REF!</definedName>
    <definedName name="Accrued_compensation_growth_fore" localSheetId="9">#REF!</definedName>
    <definedName name="Accrued_compensation_growth_fore" localSheetId="13">#REF!</definedName>
    <definedName name="Accrued_compensation_growth_fore" localSheetId="23">#REF!</definedName>
    <definedName name="Accrued_compensation_growth_fore">#REF!</definedName>
    <definedName name="Accrued_expenses" localSheetId="4">#REF!</definedName>
    <definedName name="Accrued_expenses" localSheetId="9">#REF!</definedName>
    <definedName name="Accrued_expenses">#REF!</definedName>
    <definedName name="Accrued_expenses_growth_fore" localSheetId="4">#REF!</definedName>
    <definedName name="Accrued_expenses_growth_fore" localSheetId="5">#REF!</definedName>
    <definedName name="Accrued_expenses_growth_fore" localSheetId="15">#REF!</definedName>
    <definedName name="Accrued_expenses_growth_fore" localSheetId="19">#REF!</definedName>
    <definedName name="Accrued_expenses_growth_fore" localSheetId="18">#REF!</definedName>
    <definedName name="Accrued_expenses_growth_fore" localSheetId="14">#REF!</definedName>
    <definedName name="Accrued_expenses_growth_fore" localSheetId="12">#REF!</definedName>
    <definedName name="Accrued_expenses_growth_fore" localSheetId="24">#REF!</definedName>
    <definedName name="Accrued_expenses_growth_fore" localSheetId="7">#REF!</definedName>
    <definedName name="Accrued_expenses_growth_fore" localSheetId="20">#REF!</definedName>
    <definedName name="Accrued_expenses_growth_fore" localSheetId="21">#REF!</definedName>
    <definedName name="Accrued_expenses_growth_fore" localSheetId="11">#REF!</definedName>
    <definedName name="Accrued_expenses_growth_fore" localSheetId="17">#REF!</definedName>
    <definedName name="Accrued_expenses_growth_fore" localSheetId="16">#REF!</definedName>
    <definedName name="Accrued_expenses_growth_fore" localSheetId="22">#REF!</definedName>
    <definedName name="Accrued_expenses_growth_fore" localSheetId="9">#REF!</definedName>
    <definedName name="Accrued_expenses_growth_fore" localSheetId="13">#REF!</definedName>
    <definedName name="Accrued_expenses_growth_fore" localSheetId="23">#REF!</definedName>
    <definedName name="Accrued_expenses_growth_fore">#REF!</definedName>
    <definedName name="accrued_interest">#REF!</definedName>
    <definedName name="Accum_Cap_Expenses" localSheetId="4">#REF!</definedName>
    <definedName name="Accum_Cap_Expenses" localSheetId="9">#REF!</definedName>
    <definedName name="Accum_Cap_Expenses">#REF!</definedName>
    <definedName name="Accum_Cap_Expenses_growth_fore" localSheetId="4">#REF!</definedName>
    <definedName name="Accum_Cap_Expenses_growth_fore" localSheetId="5">#REF!</definedName>
    <definedName name="Accum_Cap_Expenses_growth_fore" localSheetId="15">#REF!</definedName>
    <definedName name="Accum_Cap_Expenses_growth_fore" localSheetId="19">#REF!</definedName>
    <definedName name="Accum_Cap_Expenses_growth_fore" localSheetId="18">#REF!</definedName>
    <definedName name="Accum_Cap_Expenses_growth_fore" localSheetId="14">#REF!</definedName>
    <definedName name="Accum_Cap_Expenses_growth_fore" localSheetId="12">#REF!</definedName>
    <definedName name="Accum_Cap_Expenses_growth_fore" localSheetId="24">#REF!</definedName>
    <definedName name="Accum_Cap_Expenses_growth_fore" localSheetId="7">#REF!</definedName>
    <definedName name="Accum_Cap_Expenses_growth_fore" localSheetId="20">#REF!</definedName>
    <definedName name="Accum_Cap_Expenses_growth_fore" localSheetId="21">#REF!</definedName>
    <definedName name="Accum_Cap_Expenses_growth_fore" localSheetId="11">#REF!</definedName>
    <definedName name="Accum_Cap_Expenses_growth_fore" localSheetId="17">#REF!</definedName>
    <definedName name="Accum_Cap_Expenses_growth_fore" localSheetId="16">#REF!</definedName>
    <definedName name="Accum_Cap_Expenses_growth_fore" localSheetId="22">#REF!</definedName>
    <definedName name="Accum_Cap_Expenses_growth_fore" localSheetId="9">#REF!</definedName>
    <definedName name="Accum_Cap_Expenses_growth_fore" localSheetId="13">#REF!</definedName>
    <definedName name="Accum_Cap_Expenses_growth_fore" localSheetId="23">#REF!</definedName>
    <definedName name="Accum_Cap_Expenses_growth_fore">#REF!</definedName>
    <definedName name="Accum_Goodwill_Amort" localSheetId="4">#REF!</definedName>
    <definedName name="Accum_Goodwill_Amort" localSheetId="9">#REF!</definedName>
    <definedName name="Accum_Goodwill_Amort">#REF!</definedName>
    <definedName name="Accum_Goodwill_Amort_growth_fore" localSheetId="4">#REF!</definedName>
    <definedName name="Accum_Goodwill_Amort_growth_fore" localSheetId="5">#REF!</definedName>
    <definedName name="Accum_Goodwill_Amort_growth_fore" localSheetId="15">#REF!</definedName>
    <definedName name="Accum_Goodwill_Amort_growth_fore" localSheetId="19">#REF!</definedName>
    <definedName name="Accum_Goodwill_Amort_growth_fore" localSheetId="18">#REF!</definedName>
    <definedName name="Accum_Goodwill_Amort_growth_fore" localSheetId="14">#REF!</definedName>
    <definedName name="Accum_Goodwill_Amort_growth_fore" localSheetId="12">#REF!</definedName>
    <definedName name="Accum_Goodwill_Amort_growth_fore" localSheetId="24">#REF!</definedName>
    <definedName name="Accum_Goodwill_Amort_growth_fore" localSheetId="7">#REF!</definedName>
    <definedName name="Accum_Goodwill_Amort_growth_fore" localSheetId="20">#REF!</definedName>
    <definedName name="Accum_Goodwill_Amort_growth_fore" localSheetId="21">#REF!</definedName>
    <definedName name="Accum_Goodwill_Amort_growth_fore" localSheetId="11">#REF!</definedName>
    <definedName name="Accum_Goodwill_Amort_growth_fore" localSheetId="17">#REF!</definedName>
    <definedName name="Accum_Goodwill_Amort_growth_fore" localSheetId="16">#REF!</definedName>
    <definedName name="Accum_Goodwill_Amort_growth_fore" localSheetId="22">#REF!</definedName>
    <definedName name="Accum_Goodwill_Amort_growth_fore" localSheetId="9">#REF!</definedName>
    <definedName name="Accum_Goodwill_Amort_growth_fore" localSheetId="13">#REF!</definedName>
    <definedName name="Accum_Goodwill_Amort_growth_fore" localSheetId="23">#REF!</definedName>
    <definedName name="Accum_Goodwill_Amort_growth_fore">#REF!</definedName>
    <definedName name="Accum_Other_Amort." localSheetId="4">#REF!</definedName>
    <definedName name="Accum_Other_Amort." localSheetId="9">#REF!</definedName>
    <definedName name="Accum_Other_Amort.">#REF!</definedName>
    <definedName name="Accumulated_depreciation_total">#REF!</definedName>
    <definedName name="AcidTestRatio" localSheetId="4">#REF!</definedName>
    <definedName name="AcidTestRatio" localSheetId="9">#REF!</definedName>
    <definedName name="AcidTestRatio">#REF!</definedName>
    <definedName name="acquisition_disposal_of_subsidiaries" localSheetId="4">#REF!</definedName>
    <definedName name="acquisition_disposal_of_subsidiaries" localSheetId="5">#REF!</definedName>
    <definedName name="acquisition_disposal_of_subsidiaries" localSheetId="15">#REF!</definedName>
    <definedName name="acquisition_disposal_of_subsidiaries" localSheetId="19">#REF!</definedName>
    <definedName name="acquisition_disposal_of_subsidiaries" localSheetId="18">#REF!</definedName>
    <definedName name="acquisition_disposal_of_subsidiaries" localSheetId="14">#REF!</definedName>
    <definedName name="acquisition_disposal_of_subsidiaries" localSheetId="12">#REF!</definedName>
    <definedName name="acquisition_disposal_of_subsidiaries" localSheetId="24">#REF!</definedName>
    <definedName name="acquisition_disposal_of_subsidiaries" localSheetId="7">#REF!</definedName>
    <definedName name="acquisition_disposal_of_subsidiaries" localSheetId="20">#REF!</definedName>
    <definedName name="acquisition_disposal_of_subsidiaries" localSheetId="21">#REF!</definedName>
    <definedName name="acquisition_disposal_of_subsidiaries" localSheetId="11">#REF!</definedName>
    <definedName name="acquisition_disposal_of_subsidiaries" localSheetId="17">#REF!</definedName>
    <definedName name="acquisition_disposal_of_subsidiaries" localSheetId="16">#REF!</definedName>
    <definedName name="acquisition_disposal_of_subsidiaries" localSheetId="22">#REF!</definedName>
    <definedName name="acquisition_disposal_of_subsidiaries" localSheetId="9">#REF!</definedName>
    <definedName name="acquisition_disposal_of_subsidiaries" localSheetId="13">#REF!</definedName>
    <definedName name="acquisition_disposal_of_subsidiaries" localSheetId="23">#REF!</definedName>
    <definedName name="acquisition_disposal_of_subsidiaries">#REF!</definedName>
    <definedName name="Acquition" localSheetId="4">#REF!</definedName>
    <definedName name="Acquition" localSheetId="5">#REF!</definedName>
    <definedName name="Acquition" localSheetId="15">#REF!</definedName>
    <definedName name="Acquition" localSheetId="19">#REF!</definedName>
    <definedName name="Acquition" localSheetId="18">#REF!</definedName>
    <definedName name="Acquition" localSheetId="14">#REF!</definedName>
    <definedName name="Acquition" localSheetId="12">#REF!</definedName>
    <definedName name="Acquition" localSheetId="24">#REF!</definedName>
    <definedName name="Acquition" localSheetId="7">#REF!</definedName>
    <definedName name="Acquition" localSheetId="20">#REF!</definedName>
    <definedName name="Acquition" localSheetId="21">#REF!</definedName>
    <definedName name="Acquition" localSheetId="11">#REF!</definedName>
    <definedName name="Acquition" localSheetId="17">#REF!</definedName>
    <definedName name="Acquition" localSheetId="16">#REF!</definedName>
    <definedName name="Acquition" localSheetId="22">#REF!</definedName>
    <definedName name="Acquition" localSheetId="9">#REF!</definedName>
    <definedName name="Acquition" localSheetId="13">#REF!</definedName>
    <definedName name="Acquition" localSheetId="23">#REF!</definedName>
    <definedName name="Acquition">#REF!</definedName>
    <definedName name="act">#REF!</definedName>
    <definedName name="ActDepr">#REF!</definedName>
    <definedName name="ActualEarningsPerShare" localSheetId="4">#REF!</definedName>
    <definedName name="ActualEarningsPerShare" localSheetId="9">#REF!</definedName>
    <definedName name="ActualEarningsPerShare">#REF!</definedName>
    <definedName name="ActualEPS" localSheetId="4">#REF!</definedName>
    <definedName name="ActualEPS" localSheetId="9">#REF!</definedName>
    <definedName name="ActualEPS">#REF!</definedName>
    <definedName name="additional_charge">#REF!</definedName>
    <definedName name="Additional_provision_for_Non_Performing_Assets">#REF!</definedName>
    <definedName name="Adj._Net_Operating_profit">#REF!</definedName>
    <definedName name="Adj_net_oper_fore" localSheetId="4">#REF!</definedName>
    <definedName name="Adj_net_oper_fore" localSheetId="5">#REF!</definedName>
    <definedName name="Adj_net_oper_fore" localSheetId="15">#REF!</definedName>
    <definedName name="Adj_net_oper_fore" localSheetId="19">#REF!</definedName>
    <definedName name="Adj_net_oper_fore" localSheetId="18">#REF!</definedName>
    <definedName name="Adj_net_oper_fore" localSheetId="14">#REF!</definedName>
    <definedName name="Adj_net_oper_fore" localSheetId="12">#REF!</definedName>
    <definedName name="Adj_net_oper_fore" localSheetId="24">#REF!</definedName>
    <definedName name="Adj_net_oper_fore" localSheetId="7">#REF!</definedName>
    <definedName name="Adj_net_oper_fore" localSheetId="20">#REF!</definedName>
    <definedName name="Adj_net_oper_fore" localSheetId="21">#REF!</definedName>
    <definedName name="Adj_net_oper_fore" localSheetId="11">#REF!</definedName>
    <definedName name="Adj_net_oper_fore" localSheetId="17">#REF!</definedName>
    <definedName name="Adj_net_oper_fore" localSheetId="16">#REF!</definedName>
    <definedName name="Adj_net_oper_fore" localSheetId="22">#REF!</definedName>
    <definedName name="Adj_net_oper_fore" localSheetId="9">#REF!</definedName>
    <definedName name="Adj_net_oper_fore" localSheetId="13">#REF!</definedName>
    <definedName name="Adj_net_oper_fore" localSheetId="23">#REF!</definedName>
    <definedName name="Adj_net_oper_fore">#REF!</definedName>
    <definedName name="adj_net_profit_growth" localSheetId="4">#REF!</definedName>
    <definedName name="adj_net_profit_growth" localSheetId="5">#REF!</definedName>
    <definedName name="adj_net_profit_growth" localSheetId="15">#REF!</definedName>
    <definedName name="adj_net_profit_growth" localSheetId="19">#REF!</definedName>
    <definedName name="adj_net_profit_growth" localSheetId="18">#REF!</definedName>
    <definedName name="adj_net_profit_growth" localSheetId="14">#REF!</definedName>
    <definedName name="adj_net_profit_growth" localSheetId="12">#REF!</definedName>
    <definedName name="adj_net_profit_growth" localSheetId="24">#REF!</definedName>
    <definedName name="adj_net_profit_growth" localSheetId="7">#REF!</definedName>
    <definedName name="adj_net_profit_growth" localSheetId="20">#REF!</definedName>
    <definedName name="adj_net_profit_growth" localSheetId="21">#REF!</definedName>
    <definedName name="adj_net_profit_growth" localSheetId="11">#REF!</definedName>
    <definedName name="adj_net_profit_growth" localSheetId="17">#REF!</definedName>
    <definedName name="adj_net_profit_growth" localSheetId="16">#REF!</definedName>
    <definedName name="adj_net_profit_growth" localSheetId="22">#REF!</definedName>
    <definedName name="adj_net_profit_growth" localSheetId="9">#REF!</definedName>
    <definedName name="adj_net_profit_growth" localSheetId="13">#REF!</definedName>
    <definedName name="adj_net_profit_growth" localSheetId="23">#REF!</definedName>
    <definedName name="adj_net_profit_growth">#REF!</definedName>
    <definedName name="adj_pat_Q">#REF!</definedName>
    <definedName name="Adj_Price_Rs_at_Period_End">#REF!</definedName>
    <definedName name="Adjusted_book_value_Rs">#REF!</definedName>
    <definedName name="Adjusted_Common_Equity" localSheetId="4">#REF!</definedName>
    <definedName name="Adjusted_Common_Equity" localSheetId="9">#REF!</definedName>
    <definedName name="Adjusted_Common_Equity">#REF!</definedName>
    <definedName name="adjusted_eps">#REF!</definedName>
    <definedName name="Adjusted_Income_Available_to_Common" localSheetId="4">#REF!</definedName>
    <definedName name="Adjusted_Income_Available_to_Common" localSheetId="9">#REF!</definedName>
    <definedName name="Adjusted_Income_Available_to_Common">#REF!</definedName>
    <definedName name="Adjusted_Net_Operating_Profit" localSheetId="4">#REF!</definedName>
    <definedName name="Adjusted_Net_Operating_Profit" localSheetId="9">#REF!</definedName>
    <definedName name="Adjusted_Net_Operating_Profit">#REF!</definedName>
    <definedName name="adjusted_net_profit">#REF!</definedName>
    <definedName name="adjusted_net_profit_qtr">#REF!</definedName>
    <definedName name="Adjusted_Net_profit6">#REF!</definedName>
    <definedName name="Adjusted_Profit_after_tax">#REF!</definedName>
    <definedName name="Adjusted_profit_after_tax_Q" localSheetId="4">#REF!</definedName>
    <definedName name="Adjusted_profit_after_tax_Q" localSheetId="5">#REF!</definedName>
    <definedName name="Adjusted_profit_after_tax_Q" localSheetId="15">#REF!</definedName>
    <definedName name="Adjusted_profit_after_tax_Q" localSheetId="19">#REF!</definedName>
    <definedName name="Adjusted_profit_after_tax_Q" localSheetId="18">#REF!</definedName>
    <definedName name="Adjusted_profit_after_tax_Q" localSheetId="14">#REF!</definedName>
    <definedName name="Adjusted_profit_after_tax_Q" localSheetId="12">#REF!</definedName>
    <definedName name="Adjusted_profit_after_tax_Q" localSheetId="24">#REF!</definedName>
    <definedName name="Adjusted_profit_after_tax_Q" localSheetId="7">#REF!</definedName>
    <definedName name="Adjusted_profit_after_tax_Q" localSheetId="20">#REF!</definedName>
    <definedName name="Adjusted_profit_after_tax_Q" localSheetId="21">#REF!</definedName>
    <definedName name="Adjusted_profit_after_tax_Q" localSheetId="11">#REF!</definedName>
    <definedName name="Adjusted_profit_after_tax_Q" localSheetId="17">#REF!</definedName>
    <definedName name="Adjusted_profit_after_tax_Q" localSheetId="16">#REF!</definedName>
    <definedName name="Adjusted_profit_after_tax_Q" localSheetId="22">#REF!</definedName>
    <definedName name="Adjusted_profit_after_tax_Q" localSheetId="9">#REF!</definedName>
    <definedName name="Adjusted_profit_after_tax_Q" localSheetId="13">#REF!</definedName>
    <definedName name="Adjusted_profit_after_tax_Q" localSheetId="23">#REF!</definedName>
    <definedName name="Adjusted_profit_after_tax_Q">#REF!</definedName>
    <definedName name="AdmExp">#REF!</definedName>
    <definedName name="AdmExpSer" hidden="1">#REF!</definedName>
    <definedName name="administrative_expenses">#REF!</definedName>
    <definedName name="ADR_EXRATE" localSheetId="4">#REF!</definedName>
    <definedName name="ADR_EXRATE" localSheetId="5">#REF!</definedName>
    <definedName name="ADR_EXRATE" localSheetId="15">#REF!</definedName>
    <definedName name="ADR_EXRATE" localSheetId="19">#REF!</definedName>
    <definedName name="ADR_EXRATE" localSheetId="18">#REF!</definedName>
    <definedName name="ADR_EXRATE" localSheetId="14">#REF!</definedName>
    <definedName name="ADR_EXRATE" localSheetId="12">#REF!</definedName>
    <definedName name="ADR_EXRATE" localSheetId="24">#REF!</definedName>
    <definedName name="ADR_EXRATE" localSheetId="7">#REF!</definedName>
    <definedName name="ADR_EXRATE" localSheetId="20">#REF!</definedName>
    <definedName name="ADR_EXRATE" localSheetId="21">#REF!</definedName>
    <definedName name="ADR_EXRATE" localSheetId="11">#REF!</definedName>
    <definedName name="ADR_EXRATE" localSheetId="17">#REF!</definedName>
    <definedName name="ADR_EXRATE" localSheetId="16">#REF!</definedName>
    <definedName name="ADR_EXRATE" localSheetId="22">#REF!</definedName>
    <definedName name="ADR_EXRATE" localSheetId="9">#REF!</definedName>
    <definedName name="ADR_EXRATE" localSheetId="13">#REF!</definedName>
    <definedName name="ADR_EXRATE" localSheetId="23">#REF!</definedName>
    <definedName name="ADR_EXRATE">#REF!</definedName>
    <definedName name="adsf">#REF!</definedName>
    <definedName name="Advance_payment_of_tax">#REF!</definedName>
    <definedName name="advances_avg">#REF!</definedName>
    <definedName name="advances_Q">#REF!</definedName>
    <definedName name="advertising" localSheetId="4">#REF!</definedName>
    <definedName name="advertising" localSheetId="5">#REF!</definedName>
    <definedName name="advertising" localSheetId="15">#REF!</definedName>
    <definedName name="advertising" localSheetId="19">#REF!</definedName>
    <definedName name="advertising" localSheetId="18">#REF!</definedName>
    <definedName name="advertising" localSheetId="14">#REF!</definedName>
    <definedName name="advertising" localSheetId="12">#REF!</definedName>
    <definedName name="advertising" localSheetId="24">#REF!</definedName>
    <definedName name="advertising" localSheetId="7">#REF!</definedName>
    <definedName name="advertising" localSheetId="20">#REF!</definedName>
    <definedName name="advertising" localSheetId="21">#REF!</definedName>
    <definedName name="advertising" localSheetId="11">#REF!</definedName>
    <definedName name="advertising" localSheetId="17">#REF!</definedName>
    <definedName name="advertising" localSheetId="16">#REF!</definedName>
    <definedName name="advertising" localSheetId="22">#REF!</definedName>
    <definedName name="advertising" localSheetId="9">#REF!</definedName>
    <definedName name="advertising" localSheetId="13">#REF!</definedName>
    <definedName name="advertising" localSheetId="23">#REF!</definedName>
    <definedName name="advertising">#REF!</definedName>
    <definedName name="AF" localSheetId="4">#REF!</definedName>
    <definedName name="AF" localSheetId="9">#REF!</definedName>
    <definedName name="AF">#REF!</definedName>
    <definedName name="afgdfgfd" hidden="1">#REF!,#REF!,#REF!,#REF!,#REF!,#REF!,#REF!,#REF!</definedName>
    <definedName name="After_tax_charge" localSheetId="4">#REF!</definedName>
    <definedName name="After_tax_charge" localSheetId="9">#REF!</definedName>
    <definedName name="After_tax_charge">#REF!</definedName>
    <definedName name="After_Tax_charges_gains" localSheetId="4">#REF!</definedName>
    <definedName name="After_Tax_charges_gains" localSheetId="9">#REF!</definedName>
    <definedName name="After_Tax_charges_gains">#REF!</definedName>
    <definedName name="ajaj" localSheetId="4" hidden="1">{#N/A,#N/A,FALSE,"Status of Projects";#N/A,#N/A,FALSE,"CEA-TEC";#N/A,#N/A,FALSE,"U-Constr.";#N/A,#N/A,FALSE,"summary";#N/A,#N/A,FALSE,"PPP-3 yrs"}</definedName>
    <definedName name="ajaj" localSheetId="9" hidden="1">{#N/A,#N/A,FALSE,"Status of Projects";#N/A,#N/A,FALSE,"CEA-TEC";#N/A,#N/A,FALSE,"U-Constr.";#N/A,#N/A,FALSE,"summary";#N/A,#N/A,FALSE,"PPP-3 yrs"}</definedName>
    <definedName name="ajaj" hidden="1">{#N/A,#N/A,FALSE,"Status of Projects";#N/A,#N/A,FALSE,"CEA-TEC";#N/A,#N/A,FALSE,"U-Constr.";#N/A,#N/A,FALSE,"summary";#N/A,#N/A,FALSE,"PPP-3 yrs"}</definedName>
    <definedName name="ajay" localSheetId="4" hidden="1">{#N/A,#N/A,FALSE,"Status of Projects";#N/A,#N/A,FALSE,"CEA-TEC";#N/A,#N/A,FALSE,"U-Constr.";#N/A,#N/A,FALSE,"summary";#N/A,#N/A,FALSE,"PPP-3 yrs"}</definedName>
    <definedName name="ajay" localSheetId="9" hidden="1">{#N/A,#N/A,FALSE,"Status of Projects";#N/A,#N/A,FALSE,"CEA-TEC";#N/A,#N/A,FALSE,"U-Constr.";#N/A,#N/A,FALSE,"summary";#N/A,#N/A,FALSE,"PPP-3 yrs"}</definedName>
    <definedName name="ajay" hidden="1">{#N/A,#N/A,FALSE,"Status of Projects";#N/A,#N/A,FALSE,"CEA-TEC";#N/A,#N/A,FALSE,"U-Constr.";#N/A,#N/A,FALSE,"summary";#N/A,#N/A,FALSE,"PPP-3 yrs"}</definedName>
    <definedName name="ammbwgt">#REF!</definedName>
    <definedName name="amortisation_goodwill">#REF!</definedName>
    <definedName name="Amortisation_of_Intangible_Assets">#REF!</definedName>
    <definedName name="amortisation_other_intangibles">#REF!</definedName>
    <definedName name="Amount_Received_in_advance_from_ESOS_Trust">#REF!</definedName>
    <definedName name="Analyst">#REF!</definedName>
    <definedName name="analyst_email" localSheetId="4">#REF!</definedName>
    <definedName name="analyst_email" localSheetId="5">#REF!</definedName>
    <definedName name="analyst_email" localSheetId="15">#REF!</definedName>
    <definedName name="analyst_email" localSheetId="19">#REF!</definedName>
    <definedName name="analyst_email" localSheetId="18">#REF!</definedName>
    <definedName name="analyst_email" localSheetId="14">#REF!</definedName>
    <definedName name="analyst_email" localSheetId="12">#REF!</definedName>
    <definedName name="analyst_email" localSheetId="24">#REF!</definedName>
    <definedName name="analyst_email" localSheetId="7">#REF!</definedName>
    <definedName name="analyst_email" localSheetId="20">#REF!</definedName>
    <definedName name="analyst_email" localSheetId="21">#REF!</definedName>
    <definedName name="analyst_email" localSheetId="11">#REF!</definedName>
    <definedName name="analyst_email" localSheetId="17">#REF!</definedName>
    <definedName name="analyst_email" localSheetId="16">#REF!</definedName>
    <definedName name="analyst_email" localSheetId="22">#REF!</definedName>
    <definedName name="analyst_email" localSheetId="9">#REF!</definedName>
    <definedName name="analyst_email" localSheetId="13">#REF!</definedName>
    <definedName name="analyst_email" localSheetId="23">#REF!</definedName>
    <definedName name="analyst_email">#REF!</definedName>
    <definedName name="analyst_phone" localSheetId="4">#REF!</definedName>
    <definedName name="analyst_phone" localSheetId="5">#REF!</definedName>
    <definedName name="analyst_phone" localSheetId="15">#REF!</definedName>
    <definedName name="analyst_phone" localSheetId="19">#REF!</definedName>
    <definedName name="analyst_phone" localSheetId="18">#REF!</definedName>
    <definedName name="analyst_phone" localSheetId="14">#REF!</definedName>
    <definedName name="analyst_phone" localSheetId="12">#REF!</definedName>
    <definedName name="analyst_phone" localSheetId="24">#REF!</definedName>
    <definedName name="analyst_phone" localSheetId="7">#REF!</definedName>
    <definedName name="analyst_phone" localSheetId="20">#REF!</definedName>
    <definedName name="analyst_phone" localSheetId="21">#REF!</definedName>
    <definedName name="analyst_phone" localSheetId="11">#REF!</definedName>
    <definedName name="analyst_phone" localSheetId="17">#REF!</definedName>
    <definedName name="analyst_phone" localSheetId="16">#REF!</definedName>
    <definedName name="analyst_phone" localSheetId="22">#REF!</definedName>
    <definedName name="analyst_phone" localSheetId="9">#REF!</definedName>
    <definedName name="analyst_phone" localSheetId="13">#REF!</definedName>
    <definedName name="analyst_phone" localSheetId="23">#REF!</definedName>
    <definedName name="analyst_phone">#REF!</definedName>
    <definedName name="anscount" localSheetId="4" hidden="1">3</definedName>
    <definedName name="anscount" localSheetId="9" hidden="1">3</definedName>
    <definedName name="anscount" hidden="1">1</definedName>
    <definedName name="application">#REF!</definedName>
    <definedName name="application1">#REF!</definedName>
    <definedName name="Appropriations">#REF!</definedName>
    <definedName name="Apr">#REF!</definedName>
    <definedName name="area">#REF!</definedName>
    <definedName name="Argentina" localSheetId="4">#REF!</definedName>
    <definedName name="Argentina" localSheetId="5">#REF!</definedName>
    <definedName name="Argentina" localSheetId="15">#REF!</definedName>
    <definedName name="Argentina" localSheetId="19">#REF!</definedName>
    <definedName name="Argentina" localSheetId="18">#REF!</definedName>
    <definedName name="Argentina" localSheetId="14">#REF!</definedName>
    <definedName name="Argentina" localSheetId="12">#REF!</definedName>
    <definedName name="Argentina" localSheetId="24">#REF!</definedName>
    <definedName name="Argentina" localSheetId="7">#REF!</definedName>
    <definedName name="Argentina" localSheetId="20">#REF!</definedName>
    <definedName name="Argentina" localSheetId="21">#REF!</definedName>
    <definedName name="Argentina" localSheetId="11">#REF!</definedName>
    <definedName name="Argentina" localSheetId="17">#REF!</definedName>
    <definedName name="Argentina" localSheetId="16">#REF!</definedName>
    <definedName name="Argentina" localSheetId="22">#REF!</definedName>
    <definedName name="Argentina" localSheetId="9">#REF!</definedName>
    <definedName name="Argentina" localSheetId="13">#REF!</definedName>
    <definedName name="Argentina" localSheetId="23">#REF!</definedName>
    <definedName name="Argentina">#REF!</definedName>
    <definedName name="AS2DocOpenMode" hidden="1">"AS2DocumentEdit"</definedName>
    <definedName name="AS2ReportLS" hidden="1">1</definedName>
    <definedName name="AS2SyncStepLS" hidden="1">0</definedName>
    <definedName name="AS2TickmarkLS" localSheetId="4" hidden="1">#REF!</definedName>
    <definedName name="AS2TickmarkLS" localSheetId="9" hidden="1">#REF!</definedName>
    <definedName name="AS2TickmarkLS" hidden="1">#REF!</definedName>
    <definedName name="AS2VersionLS" hidden="1">300</definedName>
    <definedName name="asasa" localSheetId="4" hidden="1">{"'PS-SOTM'!$A$1","'PS-SOTM'!$A$2:$M$30","'PS-SOTM'!$A$31:$A$38"}</definedName>
    <definedName name="asasa" localSheetId="9" hidden="1">{"'PS-SOTM'!$A$1","'PS-SOTM'!$A$2:$M$30","'PS-SOTM'!$A$31:$A$38"}</definedName>
    <definedName name="asasa" hidden="1">{"'PS-SOTM'!$A$1","'PS-SOTM'!$A$2:$M$30","'PS-SOTM'!$A$31:$A$38"}</definedName>
    <definedName name="asd"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 localSheetId="5" hidden="1">{"Print Summary",#N/A,FALSE,"Bal_Graphs";"Print Summary",#N/A,FALSE,"DCF";"Print Summary",#N/A,FALSE,"Graphs";"Print Summary",#N/A,FALSE,"Summary"}</definedName>
    <definedName name="asd" localSheetId="15" hidden="1">{"Print Summary",#N/A,FALSE,"Bal_Graphs";"Print Summary",#N/A,FALSE,"DCF";"Print Summary",#N/A,FALSE,"Graphs";"Print Summary",#N/A,FALSE,"Summary"}</definedName>
    <definedName name="asd" localSheetId="19" hidden="1">{"Print Summary",#N/A,FALSE,"Bal_Graphs";"Print Summary",#N/A,FALSE,"DCF";"Print Summary",#N/A,FALSE,"Graphs";"Print Summary",#N/A,FALSE,"Summary"}</definedName>
    <definedName name="asd" localSheetId="18" hidden="1">{"Print Summary",#N/A,FALSE,"Bal_Graphs";"Print Summary",#N/A,FALSE,"DCF";"Print Summary",#N/A,FALSE,"Graphs";"Print Summary",#N/A,FALSE,"Summary"}</definedName>
    <definedName name="asd" localSheetId="14" hidden="1">{"Print Summary",#N/A,FALSE,"Bal_Graphs";"Print Summary",#N/A,FALSE,"DCF";"Print Summary",#N/A,FALSE,"Graphs";"Print Summary",#N/A,FALSE,"Summary"}</definedName>
    <definedName name="asd" localSheetId="12" hidden="1">{"Print Summary",#N/A,FALSE,"Bal_Graphs";"Print Summary",#N/A,FALSE,"DCF";"Print Summary",#N/A,FALSE,"Graphs";"Print Summary",#N/A,FALSE,"Summary"}</definedName>
    <definedName name="asd" localSheetId="24" hidden="1">{"Print Summary",#N/A,FALSE,"Bal_Graphs";"Print Summary",#N/A,FALSE,"DCF";"Print Summary",#N/A,FALSE,"Graphs";"Print Summary",#N/A,FALSE,"Summary"}</definedName>
    <definedName name="asd" localSheetId="7" hidden="1">{"Print Summary",#N/A,FALSE,"Bal_Graphs";"Print Summary",#N/A,FALSE,"DCF";"Print Summary",#N/A,FALSE,"Graphs";"Print Summary",#N/A,FALSE,"Summary"}</definedName>
    <definedName name="asd" localSheetId="20" hidden="1">{"Print Summary",#N/A,FALSE,"Bal_Graphs";"Print Summary",#N/A,FALSE,"DCF";"Print Summary",#N/A,FALSE,"Graphs";"Print Summary",#N/A,FALSE,"Summary"}</definedName>
    <definedName name="asd" localSheetId="21" hidden="1">{"Print Summary",#N/A,FALSE,"Bal_Graphs";"Print Summary",#N/A,FALSE,"DCF";"Print Summary",#N/A,FALSE,"Graphs";"Print Summary",#N/A,FALSE,"Summary"}</definedName>
    <definedName name="asd" localSheetId="11" hidden="1">{"Print Summary",#N/A,FALSE,"Bal_Graphs";"Print Summary",#N/A,FALSE,"DCF";"Print Summary",#N/A,FALSE,"Graphs";"Print Summary",#N/A,FALSE,"Summary"}</definedName>
    <definedName name="asd" localSheetId="17" hidden="1">{"Print Summary",#N/A,FALSE,"Bal_Graphs";"Print Summary",#N/A,FALSE,"DCF";"Print Summary",#N/A,FALSE,"Graphs";"Print Summary",#N/A,FALSE,"Summary"}</definedName>
    <definedName name="asd" localSheetId="16" hidden="1">{"Print Summary",#N/A,FALSE,"Bal_Graphs";"Print Summary",#N/A,FALSE,"DCF";"Print Summary",#N/A,FALSE,"Graphs";"Print Summary",#N/A,FALSE,"Summary"}</definedName>
    <definedName name="asd" localSheetId="22" hidden="1">{"Print Summary",#N/A,FALSE,"Bal_Graphs";"Print Summary",#N/A,FALSE,"DCF";"Print Summary",#N/A,FALSE,"Graphs";"Print Summary",#N/A,FALSE,"Summary"}</definedName>
    <definedName name="asd"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 localSheetId="13" hidden="1">{"Print Summary",#N/A,FALSE,"Bal_Graphs";"Print Summary",#N/A,FALSE,"DCF";"Print Summary",#N/A,FALSE,"Graphs";"Print Summary",#N/A,FALSE,"Summary"}</definedName>
    <definedName name="asd" localSheetId="23" hidden="1">{"Print Summary",#N/A,FALSE,"Bal_Graphs";"Print Summary",#N/A,FALSE,"DCF";"Print Summary",#N/A,FALSE,"Graphs";"Print Summary",#N/A,FALSE,"Summary"}</definedName>
    <definedName name="asd" hidden="1">{"Print Summary",#N/A,FALSE,"Bal_Graphs";"Print Summary",#N/A,FALSE,"DCF";"Print Summary",#N/A,FALSE,"Graphs";"Print Summary",#N/A,FALSE,"Summary"}</definedName>
    <definedName name="asdas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sdf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SKRJCOST">#REF!</definedName>
    <definedName name="ASKRJCOSTS">#REF!</definedName>
    <definedName name="ASSET_PEN" localSheetId="4">#REF!</definedName>
    <definedName name="ASSET_PEN" localSheetId="9">#REF!</definedName>
    <definedName name="ASSET_PEN">#REF!</definedName>
    <definedName name="ASSET_SALES" localSheetId="4">#REF!</definedName>
    <definedName name="ASSET_SALES" localSheetId="5">#REF!</definedName>
    <definedName name="ASSET_SALES" localSheetId="15">#REF!</definedName>
    <definedName name="ASSET_SALES" localSheetId="19">#REF!</definedName>
    <definedName name="ASSET_SALES" localSheetId="18">#REF!</definedName>
    <definedName name="ASSET_SALES" localSheetId="14">#REF!</definedName>
    <definedName name="ASSET_SALES" localSheetId="12">#REF!</definedName>
    <definedName name="ASSET_SALES" localSheetId="24">#REF!</definedName>
    <definedName name="ASSET_SALES" localSheetId="7">#REF!</definedName>
    <definedName name="ASSET_SALES" localSheetId="20">#REF!</definedName>
    <definedName name="ASSET_SALES" localSheetId="21">#REF!</definedName>
    <definedName name="ASSET_SALES" localSheetId="11">#REF!</definedName>
    <definedName name="ASSET_SALES" localSheetId="17">#REF!</definedName>
    <definedName name="ASSET_SALES" localSheetId="16">#REF!</definedName>
    <definedName name="ASSET_SALES" localSheetId="22">#REF!</definedName>
    <definedName name="ASSET_SALES" localSheetId="9">#REF!</definedName>
    <definedName name="ASSET_SALES" localSheetId="13">#REF!</definedName>
    <definedName name="ASSET_SALES" localSheetId="23">#REF!</definedName>
    <definedName name="ASSET_SALES">#REF!</definedName>
    <definedName name="asset_turnover" localSheetId="4">#REF!</definedName>
    <definedName name="asset_turnover" localSheetId="5">#REF!</definedName>
    <definedName name="asset_turnover" localSheetId="15">#REF!</definedName>
    <definedName name="asset_turnover" localSheetId="19">#REF!</definedName>
    <definedName name="asset_turnover" localSheetId="18">#REF!</definedName>
    <definedName name="asset_turnover" localSheetId="14">#REF!</definedName>
    <definedName name="asset_turnover" localSheetId="12">#REF!</definedName>
    <definedName name="asset_turnover" localSheetId="24">#REF!</definedName>
    <definedName name="asset_turnover" localSheetId="7">#REF!</definedName>
    <definedName name="asset_turnover" localSheetId="20">#REF!</definedName>
    <definedName name="asset_turnover" localSheetId="21">#REF!</definedName>
    <definedName name="asset_turnover" localSheetId="11">#REF!</definedName>
    <definedName name="asset_turnover" localSheetId="17">#REF!</definedName>
    <definedName name="asset_turnover" localSheetId="16">#REF!</definedName>
    <definedName name="asset_turnover" localSheetId="22">#REF!</definedName>
    <definedName name="asset_turnover" localSheetId="9">#REF!</definedName>
    <definedName name="asset_turnover" localSheetId="13">#REF!</definedName>
    <definedName name="asset_turnover" localSheetId="23">#REF!</definedName>
    <definedName name="asset_turnover">#REF!</definedName>
    <definedName name="ASSETS_TOTAL">#REF!</definedName>
    <definedName name="associate_dividends_received">#REF!</definedName>
    <definedName name="associates" localSheetId="4">#REF!</definedName>
    <definedName name="associates" localSheetId="5">#REF!</definedName>
    <definedName name="associates" localSheetId="15">#REF!</definedName>
    <definedName name="associates" localSheetId="19">#REF!</definedName>
    <definedName name="associates" localSheetId="18">#REF!</definedName>
    <definedName name="associates" localSheetId="14">#REF!</definedName>
    <definedName name="associates" localSheetId="12">#REF!</definedName>
    <definedName name="associates" localSheetId="24">#REF!</definedName>
    <definedName name="associates" localSheetId="7">#REF!</definedName>
    <definedName name="associates" localSheetId="20">#REF!</definedName>
    <definedName name="associates" localSheetId="21">#REF!</definedName>
    <definedName name="associates" localSheetId="11">#REF!</definedName>
    <definedName name="associates" localSheetId="17">#REF!</definedName>
    <definedName name="associates" localSheetId="16">#REF!</definedName>
    <definedName name="associates" localSheetId="22">#REF!</definedName>
    <definedName name="associates" localSheetId="9">#REF!</definedName>
    <definedName name="associates" localSheetId="13">#REF!</definedName>
    <definedName name="associates" localSheetId="23">#REF!</definedName>
    <definedName name="associates">#REF!</definedName>
    <definedName name="associates_pl">#REF!</definedName>
    <definedName name="associates_pl_A">#REF!</definedName>
    <definedName name="associates_pl_Q" localSheetId="4">#REF!</definedName>
    <definedName name="associates_pl_Q" localSheetId="5">#REF!</definedName>
    <definedName name="associates_pl_Q" localSheetId="15">#REF!</definedName>
    <definedName name="associates_pl_Q" localSheetId="19">#REF!</definedName>
    <definedName name="associates_pl_Q" localSheetId="18">#REF!</definedName>
    <definedName name="associates_pl_Q" localSheetId="14">#REF!</definedName>
    <definedName name="associates_pl_Q" localSheetId="12">#REF!</definedName>
    <definedName name="associates_pl_Q" localSheetId="24">#REF!</definedName>
    <definedName name="associates_pl_Q" localSheetId="7">#REF!</definedName>
    <definedName name="associates_pl_Q" localSheetId="20">#REF!</definedName>
    <definedName name="associates_pl_Q" localSheetId="21">#REF!</definedName>
    <definedName name="associates_pl_Q" localSheetId="11">#REF!</definedName>
    <definedName name="associates_pl_Q" localSheetId="17">#REF!</definedName>
    <definedName name="associates_pl_Q" localSheetId="16">#REF!</definedName>
    <definedName name="associates_pl_Q" localSheetId="22">#REF!</definedName>
    <definedName name="associates_pl_Q" localSheetId="9">#REF!</definedName>
    <definedName name="associates_pl_Q" localSheetId="13">#REF!</definedName>
    <definedName name="associates_pl_Q" localSheetId="23">#REF!</definedName>
    <definedName name="associates_pl_Q">#REF!</definedName>
    <definedName name="associates_tax_charge" localSheetId="4">#REF!</definedName>
    <definedName name="associates_tax_charge" localSheetId="5">#REF!</definedName>
    <definedName name="associates_tax_charge" localSheetId="15">#REF!</definedName>
    <definedName name="associates_tax_charge" localSheetId="19">#REF!</definedName>
    <definedName name="associates_tax_charge" localSheetId="18">#REF!</definedName>
    <definedName name="associates_tax_charge" localSheetId="14">#REF!</definedName>
    <definedName name="associates_tax_charge" localSheetId="12">#REF!</definedName>
    <definedName name="associates_tax_charge" localSheetId="24">#REF!</definedName>
    <definedName name="associates_tax_charge" localSheetId="7">#REF!</definedName>
    <definedName name="associates_tax_charge" localSheetId="20">#REF!</definedName>
    <definedName name="associates_tax_charge" localSheetId="21">#REF!</definedName>
    <definedName name="associates_tax_charge" localSheetId="11">#REF!</definedName>
    <definedName name="associates_tax_charge" localSheetId="17">#REF!</definedName>
    <definedName name="associates_tax_charge" localSheetId="16">#REF!</definedName>
    <definedName name="associates_tax_charge" localSheetId="22">#REF!</definedName>
    <definedName name="associates_tax_charge" localSheetId="9">#REF!</definedName>
    <definedName name="associates_tax_charge" localSheetId="13">#REF!</definedName>
    <definedName name="associates_tax_charge" localSheetId="23">#REF!</definedName>
    <definedName name="associates_tax_charge">#REF!</definedName>
    <definedName name="ATO" localSheetId="4">#REF!</definedName>
    <definedName name="ATO" localSheetId="5">#REF!</definedName>
    <definedName name="ATO" localSheetId="15">#REF!</definedName>
    <definedName name="ATO" localSheetId="19">#REF!</definedName>
    <definedName name="ATO" localSheetId="18">#REF!</definedName>
    <definedName name="ATO" localSheetId="14">#REF!</definedName>
    <definedName name="ATO" localSheetId="12">#REF!</definedName>
    <definedName name="ATO" localSheetId="24">#REF!</definedName>
    <definedName name="ATO" localSheetId="7">#REF!</definedName>
    <definedName name="ATO" localSheetId="20">#REF!</definedName>
    <definedName name="ATO" localSheetId="21">#REF!</definedName>
    <definedName name="ATO" localSheetId="11">#REF!</definedName>
    <definedName name="ATO" localSheetId="17">#REF!</definedName>
    <definedName name="ATO" localSheetId="16">#REF!</definedName>
    <definedName name="ATO" localSheetId="22">#REF!</definedName>
    <definedName name="ATO" localSheetId="9">#REF!</definedName>
    <definedName name="ATO" localSheetId="13">#REF!</definedName>
    <definedName name="ATO" localSheetId="23">#REF!</definedName>
    <definedName name="ATO">#REF!</definedName>
    <definedName name="Attrition" localSheetId="4">#REF!</definedName>
    <definedName name="Attrition" localSheetId="5">#REF!</definedName>
    <definedName name="Attrition" localSheetId="15">#REF!</definedName>
    <definedName name="Attrition" localSheetId="19">#REF!</definedName>
    <definedName name="Attrition" localSheetId="18">#REF!</definedName>
    <definedName name="Attrition" localSheetId="14">#REF!</definedName>
    <definedName name="Attrition" localSheetId="12">#REF!</definedName>
    <definedName name="Attrition" localSheetId="24">#REF!</definedName>
    <definedName name="Attrition" localSheetId="7">#REF!</definedName>
    <definedName name="Attrition" localSheetId="20">#REF!</definedName>
    <definedName name="Attrition" localSheetId="21">#REF!</definedName>
    <definedName name="Attrition" localSheetId="11">#REF!</definedName>
    <definedName name="Attrition" localSheetId="17">#REF!</definedName>
    <definedName name="Attrition" localSheetId="16">#REF!</definedName>
    <definedName name="Attrition" localSheetId="22">#REF!</definedName>
    <definedName name="Attrition" localSheetId="9">#REF!</definedName>
    <definedName name="Attrition" localSheetId="13">#REF!</definedName>
    <definedName name="Attrition" localSheetId="23">#REF!</definedName>
    <definedName name="Attrition">#REF!</definedName>
    <definedName name="Attrition1" localSheetId="4">#REF!</definedName>
    <definedName name="Attrition1" localSheetId="5">#REF!</definedName>
    <definedName name="Attrition1" localSheetId="15">#REF!</definedName>
    <definedName name="Attrition1" localSheetId="19">#REF!</definedName>
    <definedName name="Attrition1" localSheetId="18">#REF!</definedName>
    <definedName name="Attrition1" localSheetId="14">#REF!</definedName>
    <definedName name="Attrition1" localSheetId="12">#REF!</definedName>
    <definedName name="Attrition1" localSheetId="24">#REF!</definedName>
    <definedName name="Attrition1" localSheetId="7">#REF!</definedName>
    <definedName name="Attrition1" localSheetId="20">#REF!</definedName>
    <definedName name="Attrition1" localSheetId="21">#REF!</definedName>
    <definedName name="Attrition1" localSheetId="11">#REF!</definedName>
    <definedName name="Attrition1" localSheetId="17">#REF!</definedName>
    <definedName name="Attrition1" localSheetId="16">#REF!</definedName>
    <definedName name="Attrition1" localSheetId="22">#REF!</definedName>
    <definedName name="Attrition1" localSheetId="9">#REF!</definedName>
    <definedName name="Attrition1" localSheetId="13">#REF!</definedName>
    <definedName name="Attrition1" localSheetId="23">#REF!</definedName>
    <definedName name="Attrition1">#REF!</definedName>
    <definedName name="Audit_Fees">#REF!</definedName>
    <definedName name="Audit_Other_Services">#REF!</definedName>
    <definedName name="aux_bhira">#REF!</definedName>
    <definedName name="aux_bhivpuri">#REF!</definedName>
    <definedName name="aux_khopoli">#REF!</definedName>
    <definedName name="Average_assets_Q" localSheetId="4">#REF!</definedName>
    <definedName name="Average_assets_Q" localSheetId="5">#REF!</definedName>
    <definedName name="Average_assets_Q" localSheetId="15">#REF!</definedName>
    <definedName name="Average_assets_Q" localSheetId="19">#REF!</definedName>
    <definedName name="Average_assets_Q" localSheetId="18">#REF!</definedName>
    <definedName name="Average_assets_Q" localSheetId="14">#REF!</definedName>
    <definedName name="Average_assets_Q" localSheetId="12">#REF!</definedName>
    <definedName name="Average_assets_Q" localSheetId="24">#REF!</definedName>
    <definedName name="Average_assets_Q" localSheetId="7">#REF!</definedName>
    <definedName name="Average_assets_Q" localSheetId="20">#REF!</definedName>
    <definedName name="Average_assets_Q" localSheetId="21">#REF!</definedName>
    <definedName name="Average_assets_Q" localSheetId="11">#REF!</definedName>
    <definedName name="Average_assets_Q" localSheetId="17">#REF!</definedName>
    <definedName name="Average_assets_Q" localSheetId="16">#REF!</definedName>
    <definedName name="Average_assets_Q" localSheetId="22">#REF!</definedName>
    <definedName name="Average_assets_Q" localSheetId="9">#REF!</definedName>
    <definedName name="Average_assets_Q" localSheetId="13">#REF!</definedName>
    <definedName name="Average_assets_Q" localSheetId="23">#REF!</definedName>
    <definedName name="Average_assets_Q">#REF!</definedName>
    <definedName name="Average_borrowings_Q" localSheetId="4">#REF!</definedName>
    <definedName name="Average_borrowings_Q" localSheetId="5">#REF!</definedName>
    <definedName name="Average_borrowings_Q" localSheetId="15">#REF!</definedName>
    <definedName name="Average_borrowings_Q" localSheetId="19">#REF!</definedName>
    <definedName name="Average_borrowings_Q" localSheetId="18">#REF!</definedName>
    <definedName name="Average_borrowings_Q" localSheetId="14">#REF!</definedName>
    <definedName name="Average_borrowings_Q" localSheetId="12">#REF!</definedName>
    <definedName name="Average_borrowings_Q" localSheetId="24">#REF!</definedName>
    <definedName name="Average_borrowings_Q" localSheetId="7">#REF!</definedName>
    <definedName name="Average_borrowings_Q" localSheetId="20">#REF!</definedName>
    <definedName name="Average_borrowings_Q" localSheetId="21">#REF!</definedName>
    <definedName name="Average_borrowings_Q" localSheetId="11">#REF!</definedName>
    <definedName name="Average_borrowings_Q" localSheetId="17">#REF!</definedName>
    <definedName name="Average_borrowings_Q" localSheetId="16">#REF!</definedName>
    <definedName name="Average_borrowings_Q" localSheetId="22">#REF!</definedName>
    <definedName name="Average_borrowings_Q" localSheetId="9">#REF!</definedName>
    <definedName name="Average_borrowings_Q" localSheetId="13">#REF!</definedName>
    <definedName name="Average_borrowings_Q" localSheetId="23">#REF!</definedName>
    <definedName name="Average_borrowings_Q">#REF!</definedName>
    <definedName name="average_employees">#REF!</definedName>
    <definedName name="Average_invested_capital" localSheetId="4">#REF!</definedName>
    <definedName name="Average_invested_capital" localSheetId="9">#REF!</definedName>
    <definedName name="Average_invested_capital">#REF!</definedName>
    <definedName name="Average_Invested_Capital_Core" localSheetId="4">#REF!</definedName>
    <definedName name="Average_Invested_Capital_Core" localSheetId="9">#REF!</definedName>
    <definedName name="Average_Invested_Capital_Core">#REF!</definedName>
    <definedName name="Average_invested_capital_DCF" localSheetId="4">#REF!</definedName>
    <definedName name="Average_invested_capital_DCF" localSheetId="9">#REF!</definedName>
    <definedName name="Average_invested_capital_DCF">#REF!</definedName>
    <definedName name="Average_liabilities_Q" localSheetId="4">#REF!</definedName>
    <definedName name="Average_liabilities_Q" localSheetId="5">#REF!</definedName>
    <definedName name="Average_liabilities_Q" localSheetId="15">#REF!</definedName>
    <definedName name="Average_liabilities_Q" localSheetId="19">#REF!</definedName>
    <definedName name="Average_liabilities_Q" localSheetId="18">#REF!</definedName>
    <definedName name="Average_liabilities_Q" localSheetId="14">#REF!</definedName>
    <definedName name="Average_liabilities_Q" localSheetId="12">#REF!</definedName>
    <definedName name="Average_liabilities_Q" localSheetId="24">#REF!</definedName>
    <definedName name="Average_liabilities_Q" localSheetId="7">#REF!</definedName>
    <definedName name="Average_liabilities_Q" localSheetId="20">#REF!</definedName>
    <definedName name="Average_liabilities_Q" localSheetId="21">#REF!</definedName>
    <definedName name="Average_liabilities_Q" localSheetId="11">#REF!</definedName>
    <definedName name="Average_liabilities_Q" localSheetId="17">#REF!</definedName>
    <definedName name="Average_liabilities_Q" localSheetId="16">#REF!</definedName>
    <definedName name="Average_liabilities_Q" localSheetId="22">#REF!</definedName>
    <definedName name="Average_liabilities_Q" localSheetId="9">#REF!</definedName>
    <definedName name="Average_liabilities_Q" localSheetId="13">#REF!</definedName>
    <definedName name="Average_liabilities_Q" localSheetId="23">#REF!</definedName>
    <definedName name="Average_liabilities_Q">#REF!</definedName>
    <definedName name="Average_loans_Q" localSheetId="4">#REF!</definedName>
    <definedName name="Average_loans_Q" localSheetId="5">#REF!</definedName>
    <definedName name="Average_loans_Q" localSheetId="15">#REF!</definedName>
    <definedName name="Average_loans_Q" localSheetId="19">#REF!</definedName>
    <definedName name="Average_loans_Q" localSheetId="18">#REF!</definedName>
    <definedName name="Average_loans_Q" localSheetId="14">#REF!</definedName>
    <definedName name="Average_loans_Q" localSheetId="12">#REF!</definedName>
    <definedName name="Average_loans_Q" localSheetId="24">#REF!</definedName>
    <definedName name="Average_loans_Q" localSheetId="7">#REF!</definedName>
    <definedName name="Average_loans_Q" localSheetId="20">#REF!</definedName>
    <definedName name="Average_loans_Q" localSheetId="21">#REF!</definedName>
    <definedName name="Average_loans_Q" localSheetId="11">#REF!</definedName>
    <definedName name="Average_loans_Q" localSheetId="17">#REF!</definedName>
    <definedName name="Average_loans_Q" localSheetId="16">#REF!</definedName>
    <definedName name="Average_loans_Q" localSheetId="22">#REF!</definedName>
    <definedName name="Average_loans_Q" localSheetId="9">#REF!</definedName>
    <definedName name="Average_loans_Q" localSheetId="13">#REF!</definedName>
    <definedName name="Average_loans_Q" localSheetId="23">#REF!</definedName>
    <definedName name="Average_loans_Q">#REF!</definedName>
    <definedName name="Average_net_worth_Q" localSheetId="4">#REF!</definedName>
    <definedName name="Average_net_worth_Q" localSheetId="5">#REF!</definedName>
    <definedName name="Average_net_worth_Q" localSheetId="15">#REF!</definedName>
    <definedName name="Average_net_worth_Q" localSheetId="19">#REF!</definedName>
    <definedName name="Average_net_worth_Q" localSheetId="18">#REF!</definedName>
    <definedName name="Average_net_worth_Q" localSheetId="14">#REF!</definedName>
    <definedName name="Average_net_worth_Q" localSheetId="12">#REF!</definedName>
    <definedName name="Average_net_worth_Q" localSheetId="24">#REF!</definedName>
    <definedName name="Average_net_worth_Q" localSheetId="7">#REF!</definedName>
    <definedName name="Average_net_worth_Q" localSheetId="20">#REF!</definedName>
    <definedName name="Average_net_worth_Q" localSheetId="21">#REF!</definedName>
    <definedName name="Average_net_worth_Q" localSheetId="11">#REF!</definedName>
    <definedName name="Average_net_worth_Q" localSheetId="17">#REF!</definedName>
    <definedName name="Average_net_worth_Q" localSheetId="16">#REF!</definedName>
    <definedName name="Average_net_worth_Q" localSheetId="22">#REF!</definedName>
    <definedName name="Average_net_worth_Q" localSheetId="9">#REF!</definedName>
    <definedName name="Average_net_worth_Q" localSheetId="13">#REF!</definedName>
    <definedName name="Average_net_worth_Q" localSheetId="23">#REF!</definedName>
    <definedName name="Average_net_worth_Q">#REF!</definedName>
    <definedName name="Average_thereafter" localSheetId="4">#REF!</definedName>
    <definedName name="Average_thereafter" localSheetId="9">#REF!</definedName>
    <definedName name="Average_thereafter">#REF!</definedName>
    <definedName name="Average_Total_debt" localSheetId="4">#REF!</definedName>
    <definedName name="Average_Total_debt" localSheetId="9">#REF!</definedName>
    <definedName name="Average_Total_debt">#REF!</definedName>
    <definedName name="Avg._Invetsed_Capital_Core">#REF!</definedName>
    <definedName name="avg_advances_Q">#REF!</definedName>
    <definedName name="avg_assets_Q">#REF!</definedName>
    <definedName name="avg_borrowings_Q">#REF!</definedName>
    <definedName name="avg_cash_bank_Q">#REF!</definedName>
    <definedName name="avg_deposits_Q">#REF!</definedName>
    <definedName name="Avg_Invested_Capital">#REF!</definedName>
    <definedName name="avg_investments_Q">#REF!</definedName>
    <definedName name="avg_liabilities_Q">#REF!</definedName>
    <definedName name="avg_shareholders_equity_Q">#REF!</definedName>
    <definedName name="avg_vol_3m" localSheetId="4">#REF!</definedName>
    <definedName name="avg_vol_3m" localSheetId="5">#REF!</definedName>
    <definedName name="avg_vol_3m" localSheetId="15">#REF!</definedName>
    <definedName name="avg_vol_3m" localSheetId="19">#REF!</definedName>
    <definedName name="avg_vol_3m" localSheetId="18">#REF!</definedName>
    <definedName name="avg_vol_3m" localSheetId="14">#REF!</definedName>
    <definedName name="avg_vol_3m" localSheetId="12">#REF!</definedName>
    <definedName name="avg_vol_3m" localSheetId="24">#REF!</definedName>
    <definedName name="avg_vol_3m" localSheetId="7">#REF!</definedName>
    <definedName name="avg_vol_3m" localSheetId="20">#REF!</definedName>
    <definedName name="avg_vol_3m" localSheetId="21">#REF!</definedName>
    <definedName name="avg_vol_3m" localSheetId="11">#REF!</definedName>
    <definedName name="avg_vol_3m" localSheetId="17">#REF!</definedName>
    <definedName name="avg_vol_3m" localSheetId="16">#REF!</definedName>
    <definedName name="avg_vol_3m" localSheetId="22">#REF!</definedName>
    <definedName name="avg_vol_3m" localSheetId="9">#REF!</definedName>
    <definedName name="avg_vol_3m" localSheetId="13">#REF!</definedName>
    <definedName name="avg_vol_3m" localSheetId="23">#REF!</definedName>
    <definedName name="avg_vol_3m">#REF!</definedName>
    <definedName name="AvgDebt">#REF!</definedName>
    <definedName name="AVGFDSHARES" localSheetId="4">#REF!</definedName>
    <definedName name="AVGFDSHARES" localSheetId="5">#REF!</definedName>
    <definedName name="AVGFDSHARES" localSheetId="15">#REF!</definedName>
    <definedName name="AVGFDSHARES" localSheetId="19">#REF!</definedName>
    <definedName name="AVGFDSHARES" localSheetId="18">#REF!</definedName>
    <definedName name="AVGFDSHARES" localSheetId="14">#REF!</definedName>
    <definedName name="AVGFDSHARES" localSheetId="12">#REF!</definedName>
    <definedName name="AVGFDSHARES" localSheetId="24">#REF!</definedName>
    <definedName name="AVGFDSHARES" localSheetId="7">#REF!</definedName>
    <definedName name="AVGFDSHARES" localSheetId="20">#REF!</definedName>
    <definedName name="AVGFDSHARES" localSheetId="21">#REF!</definedName>
    <definedName name="AVGFDSHARES" localSheetId="11">#REF!</definedName>
    <definedName name="AVGFDSHARES" localSheetId="17">#REF!</definedName>
    <definedName name="AVGFDSHARES" localSheetId="16">#REF!</definedName>
    <definedName name="AVGFDSHARES" localSheetId="22">#REF!</definedName>
    <definedName name="AVGFDSHARES" localSheetId="9">#REF!</definedName>
    <definedName name="AVGFDSHARES" localSheetId="13">#REF!</definedName>
    <definedName name="AVGFDSHARES" localSheetId="23">#REF!</definedName>
    <definedName name="AVGFDSHARES">#REF!</definedName>
    <definedName name="AvgIntRate">#REF!</definedName>
    <definedName name="AvgNW">#REF!</definedName>
    <definedName name="AvgSellPr" localSheetId="4" hidden="1">#REF!,#REF!,#REF!,#REF!,#REF!,#REF!,#REF!,#REF!</definedName>
    <definedName name="AvgSellPr" localSheetId="9" hidden="1">#REF!,#REF!,#REF!,#REF!,#REF!,#REF!,#REF!,#REF!</definedName>
    <definedName name="AvgSellPr" hidden="1">#REF!,#REF!,#REF!,#REF!,#REF!,#REF!,#REF!,#REF!</definedName>
    <definedName name="AVGSHARES" localSheetId="4">#REF!</definedName>
    <definedName name="AVGSHARES" localSheetId="5">#REF!</definedName>
    <definedName name="AVGSHARES" localSheetId="15">#REF!</definedName>
    <definedName name="AVGSHARES" localSheetId="19">#REF!</definedName>
    <definedName name="AVGSHARES" localSheetId="18">#REF!</definedName>
    <definedName name="AVGSHARES" localSheetId="14">#REF!</definedName>
    <definedName name="AVGSHARES" localSheetId="12">#REF!</definedName>
    <definedName name="AVGSHARES" localSheetId="24">#REF!</definedName>
    <definedName name="AVGSHARES" localSheetId="7">#REF!</definedName>
    <definedName name="AVGSHARES" localSheetId="20">#REF!</definedName>
    <definedName name="AVGSHARES" localSheetId="21">#REF!</definedName>
    <definedName name="AVGSHARES" localSheetId="11">#REF!</definedName>
    <definedName name="AVGSHARES" localSheetId="17">#REF!</definedName>
    <definedName name="AVGSHARES" localSheetId="16">#REF!</definedName>
    <definedName name="AVGSHARES" localSheetId="22">#REF!</definedName>
    <definedName name="AVGSHARES" localSheetId="9">#REF!</definedName>
    <definedName name="AVGSHARES" localSheetId="13">#REF!</definedName>
    <definedName name="AVGSHARES" localSheetId="23">#REF!</definedName>
    <definedName name="AVGSHARES">#REF!</definedName>
    <definedName name="b" localSheetId="4">#REF!</definedName>
    <definedName name="b" localSheetId="5">#REF!</definedName>
    <definedName name="b" localSheetId="15">#REF!</definedName>
    <definedName name="b" localSheetId="19">#REF!</definedName>
    <definedName name="b" localSheetId="18">#REF!</definedName>
    <definedName name="b" localSheetId="14">#REF!</definedName>
    <definedName name="b" localSheetId="12">#REF!</definedName>
    <definedName name="b" localSheetId="24">#REF!</definedName>
    <definedName name="b" localSheetId="7">#REF!</definedName>
    <definedName name="b" localSheetId="20">#REF!</definedName>
    <definedName name="b" localSheetId="21">#REF!</definedName>
    <definedName name="b" localSheetId="11">#REF!</definedName>
    <definedName name="b" localSheetId="17">#REF!</definedName>
    <definedName name="b" localSheetId="16">#REF!</definedName>
    <definedName name="b" localSheetId="22">#REF!</definedName>
    <definedName name="b" localSheetId="9">#REF!</definedName>
    <definedName name="b" localSheetId="13">#REF!</definedName>
    <definedName name="b" localSheetId="23">#REF!</definedName>
    <definedName name="b">#REF!</definedName>
    <definedName name="b.g.n">#REF!</definedName>
    <definedName name="b_manual" localSheetId="4">#REF!</definedName>
    <definedName name="b_manual" localSheetId="9">#REF!</definedName>
    <definedName name="b_manual">#REF!</definedName>
    <definedName name="B_S" localSheetId="4">#REF!</definedName>
    <definedName name="B_S" localSheetId="5">#REF!</definedName>
    <definedName name="B_S" localSheetId="15">#REF!</definedName>
    <definedName name="B_S" localSheetId="19">#REF!</definedName>
    <definedName name="B_S" localSheetId="18">#REF!</definedName>
    <definedName name="B_S" localSheetId="14">#REF!</definedName>
    <definedName name="B_S" localSheetId="12">#REF!</definedName>
    <definedName name="B_S" localSheetId="24">#REF!</definedName>
    <definedName name="B_S" localSheetId="7">#REF!</definedName>
    <definedName name="B_S" localSheetId="20">#REF!</definedName>
    <definedName name="B_S" localSheetId="21">#REF!</definedName>
    <definedName name="B_S" localSheetId="11">#REF!</definedName>
    <definedName name="B_S" localSheetId="17">#REF!</definedName>
    <definedName name="B_S" localSheetId="16">#REF!</definedName>
    <definedName name="B_S" localSheetId="22">#REF!</definedName>
    <definedName name="B_S" localSheetId="9">#REF!</definedName>
    <definedName name="B_S" localSheetId="13">#REF!</definedName>
    <definedName name="B_S" localSheetId="23">#REF!</definedName>
    <definedName name="B_S">#REF!</definedName>
    <definedName name="B_S_ratios" localSheetId="4">#REF!</definedName>
    <definedName name="B_S_ratios" localSheetId="5">#REF!</definedName>
    <definedName name="B_S_ratios" localSheetId="15">#REF!</definedName>
    <definedName name="B_S_ratios" localSheetId="19">#REF!</definedName>
    <definedName name="B_S_ratios" localSheetId="18">#REF!</definedName>
    <definedName name="B_S_ratios" localSheetId="14">#REF!</definedName>
    <definedName name="B_S_ratios" localSheetId="12">#REF!</definedName>
    <definedName name="B_S_ratios" localSheetId="24">#REF!</definedName>
    <definedName name="B_S_ratios" localSheetId="7">#REF!</definedName>
    <definedName name="B_S_ratios" localSheetId="20">#REF!</definedName>
    <definedName name="B_S_ratios" localSheetId="21">#REF!</definedName>
    <definedName name="B_S_ratios" localSheetId="11">#REF!</definedName>
    <definedName name="B_S_ratios" localSheetId="17">#REF!</definedName>
    <definedName name="B_S_ratios" localSheetId="16">#REF!</definedName>
    <definedName name="B_S_ratios" localSheetId="22">#REF!</definedName>
    <definedName name="B_S_ratios" localSheetId="9">#REF!</definedName>
    <definedName name="B_S_ratios" localSheetId="13">#REF!</definedName>
    <definedName name="B_S_ratios" localSheetId="23">#REF!</definedName>
    <definedName name="B_S_ratios">#REF!</definedName>
    <definedName name="B_S1" localSheetId="4">#REF!</definedName>
    <definedName name="B_S1" localSheetId="5">#REF!</definedName>
    <definedName name="B_S1" localSheetId="15">#REF!</definedName>
    <definedName name="B_S1" localSheetId="19">#REF!</definedName>
    <definedName name="B_S1" localSheetId="18">#REF!</definedName>
    <definedName name="B_S1" localSheetId="14">#REF!</definedName>
    <definedName name="B_S1" localSheetId="12">#REF!</definedName>
    <definedName name="B_S1" localSheetId="24">#REF!</definedName>
    <definedName name="B_S1" localSheetId="7">#REF!</definedName>
    <definedName name="B_S1" localSheetId="20">#REF!</definedName>
    <definedName name="B_S1" localSheetId="21">#REF!</definedName>
    <definedName name="B_S1" localSheetId="11">#REF!</definedName>
    <definedName name="B_S1" localSheetId="17">#REF!</definedName>
    <definedName name="B_S1" localSheetId="16">#REF!</definedName>
    <definedName name="B_S1" localSheetId="22">#REF!</definedName>
    <definedName name="B_S1" localSheetId="9">#REF!</definedName>
    <definedName name="B_S1" localSheetId="13">#REF!</definedName>
    <definedName name="B_S1" localSheetId="23">#REF!</definedName>
    <definedName name="B_S1">#REF!</definedName>
    <definedName name="babyfood" localSheetId="4">#REF!</definedName>
    <definedName name="babyfood" localSheetId="9">#REF!</definedName>
    <definedName name="babyfood">#REF!</definedName>
    <definedName name="back_page">#REF!</definedName>
    <definedName name="bad" localSheetId="4">#REF!</definedName>
    <definedName name="bad" localSheetId="5">#REF!</definedName>
    <definedName name="bad" localSheetId="15">#REF!</definedName>
    <definedName name="bad" localSheetId="19">#REF!</definedName>
    <definedName name="bad" localSheetId="18">#REF!</definedName>
    <definedName name="bad" localSheetId="14">#REF!</definedName>
    <definedName name="bad" localSheetId="12">#REF!</definedName>
    <definedName name="bad" localSheetId="24">#REF!</definedName>
    <definedName name="bad" localSheetId="7">#REF!</definedName>
    <definedName name="bad" localSheetId="20">#REF!</definedName>
    <definedName name="bad" localSheetId="21">#REF!</definedName>
    <definedName name="bad" localSheetId="11">#REF!</definedName>
    <definedName name="bad" localSheetId="17">#REF!</definedName>
    <definedName name="bad" localSheetId="16">#REF!</definedName>
    <definedName name="bad" localSheetId="22">#REF!</definedName>
    <definedName name="bad" localSheetId="9">#REF!</definedName>
    <definedName name="bad" localSheetId="13">#REF!</definedName>
    <definedName name="bad" localSheetId="23">#REF!</definedName>
    <definedName name="bad">#REF!</definedName>
    <definedName name="bad_and_doubtful_debts_charge">#REF!</definedName>
    <definedName name="bad_debt_provision">#REF!</definedName>
    <definedName name="Bad_Debts_and_Write_offs">#REF!</definedName>
    <definedName name="bae" localSheetId="4">#REF!</definedName>
    <definedName name="bae" localSheetId="5">#REF!</definedName>
    <definedName name="bae" localSheetId="15">#REF!</definedName>
    <definedName name="bae" localSheetId="19">#REF!</definedName>
    <definedName name="bae" localSheetId="18">#REF!</definedName>
    <definedName name="bae" localSheetId="14">#REF!</definedName>
    <definedName name="bae" localSheetId="12">#REF!</definedName>
    <definedName name="bae" localSheetId="24">#REF!</definedName>
    <definedName name="bae" localSheetId="7">#REF!</definedName>
    <definedName name="bae" localSheetId="20">#REF!</definedName>
    <definedName name="bae" localSheetId="21">#REF!</definedName>
    <definedName name="bae" localSheetId="11">#REF!</definedName>
    <definedName name="bae" localSheetId="17">#REF!</definedName>
    <definedName name="bae" localSheetId="16">#REF!</definedName>
    <definedName name="bae" localSheetId="22">#REF!</definedName>
    <definedName name="bae" localSheetId="9">#REF!</definedName>
    <definedName name="bae" localSheetId="13">#REF!</definedName>
    <definedName name="bae" localSheetId="23">#REF!</definedName>
    <definedName name="bae">#REF!</definedName>
    <definedName name="BAL_AssetRevaluationNonCashFlow" localSheetId="4">#REF!</definedName>
    <definedName name="BAL_AssetRevaluationNonCashFlow" localSheetId="5">#REF!</definedName>
    <definedName name="BAL_AssetRevaluationNonCashFlow" localSheetId="15">#REF!</definedName>
    <definedName name="BAL_AssetRevaluationNonCashFlow" localSheetId="19">#REF!</definedName>
    <definedName name="BAL_AssetRevaluationNonCashFlow" localSheetId="18">#REF!</definedName>
    <definedName name="BAL_AssetRevaluationNonCashFlow" localSheetId="14">#REF!</definedName>
    <definedName name="BAL_AssetRevaluationNonCashFlow" localSheetId="12">#REF!</definedName>
    <definedName name="BAL_AssetRevaluationNonCashFlow" localSheetId="24">#REF!</definedName>
    <definedName name="BAL_AssetRevaluationNonCashFlow" localSheetId="7">#REF!</definedName>
    <definedName name="BAL_AssetRevaluationNonCashFlow" localSheetId="20">#REF!</definedName>
    <definedName name="BAL_AssetRevaluationNonCashFlow" localSheetId="21">#REF!</definedName>
    <definedName name="BAL_AssetRevaluationNonCashFlow" localSheetId="11">#REF!</definedName>
    <definedName name="BAL_AssetRevaluationNonCashFlow" localSheetId="17">#REF!</definedName>
    <definedName name="BAL_AssetRevaluationNonCashFlow" localSheetId="16">#REF!</definedName>
    <definedName name="BAL_AssetRevaluationNonCashFlow" localSheetId="22">#REF!</definedName>
    <definedName name="BAL_AssetRevaluationNonCashFlow" localSheetId="9">#REF!</definedName>
    <definedName name="BAL_AssetRevaluationNonCashFlow" localSheetId="13">#REF!</definedName>
    <definedName name="BAL_AssetRevaluationNonCashFlow" localSheetId="23">#REF!</definedName>
    <definedName name="BAL_AssetRevaluationNonCashFlow">#REF!</definedName>
    <definedName name="BAL_CAOther" localSheetId="4">#REF!</definedName>
    <definedName name="BAL_CAOther" localSheetId="5">#REF!</definedName>
    <definedName name="BAL_CAOther" localSheetId="15">#REF!</definedName>
    <definedName name="BAL_CAOther" localSheetId="19">#REF!</definedName>
    <definedName name="BAL_CAOther" localSheetId="18">#REF!</definedName>
    <definedName name="BAL_CAOther" localSheetId="14">#REF!</definedName>
    <definedName name="BAL_CAOther" localSheetId="12">#REF!</definedName>
    <definedName name="BAL_CAOther" localSheetId="24">#REF!</definedName>
    <definedName name="BAL_CAOther" localSheetId="7">#REF!</definedName>
    <definedName name="BAL_CAOther" localSheetId="20">#REF!</definedName>
    <definedName name="BAL_CAOther" localSheetId="21">#REF!</definedName>
    <definedName name="BAL_CAOther" localSheetId="11">#REF!</definedName>
    <definedName name="BAL_CAOther" localSheetId="17">#REF!</definedName>
    <definedName name="BAL_CAOther" localSheetId="16">#REF!</definedName>
    <definedName name="BAL_CAOther" localSheetId="22">#REF!</definedName>
    <definedName name="BAL_CAOther" localSheetId="9">#REF!</definedName>
    <definedName name="BAL_CAOther" localSheetId="13">#REF!</definedName>
    <definedName name="BAL_CAOther" localSheetId="23">#REF!</definedName>
    <definedName name="BAL_CAOther">#REF!</definedName>
    <definedName name="BAL_CAOtherInterestBearing" localSheetId="4">#REF!</definedName>
    <definedName name="BAL_CAOtherInterestBearing" localSheetId="9">#REF!</definedName>
    <definedName name="BAL_CAOtherInterestBearing">#REF!</definedName>
    <definedName name="BAL_CAOtherNonCash" localSheetId="4">#REF!</definedName>
    <definedName name="BAL_CAOtherNonCash" localSheetId="9">#REF!</definedName>
    <definedName name="BAL_CAOtherNonCash">#REF!</definedName>
    <definedName name="BAL_CapitalizedInterest" localSheetId="4">#REF!</definedName>
    <definedName name="BAL_CapitalizedInterest" localSheetId="9">#REF!</definedName>
    <definedName name="BAL_CapitalizedInterest">#REF!</definedName>
    <definedName name="BAL_Cash" localSheetId="4">#REF!</definedName>
    <definedName name="BAL_Cash" localSheetId="9">#REF!</definedName>
    <definedName name="BAL_Cash">#REF!</definedName>
    <definedName name="BAL_Cash_STInvestments" localSheetId="4">#REF!</definedName>
    <definedName name="BAL_Cash_STInvestments" localSheetId="9">#REF!</definedName>
    <definedName name="BAL_Cash_STInvestments">#REF!</definedName>
    <definedName name="BAL_CashForeign" localSheetId="4">#REF!</definedName>
    <definedName name="BAL_CashForeign" localSheetId="9">#REF!</definedName>
    <definedName name="BAL_CashForeign">#REF!</definedName>
    <definedName name="BAL_CLCurrentPortion" localSheetId="4">#REF!</definedName>
    <definedName name="BAL_CLCurrentPortion" localSheetId="9">#REF!</definedName>
    <definedName name="BAL_CLCurrentPortion">#REF!</definedName>
    <definedName name="BAL_CLOther" localSheetId="4">#REF!</definedName>
    <definedName name="BAL_CLOther" localSheetId="9">#REF!</definedName>
    <definedName name="BAL_CLOther">#REF!</definedName>
    <definedName name="BAL_CLOtherInterestBearing" localSheetId="4">#REF!</definedName>
    <definedName name="BAL_CLOtherInterestBearing" localSheetId="9">#REF!</definedName>
    <definedName name="BAL_CLOtherInterestBearing">#REF!</definedName>
    <definedName name="BAL_CLOtherNonCash" localSheetId="4">#REF!</definedName>
    <definedName name="BAL_CLOtherNonCash" localSheetId="9">#REF!</definedName>
    <definedName name="BAL_CLOtherNonCash">#REF!</definedName>
    <definedName name="BAL_CLTechnicalReserves" localSheetId="4">#REF!</definedName>
    <definedName name="BAL_CLTechnicalReserves" localSheetId="9">#REF!</definedName>
    <definedName name="BAL_CLTechnicalReserves">#REF!</definedName>
    <definedName name="BAL_CLUnearnedPremium" localSheetId="4">#REF!</definedName>
    <definedName name="BAL_CLUnearnedPremium" localSheetId="9">#REF!</definedName>
    <definedName name="BAL_CLUnearnedPremium">#REF!</definedName>
    <definedName name="BAL_Creditors" localSheetId="4">#REF!</definedName>
    <definedName name="BAL_Creditors" localSheetId="9">#REF!</definedName>
    <definedName name="BAL_Creditors">#REF!</definedName>
    <definedName name="BAL_CurrentAssets" localSheetId="4">#REF!</definedName>
    <definedName name="BAL_CurrentAssets" localSheetId="9">#REF!</definedName>
    <definedName name="BAL_CurrentAssets">#REF!</definedName>
    <definedName name="BAL_CurrentLiabilities" localSheetId="4">#REF!</definedName>
    <definedName name="BAL_CurrentLiabilities" localSheetId="9">#REF!</definedName>
    <definedName name="BAL_CurrentLiabilities">#REF!</definedName>
    <definedName name="BAL_Debtors" localSheetId="4">#REF!</definedName>
    <definedName name="BAL_Debtors" localSheetId="9">#REF!</definedName>
    <definedName name="BAL_Debtors">#REF!</definedName>
    <definedName name="BAL_EquityRevaluationNonCashFlow" localSheetId="4">#REF!</definedName>
    <definedName name="BAL_EquityRevaluationNonCashFlow" localSheetId="9">#REF!</definedName>
    <definedName name="BAL_EquityRevaluationNonCashFlow">#REF!</definedName>
    <definedName name="BAL_FixedAssets" localSheetId="4">#REF!</definedName>
    <definedName name="BAL_FixedAssets" localSheetId="9">#REF!</definedName>
    <definedName name="BAL_FixedAssets">#REF!</definedName>
    <definedName name="BAL_FixedAssetsTotal" localSheetId="4">#REF!</definedName>
    <definedName name="BAL_FixedAssetsTotal" localSheetId="9">#REF!</definedName>
    <definedName name="BAL_FixedAssetsTotal">#REF!</definedName>
    <definedName name="BAL_Inventory" localSheetId="4">#REF!</definedName>
    <definedName name="BAL_Inventory" localSheetId="9">#REF!</definedName>
    <definedName name="BAL_Inventory">#REF!</definedName>
    <definedName name="BAL_Investments" localSheetId="4">#REF!</definedName>
    <definedName name="BAL_Investments" localSheetId="9">#REF!</definedName>
    <definedName name="BAL_Investments">#REF!</definedName>
    <definedName name="BAL_LiabilitiesRevaluationNonCashFlow" localSheetId="4">#REF!</definedName>
    <definedName name="BAL_LiabilitiesRevaluationNonCashFlow" localSheetId="9">#REF!</definedName>
    <definedName name="BAL_LiabilitiesRevaluationNonCashFlow">#REF!</definedName>
    <definedName name="BAL_LongTermAssets" localSheetId="4">#REF!</definedName>
    <definedName name="BAL_LongTermAssets" localSheetId="9">#REF!</definedName>
    <definedName name="BAL_LongTermAssets">#REF!</definedName>
    <definedName name="BAL_LongTermLiabilities" localSheetId="4">#REF!</definedName>
    <definedName name="BAL_LongTermLiabilities" localSheetId="9">#REF!</definedName>
    <definedName name="BAL_LongTermLiabilities">#REF!</definedName>
    <definedName name="BAL_LookUpYears" localSheetId="4">#REF!</definedName>
    <definedName name="BAL_LookUpYears" localSheetId="9">#REF!</definedName>
    <definedName name="BAL_LookUpYears">#REF!</definedName>
    <definedName name="BAL_LTAssets" localSheetId="4">#REF!</definedName>
    <definedName name="BAL_LTAssets" localSheetId="9">#REF!</definedName>
    <definedName name="BAL_LTAssets">#REF!</definedName>
    <definedName name="BAL_LTAssetsAssociates" localSheetId="4">#REF!</definedName>
    <definedName name="BAL_LTAssetsAssociates" localSheetId="9">#REF!</definedName>
    <definedName name="BAL_LTAssetsAssociates">#REF!</definedName>
    <definedName name="BAL_LTAssetsInvestmentExcAssociates" localSheetId="4">#REF!</definedName>
    <definedName name="BAL_LTAssetsInvestmentExcAssociates" localSheetId="9">#REF!</definedName>
    <definedName name="BAL_LTAssetsInvestmentExcAssociates">#REF!</definedName>
    <definedName name="BAL_LTAssetsOther" localSheetId="4">#REF!</definedName>
    <definedName name="BAL_LTAssetsOther" localSheetId="9">#REF!</definedName>
    <definedName name="BAL_LTAssetsOther">#REF!</definedName>
    <definedName name="BAL_LTAssetsTotalInvestments" localSheetId="4">#REF!</definedName>
    <definedName name="BAL_LTAssetsTotalInvestments" localSheetId="9">#REF!</definedName>
    <definedName name="BAL_LTAssetsTotalInvestments">#REF!</definedName>
    <definedName name="BAL_LTDebt" localSheetId="4">#REF!</definedName>
    <definedName name="BAL_LTDebt" localSheetId="9">#REF!</definedName>
    <definedName name="BAL_LTDebt">#REF!</definedName>
    <definedName name="BAL_LTLiabilities" localSheetId="4">#REF!</definedName>
    <definedName name="BAL_LTLiabilities" localSheetId="9">#REF!</definedName>
    <definedName name="BAL_LTLiabilities">#REF!</definedName>
    <definedName name="BAL_LTLiabilitiesDeferredTax" localSheetId="4">#REF!</definedName>
    <definedName name="BAL_LTLiabilitiesDeferredTax" localSheetId="9">#REF!</definedName>
    <definedName name="BAL_LTLiabilitiesDeferredTax">#REF!</definedName>
    <definedName name="BAL_LTLiabilitiesOther" localSheetId="4">#REF!</definedName>
    <definedName name="BAL_LTLiabilitiesOther" localSheetId="9">#REF!</definedName>
    <definedName name="BAL_LTLiabilitiesOther">#REF!</definedName>
    <definedName name="BAL_LTOtherAssets" localSheetId="4">#REF!</definedName>
    <definedName name="BAL_LTOtherAssets" localSheetId="9">#REF!</definedName>
    <definedName name="BAL_LTOtherAssets">#REF!</definedName>
    <definedName name="BAL_LTOutstandingClaims" localSheetId="4">#REF!</definedName>
    <definedName name="BAL_LTOutstandingClaims" localSheetId="9">#REF!</definedName>
    <definedName name="BAL_LTOutstandingClaims">#REF!</definedName>
    <definedName name="BAL_LTUnearnedPremium" localSheetId="4">#REF!</definedName>
    <definedName name="BAL_LTUnearnedPremium" localSheetId="9">#REF!</definedName>
    <definedName name="BAL_LTUnearnedPremium">#REF!</definedName>
    <definedName name="BAL_Minorities" localSheetId="4">#REF!</definedName>
    <definedName name="BAL_Minorities" localSheetId="9">#REF!</definedName>
    <definedName name="BAL_Minorities">#REF!</definedName>
    <definedName name="BAL_NetAmortizedAssets" localSheetId="4">#REF!</definedName>
    <definedName name="BAL_NetAmortizedAssets" localSheetId="9">#REF!</definedName>
    <definedName name="BAL_NetAmortizedAssets">#REF!</definedName>
    <definedName name="BAL_NetAssets" localSheetId="4">#REF!</definedName>
    <definedName name="BAL_NetAssets" localSheetId="9">#REF!</definedName>
    <definedName name="BAL_NetAssets">#REF!</definedName>
    <definedName name="BAL_OffBalanceSheetAssets" localSheetId="4">#REF!</definedName>
    <definedName name="BAL_OffBalanceSheetAssets" localSheetId="9">#REF!</definedName>
    <definedName name="BAL_OffBalanceSheetAssets">#REF!</definedName>
    <definedName name="BAL_OffBalanceSheetLiabilities" localSheetId="4">#REF!</definedName>
    <definedName name="BAL_OffBalanceSheetLiabilities" localSheetId="9">#REF!</definedName>
    <definedName name="BAL_OffBalanceSheetLiabilities">#REF!</definedName>
    <definedName name="BAL_OtherEquity" localSheetId="4">#REF!</definedName>
    <definedName name="BAL_OtherEquity" localSheetId="9">#REF!</definedName>
    <definedName name="BAL_OtherEquity">#REF!</definedName>
    <definedName name="BAL_Reserves" localSheetId="4">#REF!</definedName>
    <definedName name="BAL_Reserves" localSheetId="9">#REF!</definedName>
    <definedName name="BAL_Reserves">#REF!</definedName>
    <definedName name="BAL_ShareCapital" localSheetId="4">#REF!</definedName>
    <definedName name="BAL_ShareCapital" localSheetId="9">#REF!</definedName>
    <definedName name="BAL_ShareCapital">#REF!</definedName>
    <definedName name="BAL_ShareholdersFunds" localSheetId="4">#REF!</definedName>
    <definedName name="BAL_ShareholdersFunds" localSheetId="9">#REF!</definedName>
    <definedName name="BAL_ShareholdersFunds">#REF!</definedName>
    <definedName name="BAL_SharePremium" localSheetId="4">#REF!</definedName>
    <definedName name="BAL_SharePremium" localSheetId="9">#REF!</definedName>
    <definedName name="BAL_SharePremium">#REF!</definedName>
    <definedName name="BAL_SharePremiumCapital" localSheetId="4">#REF!</definedName>
    <definedName name="BAL_SharePremiumCapital" localSheetId="9">#REF!</definedName>
    <definedName name="BAL_SharePremiumCapital">#REF!</definedName>
    <definedName name="Bal_sheet" localSheetId="4">#REF!</definedName>
    <definedName name="Bal_sheet" localSheetId="9">#REF!</definedName>
    <definedName name="Bal_sheet">#REF!</definedName>
    <definedName name="BAL_STDebt" localSheetId="4">#REF!</definedName>
    <definedName name="BAL_STDebt" localSheetId="9">#REF!</definedName>
    <definedName name="BAL_STDebt">#REF!</definedName>
    <definedName name="BAL_STInvestments" localSheetId="4">#REF!</definedName>
    <definedName name="BAL_STInvestments" localSheetId="9">#REF!</definedName>
    <definedName name="BAL_STInvestments">#REF!</definedName>
    <definedName name="BAL_TotalAssets" localSheetId="4">#REF!</definedName>
    <definedName name="BAL_TotalAssets" localSheetId="9">#REF!</definedName>
    <definedName name="BAL_TotalAssets">#REF!</definedName>
    <definedName name="BAL_TotalEquity" localSheetId="4">#REF!</definedName>
    <definedName name="BAL_TotalEquity" localSheetId="9">#REF!</definedName>
    <definedName name="BAL_TotalEquity">#REF!</definedName>
    <definedName name="BAL_TotalLiabilities" localSheetId="4">#REF!</definedName>
    <definedName name="BAL_TotalLiabilities" localSheetId="9">#REF!</definedName>
    <definedName name="BAL_TotalLiabilities">#REF!</definedName>
    <definedName name="bal_with_RBI_Q">#REF!</definedName>
    <definedName name="BALANCE" localSheetId="4">#REF!</definedName>
    <definedName name="BALANCE" localSheetId="9">#REF!</definedName>
    <definedName name="BALANCE">#REF!</definedName>
    <definedName name="Balance_in_Unclaimed_dividend_Bank_account">#REF!</definedName>
    <definedName name="Balance_Sheet">#REF!</definedName>
    <definedName name="Balance_with_Scheduled_Bank_in_Cash_Credit">#REF!</definedName>
    <definedName name="Balance_with_Scheduled_Bank_in_current_account">#REF!</definedName>
    <definedName name="baliwgt">#REF!</definedName>
    <definedName name="Balloon" localSheetId="4">#REF!</definedName>
    <definedName name="Balloon" localSheetId="5">#REF!</definedName>
    <definedName name="Balloon" localSheetId="15">#REF!</definedName>
    <definedName name="Balloon" localSheetId="19">#REF!</definedName>
    <definedName name="Balloon" localSheetId="18">#REF!</definedName>
    <definedName name="Balloon" localSheetId="14">#REF!</definedName>
    <definedName name="Balloon" localSheetId="12">#REF!</definedName>
    <definedName name="Balloon" localSheetId="24">#REF!</definedName>
    <definedName name="Balloon" localSheetId="7">#REF!</definedName>
    <definedName name="Balloon" localSheetId="20">#REF!</definedName>
    <definedName name="Balloon" localSheetId="21">#REF!</definedName>
    <definedName name="Balloon" localSheetId="11">#REF!</definedName>
    <definedName name="Balloon" localSheetId="17">#REF!</definedName>
    <definedName name="Balloon" localSheetId="16">#REF!</definedName>
    <definedName name="Balloon" localSheetId="22">#REF!</definedName>
    <definedName name="Balloon" localSheetId="9">#REF!</definedName>
    <definedName name="Balloon" localSheetId="13">#REF!</definedName>
    <definedName name="Balloon" localSheetId="23">#REF!</definedName>
    <definedName name="Balloon">#REF!</definedName>
    <definedName name="Balloon_Amount" localSheetId="4">#REF!</definedName>
    <definedName name="Balloon_Amount" localSheetId="5">#REF!</definedName>
    <definedName name="Balloon_Amount" localSheetId="15">#REF!</definedName>
    <definedName name="Balloon_Amount" localSheetId="19">#REF!</definedName>
    <definedName name="Balloon_Amount" localSheetId="18">#REF!</definedName>
    <definedName name="Balloon_Amount" localSheetId="14">#REF!</definedName>
    <definedName name="Balloon_Amount" localSheetId="12">#REF!</definedName>
    <definedName name="Balloon_Amount" localSheetId="24">#REF!</definedName>
    <definedName name="Balloon_Amount" localSheetId="7">#REF!</definedName>
    <definedName name="Balloon_Amount" localSheetId="20">#REF!</definedName>
    <definedName name="Balloon_Amount" localSheetId="21">#REF!</definedName>
    <definedName name="Balloon_Amount" localSheetId="11">#REF!</definedName>
    <definedName name="Balloon_Amount" localSheetId="17">#REF!</definedName>
    <definedName name="Balloon_Amount" localSheetId="16">#REF!</definedName>
    <definedName name="Balloon_Amount" localSheetId="22">#REF!</definedName>
    <definedName name="Balloon_Amount" localSheetId="9">#REF!</definedName>
    <definedName name="Balloon_Amount" localSheetId="13">#REF!</definedName>
    <definedName name="Balloon_Amount" localSheetId="23">#REF!</definedName>
    <definedName name="Balloon_Amount">#REF!</definedName>
    <definedName name="Bank_Charges">#REF!</definedName>
    <definedName name="bao" localSheetId="4">#REF!</definedName>
    <definedName name="bao" localSheetId="5">#REF!</definedName>
    <definedName name="bao" localSheetId="15">#REF!</definedName>
    <definedName name="bao" localSheetId="19">#REF!</definedName>
    <definedName name="bao" localSheetId="18">#REF!</definedName>
    <definedName name="bao" localSheetId="14">#REF!</definedName>
    <definedName name="bao" localSheetId="12">#REF!</definedName>
    <definedName name="bao" localSheetId="24">#REF!</definedName>
    <definedName name="bao" localSheetId="7">#REF!</definedName>
    <definedName name="bao" localSheetId="20">#REF!</definedName>
    <definedName name="bao" localSheetId="21">#REF!</definedName>
    <definedName name="bao" localSheetId="11">#REF!</definedName>
    <definedName name="bao" localSheetId="17">#REF!</definedName>
    <definedName name="bao" localSheetId="16">#REF!</definedName>
    <definedName name="bao" localSheetId="22">#REF!</definedName>
    <definedName name="bao" localSheetId="9">#REF!</definedName>
    <definedName name="bao" localSheetId="13">#REF!</definedName>
    <definedName name="bao" localSheetId="23">#REF!</definedName>
    <definedName name="bao">#REF!</definedName>
    <definedName name="bap" localSheetId="4">#REF!</definedName>
    <definedName name="bap" localSheetId="5">#REF!</definedName>
    <definedName name="bap" localSheetId="15">#REF!</definedName>
    <definedName name="bap" localSheetId="19">#REF!</definedName>
    <definedName name="bap" localSheetId="18">#REF!</definedName>
    <definedName name="bap" localSheetId="14">#REF!</definedName>
    <definedName name="bap" localSheetId="12">#REF!</definedName>
    <definedName name="bap" localSheetId="24">#REF!</definedName>
    <definedName name="bap" localSheetId="7">#REF!</definedName>
    <definedName name="bap" localSheetId="20">#REF!</definedName>
    <definedName name="bap" localSheetId="21">#REF!</definedName>
    <definedName name="bap" localSheetId="11">#REF!</definedName>
    <definedName name="bap" localSheetId="17">#REF!</definedName>
    <definedName name="bap" localSheetId="16">#REF!</definedName>
    <definedName name="bap" localSheetId="22">#REF!</definedName>
    <definedName name="bap" localSheetId="9">#REF!</definedName>
    <definedName name="bap" localSheetId="13">#REF!</definedName>
    <definedName name="bap" localSheetId="23">#REF!</definedName>
    <definedName name="bap">#REF!</definedName>
    <definedName name="BASE" localSheetId="4">#REF!</definedName>
    <definedName name="BASE" localSheetId="5">#REF!</definedName>
    <definedName name="BASE" localSheetId="15">#REF!</definedName>
    <definedName name="BASE" localSheetId="19">#REF!</definedName>
    <definedName name="BASE" localSheetId="18">#REF!</definedName>
    <definedName name="BASE" localSheetId="14">#REF!</definedName>
    <definedName name="BASE" localSheetId="12">#REF!</definedName>
    <definedName name="BASE" localSheetId="24">#REF!</definedName>
    <definedName name="BASE" localSheetId="7">#REF!</definedName>
    <definedName name="BASE" localSheetId="20">#REF!</definedName>
    <definedName name="BASE" localSheetId="21">#REF!</definedName>
    <definedName name="BASE" localSheetId="11">#REF!</definedName>
    <definedName name="BASE" localSheetId="17">#REF!</definedName>
    <definedName name="BASE" localSheetId="16">#REF!</definedName>
    <definedName name="BASE" localSheetId="22">#REF!</definedName>
    <definedName name="BASE" localSheetId="9">#REF!</definedName>
    <definedName name="BASE" localSheetId="13">#REF!</definedName>
    <definedName name="BASE" localSheetId="23">#REF!</definedName>
    <definedName name="BASE">#REF!</definedName>
    <definedName name="BasicEPS">#REF!</definedName>
    <definedName name="BasicSharesOutstandingR">#REF!</definedName>
    <definedName name="bat" localSheetId="4">#REF!</definedName>
    <definedName name="bat" localSheetId="5">#REF!</definedName>
    <definedName name="bat" localSheetId="15">#REF!</definedName>
    <definedName name="bat" localSheetId="19">#REF!</definedName>
    <definedName name="bat" localSheetId="18">#REF!</definedName>
    <definedName name="bat" localSheetId="14">#REF!</definedName>
    <definedName name="bat" localSheetId="12">#REF!</definedName>
    <definedName name="bat" localSheetId="24">#REF!</definedName>
    <definedName name="bat" localSheetId="7">#REF!</definedName>
    <definedName name="bat" localSheetId="20">#REF!</definedName>
    <definedName name="bat" localSheetId="21">#REF!</definedName>
    <definedName name="bat" localSheetId="11">#REF!</definedName>
    <definedName name="bat" localSheetId="17">#REF!</definedName>
    <definedName name="bat" localSheetId="16">#REF!</definedName>
    <definedName name="bat" localSheetId="22">#REF!</definedName>
    <definedName name="bat" localSheetId="9">#REF!</definedName>
    <definedName name="bat" localSheetId="13">#REF!</definedName>
    <definedName name="bat" localSheetId="23">#REF!</definedName>
    <definedName name="bat">#REF!</definedName>
    <definedName name="bay" localSheetId="4">#REF!</definedName>
    <definedName name="bay" localSheetId="5">#REF!</definedName>
    <definedName name="bay" localSheetId="15">#REF!</definedName>
    <definedName name="bay" localSheetId="19">#REF!</definedName>
    <definedName name="bay" localSheetId="18">#REF!</definedName>
    <definedName name="bay" localSheetId="14">#REF!</definedName>
    <definedName name="bay" localSheetId="12">#REF!</definedName>
    <definedName name="bay" localSheetId="24">#REF!</definedName>
    <definedName name="bay" localSheetId="7">#REF!</definedName>
    <definedName name="bay" localSheetId="20">#REF!</definedName>
    <definedName name="bay" localSheetId="21">#REF!</definedName>
    <definedName name="bay" localSheetId="11">#REF!</definedName>
    <definedName name="bay" localSheetId="17">#REF!</definedName>
    <definedName name="bay" localSheetId="16">#REF!</definedName>
    <definedName name="bay" localSheetId="22">#REF!</definedName>
    <definedName name="bay" localSheetId="9">#REF!</definedName>
    <definedName name="bay" localSheetId="13">#REF!</definedName>
    <definedName name="bay" localSheetId="23">#REF!</definedName>
    <definedName name="bay">#REF!</definedName>
    <definedName name="baywgt">#REF!</definedName>
    <definedName name="bblwgt">#REF!</definedName>
    <definedName name="bca" localSheetId="4">#REF!</definedName>
    <definedName name="bca" localSheetId="5">#REF!</definedName>
    <definedName name="bca" localSheetId="15">#REF!</definedName>
    <definedName name="bca" localSheetId="19">#REF!</definedName>
    <definedName name="bca" localSheetId="18">#REF!</definedName>
    <definedName name="bca" localSheetId="14">#REF!</definedName>
    <definedName name="bca" localSheetId="12">#REF!</definedName>
    <definedName name="bca" localSheetId="24">#REF!</definedName>
    <definedName name="bca" localSheetId="7">#REF!</definedName>
    <definedName name="bca" localSheetId="20">#REF!</definedName>
    <definedName name="bca" localSheetId="21">#REF!</definedName>
    <definedName name="bca" localSheetId="11">#REF!</definedName>
    <definedName name="bca" localSheetId="17">#REF!</definedName>
    <definedName name="bca" localSheetId="16">#REF!</definedName>
    <definedName name="bca" localSheetId="22">#REF!</definedName>
    <definedName name="bca" localSheetId="9">#REF!</definedName>
    <definedName name="bca" localSheetId="13">#REF!</definedName>
    <definedName name="bca" localSheetId="23">#REF!</definedName>
    <definedName name="bca">#REF!</definedName>
    <definedName name="bcb" localSheetId="4">#REF!</definedName>
    <definedName name="bcb" localSheetId="9">#REF!</definedName>
    <definedName name="bcb">#REF!</definedName>
    <definedName name="bce" localSheetId="4">#REF!</definedName>
    <definedName name="bce" localSheetId="9">#REF!</definedName>
    <definedName name="bce">#REF!</definedName>
    <definedName name="bcl" localSheetId="4">#REF!</definedName>
    <definedName name="bcl" localSheetId="9">#REF!</definedName>
    <definedName name="bcl">#REF!</definedName>
    <definedName name="bcm" localSheetId="4">#REF!</definedName>
    <definedName name="bcm" localSheetId="9">#REF!</definedName>
    <definedName name="bcm">#REF!</definedName>
    <definedName name="bcp" localSheetId="4">#REF!</definedName>
    <definedName name="bcp" localSheetId="9">#REF!</definedName>
    <definedName name="bcp">#REF!</definedName>
    <definedName name="bdniwgt">#REF!</definedName>
    <definedName name="bdp" localSheetId="4">#REF!</definedName>
    <definedName name="bdp" localSheetId="9">#REF!</definedName>
    <definedName name="bdp">#REF!</definedName>
    <definedName name="BE1.0" localSheetId="4">#REF!</definedName>
    <definedName name="BE1.0" localSheetId="9">#REF!</definedName>
    <definedName name="BE1.0">#REF!</definedName>
    <definedName name="BE2.0" localSheetId="4">#REF!,#REF!,#REF!</definedName>
    <definedName name="BE2.0" localSheetId="5">#REF!,#REF!,#REF!</definedName>
    <definedName name="BE2.0" localSheetId="15">#REF!,#REF!,#REF!</definedName>
    <definedName name="BE2.0" localSheetId="19">#REF!,#REF!,#REF!</definedName>
    <definedName name="BE2.0" localSheetId="18">#REF!,#REF!,#REF!</definedName>
    <definedName name="BE2.0" localSheetId="14">#REF!,#REF!,#REF!</definedName>
    <definedName name="BE2.0" localSheetId="12">#REF!,#REF!,#REF!</definedName>
    <definedName name="BE2.0" localSheetId="24">#REF!,#REF!,#REF!</definedName>
    <definedName name="BE2.0" localSheetId="7">#REF!,#REF!,#REF!</definedName>
    <definedName name="BE2.0" localSheetId="20">#REF!,#REF!,#REF!</definedName>
    <definedName name="BE2.0" localSheetId="21">#REF!,#REF!,#REF!</definedName>
    <definedName name="BE2.0" localSheetId="11">#REF!,#REF!,#REF!</definedName>
    <definedName name="BE2.0" localSheetId="17">#REF!,#REF!,#REF!</definedName>
    <definedName name="BE2.0" localSheetId="16">#REF!,#REF!,#REF!</definedName>
    <definedName name="BE2.0" localSheetId="22">#REF!,#REF!,#REF!</definedName>
    <definedName name="BE2.0" localSheetId="9">#REF!,#REF!,#REF!</definedName>
    <definedName name="BE2.0" localSheetId="13">#REF!,#REF!,#REF!</definedName>
    <definedName name="BE2.0" localSheetId="23">#REF!,#REF!,#REF!</definedName>
    <definedName name="BE2.0">#REF!,#REF!,#REF!</definedName>
    <definedName name="BE3.0" localSheetId="4">#REF!,#REF!,#REF!</definedName>
    <definedName name="BE3.0" localSheetId="5">#REF!,#REF!,#REF!</definedName>
    <definedName name="BE3.0" localSheetId="15">#REF!,#REF!,#REF!</definedName>
    <definedName name="BE3.0" localSheetId="19">#REF!,#REF!,#REF!</definedName>
    <definedName name="BE3.0" localSheetId="18">#REF!,#REF!,#REF!</definedName>
    <definedName name="BE3.0" localSheetId="14">#REF!,#REF!,#REF!</definedName>
    <definedName name="BE3.0" localSheetId="12">#REF!,#REF!,#REF!</definedName>
    <definedName name="BE3.0" localSheetId="24">#REF!,#REF!,#REF!</definedName>
    <definedName name="BE3.0" localSheetId="7">#REF!,#REF!,#REF!</definedName>
    <definedName name="BE3.0" localSheetId="20">#REF!,#REF!,#REF!</definedName>
    <definedName name="BE3.0" localSheetId="21">#REF!,#REF!,#REF!</definedName>
    <definedName name="BE3.0" localSheetId="11">#REF!,#REF!,#REF!</definedName>
    <definedName name="BE3.0" localSheetId="17">#REF!,#REF!,#REF!</definedName>
    <definedName name="BE3.0" localSheetId="16">#REF!,#REF!,#REF!</definedName>
    <definedName name="BE3.0" localSheetId="22">#REF!,#REF!,#REF!</definedName>
    <definedName name="BE3.0" localSheetId="9">#REF!,#REF!,#REF!</definedName>
    <definedName name="BE3.0" localSheetId="13">#REF!,#REF!,#REF!</definedName>
    <definedName name="BE3.0" localSheetId="23">#REF!,#REF!,#REF!</definedName>
    <definedName name="BE3.0">#REF!,#REF!,#REF!</definedName>
    <definedName name="BE4.0" localSheetId="4">#REF!,#REF!,#REF!</definedName>
    <definedName name="BE4.0" localSheetId="5">#REF!,#REF!,#REF!</definedName>
    <definedName name="BE4.0" localSheetId="15">#REF!,#REF!,#REF!</definedName>
    <definedName name="BE4.0" localSheetId="19">#REF!,#REF!,#REF!</definedName>
    <definedName name="BE4.0" localSheetId="18">#REF!,#REF!,#REF!</definedName>
    <definedName name="BE4.0" localSheetId="14">#REF!,#REF!,#REF!</definedName>
    <definedName name="BE4.0" localSheetId="12">#REF!,#REF!,#REF!</definedName>
    <definedName name="BE4.0" localSheetId="24">#REF!,#REF!,#REF!</definedName>
    <definedName name="BE4.0" localSheetId="7">#REF!,#REF!,#REF!</definedName>
    <definedName name="BE4.0" localSheetId="20">#REF!,#REF!,#REF!</definedName>
    <definedName name="BE4.0" localSheetId="21">#REF!,#REF!,#REF!</definedName>
    <definedName name="BE4.0" localSheetId="11">#REF!,#REF!,#REF!</definedName>
    <definedName name="BE4.0" localSheetId="17">#REF!,#REF!,#REF!</definedName>
    <definedName name="BE4.0" localSheetId="16">#REF!,#REF!,#REF!</definedName>
    <definedName name="BE4.0" localSheetId="22">#REF!,#REF!,#REF!</definedName>
    <definedName name="BE4.0" localSheetId="9">#REF!,#REF!,#REF!</definedName>
    <definedName name="BE4.0" localSheetId="13">#REF!,#REF!,#REF!</definedName>
    <definedName name="BE4.0" localSheetId="23">#REF!,#REF!,#REF!</definedName>
    <definedName name="BE4.0">#REF!,#REF!,#REF!</definedName>
    <definedName name="BE5.0" localSheetId="4">#REF!,#REF!,#REF!</definedName>
    <definedName name="BE5.0" localSheetId="9">#REF!,#REF!,#REF!</definedName>
    <definedName name="BE5.0">#REF!,#REF!,#REF!</definedName>
    <definedName name="beawgt">#REF!</definedName>
    <definedName name="BESale">#REF!</definedName>
    <definedName name="BESaleVal">#REF!</definedName>
    <definedName name="best_eps" localSheetId="4">#REF!</definedName>
    <definedName name="best_eps" localSheetId="5">#REF!</definedName>
    <definedName name="best_eps" localSheetId="15">#REF!</definedName>
    <definedName name="best_eps" localSheetId="19">#REF!</definedName>
    <definedName name="best_eps" localSheetId="18">#REF!</definedName>
    <definedName name="best_eps" localSheetId="14">#REF!</definedName>
    <definedName name="best_eps" localSheetId="12">#REF!</definedName>
    <definedName name="best_eps" localSheetId="24">#REF!</definedName>
    <definedName name="best_eps" localSheetId="7">#REF!</definedName>
    <definedName name="best_eps" localSheetId="20">#REF!</definedName>
    <definedName name="best_eps" localSheetId="21">#REF!</definedName>
    <definedName name="best_eps" localSheetId="11">#REF!</definedName>
    <definedName name="best_eps" localSheetId="17">#REF!</definedName>
    <definedName name="best_eps" localSheetId="16">#REF!</definedName>
    <definedName name="best_eps" localSheetId="22">#REF!</definedName>
    <definedName name="best_eps" localSheetId="9">#REF!</definedName>
    <definedName name="best_eps" localSheetId="13">#REF!</definedName>
    <definedName name="best_eps" localSheetId="23">#REF!</definedName>
    <definedName name="best_eps">#REF!</definedName>
    <definedName name="best_eps1" localSheetId="4">#REF!</definedName>
    <definedName name="best_eps1" localSheetId="5">#REF!</definedName>
    <definedName name="best_eps1" localSheetId="15">#REF!</definedName>
    <definedName name="best_eps1" localSheetId="19">#REF!</definedName>
    <definedName name="best_eps1" localSheetId="18">#REF!</definedName>
    <definedName name="best_eps1" localSheetId="14">#REF!</definedName>
    <definedName name="best_eps1" localSheetId="12">#REF!</definedName>
    <definedName name="best_eps1" localSheetId="24">#REF!</definedName>
    <definedName name="best_eps1" localSheetId="7">#REF!</definedName>
    <definedName name="best_eps1" localSheetId="20">#REF!</definedName>
    <definedName name="best_eps1" localSheetId="21">#REF!</definedName>
    <definedName name="best_eps1" localSheetId="11">#REF!</definedName>
    <definedName name="best_eps1" localSheetId="17">#REF!</definedName>
    <definedName name="best_eps1" localSheetId="16">#REF!</definedName>
    <definedName name="best_eps1" localSheetId="22">#REF!</definedName>
    <definedName name="best_eps1" localSheetId="9">#REF!</definedName>
    <definedName name="best_eps1" localSheetId="13">#REF!</definedName>
    <definedName name="best_eps1" localSheetId="23">#REF!</definedName>
    <definedName name="best_eps1">#REF!</definedName>
    <definedName name="bet" localSheetId="4">#REF!</definedName>
    <definedName name="bet" localSheetId="5">#REF!</definedName>
    <definedName name="bet" localSheetId="15">#REF!</definedName>
    <definedName name="bet" localSheetId="19">#REF!</definedName>
    <definedName name="bet" localSheetId="18">#REF!</definedName>
    <definedName name="bet" localSheetId="14">#REF!</definedName>
    <definedName name="bet" localSheetId="12">#REF!</definedName>
    <definedName name="bet" localSheetId="24">#REF!</definedName>
    <definedName name="bet" localSheetId="7">#REF!</definedName>
    <definedName name="bet" localSheetId="20">#REF!</definedName>
    <definedName name="bet" localSheetId="21">#REF!</definedName>
    <definedName name="bet" localSheetId="11">#REF!</definedName>
    <definedName name="bet" localSheetId="17">#REF!</definedName>
    <definedName name="bet" localSheetId="16">#REF!</definedName>
    <definedName name="bet" localSheetId="22">#REF!</definedName>
    <definedName name="bet" localSheetId="9">#REF!</definedName>
    <definedName name="bet" localSheetId="13">#REF!</definedName>
    <definedName name="bet" localSheetId="23">#REF!</definedName>
    <definedName name="bet">#REF!</definedName>
    <definedName name="Beta" localSheetId="4">#REF!</definedName>
    <definedName name="Beta" localSheetId="9">#REF!</definedName>
    <definedName name="Beta">#REF!</definedName>
    <definedName name="bfc" localSheetId="4">#REF!</definedName>
    <definedName name="bfc" localSheetId="5">#REF!</definedName>
    <definedName name="bfc" localSheetId="15">#REF!</definedName>
    <definedName name="bfc" localSheetId="19">#REF!</definedName>
    <definedName name="bfc" localSheetId="18">#REF!</definedName>
    <definedName name="bfc" localSheetId="14">#REF!</definedName>
    <definedName name="bfc" localSheetId="12">#REF!</definedName>
    <definedName name="bfc" localSheetId="24">#REF!</definedName>
    <definedName name="bfc" localSheetId="7">#REF!</definedName>
    <definedName name="bfc" localSheetId="20">#REF!</definedName>
    <definedName name="bfc" localSheetId="21">#REF!</definedName>
    <definedName name="bfc" localSheetId="11">#REF!</definedName>
    <definedName name="bfc" localSheetId="17">#REF!</definedName>
    <definedName name="bfc" localSheetId="16">#REF!</definedName>
    <definedName name="bfc" localSheetId="22">#REF!</definedName>
    <definedName name="bfc" localSheetId="9">#REF!</definedName>
    <definedName name="bfc" localSheetId="13">#REF!</definedName>
    <definedName name="bfc" localSheetId="23">#REF!</definedName>
    <definedName name="bfc">#REF!</definedName>
    <definedName name="bfghhghsghs">#REF!</definedName>
    <definedName name="BG_Del" hidden="1">15</definedName>
    <definedName name="BG_Ins" hidden="1">4</definedName>
    <definedName name="BG_Mod" hidden="1">6</definedName>
    <definedName name="bia" localSheetId="4">#REF!</definedName>
    <definedName name="bia" localSheetId="5">#REF!</definedName>
    <definedName name="bia" localSheetId="15">#REF!</definedName>
    <definedName name="bia" localSheetId="19">#REF!</definedName>
    <definedName name="bia" localSheetId="18">#REF!</definedName>
    <definedName name="bia" localSheetId="14">#REF!</definedName>
    <definedName name="bia" localSheetId="12">#REF!</definedName>
    <definedName name="bia" localSheetId="24">#REF!</definedName>
    <definedName name="bia" localSheetId="7">#REF!</definedName>
    <definedName name="bia" localSheetId="20">#REF!</definedName>
    <definedName name="bia" localSheetId="21">#REF!</definedName>
    <definedName name="bia" localSheetId="11">#REF!</definedName>
    <definedName name="bia" localSheetId="17">#REF!</definedName>
    <definedName name="bia" localSheetId="16">#REF!</definedName>
    <definedName name="bia" localSheetId="22">#REF!</definedName>
    <definedName name="bia" localSheetId="9">#REF!</definedName>
    <definedName name="bia" localSheetId="13">#REF!</definedName>
    <definedName name="bia" localSheetId="23">#REF!</definedName>
    <definedName name="bia">#REF!</definedName>
    <definedName name="biiwgt">#REF!</definedName>
    <definedName name="Bill_rates" localSheetId="4">#REF!</definedName>
    <definedName name="Bill_rates" localSheetId="5">#REF!</definedName>
    <definedName name="Bill_rates" localSheetId="15">#REF!</definedName>
    <definedName name="Bill_rates" localSheetId="19">#REF!</definedName>
    <definedName name="Bill_rates" localSheetId="18">#REF!</definedName>
    <definedName name="Bill_rates" localSheetId="14">#REF!</definedName>
    <definedName name="Bill_rates" localSheetId="12">#REF!</definedName>
    <definedName name="Bill_rates" localSheetId="24">#REF!</definedName>
    <definedName name="Bill_rates" localSheetId="7">#REF!</definedName>
    <definedName name="Bill_rates" localSheetId="20">#REF!</definedName>
    <definedName name="Bill_rates" localSheetId="21">#REF!</definedName>
    <definedName name="Bill_rates" localSheetId="11">#REF!</definedName>
    <definedName name="Bill_rates" localSheetId="17">#REF!</definedName>
    <definedName name="Bill_rates" localSheetId="16">#REF!</definedName>
    <definedName name="Bill_rates" localSheetId="22">#REF!</definedName>
    <definedName name="Bill_rates" localSheetId="9">#REF!</definedName>
    <definedName name="Bill_rates" localSheetId="13">#REF!</definedName>
    <definedName name="Bill_rates" localSheetId="23">#REF!</definedName>
    <definedName name="Bill_rates">#REF!</definedName>
    <definedName name="Bills_of_Exchange">#REF!</definedName>
    <definedName name="bills_payable">#REF!</definedName>
    <definedName name="bin" localSheetId="4">#REF!</definedName>
    <definedName name="bin" localSheetId="5">#REF!</definedName>
    <definedName name="bin" localSheetId="15">#REF!</definedName>
    <definedName name="bin" localSheetId="19">#REF!</definedName>
    <definedName name="bin" localSheetId="18">#REF!</definedName>
    <definedName name="bin" localSheetId="14">#REF!</definedName>
    <definedName name="bin" localSheetId="12">#REF!</definedName>
    <definedName name="bin" localSheetId="24">#REF!</definedName>
    <definedName name="bin" localSheetId="7">#REF!</definedName>
    <definedName name="bin" localSheetId="20">#REF!</definedName>
    <definedName name="bin" localSheetId="21">#REF!</definedName>
    <definedName name="bin" localSheetId="11">#REF!</definedName>
    <definedName name="bin" localSheetId="17">#REF!</definedName>
    <definedName name="bin" localSheetId="16">#REF!</definedName>
    <definedName name="bin" localSheetId="22">#REF!</definedName>
    <definedName name="bin" localSheetId="9">#REF!</definedName>
    <definedName name="bin" localSheetId="13">#REF!</definedName>
    <definedName name="bin" localSheetId="23">#REF!</definedName>
    <definedName name="bin">#REF!</definedName>
    <definedName name="bio" localSheetId="4">#REF!</definedName>
    <definedName name="bio" localSheetId="5">#REF!</definedName>
    <definedName name="bio" localSheetId="15">#REF!</definedName>
    <definedName name="bio" localSheetId="19">#REF!</definedName>
    <definedName name="bio" localSheetId="18">#REF!</definedName>
    <definedName name="bio" localSheetId="14">#REF!</definedName>
    <definedName name="bio" localSheetId="12">#REF!</definedName>
    <definedName name="bio" localSheetId="24">#REF!</definedName>
    <definedName name="bio" localSheetId="7">#REF!</definedName>
    <definedName name="bio" localSheetId="20">#REF!</definedName>
    <definedName name="bio" localSheetId="21">#REF!</definedName>
    <definedName name="bio" localSheetId="11">#REF!</definedName>
    <definedName name="bio" localSheetId="17">#REF!</definedName>
    <definedName name="bio" localSheetId="16">#REF!</definedName>
    <definedName name="bio" localSheetId="22">#REF!</definedName>
    <definedName name="bio" localSheetId="9">#REF!</definedName>
    <definedName name="bio" localSheetId="13">#REF!</definedName>
    <definedName name="bio" localSheetId="23">#REF!</definedName>
    <definedName name="bio">#REF!</definedName>
    <definedName name="bir" localSheetId="4">#REF!</definedName>
    <definedName name="bir" localSheetId="5">#REF!</definedName>
    <definedName name="bir" localSheetId="15">#REF!</definedName>
    <definedName name="bir" localSheetId="19">#REF!</definedName>
    <definedName name="bir" localSheetId="18">#REF!</definedName>
    <definedName name="bir" localSheetId="14">#REF!</definedName>
    <definedName name="bir" localSheetId="12">#REF!</definedName>
    <definedName name="bir" localSheetId="24">#REF!</definedName>
    <definedName name="bir" localSheetId="7">#REF!</definedName>
    <definedName name="bir" localSheetId="20">#REF!</definedName>
    <definedName name="bir" localSheetId="21">#REF!</definedName>
    <definedName name="bir" localSheetId="11">#REF!</definedName>
    <definedName name="bir" localSheetId="17">#REF!</definedName>
    <definedName name="bir" localSheetId="16">#REF!</definedName>
    <definedName name="bir" localSheetId="22">#REF!</definedName>
    <definedName name="bir" localSheetId="9">#REF!</definedName>
    <definedName name="bir" localSheetId="13">#REF!</definedName>
    <definedName name="bir" localSheetId="23">#REF!</definedName>
    <definedName name="bir">#REF!</definedName>
    <definedName name="bit" localSheetId="4">#REF!</definedName>
    <definedName name="bit" localSheetId="9">#REF!</definedName>
    <definedName name="bit">#REF!</definedName>
    <definedName name="BL1.0" localSheetId="4">#REF!</definedName>
    <definedName name="BL1.0" localSheetId="9">#REF!</definedName>
    <definedName name="BL1.0">#REF!</definedName>
    <definedName name="BL2.0" localSheetId="4">#REF!,#REF!,#REF!</definedName>
    <definedName name="BL2.0" localSheetId="5">#REF!,#REF!,#REF!</definedName>
    <definedName name="BL2.0" localSheetId="15">#REF!,#REF!,#REF!</definedName>
    <definedName name="BL2.0" localSheetId="19">#REF!,#REF!,#REF!</definedName>
    <definedName name="BL2.0" localSheetId="18">#REF!,#REF!,#REF!</definedName>
    <definedName name="BL2.0" localSheetId="14">#REF!,#REF!,#REF!</definedName>
    <definedName name="BL2.0" localSheetId="12">#REF!,#REF!,#REF!</definedName>
    <definedName name="BL2.0" localSheetId="24">#REF!,#REF!,#REF!</definedName>
    <definedName name="BL2.0" localSheetId="7">#REF!,#REF!,#REF!</definedName>
    <definedName name="BL2.0" localSheetId="20">#REF!,#REF!,#REF!</definedName>
    <definedName name="BL2.0" localSheetId="21">#REF!,#REF!,#REF!</definedName>
    <definedName name="BL2.0" localSheetId="11">#REF!,#REF!,#REF!</definedName>
    <definedName name="BL2.0" localSheetId="17">#REF!,#REF!,#REF!</definedName>
    <definedName name="BL2.0" localSheetId="16">#REF!,#REF!,#REF!</definedName>
    <definedName name="BL2.0" localSheetId="22">#REF!,#REF!,#REF!</definedName>
    <definedName name="BL2.0" localSheetId="9">#REF!,#REF!,#REF!</definedName>
    <definedName name="BL2.0" localSheetId="13">#REF!,#REF!,#REF!</definedName>
    <definedName name="BL2.0" localSheetId="23">#REF!,#REF!,#REF!</definedName>
    <definedName name="BL2.0">#REF!,#REF!,#REF!</definedName>
    <definedName name="BL3.0" localSheetId="4">#REF!,#REF!,#REF!</definedName>
    <definedName name="BL3.0" localSheetId="5">#REF!,#REF!,#REF!</definedName>
    <definedName name="BL3.0" localSheetId="15">#REF!,#REF!,#REF!</definedName>
    <definedName name="BL3.0" localSheetId="19">#REF!,#REF!,#REF!</definedName>
    <definedName name="BL3.0" localSheetId="18">#REF!,#REF!,#REF!</definedName>
    <definedName name="BL3.0" localSheetId="14">#REF!,#REF!,#REF!</definedName>
    <definedName name="BL3.0" localSheetId="12">#REF!,#REF!,#REF!</definedName>
    <definedName name="BL3.0" localSheetId="24">#REF!,#REF!,#REF!</definedName>
    <definedName name="BL3.0" localSheetId="7">#REF!,#REF!,#REF!</definedName>
    <definedName name="BL3.0" localSheetId="20">#REF!,#REF!,#REF!</definedName>
    <definedName name="BL3.0" localSheetId="21">#REF!,#REF!,#REF!</definedName>
    <definedName name="BL3.0" localSheetId="11">#REF!,#REF!,#REF!</definedName>
    <definedName name="BL3.0" localSheetId="17">#REF!,#REF!,#REF!</definedName>
    <definedName name="BL3.0" localSheetId="16">#REF!,#REF!,#REF!</definedName>
    <definedName name="BL3.0" localSheetId="22">#REF!,#REF!,#REF!</definedName>
    <definedName name="BL3.0" localSheetId="9">#REF!,#REF!,#REF!</definedName>
    <definedName name="BL3.0" localSheetId="13">#REF!,#REF!,#REF!</definedName>
    <definedName name="BL3.0" localSheetId="23">#REF!,#REF!,#REF!</definedName>
    <definedName name="BL3.0">#REF!,#REF!,#REF!</definedName>
    <definedName name="BL4.0" localSheetId="4">#REF!,#REF!,#REF!</definedName>
    <definedName name="BL4.0" localSheetId="5">#REF!,#REF!,#REF!</definedName>
    <definedName name="BL4.0" localSheetId="15">#REF!,#REF!,#REF!</definedName>
    <definedName name="BL4.0" localSheetId="19">#REF!,#REF!,#REF!</definedName>
    <definedName name="BL4.0" localSheetId="18">#REF!,#REF!,#REF!</definedName>
    <definedName name="BL4.0" localSheetId="14">#REF!,#REF!,#REF!</definedName>
    <definedName name="BL4.0" localSheetId="12">#REF!,#REF!,#REF!</definedName>
    <definedName name="BL4.0" localSheetId="24">#REF!,#REF!,#REF!</definedName>
    <definedName name="BL4.0" localSheetId="7">#REF!,#REF!,#REF!</definedName>
    <definedName name="BL4.0" localSheetId="20">#REF!,#REF!,#REF!</definedName>
    <definedName name="BL4.0" localSheetId="21">#REF!,#REF!,#REF!</definedName>
    <definedName name="BL4.0" localSheetId="11">#REF!,#REF!,#REF!</definedName>
    <definedName name="BL4.0" localSheetId="17">#REF!,#REF!,#REF!</definedName>
    <definedName name="BL4.0" localSheetId="16">#REF!,#REF!,#REF!</definedName>
    <definedName name="BL4.0" localSheetId="22">#REF!,#REF!,#REF!</definedName>
    <definedName name="BL4.0" localSheetId="9">#REF!,#REF!,#REF!</definedName>
    <definedName name="BL4.0" localSheetId="13">#REF!,#REF!,#REF!</definedName>
    <definedName name="BL4.0" localSheetId="23">#REF!,#REF!,#REF!</definedName>
    <definedName name="BL4.0">#REF!,#REF!,#REF!</definedName>
    <definedName name="BL5.0" localSheetId="4">#REF!,#REF!,#REF!</definedName>
    <definedName name="BL5.0" localSheetId="9">#REF!,#REF!,#REF!</definedName>
    <definedName name="BL5.0">#REF!,#REF!,#REF!</definedName>
    <definedName name="bll" localSheetId="4">#REF!</definedName>
    <definedName name="bll" localSheetId="5">#REF!</definedName>
    <definedName name="bll" localSheetId="15">#REF!</definedName>
    <definedName name="bll" localSheetId="19">#REF!</definedName>
    <definedName name="bll" localSheetId="18">#REF!</definedName>
    <definedName name="bll" localSheetId="14">#REF!</definedName>
    <definedName name="bll" localSheetId="12">#REF!</definedName>
    <definedName name="bll" localSheetId="24">#REF!</definedName>
    <definedName name="bll" localSheetId="7">#REF!</definedName>
    <definedName name="bll" localSheetId="20">#REF!</definedName>
    <definedName name="bll" localSheetId="21">#REF!</definedName>
    <definedName name="bll" localSheetId="11">#REF!</definedName>
    <definedName name="bll" localSheetId="17">#REF!</definedName>
    <definedName name="bll" localSheetId="16">#REF!</definedName>
    <definedName name="bll" localSheetId="22">#REF!</definedName>
    <definedName name="bll" localSheetId="9">#REF!</definedName>
    <definedName name="bll" localSheetId="13">#REF!</definedName>
    <definedName name="bll" localSheetId="23">#REF!</definedName>
    <definedName name="bll">#REF!</definedName>
    <definedName name="block.balancesheet.blue" localSheetId="4">#REF!</definedName>
    <definedName name="block.balancesheet.blue" localSheetId="5">#REF!</definedName>
    <definedName name="block.balancesheet.blue" localSheetId="15">#REF!</definedName>
    <definedName name="block.balancesheet.blue" localSheetId="19">#REF!</definedName>
    <definedName name="block.balancesheet.blue" localSheetId="18">#REF!</definedName>
    <definedName name="block.balancesheet.blue" localSheetId="14">#REF!</definedName>
    <definedName name="block.balancesheet.blue" localSheetId="12">#REF!</definedName>
    <definedName name="block.balancesheet.blue" localSheetId="24">#REF!</definedName>
    <definedName name="block.balancesheet.blue" localSheetId="7">#REF!</definedName>
    <definedName name="block.balancesheet.blue" localSheetId="20">#REF!</definedName>
    <definedName name="block.balancesheet.blue" localSheetId="21">#REF!</definedName>
    <definedName name="block.balancesheet.blue" localSheetId="11">#REF!</definedName>
    <definedName name="block.balancesheet.blue" localSheetId="17">#REF!</definedName>
    <definedName name="block.balancesheet.blue" localSheetId="16">#REF!</definedName>
    <definedName name="block.balancesheet.blue" localSheetId="22">#REF!</definedName>
    <definedName name="block.balancesheet.blue" localSheetId="9">#REF!</definedName>
    <definedName name="block.balancesheet.blue" localSheetId="13">#REF!</definedName>
    <definedName name="block.balancesheet.blue" localSheetId="23">#REF!</definedName>
    <definedName name="block.balancesheet.blue">#REF!</definedName>
    <definedName name="block.businessbackground.blue" localSheetId="4">#REF!</definedName>
    <definedName name="block.businessbackground.blue" localSheetId="5">#REF!</definedName>
    <definedName name="block.businessbackground.blue" localSheetId="15">#REF!</definedName>
    <definedName name="block.businessbackground.blue" localSheetId="19">#REF!</definedName>
    <definedName name="block.businessbackground.blue" localSheetId="18">#REF!</definedName>
    <definedName name="block.businessbackground.blue" localSheetId="14">#REF!</definedName>
    <definedName name="block.businessbackground.blue" localSheetId="12">#REF!</definedName>
    <definedName name="block.businessbackground.blue" localSheetId="24">#REF!</definedName>
    <definedName name="block.businessbackground.blue" localSheetId="7">#REF!</definedName>
    <definedName name="block.businessbackground.blue" localSheetId="20">#REF!</definedName>
    <definedName name="block.businessbackground.blue" localSheetId="21">#REF!</definedName>
    <definedName name="block.businessbackground.blue" localSheetId="11">#REF!</definedName>
    <definedName name="block.businessbackground.blue" localSheetId="17">#REF!</definedName>
    <definedName name="block.businessbackground.blue" localSheetId="16">#REF!</definedName>
    <definedName name="block.businessbackground.blue" localSheetId="22">#REF!</definedName>
    <definedName name="block.businessbackground.blue" localSheetId="9">#REF!</definedName>
    <definedName name="block.businessbackground.blue" localSheetId="13">#REF!</definedName>
    <definedName name="block.businessbackground.blue" localSheetId="23">#REF!</definedName>
    <definedName name="block.businessbackground.blue">#REF!</definedName>
    <definedName name="block.capitalhistory.blue" localSheetId="4">#REF!</definedName>
    <definedName name="block.capitalhistory.blue" localSheetId="9">#REF!</definedName>
    <definedName name="block.capitalhistory.blue">#REF!</definedName>
    <definedName name="block.cashflow.blue" localSheetId="4">#REF!</definedName>
    <definedName name="block.cashflow.blue" localSheetId="9">#REF!</definedName>
    <definedName name="block.cashflow.blue">#REF!</definedName>
    <definedName name="block.expansionplans.blue" localSheetId="4">#REF!</definedName>
    <definedName name="block.expansionplans.blue" localSheetId="9">#REF!</definedName>
    <definedName name="block.expansionplans.blue">#REF!</definedName>
    <definedName name="block.forecasts.blue" localSheetId="4">#REF!</definedName>
    <definedName name="block.forecasts.blue" localSheetId="9">#REF!</definedName>
    <definedName name="block.forecasts.blue">#REF!</definedName>
    <definedName name="block.identityblock.blue" localSheetId="4">#REF!</definedName>
    <definedName name="block.identityblock.blue" localSheetId="9">#REF!</definedName>
    <definedName name="block.identityblock.blue">#REF!</definedName>
    <definedName name="block.incomestatement.blue" localSheetId="4">#REF!</definedName>
    <definedName name="block.incomestatement.blue" localSheetId="9">#REF!</definedName>
    <definedName name="block.incomestatement.blue">#REF!</definedName>
    <definedName name="block.investmentargument.blue" localSheetId="4">#REF!</definedName>
    <definedName name="block.investmentargument.blue" localSheetId="9">#REF!</definedName>
    <definedName name="block.investmentargument.blue">#REF!</definedName>
    <definedName name="block.keyassumptions.blue" localSheetId="4">#REF!</definedName>
    <definedName name="block.keyassumptions.blue" localSheetId="9">#REF!</definedName>
    <definedName name="block.keyassumptions.blue">#REF!</definedName>
    <definedName name="block.keyassumptions2.blue" localSheetId="4">#REF!</definedName>
    <definedName name="block.keyassumptions2.blue" localSheetId="9">#REF!</definedName>
    <definedName name="block.keyassumptions2.blue">#REF!</definedName>
    <definedName name="block.mainpoints.red" localSheetId="4">#REF!</definedName>
    <definedName name="block.mainpoints.red" localSheetId="9">#REF!</definedName>
    <definedName name="block.mainpoints.red">#REF!</definedName>
    <definedName name="block.PEBANDS.none" localSheetId="4">#REF!</definedName>
    <definedName name="block.PEBANDS.none" localSheetId="9">#REF!</definedName>
    <definedName name="block.PEBANDS.none">#REF!</definedName>
    <definedName name="block.perrel.none" localSheetId="4">#REF!</definedName>
    <definedName name="block.perrel.none" localSheetId="9">#REF!</definedName>
    <definedName name="block.perrel.none">#REF!</definedName>
    <definedName name="block.pricetrends.none" localSheetId="4">#REF!</definedName>
    <definedName name="block.pricetrends.none" localSheetId="9">#REF!</definedName>
    <definedName name="block.pricetrends.none">#REF!</definedName>
    <definedName name="block.ratioanalysis.blue" localSheetId="4">#REF!</definedName>
    <definedName name="block.ratioanalysis.blue" localSheetId="9">#REF!</definedName>
    <definedName name="block.ratioanalysis.blue">#REF!</definedName>
    <definedName name="block.salesbreakdown.none" localSheetId="4">#REF!</definedName>
    <definedName name="block.salesbreakdown.none" localSheetId="9">#REF!</definedName>
    <definedName name="block.salesbreakdown.none">#REF!</definedName>
    <definedName name="block.shareholdingpattern.blue" localSheetId="4">#REF!</definedName>
    <definedName name="block.shareholdingpattern.blue" localSheetId="9">#REF!</definedName>
    <definedName name="block.shareholdingpattern.blue">#REF!</definedName>
    <definedName name="block.title.blue" localSheetId="4">#REF!</definedName>
    <definedName name="block.title.blue" localSheetId="9">#REF!</definedName>
    <definedName name="block.title.blue">#REF!</definedName>
    <definedName name="bloomberg_code" localSheetId="4">#REF!</definedName>
    <definedName name="bloomberg_code" localSheetId="9">#REF!</definedName>
    <definedName name="bloomberg_code">#REF!</definedName>
    <definedName name="BLPH1" localSheetId="4" hidden="1">#REF!</definedName>
    <definedName name="BLPH1" localSheetId="9" hidden="1">#REF!</definedName>
    <definedName name="BLPH1" hidden="1">#REF!</definedName>
    <definedName name="BLPH10" hidden="1">#REF!</definedName>
    <definedName name="BLPH100" localSheetId="4" hidden="1">#REF!</definedName>
    <definedName name="BLPH100" localSheetId="5" hidden="1">#REF!</definedName>
    <definedName name="BLPH100" localSheetId="15" hidden="1">#REF!</definedName>
    <definedName name="BLPH100" localSheetId="19" hidden="1">#REF!</definedName>
    <definedName name="BLPH100" localSheetId="18" hidden="1">#REF!</definedName>
    <definedName name="BLPH100" localSheetId="14" hidden="1">#REF!</definedName>
    <definedName name="BLPH100" localSheetId="12" hidden="1">#REF!</definedName>
    <definedName name="BLPH100" localSheetId="24" hidden="1">#REF!</definedName>
    <definedName name="BLPH100" localSheetId="7" hidden="1">#REF!</definedName>
    <definedName name="BLPH100" localSheetId="20" hidden="1">#REF!</definedName>
    <definedName name="BLPH100" localSheetId="21" hidden="1">#REF!</definedName>
    <definedName name="BLPH100" localSheetId="11" hidden="1">#REF!</definedName>
    <definedName name="BLPH100" localSheetId="17" hidden="1">#REF!</definedName>
    <definedName name="BLPH100" localSheetId="16" hidden="1">#REF!</definedName>
    <definedName name="BLPH100" localSheetId="22" hidden="1">#REF!</definedName>
    <definedName name="BLPH100" localSheetId="9" hidden="1">#REF!</definedName>
    <definedName name="BLPH100" localSheetId="13" hidden="1">#REF!</definedName>
    <definedName name="BLPH100" localSheetId="23" hidden="1">#REF!</definedName>
    <definedName name="BLPH100" hidden="1">#REF!</definedName>
    <definedName name="BLPH101" localSheetId="4" hidden="1">#REF!</definedName>
    <definedName name="BLPH101" localSheetId="5" hidden="1">#REF!</definedName>
    <definedName name="BLPH101" localSheetId="15" hidden="1">#REF!</definedName>
    <definedName name="BLPH101" localSheetId="19" hidden="1">#REF!</definedName>
    <definedName name="BLPH101" localSheetId="18" hidden="1">#REF!</definedName>
    <definedName name="BLPH101" localSheetId="14" hidden="1">#REF!</definedName>
    <definedName name="BLPH101" localSheetId="12" hidden="1">#REF!</definedName>
    <definedName name="BLPH101" localSheetId="24" hidden="1">#REF!</definedName>
    <definedName name="BLPH101" localSheetId="7" hidden="1">#REF!</definedName>
    <definedName name="BLPH101" localSheetId="20" hidden="1">#REF!</definedName>
    <definedName name="BLPH101" localSheetId="21" hidden="1">#REF!</definedName>
    <definedName name="BLPH101" localSheetId="11" hidden="1">#REF!</definedName>
    <definedName name="BLPH101" localSheetId="17" hidden="1">#REF!</definedName>
    <definedName name="BLPH101" localSheetId="16" hidden="1">#REF!</definedName>
    <definedName name="BLPH101" localSheetId="22" hidden="1">#REF!</definedName>
    <definedName name="BLPH101" localSheetId="9" hidden="1">#REF!</definedName>
    <definedName name="BLPH101" localSheetId="13" hidden="1">#REF!</definedName>
    <definedName name="BLPH101" localSheetId="23" hidden="1">#REF!</definedName>
    <definedName name="BLPH101" hidden="1">#REF!</definedName>
    <definedName name="BLPH102" localSheetId="4" hidden="1">#REF!</definedName>
    <definedName name="BLPH102" localSheetId="5" hidden="1">#REF!</definedName>
    <definedName name="BLPH102" localSheetId="15" hidden="1">#REF!</definedName>
    <definedName name="BLPH102" localSheetId="19" hidden="1">#REF!</definedName>
    <definedName name="BLPH102" localSheetId="18" hidden="1">#REF!</definedName>
    <definedName name="BLPH102" localSheetId="14" hidden="1">#REF!</definedName>
    <definedName name="BLPH102" localSheetId="12" hidden="1">#REF!</definedName>
    <definedName name="BLPH102" localSheetId="24" hidden="1">#REF!</definedName>
    <definedName name="BLPH102" localSheetId="7" hidden="1">#REF!</definedName>
    <definedName name="BLPH102" localSheetId="20" hidden="1">#REF!</definedName>
    <definedName name="BLPH102" localSheetId="21" hidden="1">#REF!</definedName>
    <definedName name="BLPH102" localSheetId="11" hidden="1">#REF!</definedName>
    <definedName name="BLPH102" localSheetId="17" hidden="1">#REF!</definedName>
    <definedName name="BLPH102" localSheetId="16" hidden="1">#REF!</definedName>
    <definedName name="BLPH102" localSheetId="22" hidden="1">#REF!</definedName>
    <definedName name="BLPH102" localSheetId="9" hidden="1">#REF!</definedName>
    <definedName name="BLPH102" localSheetId="13" hidden="1">#REF!</definedName>
    <definedName name="BLPH102" localSheetId="23" hidden="1">#REF!</definedName>
    <definedName name="BLPH102" hidden="1">#REF!</definedName>
    <definedName name="BLPH103" localSheetId="4" hidden="1">#REF!</definedName>
    <definedName name="BLPH103" localSheetId="9" hidden="1">#REF!</definedName>
    <definedName name="BLPH103" hidden="1">#REF!</definedName>
    <definedName name="BLPH104" localSheetId="4" hidden="1">#REF!</definedName>
    <definedName name="BLPH104" localSheetId="9" hidden="1">#REF!</definedName>
    <definedName name="BLPH104" hidden="1">#REF!</definedName>
    <definedName name="BLPH105" localSheetId="4" hidden="1">#REF!</definedName>
    <definedName name="BLPH105" localSheetId="9" hidden="1">#REF!</definedName>
    <definedName name="BLPH105" hidden="1">#REF!</definedName>
    <definedName name="BLPH106" localSheetId="4" hidden="1">#REF!</definedName>
    <definedName name="BLPH106" localSheetId="9" hidden="1">#REF!</definedName>
    <definedName name="BLPH106" hidden="1">#REF!</definedName>
    <definedName name="BLPH107" localSheetId="4" hidden="1">#REF!</definedName>
    <definedName name="BLPH107" localSheetId="9" hidden="1">#REF!</definedName>
    <definedName name="BLPH107" hidden="1">#REF!</definedName>
    <definedName name="BLPH108" localSheetId="4" hidden="1">#REF!</definedName>
    <definedName name="BLPH108" localSheetId="9" hidden="1">#REF!</definedName>
    <definedName name="BLPH108" hidden="1">#REF!</definedName>
    <definedName name="BLPH109" localSheetId="4" hidden="1">#REF!</definedName>
    <definedName name="BLPH109" localSheetId="9" hidden="1">#REF!</definedName>
    <definedName name="BLPH109" hidden="1">#REF!</definedName>
    <definedName name="BLPH11" localSheetId="4" hidden="1">#REF!</definedName>
    <definedName name="BLPH11" localSheetId="9" hidden="1">#REF!</definedName>
    <definedName name="BLPH11" hidden="1">#REF!</definedName>
    <definedName name="BLPH110" localSheetId="4" hidden="1">#REF!</definedName>
    <definedName name="BLPH110" localSheetId="9" hidden="1">#REF!</definedName>
    <definedName name="BLPH110" hidden="1">#REF!</definedName>
    <definedName name="BLPH111" localSheetId="4" hidden="1">#REF!</definedName>
    <definedName name="BLPH111" localSheetId="9" hidden="1">#REF!</definedName>
    <definedName name="BLPH111" hidden="1">#REF!</definedName>
    <definedName name="BLPH112" localSheetId="4" hidden="1">#REF!</definedName>
    <definedName name="BLPH112" localSheetId="9" hidden="1">#REF!</definedName>
    <definedName name="BLPH112" hidden="1">#REF!</definedName>
    <definedName name="BLPH113" localSheetId="4" hidden="1">#REF!</definedName>
    <definedName name="BLPH113" localSheetId="9" hidden="1">#REF!</definedName>
    <definedName name="BLPH113" hidden="1">#REF!</definedName>
    <definedName name="BLPH114" localSheetId="4" hidden="1">#REF!</definedName>
    <definedName name="BLPH114" localSheetId="9" hidden="1">#REF!</definedName>
    <definedName name="BLPH114" hidden="1">#REF!</definedName>
    <definedName name="BLPH115" localSheetId="4" hidden="1">#REF!</definedName>
    <definedName name="BLPH115" localSheetId="9" hidden="1">#REF!</definedName>
    <definedName name="BLPH115" hidden="1">#REF!</definedName>
    <definedName name="BLPH116" localSheetId="4" hidden="1">#REF!</definedName>
    <definedName name="BLPH116" localSheetId="9" hidden="1">#REF!</definedName>
    <definedName name="BLPH116" hidden="1">#REF!</definedName>
    <definedName name="BLPH117" localSheetId="4" hidden="1">#REF!</definedName>
    <definedName name="BLPH117" localSheetId="9" hidden="1">#REF!</definedName>
    <definedName name="BLPH117" hidden="1">#REF!</definedName>
    <definedName name="BLPH118" localSheetId="4" hidden="1">#REF!</definedName>
    <definedName name="BLPH118" localSheetId="9" hidden="1">#REF!</definedName>
    <definedName name="BLPH118" hidden="1">#REF!</definedName>
    <definedName name="BLPH119" localSheetId="4" hidden="1">#REF!</definedName>
    <definedName name="BLPH119" localSheetId="9" hidden="1">#REF!</definedName>
    <definedName name="BLPH119" hidden="1">#REF!</definedName>
    <definedName name="BLPH12" localSheetId="4" hidden="1">#REF!</definedName>
    <definedName name="BLPH12" localSheetId="9" hidden="1">#REF!</definedName>
    <definedName name="BLPH12" hidden="1">#REF!</definedName>
    <definedName name="BLPH120" localSheetId="4" hidden="1">#REF!</definedName>
    <definedName name="BLPH120" localSheetId="9" hidden="1">#REF!</definedName>
    <definedName name="BLPH120" hidden="1">#REF!</definedName>
    <definedName name="BLPH121" localSheetId="4" hidden="1">#REF!</definedName>
    <definedName name="BLPH121" localSheetId="9" hidden="1">#REF!</definedName>
    <definedName name="BLPH121" hidden="1">#REF!</definedName>
    <definedName name="BLPH122" localSheetId="4" hidden="1">#REF!</definedName>
    <definedName name="BLPH122" localSheetId="9" hidden="1">#REF!</definedName>
    <definedName name="BLPH122" hidden="1">#REF!</definedName>
    <definedName name="BLPH123" localSheetId="4" hidden="1">#REF!</definedName>
    <definedName name="BLPH123" localSheetId="9" hidden="1">#REF!</definedName>
    <definedName name="BLPH123" hidden="1">#REF!</definedName>
    <definedName name="BLPH124" localSheetId="4" hidden="1">#REF!</definedName>
    <definedName name="BLPH124" localSheetId="9" hidden="1">#REF!</definedName>
    <definedName name="BLPH124" hidden="1">#REF!</definedName>
    <definedName name="BLPH125" localSheetId="4" hidden="1">#REF!</definedName>
    <definedName name="BLPH125" localSheetId="9" hidden="1">#REF!</definedName>
    <definedName name="BLPH125" hidden="1">#REF!</definedName>
    <definedName name="BLPH126" localSheetId="4" hidden="1">#REF!</definedName>
    <definedName name="BLPH126" localSheetId="9" hidden="1">#REF!</definedName>
    <definedName name="BLPH126" hidden="1">#REF!</definedName>
    <definedName name="BLPH127" localSheetId="4" hidden="1">#REF!</definedName>
    <definedName name="BLPH127" localSheetId="9" hidden="1">#REF!</definedName>
    <definedName name="BLPH127" hidden="1">#REF!</definedName>
    <definedName name="BLPH128" localSheetId="4" hidden="1">#REF!</definedName>
    <definedName name="BLPH128" localSheetId="9" hidden="1">#REF!</definedName>
    <definedName name="BLPH128" hidden="1">#REF!</definedName>
    <definedName name="BLPH129" localSheetId="4" hidden="1">#REF!</definedName>
    <definedName name="BLPH129" localSheetId="9" hidden="1">#REF!</definedName>
    <definedName name="BLPH129" hidden="1">#REF!</definedName>
    <definedName name="BLPH13" localSheetId="4" hidden="1">#REF!</definedName>
    <definedName name="BLPH13" localSheetId="9" hidden="1">#REF!</definedName>
    <definedName name="BLPH13" hidden="1">#REF!</definedName>
    <definedName name="BLPH130" localSheetId="4" hidden="1">#REF!</definedName>
    <definedName name="BLPH130" localSheetId="9" hidden="1">#REF!</definedName>
    <definedName name="BLPH130" hidden="1">#REF!</definedName>
    <definedName name="BLPH131" localSheetId="4" hidden="1">#REF!</definedName>
    <definedName name="BLPH131" localSheetId="9" hidden="1">#REF!</definedName>
    <definedName name="BLPH131" hidden="1">#REF!</definedName>
    <definedName name="BLPH132" localSheetId="4" hidden="1">#REF!</definedName>
    <definedName name="BLPH132" localSheetId="9" hidden="1">#REF!</definedName>
    <definedName name="BLPH132" hidden="1">#REF!</definedName>
    <definedName name="BLPH133" localSheetId="4" hidden="1">#REF!</definedName>
    <definedName name="BLPH133" localSheetId="9" hidden="1">#REF!</definedName>
    <definedName name="BLPH133" hidden="1">#REF!</definedName>
    <definedName name="BLPH134" localSheetId="4" hidden="1">#REF!</definedName>
    <definedName name="BLPH134" localSheetId="9" hidden="1">#REF!</definedName>
    <definedName name="BLPH134" hidden="1">#REF!</definedName>
    <definedName name="BLPH135" localSheetId="4" hidden="1">#REF!</definedName>
    <definedName name="BLPH135" localSheetId="9" hidden="1">#REF!</definedName>
    <definedName name="BLPH135" hidden="1">#REF!</definedName>
    <definedName name="BLPH136" localSheetId="4" hidden="1">#REF!</definedName>
    <definedName name="BLPH136" localSheetId="9" hidden="1">#REF!</definedName>
    <definedName name="BLPH136" hidden="1">#REF!</definedName>
    <definedName name="BLPH137" localSheetId="4" hidden="1">#REF!</definedName>
    <definedName name="BLPH137" localSheetId="9" hidden="1">#REF!</definedName>
    <definedName name="BLPH137" hidden="1">#REF!</definedName>
    <definedName name="BLPH138" localSheetId="4" hidden="1">#REF!</definedName>
    <definedName name="BLPH138" localSheetId="9" hidden="1">#REF!</definedName>
    <definedName name="BLPH138" hidden="1">#REF!</definedName>
    <definedName name="BLPH139" localSheetId="4" hidden="1">#REF!</definedName>
    <definedName name="BLPH139" localSheetId="9" hidden="1">#REF!</definedName>
    <definedName name="BLPH139" hidden="1">#REF!</definedName>
    <definedName name="BLPH14" localSheetId="4" hidden="1">#REF!</definedName>
    <definedName name="BLPH14" localSheetId="9" hidden="1">#REF!</definedName>
    <definedName name="BLPH14" hidden="1">#REF!</definedName>
    <definedName name="BLPH140" localSheetId="4" hidden="1">#REF!</definedName>
    <definedName name="BLPH140" localSheetId="9" hidden="1">#REF!</definedName>
    <definedName name="BLPH140" hidden="1">#REF!</definedName>
    <definedName name="BLPH141" localSheetId="4" hidden="1">#REF!</definedName>
    <definedName name="BLPH141" localSheetId="9" hidden="1">#REF!</definedName>
    <definedName name="BLPH141" hidden="1">#REF!</definedName>
    <definedName name="BLPH142" localSheetId="4" hidden="1">#REF!</definedName>
    <definedName name="BLPH142" localSheetId="9" hidden="1">#REF!</definedName>
    <definedName name="BLPH142" hidden="1">#REF!</definedName>
    <definedName name="BLPH143" localSheetId="4" hidden="1">#REF!</definedName>
    <definedName name="BLPH143" localSheetId="9" hidden="1">#REF!</definedName>
    <definedName name="BLPH143" hidden="1">#REF!</definedName>
    <definedName name="BLPH144" localSheetId="4" hidden="1">#REF!</definedName>
    <definedName name="BLPH144" localSheetId="9" hidden="1">#REF!</definedName>
    <definedName name="BLPH144" hidden="1">#REF!</definedName>
    <definedName name="BLPH145" localSheetId="4" hidden="1">#REF!</definedName>
    <definedName name="BLPH145" localSheetId="9" hidden="1">#REF!</definedName>
    <definedName name="BLPH145" hidden="1">#REF!</definedName>
    <definedName name="BLPH146" localSheetId="4" hidden="1">#REF!</definedName>
    <definedName name="BLPH146" localSheetId="9" hidden="1">#REF!</definedName>
    <definedName name="BLPH146" hidden="1">#REF!</definedName>
    <definedName name="BLPH147" localSheetId="4" hidden="1">#REF!</definedName>
    <definedName name="BLPH147" localSheetId="9" hidden="1">#REF!</definedName>
    <definedName name="BLPH147" hidden="1">#REF!</definedName>
    <definedName name="BLPH148" localSheetId="4" hidden="1">#REF!</definedName>
    <definedName name="BLPH148" localSheetId="9" hidden="1">#REF!</definedName>
    <definedName name="BLPH148" hidden="1">#REF!</definedName>
    <definedName name="BLPH149" localSheetId="4" hidden="1">#REF!</definedName>
    <definedName name="BLPH149" localSheetId="9" hidden="1">#REF!</definedName>
    <definedName name="BLPH149" hidden="1">#REF!</definedName>
    <definedName name="BLPH15" localSheetId="4" hidden="1">#REF!</definedName>
    <definedName name="BLPH15" localSheetId="9" hidden="1">#REF!</definedName>
    <definedName name="BLPH15" hidden="1">#REF!</definedName>
    <definedName name="BLPH150" localSheetId="4" hidden="1">#REF!</definedName>
    <definedName name="BLPH150" localSheetId="9" hidden="1">#REF!</definedName>
    <definedName name="BLPH150" hidden="1">#REF!</definedName>
    <definedName name="BLPH151" localSheetId="4" hidden="1">#REF!</definedName>
    <definedName name="BLPH151" localSheetId="9" hidden="1">#REF!</definedName>
    <definedName name="BLPH151" hidden="1">#REF!</definedName>
    <definedName name="BLPH152" localSheetId="4" hidden="1">#REF!</definedName>
    <definedName name="BLPH152" localSheetId="9" hidden="1">#REF!</definedName>
    <definedName name="BLPH152" hidden="1">#REF!</definedName>
    <definedName name="BLPH153" localSheetId="4" hidden="1">#REF!</definedName>
    <definedName name="BLPH153" localSheetId="9" hidden="1">#REF!</definedName>
    <definedName name="BLPH153" hidden="1">#REF!</definedName>
    <definedName name="BLPH154" localSheetId="4" hidden="1">#REF!</definedName>
    <definedName name="BLPH154" localSheetId="9" hidden="1">#REF!</definedName>
    <definedName name="BLPH154" hidden="1">#REF!</definedName>
    <definedName name="BLPH155" localSheetId="4" hidden="1">#REF!</definedName>
    <definedName name="BLPH155" localSheetId="9" hidden="1">#REF!</definedName>
    <definedName name="BLPH155" hidden="1">#REF!</definedName>
    <definedName name="BLPH156" localSheetId="4" hidden="1">#REF!</definedName>
    <definedName name="BLPH156" localSheetId="9" hidden="1">#REF!</definedName>
    <definedName name="BLPH156" hidden="1">#REF!</definedName>
    <definedName name="BLPH157" localSheetId="4" hidden="1">#REF!</definedName>
    <definedName name="BLPH157" localSheetId="9" hidden="1">#REF!</definedName>
    <definedName name="BLPH157" hidden="1">#REF!</definedName>
    <definedName name="BLPH158" localSheetId="4" hidden="1">#REF!</definedName>
    <definedName name="BLPH158" localSheetId="9" hidden="1">#REF!</definedName>
    <definedName name="BLPH158" hidden="1">#REF!</definedName>
    <definedName name="BLPH159" localSheetId="4" hidden="1">#REF!</definedName>
    <definedName name="BLPH159" localSheetId="9" hidden="1">#REF!</definedName>
    <definedName name="BLPH159" hidden="1">#REF!</definedName>
    <definedName name="BLPH16" localSheetId="4" hidden="1">#REF!</definedName>
    <definedName name="BLPH16" localSheetId="9" hidden="1">#REF!</definedName>
    <definedName name="BLPH16" hidden="1">#REF!</definedName>
    <definedName name="BLPH160" localSheetId="4" hidden="1">#REF!</definedName>
    <definedName name="BLPH160" localSheetId="9" hidden="1">#REF!</definedName>
    <definedName name="BLPH160" hidden="1">#REF!</definedName>
    <definedName name="BLPH161" localSheetId="4" hidden="1">#REF!</definedName>
    <definedName name="BLPH161" localSheetId="9" hidden="1">#REF!</definedName>
    <definedName name="BLPH161" hidden="1">#REF!</definedName>
    <definedName name="BLPH162" localSheetId="4" hidden="1">#REF!</definedName>
    <definedName name="BLPH162" localSheetId="9" hidden="1">#REF!</definedName>
    <definedName name="BLPH162" hidden="1">#REF!</definedName>
    <definedName name="BLPH163" localSheetId="4" hidden="1">#REF!</definedName>
    <definedName name="BLPH163" localSheetId="9" hidden="1">#REF!</definedName>
    <definedName name="BLPH163" hidden="1">#REF!</definedName>
    <definedName name="BLPH164" localSheetId="4" hidden="1">#REF!</definedName>
    <definedName name="BLPH164" localSheetId="9" hidden="1">#REF!</definedName>
    <definedName name="BLPH164" hidden="1">#REF!</definedName>
    <definedName name="BLPH165" localSheetId="4" hidden="1">#REF!</definedName>
    <definedName name="BLPH165" localSheetId="9" hidden="1">#REF!</definedName>
    <definedName name="BLPH165" hidden="1">#REF!</definedName>
    <definedName name="BLPH166" localSheetId="4" hidden="1">#REF!</definedName>
    <definedName name="BLPH166" localSheetId="9" hidden="1">#REF!</definedName>
    <definedName name="BLPH166" hidden="1">#REF!</definedName>
    <definedName name="BLPH167" localSheetId="4" hidden="1">#REF!</definedName>
    <definedName name="BLPH167" localSheetId="9" hidden="1">#REF!</definedName>
    <definedName name="BLPH167" hidden="1">#REF!</definedName>
    <definedName name="BLPH168" localSheetId="4" hidden="1">#REF!</definedName>
    <definedName name="BLPH168" localSheetId="9" hidden="1">#REF!</definedName>
    <definedName name="BLPH168" hidden="1">#REF!</definedName>
    <definedName name="BLPH169" localSheetId="4" hidden="1">#REF!</definedName>
    <definedName name="BLPH169" localSheetId="9" hidden="1">#REF!</definedName>
    <definedName name="BLPH169" hidden="1">#REF!</definedName>
    <definedName name="BLPH17" localSheetId="4" hidden="1">#REF!</definedName>
    <definedName name="BLPH17" localSheetId="9" hidden="1">#REF!</definedName>
    <definedName name="BLPH17" hidden="1">#REF!</definedName>
    <definedName name="BLPH170" localSheetId="4" hidden="1">#REF!</definedName>
    <definedName name="BLPH170" localSheetId="9" hidden="1">#REF!</definedName>
    <definedName name="BLPH170" hidden="1">#REF!</definedName>
    <definedName name="BLPH171" localSheetId="4" hidden="1">#REF!</definedName>
    <definedName name="BLPH171" localSheetId="9" hidden="1">#REF!</definedName>
    <definedName name="BLPH171" hidden="1">#REF!</definedName>
    <definedName name="BLPH172" localSheetId="4" hidden="1">#REF!</definedName>
    <definedName name="BLPH172" localSheetId="9" hidden="1">#REF!</definedName>
    <definedName name="BLPH172" hidden="1">#REF!</definedName>
    <definedName name="BLPH173" localSheetId="4" hidden="1">#REF!</definedName>
    <definedName name="BLPH173" localSheetId="9" hidden="1">#REF!</definedName>
    <definedName name="BLPH173" hidden="1">#REF!</definedName>
    <definedName name="BLPH174" localSheetId="4" hidden="1">#REF!</definedName>
    <definedName name="BLPH174" localSheetId="9" hidden="1">#REF!</definedName>
    <definedName name="BLPH174" hidden="1">#REF!</definedName>
    <definedName name="BLPH175" localSheetId="4" hidden="1">#REF!</definedName>
    <definedName name="BLPH175" localSheetId="9" hidden="1">#REF!</definedName>
    <definedName name="BLPH175" hidden="1">#REF!</definedName>
    <definedName name="BLPH176" localSheetId="4" hidden="1">#REF!</definedName>
    <definedName name="BLPH176" localSheetId="9" hidden="1">#REF!</definedName>
    <definedName name="BLPH176" hidden="1">#REF!</definedName>
    <definedName name="BLPH177" localSheetId="4" hidden="1">#REF!</definedName>
    <definedName name="BLPH177" localSheetId="9" hidden="1">#REF!</definedName>
    <definedName name="BLPH177" hidden="1">#REF!</definedName>
    <definedName name="BLPH178" localSheetId="4" hidden="1">#REF!</definedName>
    <definedName name="BLPH178" localSheetId="9" hidden="1">#REF!</definedName>
    <definedName name="BLPH178" hidden="1">#REF!</definedName>
    <definedName name="BLPH179" localSheetId="4" hidden="1">#REF!</definedName>
    <definedName name="BLPH179" localSheetId="9" hidden="1">#REF!</definedName>
    <definedName name="BLPH179" hidden="1">#REF!</definedName>
    <definedName name="BLPH18" localSheetId="4" hidden="1">#REF!</definedName>
    <definedName name="BLPH18" localSheetId="9" hidden="1">#REF!</definedName>
    <definedName name="BLPH18" hidden="1">#REF!</definedName>
    <definedName name="BLPH180" localSheetId="4" hidden="1">#REF!</definedName>
    <definedName name="BLPH180" localSheetId="9" hidden="1">#REF!</definedName>
    <definedName name="BLPH180" hidden="1">#REF!</definedName>
    <definedName name="BLPH181" localSheetId="4" hidden="1">#REF!</definedName>
    <definedName name="BLPH181" localSheetId="9" hidden="1">#REF!</definedName>
    <definedName name="BLPH181" hidden="1">#REF!</definedName>
    <definedName name="BLPH182" localSheetId="4" hidden="1">#REF!</definedName>
    <definedName name="BLPH182" localSheetId="9" hidden="1">#REF!</definedName>
    <definedName name="BLPH182" hidden="1">#REF!</definedName>
    <definedName name="BLPH183" localSheetId="4" hidden="1">#REF!</definedName>
    <definedName name="BLPH183" localSheetId="9" hidden="1">#REF!</definedName>
    <definedName name="BLPH183" hidden="1">#REF!</definedName>
    <definedName name="BLPH184" localSheetId="4" hidden="1">#REF!</definedName>
    <definedName name="BLPH184" localSheetId="9" hidden="1">#REF!</definedName>
    <definedName name="BLPH184" hidden="1">#REF!</definedName>
    <definedName name="BLPH185" localSheetId="4" hidden="1">#REF!</definedName>
    <definedName name="BLPH185" localSheetId="9" hidden="1">#REF!</definedName>
    <definedName name="BLPH185" hidden="1">#REF!</definedName>
    <definedName name="BLPH186" localSheetId="4" hidden="1">#REF!</definedName>
    <definedName name="BLPH186" localSheetId="9" hidden="1">#REF!</definedName>
    <definedName name="BLPH186" hidden="1">#REF!</definedName>
    <definedName name="BLPH187" localSheetId="4" hidden="1">#REF!</definedName>
    <definedName name="BLPH187" localSheetId="9" hidden="1">#REF!</definedName>
    <definedName name="BLPH187" hidden="1">#REF!</definedName>
    <definedName name="BLPH188" localSheetId="4" hidden="1">#REF!</definedName>
    <definedName name="BLPH188" localSheetId="9" hidden="1">#REF!</definedName>
    <definedName name="BLPH188" hidden="1">#REF!</definedName>
    <definedName name="BLPH189" localSheetId="4" hidden="1">#REF!</definedName>
    <definedName name="BLPH189" localSheetId="9" hidden="1">#REF!</definedName>
    <definedName name="BLPH189" hidden="1">#REF!</definedName>
    <definedName name="BLPH19" localSheetId="4" hidden="1">#REF!</definedName>
    <definedName name="BLPH19" localSheetId="9" hidden="1">#REF!</definedName>
    <definedName name="BLPH19" hidden="1">#REF!</definedName>
    <definedName name="BLPH190" localSheetId="4" hidden="1">#REF!</definedName>
    <definedName name="BLPH190" localSheetId="9" hidden="1">#REF!</definedName>
    <definedName name="BLPH190" hidden="1">#REF!</definedName>
    <definedName name="BLPH191" localSheetId="4" hidden="1">#REF!</definedName>
    <definedName name="BLPH191" localSheetId="9" hidden="1">#REF!</definedName>
    <definedName name="BLPH191" hidden="1">#REF!</definedName>
    <definedName name="BLPH192" localSheetId="4" hidden="1">#REF!</definedName>
    <definedName name="BLPH192" localSheetId="9" hidden="1">#REF!</definedName>
    <definedName name="BLPH192" hidden="1">#REF!</definedName>
    <definedName name="BLPH193" localSheetId="4" hidden="1">#REF!</definedName>
    <definedName name="BLPH193" localSheetId="9" hidden="1">#REF!</definedName>
    <definedName name="BLPH193" hidden="1">#REF!</definedName>
    <definedName name="BLPH194" localSheetId="4" hidden="1">#REF!</definedName>
    <definedName name="BLPH194" localSheetId="9" hidden="1">#REF!</definedName>
    <definedName name="BLPH194" hidden="1">#REF!</definedName>
    <definedName name="BLPH195" localSheetId="4" hidden="1">#REF!</definedName>
    <definedName name="BLPH195" localSheetId="9" hidden="1">#REF!</definedName>
    <definedName name="BLPH195" hidden="1">#REF!</definedName>
    <definedName name="BLPH196" localSheetId="4" hidden="1">#REF!</definedName>
    <definedName name="BLPH196" localSheetId="9" hidden="1">#REF!</definedName>
    <definedName name="BLPH196" hidden="1">#REF!</definedName>
    <definedName name="BLPH197" localSheetId="4" hidden="1">#REF!</definedName>
    <definedName name="BLPH197" localSheetId="9" hidden="1">#REF!</definedName>
    <definedName name="BLPH197" hidden="1">#REF!</definedName>
    <definedName name="BLPH198" localSheetId="4" hidden="1">#REF!</definedName>
    <definedName name="BLPH198" localSheetId="9" hidden="1">#REF!</definedName>
    <definedName name="BLPH198" hidden="1">#REF!</definedName>
    <definedName name="BLPH199" localSheetId="4" hidden="1">#REF!</definedName>
    <definedName name="BLPH199" localSheetId="9" hidden="1">#REF!</definedName>
    <definedName name="BLPH199" hidden="1">#REF!</definedName>
    <definedName name="BLPH2" localSheetId="4" hidden="1">#REF!</definedName>
    <definedName name="BLPH2" localSheetId="9" hidden="1">#REF!</definedName>
    <definedName name="BLPH2" hidden="1">#REF!</definedName>
    <definedName name="BLPH20" localSheetId="4" hidden="1">#REF!</definedName>
    <definedName name="BLPH20" localSheetId="9" hidden="1">#REF!</definedName>
    <definedName name="BLPH20" hidden="1">#REF!</definedName>
    <definedName name="BLPH200" localSheetId="4" hidden="1">#REF!</definedName>
    <definedName name="BLPH200" localSheetId="9" hidden="1">#REF!</definedName>
    <definedName name="BLPH200" hidden="1">#REF!</definedName>
    <definedName name="BLPH201" localSheetId="4" hidden="1">#REF!</definedName>
    <definedName name="BLPH201" localSheetId="9" hidden="1">#REF!</definedName>
    <definedName name="BLPH201" hidden="1">#REF!</definedName>
    <definedName name="BLPH202" localSheetId="4" hidden="1">#REF!</definedName>
    <definedName name="BLPH202" localSheetId="9" hidden="1">#REF!</definedName>
    <definedName name="BLPH202" hidden="1">#REF!</definedName>
    <definedName name="BLPH203" localSheetId="4" hidden="1">#REF!</definedName>
    <definedName name="BLPH203" localSheetId="9" hidden="1">#REF!</definedName>
    <definedName name="BLPH203" hidden="1">#REF!</definedName>
    <definedName name="BLPH204" localSheetId="4" hidden="1">#REF!</definedName>
    <definedName name="BLPH204" localSheetId="9" hidden="1">#REF!</definedName>
    <definedName name="BLPH204" hidden="1">#REF!</definedName>
    <definedName name="BLPH205" localSheetId="4" hidden="1">#REF!</definedName>
    <definedName name="BLPH205" localSheetId="9" hidden="1">#REF!</definedName>
    <definedName name="BLPH205" hidden="1">#REF!</definedName>
    <definedName name="BLPH206" localSheetId="4" hidden="1">#REF!</definedName>
    <definedName name="BLPH206" localSheetId="9" hidden="1">#REF!</definedName>
    <definedName name="BLPH206" hidden="1">#REF!</definedName>
    <definedName name="BLPH207" localSheetId="4" hidden="1">#REF!</definedName>
    <definedName name="BLPH207" localSheetId="9" hidden="1">#REF!</definedName>
    <definedName name="BLPH207" hidden="1">#REF!</definedName>
    <definedName name="BLPH208" localSheetId="4" hidden="1">#REF!</definedName>
    <definedName name="BLPH208" localSheetId="9" hidden="1">#REF!</definedName>
    <definedName name="BLPH208" hidden="1">#REF!</definedName>
    <definedName name="BLPH209" localSheetId="4" hidden="1">#REF!</definedName>
    <definedName name="BLPH209" localSheetId="9" hidden="1">#REF!</definedName>
    <definedName name="BLPH209" hidden="1">#REF!</definedName>
    <definedName name="BLPH21" localSheetId="4" hidden="1">#REF!</definedName>
    <definedName name="BLPH21" localSheetId="9" hidden="1">#REF!</definedName>
    <definedName name="BLPH21" hidden="1">#REF!</definedName>
    <definedName name="BLPH210" localSheetId="4" hidden="1">#REF!</definedName>
    <definedName name="BLPH210" localSheetId="9" hidden="1">#REF!</definedName>
    <definedName name="BLPH210" hidden="1">#REF!</definedName>
    <definedName name="BLPH211" localSheetId="4" hidden="1">#REF!</definedName>
    <definedName name="BLPH211" localSheetId="9" hidden="1">#REF!</definedName>
    <definedName name="BLPH211" hidden="1">#REF!</definedName>
    <definedName name="BLPH212" localSheetId="4" hidden="1">#REF!</definedName>
    <definedName name="BLPH212" localSheetId="9" hidden="1">#REF!</definedName>
    <definedName name="BLPH212" hidden="1">#REF!</definedName>
    <definedName name="BLPH213" localSheetId="4" hidden="1">#REF!</definedName>
    <definedName name="BLPH213" localSheetId="9" hidden="1">#REF!</definedName>
    <definedName name="BLPH213" hidden="1">#REF!</definedName>
    <definedName name="BLPH214" localSheetId="4" hidden="1">#REF!</definedName>
    <definedName name="BLPH214" localSheetId="9" hidden="1">#REF!</definedName>
    <definedName name="BLPH214" hidden="1">#REF!</definedName>
    <definedName name="BLPH22" localSheetId="4" hidden="1">#REF!</definedName>
    <definedName name="BLPH22" localSheetId="9" hidden="1">#REF!</definedName>
    <definedName name="BLPH22" hidden="1">#REF!</definedName>
    <definedName name="BLPH23" localSheetId="4" hidden="1">#REF!</definedName>
    <definedName name="BLPH23" localSheetId="9" hidden="1">#REF!</definedName>
    <definedName name="BLPH23" hidden="1">#REF!</definedName>
    <definedName name="BLPH24" localSheetId="4" hidden="1">#REF!</definedName>
    <definedName name="BLPH24" localSheetId="9" hidden="1">#REF!</definedName>
    <definedName name="BLPH24" hidden="1">#REF!</definedName>
    <definedName name="BLPH25" localSheetId="4" hidden="1">#REF!</definedName>
    <definedName name="BLPH25" localSheetId="9" hidden="1">#REF!</definedName>
    <definedName name="BLPH25" hidden="1">#REF!</definedName>
    <definedName name="BLPH26" localSheetId="4" hidden="1">#REF!</definedName>
    <definedName name="BLPH26" localSheetId="9" hidden="1">#REF!</definedName>
    <definedName name="BLPH26" hidden="1">#REF!</definedName>
    <definedName name="BLPH27" localSheetId="4" hidden="1">#REF!</definedName>
    <definedName name="BLPH27" localSheetId="9" hidden="1">#REF!</definedName>
    <definedName name="BLPH27" hidden="1">#REF!</definedName>
    <definedName name="BLPH28" localSheetId="4" hidden="1">#REF!</definedName>
    <definedName name="BLPH28" localSheetId="9" hidden="1">#REF!</definedName>
    <definedName name="BLPH28" hidden="1">#REF!</definedName>
    <definedName name="BLPH29" localSheetId="4" hidden="1">#REF!</definedName>
    <definedName name="BLPH29" localSheetId="9" hidden="1">#REF!</definedName>
    <definedName name="BLPH29" hidden="1">#REF!</definedName>
    <definedName name="BLPH3" localSheetId="4" hidden="1">#REF!</definedName>
    <definedName name="BLPH3" localSheetId="9" hidden="1">#REF!</definedName>
    <definedName name="BLPH3" hidden="1">#REF!</definedName>
    <definedName name="BLPH30" localSheetId="4" hidden="1">#REF!</definedName>
    <definedName name="BLPH30" localSheetId="9" hidden="1">#REF!</definedName>
    <definedName name="BLPH30" hidden="1">#REF!</definedName>
    <definedName name="BLPH31" localSheetId="4" hidden="1">#REF!</definedName>
    <definedName name="BLPH31" localSheetId="9" hidden="1">#REF!</definedName>
    <definedName name="BLPH31" hidden="1">#REF!</definedName>
    <definedName name="BLPH32" localSheetId="4" hidden="1">#REF!</definedName>
    <definedName name="BLPH32" localSheetId="9" hidden="1">#REF!</definedName>
    <definedName name="BLPH32" hidden="1">#REF!</definedName>
    <definedName name="BLPH33" localSheetId="4" hidden="1">#REF!</definedName>
    <definedName name="BLPH33" localSheetId="9" hidden="1">#REF!</definedName>
    <definedName name="BLPH33" hidden="1">#REF!</definedName>
    <definedName name="BLPH34" localSheetId="4" hidden="1">#REF!</definedName>
    <definedName name="BLPH34" localSheetId="9" hidden="1">#REF!</definedName>
    <definedName name="BLPH34" hidden="1">#REF!</definedName>
    <definedName name="BLPH35" localSheetId="4" hidden="1">#REF!</definedName>
    <definedName name="BLPH35" localSheetId="9" hidden="1">#REF!</definedName>
    <definedName name="BLPH35" hidden="1">#REF!</definedName>
    <definedName name="BLPH36" localSheetId="4" hidden="1">#REF!</definedName>
    <definedName name="BLPH36" localSheetId="9" hidden="1">#REF!</definedName>
    <definedName name="BLPH36" hidden="1">#REF!</definedName>
    <definedName name="BLPH37" localSheetId="4" hidden="1">#REF!</definedName>
    <definedName name="BLPH37" localSheetId="9" hidden="1">#REF!</definedName>
    <definedName name="BLPH37" hidden="1">#REF!</definedName>
    <definedName name="BLPH38" localSheetId="4" hidden="1">#REF!</definedName>
    <definedName name="BLPH38" localSheetId="9" hidden="1">#REF!</definedName>
    <definedName name="BLPH38" hidden="1">#REF!</definedName>
    <definedName name="BLPH39" localSheetId="4" hidden="1">#REF!</definedName>
    <definedName name="BLPH39" localSheetId="9" hidden="1">#REF!</definedName>
    <definedName name="BLPH39" hidden="1">#REF!</definedName>
    <definedName name="BLPH4" localSheetId="4" hidden="1">#REF!</definedName>
    <definedName name="BLPH4" localSheetId="9" hidden="1">#REF!</definedName>
    <definedName name="BLPH4" hidden="1">#REF!</definedName>
    <definedName name="BLPH40" localSheetId="4" hidden="1">#REF!</definedName>
    <definedName name="BLPH40" localSheetId="9" hidden="1">#REF!</definedName>
    <definedName name="BLPH40" hidden="1">#REF!</definedName>
    <definedName name="BLPH41" localSheetId="4" hidden="1">#REF!</definedName>
    <definedName name="BLPH41" localSheetId="9" hidden="1">#REF!</definedName>
    <definedName name="BLPH41" hidden="1">#REF!</definedName>
    <definedName name="BLPH42" localSheetId="4" hidden="1">#REF!</definedName>
    <definedName name="BLPH42" localSheetId="9" hidden="1">#REF!</definedName>
    <definedName name="BLPH42" hidden="1">#REF!</definedName>
    <definedName name="BLPH43" localSheetId="4" hidden="1">#REF!</definedName>
    <definedName name="BLPH43" localSheetId="9" hidden="1">#REF!</definedName>
    <definedName name="BLPH43" hidden="1">#REF!</definedName>
    <definedName name="BLPH44" localSheetId="4" hidden="1">#REF!</definedName>
    <definedName name="BLPH44" localSheetId="9" hidden="1">#REF!</definedName>
    <definedName name="BLPH44" hidden="1">#REF!</definedName>
    <definedName name="BLPH45" localSheetId="4" hidden="1">#REF!</definedName>
    <definedName name="BLPH45" localSheetId="9" hidden="1">#REF!</definedName>
    <definedName name="BLPH45" hidden="1">#REF!</definedName>
    <definedName name="BLPH46" localSheetId="4" hidden="1">#REF!</definedName>
    <definedName name="BLPH46" localSheetId="9" hidden="1">#REF!</definedName>
    <definedName name="BLPH46" hidden="1">#REF!</definedName>
    <definedName name="BLPH47" localSheetId="4" hidden="1">#REF!</definedName>
    <definedName name="BLPH47" localSheetId="9" hidden="1">#REF!</definedName>
    <definedName name="BLPH47" hidden="1">#REF!</definedName>
    <definedName name="BLPH48" localSheetId="4" hidden="1">#REF!</definedName>
    <definedName name="BLPH48" localSheetId="9" hidden="1">#REF!</definedName>
    <definedName name="BLPH48" hidden="1">#REF!</definedName>
    <definedName name="BLPH49" localSheetId="4" hidden="1">#REF!</definedName>
    <definedName name="BLPH49" localSheetId="9" hidden="1">#REF!</definedName>
    <definedName name="BLPH49" hidden="1">#REF!</definedName>
    <definedName name="BLPH5" localSheetId="4" hidden="1">#REF!</definedName>
    <definedName name="BLPH5" localSheetId="9" hidden="1">#REF!</definedName>
    <definedName name="BLPH5" hidden="1">#REF!</definedName>
    <definedName name="BLPH50" localSheetId="4" hidden="1">#REF!</definedName>
    <definedName name="BLPH50" localSheetId="9" hidden="1">#REF!</definedName>
    <definedName name="BLPH50" hidden="1">#REF!</definedName>
    <definedName name="BLPH51" localSheetId="4" hidden="1">#REF!</definedName>
    <definedName name="BLPH51" localSheetId="9" hidden="1">#REF!</definedName>
    <definedName name="BLPH51" hidden="1">#REF!</definedName>
    <definedName name="BLPH52" localSheetId="4" hidden="1">#REF!</definedName>
    <definedName name="BLPH52" localSheetId="9" hidden="1">#REF!</definedName>
    <definedName name="BLPH52" hidden="1">#REF!</definedName>
    <definedName name="BLPH53" localSheetId="4" hidden="1">#REF!</definedName>
    <definedName name="BLPH53" localSheetId="9" hidden="1">#REF!</definedName>
    <definedName name="BLPH53" hidden="1">#REF!</definedName>
    <definedName name="BLPH54" localSheetId="4" hidden="1">#REF!</definedName>
    <definedName name="BLPH54" localSheetId="9" hidden="1">#REF!</definedName>
    <definedName name="BLPH54" hidden="1">#REF!</definedName>
    <definedName name="BLPH55" localSheetId="4" hidden="1">#REF!</definedName>
    <definedName name="BLPH55" localSheetId="9" hidden="1">#REF!</definedName>
    <definedName name="BLPH55" hidden="1">#REF!</definedName>
    <definedName name="BLPH56" localSheetId="4" hidden="1">#REF!</definedName>
    <definedName name="BLPH56" localSheetId="9" hidden="1">#REF!</definedName>
    <definedName name="BLPH56" hidden="1">#REF!</definedName>
    <definedName name="BLPH57" localSheetId="4" hidden="1">#REF!</definedName>
    <definedName name="BLPH57" localSheetId="9" hidden="1">#REF!</definedName>
    <definedName name="BLPH57" hidden="1">#REF!</definedName>
    <definedName name="BLPH58" localSheetId="4" hidden="1">#REF!</definedName>
    <definedName name="BLPH58" localSheetId="9" hidden="1">#REF!</definedName>
    <definedName name="BLPH58" hidden="1">#REF!</definedName>
    <definedName name="BLPH59" localSheetId="4" hidden="1">#REF!</definedName>
    <definedName name="BLPH59" localSheetId="9" hidden="1">#REF!</definedName>
    <definedName name="BLPH59" hidden="1">#REF!</definedName>
    <definedName name="BLPH6" localSheetId="4" hidden="1">#REF!</definedName>
    <definedName name="BLPH6" localSheetId="9" hidden="1">#REF!</definedName>
    <definedName name="BLPH6" hidden="1">#REF!</definedName>
    <definedName name="BLPH60" localSheetId="4" hidden="1">#REF!</definedName>
    <definedName name="BLPH60" localSheetId="9" hidden="1">#REF!</definedName>
    <definedName name="BLPH60" hidden="1">#REF!</definedName>
    <definedName name="BLPH61" localSheetId="4" hidden="1">#REF!</definedName>
    <definedName name="BLPH61" localSheetId="9" hidden="1">#REF!</definedName>
    <definedName name="BLPH61" hidden="1">#REF!</definedName>
    <definedName name="BLPH62" localSheetId="4" hidden="1">#REF!</definedName>
    <definedName name="BLPH62" localSheetId="9" hidden="1">#REF!</definedName>
    <definedName name="BLPH62" hidden="1">#REF!</definedName>
    <definedName name="BLPH63" localSheetId="4" hidden="1">#REF!</definedName>
    <definedName name="BLPH63" localSheetId="9" hidden="1">#REF!</definedName>
    <definedName name="BLPH63" hidden="1">#REF!</definedName>
    <definedName name="BLPH64" localSheetId="4" hidden="1">#REF!</definedName>
    <definedName name="BLPH64" localSheetId="9" hidden="1">#REF!</definedName>
    <definedName name="BLPH64" hidden="1">#REF!</definedName>
    <definedName name="BLPH65" localSheetId="4" hidden="1">#REF!</definedName>
    <definedName name="BLPH65" localSheetId="9" hidden="1">#REF!</definedName>
    <definedName name="BLPH65" hidden="1">#REF!</definedName>
    <definedName name="BLPH66" localSheetId="4" hidden="1">#REF!</definedName>
    <definedName name="BLPH66" localSheetId="9" hidden="1">#REF!</definedName>
    <definedName name="BLPH66" hidden="1">#REF!</definedName>
    <definedName name="BLPH67" localSheetId="4" hidden="1">#REF!</definedName>
    <definedName name="BLPH67" localSheetId="9" hidden="1">#REF!</definedName>
    <definedName name="BLPH67" hidden="1">#REF!</definedName>
    <definedName name="BLPH68" localSheetId="4" hidden="1">#REF!</definedName>
    <definedName name="BLPH68" localSheetId="9" hidden="1">#REF!</definedName>
    <definedName name="BLPH68" hidden="1">#REF!</definedName>
    <definedName name="BLPH69" localSheetId="4" hidden="1">#REF!</definedName>
    <definedName name="BLPH69" localSheetId="9" hidden="1">#REF!</definedName>
    <definedName name="BLPH69" hidden="1">#REF!</definedName>
    <definedName name="BLPH7" localSheetId="4" hidden="1">#REF!</definedName>
    <definedName name="BLPH7" localSheetId="5" hidden="1">#REF!</definedName>
    <definedName name="BLPH7" localSheetId="15" hidden="1">#REF!</definedName>
    <definedName name="BLPH7" localSheetId="19" hidden="1">#REF!</definedName>
    <definedName name="BLPH7" localSheetId="18" hidden="1">#REF!</definedName>
    <definedName name="BLPH7" localSheetId="14" hidden="1">#REF!</definedName>
    <definedName name="BLPH7" localSheetId="12" hidden="1">#REF!</definedName>
    <definedName name="BLPH7" localSheetId="24" hidden="1">#REF!</definedName>
    <definedName name="BLPH7" localSheetId="7" hidden="1">#REF!</definedName>
    <definedName name="BLPH7" localSheetId="20" hidden="1">#REF!</definedName>
    <definedName name="BLPH7" localSheetId="21" hidden="1">#REF!</definedName>
    <definedName name="BLPH7" localSheetId="11" hidden="1">#REF!</definedName>
    <definedName name="BLPH7" localSheetId="17" hidden="1">#REF!</definedName>
    <definedName name="BLPH7" localSheetId="16" hidden="1">#REF!</definedName>
    <definedName name="BLPH7" localSheetId="22" hidden="1">#REF!</definedName>
    <definedName name="BLPH7" localSheetId="9" hidden="1">#REF!</definedName>
    <definedName name="BLPH7" localSheetId="13" hidden="1">#REF!</definedName>
    <definedName name="BLPH7" localSheetId="23" hidden="1">#REF!</definedName>
    <definedName name="BLPH7" hidden="1">#REF!</definedName>
    <definedName name="BLPH70" localSheetId="4" hidden="1">#REF!</definedName>
    <definedName name="BLPH70" localSheetId="5" hidden="1">#REF!</definedName>
    <definedName name="BLPH70" localSheetId="15" hidden="1">#REF!</definedName>
    <definedName name="BLPH70" localSheetId="19" hidden="1">#REF!</definedName>
    <definedName name="BLPH70" localSheetId="18" hidden="1">#REF!</definedName>
    <definedName name="BLPH70" localSheetId="14" hidden="1">#REF!</definedName>
    <definedName name="BLPH70" localSheetId="12" hidden="1">#REF!</definedName>
    <definedName name="BLPH70" localSheetId="24" hidden="1">#REF!</definedName>
    <definedName name="BLPH70" localSheetId="7" hidden="1">#REF!</definedName>
    <definedName name="BLPH70" localSheetId="20" hidden="1">#REF!</definedName>
    <definedName name="BLPH70" localSheetId="21" hidden="1">#REF!</definedName>
    <definedName name="BLPH70" localSheetId="11" hidden="1">#REF!</definedName>
    <definedName name="BLPH70" localSheetId="17" hidden="1">#REF!</definedName>
    <definedName name="BLPH70" localSheetId="16" hidden="1">#REF!</definedName>
    <definedName name="BLPH70" localSheetId="22" hidden="1">#REF!</definedName>
    <definedName name="BLPH70" localSheetId="9" hidden="1">#REF!</definedName>
    <definedName name="BLPH70" localSheetId="13" hidden="1">#REF!</definedName>
    <definedName name="BLPH70" localSheetId="23" hidden="1">#REF!</definedName>
    <definedName name="BLPH70" hidden="1">#REF!</definedName>
    <definedName name="BLPH71" localSheetId="4" hidden="1">#REF!</definedName>
    <definedName name="BLPH71" localSheetId="5" hidden="1">#REF!</definedName>
    <definedName name="BLPH71" localSheetId="15" hidden="1">#REF!</definedName>
    <definedName name="BLPH71" localSheetId="19" hidden="1">#REF!</definedName>
    <definedName name="BLPH71" localSheetId="18" hidden="1">#REF!</definedName>
    <definedName name="BLPH71" localSheetId="14" hidden="1">#REF!</definedName>
    <definedName name="BLPH71" localSheetId="12" hidden="1">#REF!</definedName>
    <definedName name="BLPH71" localSheetId="24" hidden="1">#REF!</definedName>
    <definedName name="BLPH71" localSheetId="7" hidden="1">#REF!</definedName>
    <definedName name="BLPH71" localSheetId="20" hidden="1">#REF!</definedName>
    <definedName name="BLPH71" localSheetId="21" hidden="1">#REF!</definedName>
    <definedName name="BLPH71" localSheetId="11" hidden="1">#REF!</definedName>
    <definedName name="BLPH71" localSheetId="17" hidden="1">#REF!</definedName>
    <definedName name="BLPH71" localSheetId="16" hidden="1">#REF!</definedName>
    <definedName name="BLPH71" localSheetId="22" hidden="1">#REF!</definedName>
    <definedName name="BLPH71" localSheetId="9" hidden="1">#REF!</definedName>
    <definedName name="BLPH71" localSheetId="13" hidden="1">#REF!</definedName>
    <definedName name="BLPH71" localSheetId="23" hidden="1">#REF!</definedName>
    <definedName name="BLPH71" hidden="1">#REF!</definedName>
    <definedName name="BLPH72" localSheetId="4" hidden="1">#REF!</definedName>
    <definedName name="BLPH72" localSheetId="5" hidden="1">#REF!</definedName>
    <definedName name="BLPH72" localSheetId="15" hidden="1">#REF!</definedName>
    <definedName name="BLPH72" localSheetId="19" hidden="1">#REF!</definedName>
    <definedName name="BLPH72" localSheetId="18" hidden="1">#REF!</definedName>
    <definedName name="BLPH72" localSheetId="14" hidden="1">#REF!</definedName>
    <definedName name="BLPH72" localSheetId="12" hidden="1">#REF!</definedName>
    <definedName name="BLPH72" localSheetId="24" hidden="1">#REF!</definedName>
    <definedName name="BLPH72" localSheetId="7" hidden="1">#REF!</definedName>
    <definedName name="BLPH72" localSheetId="20" hidden="1">#REF!</definedName>
    <definedName name="BLPH72" localSheetId="21" hidden="1">#REF!</definedName>
    <definedName name="BLPH72" localSheetId="11" hidden="1">#REF!</definedName>
    <definedName name="BLPH72" localSheetId="17" hidden="1">#REF!</definedName>
    <definedName name="BLPH72" localSheetId="16" hidden="1">#REF!</definedName>
    <definedName name="BLPH72" localSheetId="22" hidden="1">#REF!</definedName>
    <definedName name="BLPH72" localSheetId="9" hidden="1">#REF!</definedName>
    <definedName name="BLPH72" localSheetId="13" hidden="1">#REF!</definedName>
    <definedName name="BLPH72" localSheetId="23" hidden="1">#REF!</definedName>
    <definedName name="BLPH72" hidden="1">#REF!</definedName>
    <definedName name="BLPH73" localSheetId="4" hidden="1">#REF!</definedName>
    <definedName name="BLPH73" localSheetId="9" hidden="1">#REF!</definedName>
    <definedName name="BLPH73" hidden="1">#REF!</definedName>
    <definedName name="BLPH74" localSheetId="4" hidden="1">#REF!</definedName>
    <definedName name="BLPH74" localSheetId="9" hidden="1">#REF!</definedName>
    <definedName name="BLPH74" hidden="1">#REF!</definedName>
    <definedName name="BLPH75" localSheetId="4" hidden="1">#REF!</definedName>
    <definedName name="BLPH75" localSheetId="9" hidden="1">#REF!</definedName>
    <definedName name="BLPH75" hidden="1">#REF!</definedName>
    <definedName name="BLPH76" localSheetId="4" hidden="1">#REF!</definedName>
    <definedName name="BLPH76" localSheetId="9" hidden="1">#REF!</definedName>
    <definedName name="BLPH76" hidden="1">#REF!</definedName>
    <definedName name="BLPH77" localSheetId="4" hidden="1">#REF!</definedName>
    <definedName name="BLPH77" localSheetId="9" hidden="1">#REF!</definedName>
    <definedName name="BLPH77" hidden="1">#REF!</definedName>
    <definedName name="BLPH78" localSheetId="4" hidden="1">#REF!</definedName>
    <definedName name="BLPH78" localSheetId="9" hidden="1">#REF!</definedName>
    <definedName name="BLPH78" hidden="1">#REF!</definedName>
    <definedName name="BLPH79" localSheetId="4" hidden="1">#REF!</definedName>
    <definedName name="BLPH79" localSheetId="9" hidden="1">#REF!</definedName>
    <definedName name="BLPH79" hidden="1">#REF!</definedName>
    <definedName name="BLPH8" localSheetId="4" hidden="1">#REF!</definedName>
    <definedName name="BLPH8" localSheetId="5" hidden="1">#REF!</definedName>
    <definedName name="BLPH8" localSheetId="15" hidden="1">#REF!</definedName>
    <definedName name="BLPH8" localSheetId="19" hidden="1">#REF!</definedName>
    <definedName name="BLPH8" localSheetId="18" hidden="1">#REF!</definedName>
    <definedName name="BLPH8" localSheetId="14" hidden="1">#REF!</definedName>
    <definedName name="BLPH8" localSheetId="12" hidden="1">#REF!</definedName>
    <definedName name="BLPH8" localSheetId="24" hidden="1">#REF!</definedName>
    <definedName name="BLPH8" localSheetId="7" hidden="1">#REF!</definedName>
    <definedName name="BLPH8" localSheetId="20" hidden="1">#REF!</definedName>
    <definedName name="BLPH8" localSheetId="21" hidden="1">#REF!</definedName>
    <definedName name="BLPH8" localSheetId="11" hidden="1">#REF!</definedName>
    <definedName name="BLPH8" localSheetId="17" hidden="1">#REF!</definedName>
    <definedName name="BLPH8" localSheetId="16" hidden="1">#REF!</definedName>
    <definedName name="BLPH8" localSheetId="22" hidden="1">#REF!</definedName>
    <definedName name="BLPH8" localSheetId="9" hidden="1">#REF!</definedName>
    <definedName name="BLPH8" localSheetId="13" hidden="1">#REF!</definedName>
    <definedName name="BLPH8" localSheetId="23" hidden="1">#REF!</definedName>
    <definedName name="BLPH8" hidden="1">#REF!</definedName>
    <definedName name="BLPH80" localSheetId="4" hidden="1">#REF!</definedName>
    <definedName name="BLPH80" localSheetId="5" hidden="1">#REF!</definedName>
    <definedName name="BLPH80" localSheetId="15" hidden="1">#REF!</definedName>
    <definedName name="BLPH80" localSheetId="19" hidden="1">#REF!</definedName>
    <definedName name="BLPH80" localSheetId="18" hidden="1">#REF!</definedName>
    <definedName name="BLPH80" localSheetId="14" hidden="1">#REF!</definedName>
    <definedName name="BLPH80" localSheetId="12" hidden="1">#REF!</definedName>
    <definedName name="BLPH80" localSheetId="24" hidden="1">#REF!</definedName>
    <definedName name="BLPH80" localSheetId="7" hidden="1">#REF!</definedName>
    <definedName name="BLPH80" localSheetId="20" hidden="1">#REF!</definedName>
    <definedName name="BLPH80" localSheetId="21" hidden="1">#REF!</definedName>
    <definedName name="BLPH80" localSheetId="11" hidden="1">#REF!</definedName>
    <definedName name="BLPH80" localSheetId="17" hidden="1">#REF!</definedName>
    <definedName name="BLPH80" localSheetId="16" hidden="1">#REF!</definedName>
    <definedName name="BLPH80" localSheetId="22" hidden="1">#REF!</definedName>
    <definedName name="BLPH80" localSheetId="9" hidden="1">#REF!</definedName>
    <definedName name="BLPH80" localSheetId="13" hidden="1">#REF!</definedName>
    <definedName name="BLPH80" localSheetId="23" hidden="1">#REF!</definedName>
    <definedName name="BLPH80" hidden="1">#REF!</definedName>
    <definedName name="BLPH81" localSheetId="4" hidden="1">#REF!</definedName>
    <definedName name="BLPH81" localSheetId="5" hidden="1">#REF!</definedName>
    <definedName name="BLPH81" localSheetId="15" hidden="1">#REF!</definedName>
    <definedName name="BLPH81" localSheetId="19" hidden="1">#REF!</definedName>
    <definedName name="BLPH81" localSheetId="18" hidden="1">#REF!</definedName>
    <definedName name="BLPH81" localSheetId="14" hidden="1">#REF!</definedName>
    <definedName name="BLPH81" localSheetId="12" hidden="1">#REF!</definedName>
    <definedName name="BLPH81" localSheetId="24" hidden="1">#REF!</definedName>
    <definedName name="BLPH81" localSheetId="7" hidden="1">#REF!</definedName>
    <definedName name="BLPH81" localSheetId="20" hidden="1">#REF!</definedName>
    <definedName name="BLPH81" localSheetId="21" hidden="1">#REF!</definedName>
    <definedName name="BLPH81" localSheetId="11" hidden="1">#REF!</definedName>
    <definedName name="BLPH81" localSheetId="17" hidden="1">#REF!</definedName>
    <definedName name="BLPH81" localSheetId="16" hidden="1">#REF!</definedName>
    <definedName name="BLPH81" localSheetId="22" hidden="1">#REF!</definedName>
    <definedName name="BLPH81" localSheetId="9" hidden="1">#REF!</definedName>
    <definedName name="BLPH81" localSheetId="13" hidden="1">#REF!</definedName>
    <definedName name="BLPH81" localSheetId="23" hidden="1">#REF!</definedName>
    <definedName name="BLPH81" hidden="1">#REF!</definedName>
    <definedName name="BLPH82" localSheetId="4" hidden="1">#REF!</definedName>
    <definedName name="BLPH82" localSheetId="5" hidden="1">#REF!</definedName>
    <definedName name="BLPH82" localSheetId="15" hidden="1">#REF!</definedName>
    <definedName name="BLPH82" localSheetId="19" hidden="1">#REF!</definedName>
    <definedName name="BLPH82" localSheetId="18" hidden="1">#REF!</definedName>
    <definedName name="BLPH82" localSheetId="14" hidden="1">#REF!</definedName>
    <definedName name="BLPH82" localSheetId="12" hidden="1">#REF!</definedName>
    <definedName name="BLPH82" localSheetId="24" hidden="1">#REF!</definedName>
    <definedName name="BLPH82" localSheetId="7" hidden="1">#REF!</definedName>
    <definedName name="BLPH82" localSheetId="20" hidden="1">#REF!</definedName>
    <definedName name="BLPH82" localSheetId="21" hidden="1">#REF!</definedName>
    <definedName name="BLPH82" localSheetId="11" hidden="1">#REF!</definedName>
    <definedName name="BLPH82" localSheetId="17" hidden="1">#REF!</definedName>
    <definedName name="BLPH82" localSheetId="16" hidden="1">#REF!</definedName>
    <definedName name="BLPH82" localSheetId="22" hidden="1">#REF!</definedName>
    <definedName name="BLPH82" localSheetId="9" hidden="1">#REF!</definedName>
    <definedName name="BLPH82" localSheetId="13" hidden="1">#REF!</definedName>
    <definedName name="BLPH82" localSheetId="23" hidden="1">#REF!</definedName>
    <definedName name="BLPH82" hidden="1">#REF!</definedName>
    <definedName name="BLPH83" localSheetId="4" hidden="1">#REF!</definedName>
    <definedName name="BLPH83" localSheetId="9" hidden="1">#REF!</definedName>
    <definedName name="BLPH83" hidden="1">#REF!</definedName>
    <definedName name="BLPH84" localSheetId="4" hidden="1">#REF!</definedName>
    <definedName name="BLPH84" localSheetId="9" hidden="1">#REF!</definedName>
    <definedName name="BLPH84" hidden="1">#REF!</definedName>
    <definedName name="BLPH85" localSheetId="4" hidden="1">#REF!</definedName>
    <definedName name="BLPH85" localSheetId="9" hidden="1">#REF!</definedName>
    <definedName name="BLPH85" hidden="1">#REF!</definedName>
    <definedName name="BLPH86" localSheetId="4" hidden="1">#REF!</definedName>
    <definedName name="BLPH86" localSheetId="9" hidden="1">#REF!</definedName>
    <definedName name="BLPH86" hidden="1">#REF!</definedName>
    <definedName name="BLPH87" localSheetId="4" hidden="1">#REF!</definedName>
    <definedName name="BLPH87" localSheetId="9" hidden="1">#REF!</definedName>
    <definedName name="BLPH87" hidden="1">#REF!</definedName>
    <definedName name="BLPH88" localSheetId="4" hidden="1">#REF!</definedName>
    <definedName name="BLPH88" localSheetId="9" hidden="1">#REF!</definedName>
    <definedName name="BLPH88" hidden="1">#REF!</definedName>
    <definedName name="BLPH89" localSheetId="4" hidden="1">#REF!</definedName>
    <definedName name="BLPH89" localSheetId="9" hidden="1">#REF!</definedName>
    <definedName name="BLPH89" hidden="1">#REF!</definedName>
    <definedName name="BLPH9" localSheetId="5" hidden="1">#REF!</definedName>
    <definedName name="BLPH9" localSheetId="15" hidden="1">#REF!</definedName>
    <definedName name="BLPH9" localSheetId="19" hidden="1">#REF!</definedName>
    <definedName name="BLPH9" localSheetId="18" hidden="1">#REF!</definedName>
    <definedName name="BLPH9" localSheetId="14" hidden="1">#REF!</definedName>
    <definedName name="BLPH9" localSheetId="12" hidden="1">#REF!</definedName>
    <definedName name="BLPH9" localSheetId="24" hidden="1">#REF!</definedName>
    <definedName name="BLPH9" localSheetId="7" hidden="1">#REF!</definedName>
    <definedName name="BLPH9" localSheetId="20" hidden="1">#REF!</definedName>
    <definedName name="BLPH9" localSheetId="21" hidden="1">#REF!</definedName>
    <definedName name="BLPH9" localSheetId="11" hidden="1">#REF!</definedName>
    <definedName name="BLPH9" localSheetId="17" hidden="1">#REF!</definedName>
    <definedName name="BLPH9" localSheetId="16" hidden="1">#REF!</definedName>
    <definedName name="BLPH9" localSheetId="22" hidden="1">#REF!</definedName>
    <definedName name="BLPH9" localSheetId="13" hidden="1">#REF!</definedName>
    <definedName name="BLPH9" localSheetId="23" hidden="1">#REF!</definedName>
    <definedName name="BLPH9" hidden="1">#REF!</definedName>
    <definedName name="BLPH90" localSheetId="4" hidden="1">#REF!</definedName>
    <definedName name="BLPH90" localSheetId="5" hidden="1">#REF!</definedName>
    <definedName name="BLPH90" localSheetId="15" hidden="1">#REF!</definedName>
    <definedName name="BLPH90" localSheetId="19" hidden="1">#REF!</definedName>
    <definedName name="BLPH90" localSheetId="18" hidden="1">#REF!</definedName>
    <definedName name="BLPH90" localSheetId="14" hidden="1">#REF!</definedName>
    <definedName name="BLPH90" localSheetId="12" hidden="1">#REF!</definedName>
    <definedName name="BLPH90" localSheetId="24" hidden="1">#REF!</definedName>
    <definedName name="BLPH90" localSheetId="7" hidden="1">#REF!</definedName>
    <definedName name="BLPH90" localSheetId="20" hidden="1">#REF!</definedName>
    <definedName name="BLPH90" localSheetId="21" hidden="1">#REF!</definedName>
    <definedName name="BLPH90" localSheetId="11" hidden="1">#REF!</definedName>
    <definedName name="BLPH90" localSheetId="17" hidden="1">#REF!</definedName>
    <definedName name="BLPH90" localSheetId="16" hidden="1">#REF!</definedName>
    <definedName name="BLPH90" localSheetId="22" hidden="1">#REF!</definedName>
    <definedName name="BLPH90" localSheetId="9" hidden="1">#REF!</definedName>
    <definedName name="BLPH90" localSheetId="13" hidden="1">#REF!</definedName>
    <definedName name="BLPH90" localSheetId="23" hidden="1">#REF!</definedName>
    <definedName name="BLPH90" hidden="1">#REF!</definedName>
    <definedName name="BLPH91" localSheetId="4" hidden="1">#REF!</definedName>
    <definedName name="BLPH91" localSheetId="5" hidden="1">#REF!</definedName>
    <definedName name="BLPH91" localSheetId="15" hidden="1">#REF!</definedName>
    <definedName name="BLPH91" localSheetId="19" hidden="1">#REF!</definedName>
    <definedName name="BLPH91" localSheetId="18" hidden="1">#REF!</definedName>
    <definedName name="BLPH91" localSheetId="14" hidden="1">#REF!</definedName>
    <definedName name="BLPH91" localSheetId="12" hidden="1">#REF!</definedName>
    <definedName name="BLPH91" localSheetId="24" hidden="1">#REF!</definedName>
    <definedName name="BLPH91" localSheetId="7" hidden="1">#REF!</definedName>
    <definedName name="BLPH91" localSheetId="20" hidden="1">#REF!</definedName>
    <definedName name="BLPH91" localSheetId="21" hidden="1">#REF!</definedName>
    <definedName name="BLPH91" localSheetId="11" hidden="1">#REF!</definedName>
    <definedName name="BLPH91" localSheetId="17" hidden="1">#REF!</definedName>
    <definedName name="BLPH91" localSheetId="16" hidden="1">#REF!</definedName>
    <definedName name="BLPH91" localSheetId="22" hidden="1">#REF!</definedName>
    <definedName name="BLPH91" localSheetId="9" hidden="1">#REF!</definedName>
    <definedName name="BLPH91" localSheetId="13" hidden="1">#REF!</definedName>
    <definedName name="BLPH91" localSheetId="23" hidden="1">#REF!</definedName>
    <definedName name="BLPH91" hidden="1">#REF!</definedName>
    <definedName name="BLPH92" localSheetId="4" hidden="1">#REF!</definedName>
    <definedName name="BLPH92" localSheetId="5" hidden="1">#REF!</definedName>
    <definedName name="BLPH92" localSheetId="15" hidden="1">#REF!</definedName>
    <definedName name="BLPH92" localSheetId="19" hidden="1">#REF!</definedName>
    <definedName name="BLPH92" localSheetId="18" hidden="1">#REF!</definedName>
    <definedName name="BLPH92" localSheetId="14" hidden="1">#REF!</definedName>
    <definedName name="BLPH92" localSheetId="12" hidden="1">#REF!</definedName>
    <definedName name="BLPH92" localSheetId="24" hidden="1">#REF!</definedName>
    <definedName name="BLPH92" localSheetId="7" hidden="1">#REF!</definedName>
    <definedName name="BLPH92" localSheetId="20" hidden="1">#REF!</definedName>
    <definedName name="BLPH92" localSheetId="21" hidden="1">#REF!</definedName>
    <definedName name="BLPH92" localSheetId="11" hidden="1">#REF!</definedName>
    <definedName name="BLPH92" localSheetId="17" hidden="1">#REF!</definedName>
    <definedName name="BLPH92" localSheetId="16" hidden="1">#REF!</definedName>
    <definedName name="BLPH92" localSheetId="22" hidden="1">#REF!</definedName>
    <definedName name="BLPH92" localSheetId="9" hidden="1">#REF!</definedName>
    <definedName name="BLPH92" localSheetId="13" hidden="1">#REF!</definedName>
    <definedName name="BLPH92" localSheetId="23" hidden="1">#REF!</definedName>
    <definedName name="BLPH92" hidden="1">#REF!</definedName>
    <definedName name="BLPH93" localSheetId="4" hidden="1">#REF!</definedName>
    <definedName name="BLPH93" localSheetId="9" hidden="1">#REF!</definedName>
    <definedName name="BLPH93" hidden="1">#REF!</definedName>
    <definedName name="BLPH94" localSheetId="4" hidden="1">#REF!</definedName>
    <definedName name="BLPH94" localSheetId="9" hidden="1">#REF!</definedName>
    <definedName name="BLPH94" hidden="1">#REF!</definedName>
    <definedName name="BLPH95" localSheetId="4" hidden="1">#REF!</definedName>
    <definedName name="BLPH95" localSheetId="9" hidden="1">#REF!</definedName>
    <definedName name="BLPH95" hidden="1">#REF!</definedName>
    <definedName name="BLPH96" localSheetId="4" hidden="1">#REF!</definedName>
    <definedName name="BLPH96" localSheetId="9" hidden="1">#REF!</definedName>
    <definedName name="BLPH96" hidden="1">#REF!</definedName>
    <definedName name="BLPH97" localSheetId="4" hidden="1">#REF!</definedName>
    <definedName name="BLPH97" localSheetId="9" hidden="1">#REF!</definedName>
    <definedName name="BLPH97" hidden="1">#REF!</definedName>
    <definedName name="BLPH98" localSheetId="4" hidden="1">#REF!</definedName>
    <definedName name="BLPH98" localSheetId="9" hidden="1">#REF!</definedName>
    <definedName name="BLPH98" hidden="1">#REF!</definedName>
    <definedName name="BLPH99" localSheetId="4" hidden="1">#REF!</definedName>
    <definedName name="BLPH99" localSheetId="9" hidden="1">#REF!</definedName>
    <definedName name="BLPH99" hidden="1">#REF!</definedName>
    <definedName name="blrdata">#REF!</definedName>
    <definedName name="blt" localSheetId="4">#REF!</definedName>
    <definedName name="blt" localSheetId="5">#REF!</definedName>
    <definedName name="blt" localSheetId="15">#REF!</definedName>
    <definedName name="blt" localSheetId="19">#REF!</definedName>
    <definedName name="blt" localSheetId="18">#REF!</definedName>
    <definedName name="blt" localSheetId="14">#REF!</definedName>
    <definedName name="blt" localSheetId="12">#REF!</definedName>
    <definedName name="blt" localSheetId="24">#REF!</definedName>
    <definedName name="blt" localSheetId="7">#REF!</definedName>
    <definedName name="blt" localSheetId="20">#REF!</definedName>
    <definedName name="blt" localSheetId="21">#REF!</definedName>
    <definedName name="blt" localSheetId="11">#REF!</definedName>
    <definedName name="blt" localSheetId="17">#REF!</definedName>
    <definedName name="blt" localSheetId="16">#REF!</definedName>
    <definedName name="blt" localSheetId="22">#REF!</definedName>
    <definedName name="blt" localSheetId="9">#REF!</definedName>
    <definedName name="blt" localSheetId="13">#REF!</definedName>
    <definedName name="blt" localSheetId="23">#REF!</definedName>
    <definedName name="blt">#REF!</definedName>
    <definedName name="bmi" localSheetId="4">#REF!</definedName>
    <definedName name="bmi" localSheetId="5">#REF!</definedName>
    <definedName name="bmi" localSheetId="15">#REF!</definedName>
    <definedName name="bmi" localSheetId="19">#REF!</definedName>
    <definedName name="bmi" localSheetId="18">#REF!</definedName>
    <definedName name="bmi" localSheetId="14">#REF!</definedName>
    <definedName name="bmi" localSheetId="12">#REF!</definedName>
    <definedName name="bmi" localSheetId="24">#REF!</definedName>
    <definedName name="bmi" localSheetId="7">#REF!</definedName>
    <definedName name="bmi" localSheetId="20">#REF!</definedName>
    <definedName name="bmi" localSheetId="21">#REF!</definedName>
    <definedName name="bmi" localSheetId="11">#REF!</definedName>
    <definedName name="bmi" localSheetId="17">#REF!</definedName>
    <definedName name="bmi" localSheetId="16">#REF!</definedName>
    <definedName name="bmi" localSheetId="22">#REF!</definedName>
    <definedName name="bmi" localSheetId="9">#REF!</definedName>
    <definedName name="bmi" localSheetId="13">#REF!</definedName>
    <definedName name="bmi" localSheetId="23">#REF!</definedName>
    <definedName name="bmi">#REF!</definedName>
    <definedName name="bncbvnbm" hidden="1">#N/A</definedName>
    <definedName name="bnd" localSheetId="4">#REF!</definedName>
    <definedName name="bnd" localSheetId="5">#REF!</definedName>
    <definedName name="bnd" localSheetId="15">#REF!</definedName>
    <definedName name="bnd" localSheetId="19">#REF!</definedName>
    <definedName name="bnd" localSheetId="18">#REF!</definedName>
    <definedName name="bnd" localSheetId="14">#REF!</definedName>
    <definedName name="bnd" localSheetId="12">#REF!</definedName>
    <definedName name="bnd" localSheetId="24">#REF!</definedName>
    <definedName name="bnd" localSheetId="7">#REF!</definedName>
    <definedName name="bnd" localSheetId="20">#REF!</definedName>
    <definedName name="bnd" localSheetId="21">#REF!</definedName>
    <definedName name="bnd" localSheetId="11">#REF!</definedName>
    <definedName name="bnd" localSheetId="17">#REF!</definedName>
    <definedName name="bnd" localSheetId="16">#REF!</definedName>
    <definedName name="bnd" localSheetId="22">#REF!</definedName>
    <definedName name="bnd" localSheetId="9">#REF!</definedName>
    <definedName name="bnd" localSheetId="13">#REF!</definedName>
    <definedName name="bnd" localSheetId="23">#REF!</definedName>
    <definedName name="bnd">#REF!</definedName>
    <definedName name="bnf" localSheetId="4">#REF!</definedName>
    <definedName name="bnf" localSheetId="5">#REF!</definedName>
    <definedName name="bnf" localSheetId="15">#REF!</definedName>
    <definedName name="bnf" localSheetId="19">#REF!</definedName>
    <definedName name="bnf" localSheetId="18">#REF!</definedName>
    <definedName name="bnf" localSheetId="14">#REF!</definedName>
    <definedName name="bnf" localSheetId="12">#REF!</definedName>
    <definedName name="bnf" localSheetId="24">#REF!</definedName>
    <definedName name="bnf" localSheetId="7">#REF!</definedName>
    <definedName name="bnf" localSheetId="20">#REF!</definedName>
    <definedName name="bnf" localSheetId="21">#REF!</definedName>
    <definedName name="bnf" localSheetId="11">#REF!</definedName>
    <definedName name="bnf" localSheetId="17">#REF!</definedName>
    <definedName name="bnf" localSheetId="16">#REF!</definedName>
    <definedName name="bnf" localSheetId="22">#REF!</definedName>
    <definedName name="bnf" localSheetId="9">#REF!</definedName>
    <definedName name="bnf" localSheetId="13">#REF!</definedName>
    <definedName name="bnf" localSheetId="23">#REF!</definedName>
    <definedName name="bnf">#REF!</definedName>
    <definedName name="bngjd" hidden="1">#N/A</definedName>
    <definedName name="bnm" localSheetId="4" hidden="1">{"'PS-SOTM'!$A$1","'PS-SOTM'!$A$2:$M$30","'PS-SOTM'!$A$31:$A$38"}</definedName>
    <definedName name="bnm" localSheetId="5" hidden="1">{"'PS-SOTM'!$A$1","'PS-SOTM'!$A$2:$M$30","'PS-SOTM'!$A$31:$A$38"}</definedName>
    <definedName name="bnm" localSheetId="15" hidden="1">{"'PS-SOTM'!$A$1","'PS-SOTM'!$A$2:$M$30","'PS-SOTM'!$A$31:$A$38"}</definedName>
    <definedName name="bnm" localSheetId="19" hidden="1">{"'PS-SOTM'!$A$1","'PS-SOTM'!$A$2:$M$30","'PS-SOTM'!$A$31:$A$38"}</definedName>
    <definedName name="bnm" localSheetId="18" hidden="1">{"'PS-SOTM'!$A$1","'PS-SOTM'!$A$2:$M$30","'PS-SOTM'!$A$31:$A$38"}</definedName>
    <definedName name="bnm" localSheetId="14" hidden="1">{"'PS-SOTM'!$A$1","'PS-SOTM'!$A$2:$M$30","'PS-SOTM'!$A$31:$A$38"}</definedName>
    <definedName name="bnm" localSheetId="12" hidden="1">{"'PS-SOTM'!$A$1","'PS-SOTM'!$A$2:$M$30","'PS-SOTM'!$A$31:$A$38"}</definedName>
    <definedName name="bnm" localSheetId="24" hidden="1">{"'PS-SOTM'!$A$1","'PS-SOTM'!$A$2:$M$30","'PS-SOTM'!$A$31:$A$38"}</definedName>
    <definedName name="bnm" localSheetId="7" hidden="1">{"'PS-SOTM'!$A$1","'PS-SOTM'!$A$2:$M$30","'PS-SOTM'!$A$31:$A$38"}</definedName>
    <definedName name="bnm" localSheetId="20" hidden="1">{"'PS-SOTM'!$A$1","'PS-SOTM'!$A$2:$M$30","'PS-SOTM'!$A$31:$A$38"}</definedName>
    <definedName name="bnm" localSheetId="21" hidden="1">{"'PS-SOTM'!$A$1","'PS-SOTM'!$A$2:$M$30","'PS-SOTM'!$A$31:$A$38"}</definedName>
    <definedName name="bnm" localSheetId="11" hidden="1">{"'PS-SOTM'!$A$1","'PS-SOTM'!$A$2:$M$30","'PS-SOTM'!$A$31:$A$38"}</definedName>
    <definedName name="bnm" localSheetId="17" hidden="1">{"'PS-SOTM'!$A$1","'PS-SOTM'!$A$2:$M$30","'PS-SOTM'!$A$31:$A$38"}</definedName>
    <definedName name="bnm" localSheetId="16" hidden="1">{"'PS-SOTM'!$A$1","'PS-SOTM'!$A$2:$M$30","'PS-SOTM'!$A$31:$A$38"}</definedName>
    <definedName name="bnm" localSheetId="22" hidden="1">{"'PS-SOTM'!$A$1","'PS-SOTM'!$A$2:$M$30","'PS-SOTM'!$A$31:$A$38"}</definedName>
    <definedName name="bnm" localSheetId="9" hidden="1">{"'PS-SOTM'!$A$1","'PS-SOTM'!$A$2:$M$30","'PS-SOTM'!$A$31:$A$38"}</definedName>
    <definedName name="bnm" localSheetId="13" hidden="1">{"'PS-SOTM'!$A$1","'PS-SOTM'!$A$2:$M$30","'PS-SOTM'!$A$31:$A$38"}</definedName>
    <definedName name="bnm" localSheetId="23" hidden="1">{"'PS-SOTM'!$A$1","'PS-SOTM'!$A$2:$M$30","'PS-SOTM'!$A$31:$A$38"}</definedName>
    <definedName name="bnm" hidden="1">{"'PS-SOTM'!$A$1","'PS-SOTM'!$A$2:$M$30","'PS-SOTM'!$A$31:$A$38"}</definedName>
    <definedName name="bnxnb" hidden="1">#N/A</definedName>
    <definedName name="board">#REF!</definedName>
    <definedName name="boawgt">#REF!</definedName>
    <definedName name="boc" localSheetId="4">#REF!</definedName>
    <definedName name="boc" localSheetId="5">#REF!</definedName>
    <definedName name="boc" localSheetId="15">#REF!</definedName>
    <definedName name="boc" localSheetId="19">#REF!</definedName>
    <definedName name="boc" localSheetId="18">#REF!</definedName>
    <definedName name="boc" localSheetId="14">#REF!</definedName>
    <definedName name="boc" localSheetId="12">#REF!</definedName>
    <definedName name="boc" localSheetId="24">#REF!</definedName>
    <definedName name="boc" localSheetId="7">#REF!</definedName>
    <definedName name="boc" localSheetId="20">#REF!</definedName>
    <definedName name="boc" localSheetId="21">#REF!</definedName>
    <definedName name="boc" localSheetId="11">#REF!</definedName>
    <definedName name="boc" localSheetId="17">#REF!</definedName>
    <definedName name="boc" localSheetId="16">#REF!</definedName>
    <definedName name="boc" localSheetId="22">#REF!</definedName>
    <definedName name="boc" localSheetId="9">#REF!</definedName>
    <definedName name="boc" localSheetId="13">#REF!</definedName>
    <definedName name="boc" localSheetId="23">#REF!</definedName>
    <definedName name="boc">#REF!</definedName>
    <definedName name="bol" localSheetId="4">#REF!</definedName>
    <definedName name="bol" localSheetId="5">#REF!</definedName>
    <definedName name="bol" localSheetId="15">#REF!</definedName>
    <definedName name="bol" localSheetId="19">#REF!</definedName>
    <definedName name="bol" localSheetId="18">#REF!</definedName>
    <definedName name="bol" localSheetId="14">#REF!</definedName>
    <definedName name="bol" localSheetId="12">#REF!</definedName>
    <definedName name="bol" localSheetId="24">#REF!</definedName>
    <definedName name="bol" localSheetId="7">#REF!</definedName>
    <definedName name="bol" localSheetId="20">#REF!</definedName>
    <definedName name="bol" localSheetId="21">#REF!</definedName>
    <definedName name="bol" localSheetId="11">#REF!</definedName>
    <definedName name="bol" localSheetId="17">#REF!</definedName>
    <definedName name="bol" localSheetId="16">#REF!</definedName>
    <definedName name="bol" localSheetId="22">#REF!</definedName>
    <definedName name="bol" localSheetId="9">#REF!</definedName>
    <definedName name="bol" localSheetId="13">#REF!</definedName>
    <definedName name="bol" localSheetId="23">#REF!</definedName>
    <definedName name="bol">#REF!</definedName>
    <definedName name="Bond_rating">#REF!</definedName>
    <definedName name="bonds">#REF!</definedName>
    <definedName name="Bonds_Redemption_Reserve_PL">#REF!</definedName>
    <definedName name="book_nav_share">#REF!</definedName>
    <definedName name="book_nav_share_A">#REF!</definedName>
    <definedName name="Book_value_per_share" localSheetId="4">#REF!</definedName>
    <definedName name="book_value_per_share" localSheetId="5">#REF!</definedName>
    <definedName name="book_value_per_share" localSheetId="15">#REF!</definedName>
    <definedName name="book_value_per_share" localSheetId="19">#REF!</definedName>
    <definedName name="book_value_per_share" localSheetId="18">#REF!</definedName>
    <definedName name="book_value_per_share" localSheetId="14">#REF!</definedName>
    <definedName name="book_value_per_share" localSheetId="12">#REF!</definedName>
    <definedName name="book_value_per_share" localSheetId="24">#REF!</definedName>
    <definedName name="book_value_per_share" localSheetId="7">#REF!</definedName>
    <definedName name="book_value_per_share" localSheetId="20">#REF!</definedName>
    <definedName name="book_value_per_share" localSheetId="21">#REF!</definedName>
    <definedName name="book_value_per_share" localSheetId="11">#REF!</definedName>
    <definedName name="book_value_per_share" localSheetId="17">#REF!</definedName>
    <definedName name="book_value_per_share" localSheetId="16">#REF!</definedName>
    <definedName name="book_value_per_share" localSheetId="22">#REF!</definedName>
    <definedName name="Book_value_per_share" localSheetId="9">#REF!</definedName>
    <definedName name="book_value_per_share" localSheetId="13">#REF!</definedName>
    <definedName name="book_value_per_share" localSheetId="23">#REF!</definedName>
    <definedName name="book_value_per_share">#REF!</definedName>
    <definedName name="Book_value_Rs">#REF!</definedName>
    <definedName name="Book_value_Rs_Q" localSheetId="4">#REF!</definedName>
    <definedName name="Book_value_Rs_Q" localSheetId="5">#REF!</definedName>
    <definedName name="Book_value_Rs_Q" localSheetId="15">#REF!</definedName>
    <definedName name="Book_value_Rs_Q" localSheetId="19">#REF!</definedName>
    <definedName name="Book_value_Rs_Q" localSheetId="18">#REF!</definedName>
    <definedName name="Book_value_Rs_Q" localSheetId="14">#REF!</definedName>
    <definedName name="Book_value_Rs_Q" localSheetId="12">#REF!</definedName>
    <definedName name="Book_value_Rs_Q" localSheetId="24">#REF!</definedName>
    <definedName name="Book_value_Rs_Q" localSheetId="7">#REF!</definedName>
    <definedName name="Book_value_Rs_Q" localSheetId="20">#REF!</definedName>
    <definedName name="Book_value_Rs_Q" localSheetId="21">#REF!</definedName>
    <definedName name="Book_value_Rs_Q" localSheetId="11">#REF!</definedName>
    <definedName name="Book_value_Rs_Q" localSheetId="17">#REF!</definedName>
    <definedName name="Book_value_Rs_Q" localSheetId="16">#REF!</definedName>
    <definedName name="Book_value_Rs_Q" localSheetId="22">#REF!</definedName>
    <definedName name="Book_value_Rs_Q" localSheetId="9">#REF!</definedName>
    <definedName name="Book_value_Rs_Q" localSheetId="13">#REF!</definedName>
    <definedName name="Book_value_Rs_Q" localSheetId="23">#REF!</definedName>
    <definedName name="Book_value_Rs_Q">#REF!</definedName>
    <definedName name="BookDepr">#REF!</definedName>
    <definedName name="bor" localSheetId="4">#REF!</definedName>
    <definedName name="bor" localSheetId="5">#REF!</definedName>
    <definedName name="bor" localSheetId="15">#REF!</definedName>
    <definedName name="bor" localSheetId="19">#REF!</definedName>
    <definedName name="bor" localSheetId="18">#REF!</definedName>
    <definedName name="bor" localSheetId="14">#REF!</definedName>
    <definedName name="bor" localSheetId="12">#REF!</definedName>
    <definedName name="bor" localSheetId="24">#REF!</definedName>
    <definedName name="bor" localSheetId="7">#REF!</definedName>
    <definedName name="bor" localSheetId="20">#REF!</definedName>
    <definedName name="bor" localSheetId="21">#REF!</definedName>
    <definedName name="bor" localSheetId="11">#REF!</definedName>
    <definedName name="bor" localSheetId="17">#REF!</definedName>
    <definedName name="bor" localSheetId="16">#REF!</definedName>
    <definedName name="bor" localSheetId="22">#REF!</definedName>
    <definedName name="bor" localSheetId="9">#REF!</definedName>
    <definedName name="bor" localSheetId="13">#REF!</definedName>
    <definedName name="bor" localSheetId="23">#REF!</definedName>
    <definedName name="bor">#REF!</definedName>
    <definedName name="BorrowingGrowth12" localSheetId="4">#REF!</definedName>
    <definedName name="BorrowingGrowth12" localSheetId="5">#REF!</definedName>
    <definedName name="BorrowingGrowth12" localSheetId="15">#REF!</definedName>
    <definedName name="BorrowingGrowth12" localSheetId="19">#REF!</definedName>
    <definedName name="BorrowingGrowth12" localSheetId="18">#REF!</definedName>
    <definedName name="BorrowingGrowth12" localSheetId="14">#REF!</definedName>
    <definedName name="BorrowingGrowth12" localSheetId="12">#REF!</definedName>
    <definedName name="BorrowingGrowth12" localSheetId="24">#REF!</definedName>
    <definedName name="BorrowingGrowth12" localSheetId="7">#REF!</definedName>
    <definedName name="BorrowingGrowth12" localSheetId="20">#REF!</definedName>
    <definedName name="BorrowingGrowth12" localSheetId="21">#REF!</definedName>
    <definedName name="BorrowingGrowth12" localSheetId="11">#REF!</definedName>
    <definedName name="BorrowingGrowth12" localSheetId="17">#REF!</definedName>
    <definedName name="BorrowingGrowth12" localSheetId="16">#REF!</definedName>
    <definedName name="BorrowingGrowth12" localSheetId="22">#REF!</definedName>
    <definedName name="BorrowingGrowth12" localSheetId="9">#REF!</definedName>
    <definedName name="BorrowingGrowth12" localSheetId="13">#REF!</definedName>
    <definedName name="BorrowingGrowth12" localSheetId="23">#REF!</definedName>
    <definedName name="BorrowingGrowth12">#REF!</definedName>
    <definedName name="BorrowingGrowth13" localSheetId="4">#REF!</definedName>
    <definedName name="BorrowingGrowth13" localSheetId="5">#REF!</definedName>
    <definedName name="BorrowingGrowth13" localSheetId="15">#REF!</definedName>
    <definedName name="BorrowingGrowth13" localSheetId="19">#REF!</definedName>
    <definedName name="BorrowingGrowth13" localSheetId="18">#REF!</definedName>
    <definedName name="BorrowingGrowth13" localSheetId="14">#REF!</definedName>
    <definedName name="BorrowingGrowth13" localSheetId="12">#REF!</definedName>
    <definedName name="BorrowingGrowth13" localSheetId="24">#REF!</definedName>
    <definedName name="BorrowingGrowth13" localSheetId="7">#REF!</definedName>
    <definedName name="BorrowingGrowth13" localSheetId="20">#REF!</definedName>
    <definedName name="BorrowingGrowth13" localSheetId="21">#REF!</definedName>
    <definedName name="BorrowingGrowth13" localSheetId="11">#REF!</definedName>
    <definedName name="BorrowingGrowth13" localSheetId="17">#REF!</definedName>
    <definedName name="BorrowingGrowth13" localSheetId="16">#REF!</definedName>
    <definedName name="BorrowingGrowth13" localSheetId="22">#REF!</definedName>
    <definedName name="BorrowingGrowth13" localSheetId="9">#REF!</definedName>
    <definedName name="BorrowingGrowth13" localSheetId="13">#REF!</definedName>
    <definedName name="BorrowingGrowth13" localSheetId="23">#REF!</definedName>
    <definedName name="BorrowingGrowth13">#REF!</definedName>
    <definedName name="borrowings_Q">#REF!</definedName>
    <definedName name="Borrowings_total">#REF!</definedName>
    <definedName name="Borrowings_total_average">#REF!</definedName>
    <definedName name="bot" localSheetId="4">#REF!</definedName>
    <definedName name="bot" localSheetId="5">#REF!</definedName>
    <definedName name="bot" localSheetId="15">#REF!</definedName>
    <definedName name="bot" localSheetId="19">#REF!</definedName>
    <definedName name="bot" localSheetId="18">#REF!</definedName>
    <definedName name="bot" localSheetId="14">#REF!</definedName>
    <definedName name="bot" localSheetId="12">#REF!</definedName>
    <definedName name="bot" localSheetId="24">#REF!</definedName>
    <definedName name="bot" localSheetId="7">#REF!</definedName>
    <definedName name="bot" localSheetId="20">#REF!</definedName>
    <definedName name="bot" localSheetId="21">#REF!</definedName>
    <definedName name="bot" localSheetId="11">#REF!</definedName>
    <definedName name="bot" localSheetId="17">#REF!</definedName>
    <definedName name="bot" localSheetId="16">#REF!</definedName>
    <definedName name="bot" localSheetId="22">#REF!</definedName>
    <definedName name="bot" localSheetId="9">#REF!</definedName>
    <definedName name="bot" localSheetId="13">#REF!</definedName>
    <definedName name="bot" localSheetId="23">#REF!</definedName>
    <definedName name="bot">#REF!</definedName>
    <definedName name="bpiwgt">#REF!</definedName>
    <definedName name="bpp" localSheetId="4">#REF!</definedName>
    <definedName name="bpp" localSheetId="5">#REF!</definedName>
    <definedName name="bpp" localSheetId="15">#REF!</definedName>
    <definedName name="bpp" localSheetId="19">#REF!</definedName>
    <definedName name="bpp" localSheetId="18">#REF!</definedName>
    <definedName name="bpp" localSheetId="14">#REF!</definedName>
    <definedName name="bpp" localSheetId="12">#REF!</definedName>
    <definedName name="bpp" localSheetId="24">#REF!</definedName>
    <definedName name="bpp" localSheetId="7">#REF!</definedName>
    <definedName name="bpp" localSheetId="20">#REF!</definedName>
    <definedName name="bpp" localSheetId="21">#REF!</definedName>
    <definedName name="bpp" localSheetId="11">#REF!</definedName>
    <definedName name="bpp" localSheetId="17">#REF!</definedName>
    <definedName name="bpp" localSheetId="16">#REF!</definedName>
    <definedName name="bpp" localSheetId="22">#REF!</definedName>
    <definedName name="bpp" localSheetId="9">#REF!</definedName>
    <definedName name="bpp" localSheetId="13">#REF!</definedName>
    <definedName name="bpp" localSheetId="23">#REF!</definedName>
    <definedName name="bpp">#REF!</definedName>
    <definedName name="bpu" localSheetId="4">#REF!</definedName>
    <definedName name="bpu" localSheetId="5">#REF!</definedName>
    <definedName name="bpu" localSheetId="15">#REF!</definedName>
    <definedName name="bpu" localSheetId="19">#REF!</definedName>
    <definedName name="bpu" localSheetId="18">#REF!</definedName>
    <definedName name="bpu" localSheetId="14">#REF!</definedName>
    <definedName name="bpu" localSheetId="12">#REF!</definedName>
    <definedName name="bpu" localSheetId="24">#REF!</definedName>
    <definedName name="bpu" localSheetId="7">#REF!</definedName>
    <definedName name="bpu" localSheetId="20">#REF!</definedName>
    <definedName name="bpu" localSheetId="21">#REF!</definedName>
    <definedName name="bpu" localSheetId="11">#REF!</definedName>
    <definedName name="bpu" localSheetId="17">#REF!</definedName>
    <definedName name="bpu" localSheetId="16">#REF!</definedName>
    <definedName name="bpu" localSheetId="22">#REF!</definedName>
    <definedName name="bpu" localSheetId="9">#REF!</definedName>
    <definedName name="bpu" localSheetId="13">#REF!</definedName>
    <definedName name="bpu" localSheetId="23">#REF!</definedName>
    <definedName name="bpu">#REF!</definedName>
    <definedName name="brands_patents_rights">#REF!</definedName>
    <definedName name="bre" localSheetId="4">#REF!</definedName>
    <definedName name="bre" localSheetId="5">#REF!</definedName>
    <definedName name="bre" localSheetId="15">#REF!</definedName>
    <definedName name="bre" localSheetId="19">#REF!</definedName>
    <definedName name="bre" localSheetId="18">#REF!</definedName>
    <definedName name="bre" localSheetId="14">#REF!</definedName>
    <definedName name="bre" localSheetId="12">#REF!</definedName>
    <definedName name="bre" localSheetId="24">#REF!</definedName>
    <definedName name="bre" localSheetId="7">#REF!</definedName>
    <definedName name="bre" localSheetId="20">#REF!</definedName>
    <definedName name="bre" localSheetId="21">#REF!</definedName>
    <definedName name="bre" localSheetId="11">#REF!</definedName>
    <definedName name="bre" localSheetId="17">#REF!</definedName>
    <definedName name="bre" localSheetId="16">#REF!</definedName>
    <definedName name="bre" localSheetId="22">#REF!</definedName>
    <definedName name="bre" localSheetId="9">#REF!</definedName>
    <definedName name="bre" localSheetId="13">#REF!</definedName>
    <definedName name="bre" localSheetId="23">#REF!</definedName>
    <definedName name="bre">#REF!</definedName>
    <definedName name="BriefPrevDate" localSheetId="4">#REF!</definedName>
    <definedName name="BriefPrevDate" localSheetId="5">#REF!</definedName>
    <definedName name="BriefPrevDate" localSheetId="15">#REF!</definedName>
    <definedName name="BriefPrevDate" localSheetId="19">#REF!</definedName>
    <definedName name="BriefPrevDate" localSheetId="18">#REF!</definedName>
    <definedName name="BriefPrevDate" localSheetId="14">#REF!</definedName>
    <definedName name="BriefPrevDate" localSheetId="12">#REF!</definedName>
    <definedName name="BriefPrevDate" localSheetId="24">#REF!</definedName>
    <definedName name="BriefPrevDate" localSheetId="7">#REF!</definedName>
    <definedName name="BriefPrevDate" localSheetId="20">#REF!</definedName>
    <definedName name="BriefPrevDate" localSheetId="21">#REF!</definedName>
    <definedName name="BriefPrevDate" localSheetId="11">#REF!</definedName>
    <definedName name="BriefPrevDate" localSheetId="17">#REF!</definedName>
    <definedName name="BriefPrevDate" localSheetId="16">#REF!</definedName>
    <definedName name="BriefPrevDate" localSheetId="22">#REF!</definedName>
    <definedName name="BriefPrevDate" localSheetId="9">#REF!</definedName>
    <definedName name="BriefPrevDate" localSheetId="13">#REF!</definedName>
    <definedName name="BriefPrevDate" localSheetId="23">#REF!</definedName>
    <definedName name="BriefPrevDate">#REF!</definedName>
    <definedName name="BriefPrevRecom" localSheetId="4">#REF!</definedName>
    <definedName name="BriefPrevRecom" localSheetId="5">#REF!</definedName>
    <definedName name="BriefPrevRecom" localSheetId="15">#REF!</definedName>
    <definedName name="BriefPrevRecom" localSheetId="19">#REF!</definedName>
    <definedName name="BriefPrevRecom" localSheetId="18">#REF!</definedName>
    <definedName name="BriefPrevRecom" localSheetId="14">#REF!</definedName>
    <definedName name="BriefPrevRecom" localSheetId="12">#REF!</definedName>
    <definedName name="BriefPrevRecom" localSheetId="24">#REF!</definedName>
    <definedName name="BriefPrevRecom" localSheetId="7">#REF!</definedName>
    <definedName name="BriefPrevRecom" localSheetId="20">#REF!</definedName>
    <definedName name="BriefPrevRecom" localSheetId="21">#REF!</definedName>
    <definedName name="BriefPrevRecom" localSheetId="11">#REF!</definedName>
    <definedName name="BriefPrevRecom" localSheetId="17">#REF!</definedName>
    <definedName name="BriefPrevRecom" localSheetId="16">#REF!</definedName>
    <definedName name="BriefPrevRecom" localSheetId="22">#REF!</definedName>
    <definedName name="BriefPrevRecom" localSheetId="9">#REF!</definedName>
    <definedName name="BriefPrevRecom" localSheetId="13">#REF!</definedName>
    <definedName name="BriefPrevRecom" localSheetId="23">#REF!</definedName>
    <definedName name="BriefPrevRecom">#REF!</definedName>
    <definedName name="BriefRationale" localSheetId="4">#REF!</definedName>
    <definedName name="BriefRationale" localSheetId="9">#REF!</definedName>
    <definedName name="BriefRationale">#REF!</definedName>
    <definedName name="BriefRecom" localSheetId="4">#REF!</definedName>
    <definedName name="BriefRecom" localSheetId="9">#REF!</definedName>
    <definedName name="BriefRecom">#REF!</definedName>
    <definedName name="BriefSummary" localSheetId="4">#REF!</definedName>
    <definedName name="BriefSummary" localSheetId="9">#REF!</definedName>
    <definedName name="BriefSummary">#REF!</definedName>
    <definedName name="BS">#REF!</definedName>
    <definedName name="bs_jb">#REF!</definedName>
    <definedName name="bs_ratio_jb">#REF!</definedName>
    <definedName name="bs_sski" localSheetId="4">#REF!</definedName>
    <definedName name="bs_sski" localSheetId="5">#REF!</definedName>
    <definedName name="bs_sski" localSheetId="15">#REF!</definedName>
    <definedName name="bs_sski" localSheetId="19">#REF!</definedName>
    <definedName name="bs_sski" localSheetId="18">#REF!</definedName>
    <definedName name="bs_sski" localSheetId="14">#REF!</definedName>
    <definedName name="bs_sski" localSheetId="12">#REF!</definedName>
    <definedName name="bs_sski" localSheetId="24">#REF!</definedName>
    <definedName name="bs_sski" localSheetId="7">#REF!</definedName>
    <definedName name="bs_sski" localSheetId="20">#REF!</definedName>
    <definedName name="bs_sski" localSheetId="21">#REF!</definedName>
    <definedName name="bs_sski" localSheetId="11">#REF!</definedName>
    <definedName name="bs_sski" localSheetId="17">#REF!</definedName>
    <definedName name="bs_sski" localSheetId="16">#REF!</definedName>
    <definedName name="bs_sski" localSheetId="22">#REF!</definedName>
    <definedName name="bs_sski" localSheetId="9">#REF!</definedName>
    <definedName name="bs_sski" localSheetId="13">#REF!</definedName>
    <definedName name="bs_sski" localSheetId="23">#REF!</definedName>
    <definedName name="bs_sski">#REF!</definedName>
    <definedName name="BSDiff">#REF!</definedName>
    <definedName name="BSE">#REF!</definedName>
    <definedName name="bsf" localSheetId="4">#REF!</definedName>
    <definedName name="bsf" localSheetId="5">#REF!</definedName>
    <definedName name="bsf" localSheetId="15">#REF!</definedName>
    <definedName name="bsf" localSheetId="19">#REF!</definedName>
    <definedName name="bsf" localSheetId="18">#REF!</definedName>
    <definedName name="bsf" localSheetId="14">#REF!</definedName>
    <definedName name="bsf" localSheetId="12">#REF!</definedName>
    <definedName name="bsf" localSheetId="24">#REF!</definedName>
    <definedName name="bsf" localSheetId="7">#REF!</definedName>
    <definedName name="bsf" localSheetId="20">#REF!</definedName>
    <definedName name="bsf" localSheetId="21">#REF!</definedName>
    <definedName name="bsf" localSheetId="11">#REF!</definedName>
    <definedName name="bsf" localSheetId="17">#REF!</definedName>
    <definedName name="bsf" localSheetId="16">#REF!</definedName>
    <definedName name="bsf" localSheetId="22">#REF!</definedName>
    <definedName name="bsf" localSheetId="9">#REF!</definedName>
    <definedName name="bsf" localSheetId="13">#REF!</definedName>
    <definedName name="bsf" localSheetId="23">#REF!</definedName>
    <definedName name="bsf">#REF!</definedName>
    <definedName name="bst" localSheetId="4">#REF!</definedName>
    <definedName name="bst" localSheetId="5">#REF!</definedName>
    <definedName name="bst" localSheetId="15">#REF!</definedName>
    <definedName name="bst" localSheetId="19">#REF!</definedName>
    <definedName name="bst" localSheetId="18">#REF!</definedName>
    <definedName name="bst" localSheetId="14">#REF!</definedName>
    <definedName name="bst" localSheetId="12">#REF!</definedName>
    <definedName name="bst" localSheetId="24">#REF!</definedName>
    <definedName name="bst" localSheetId="7">#REF!</definedName>
    <definedName name="bst" localSheetId="20">#REF!</definedName>
    <definedName name="bst" localSheetId="21">#REF!</definedName>
    <definedName name="bst" localSheetId="11">#REF!</definedName>
    <definedName name="bst" localSheetId="17">#REF!</definedName>
    <definedName name="bst" localSheetId="16">#REF!</definedName>
    <definedName name="bst" localSheetId="22">#REF!</definedName>
    <definedName name="bst" localSheetId="9">#REF!</definedName>
    <definedName name="bst" localSheetId="13">#REF!</definedName>
    <definedName name="bst" localSheetId="23">#REF!</definedName>
    <definedName name="bst">#REF!</definedName>
    <definedName name="bt" localSheetId="4">#REF!</definedName>
    <definedName name="bt" localSheetId="9">#REF!</definedName>
    <definedName name="bt">#REF!</definedName>
    <definedName name="bta" localSheetId="4">#REF!</definedName>
    <definedName name="bta" localSheetId="5">#REF!</definedName>
    <definedName name="bta" localSheetId="15">#REF!</definedName>
    <definedName name="bta" localSheetId="19">#REF!</definedName>
    <definedName name="bta" localSheetId="18">#REF!</definedName>
    <definedName name="bta" localSheetId="14">#REF!</definedName>
    <definedName name="bta" localSheetId="12">#REF!</definedName>
    <definedName name="bta" localSheetId="24">#REF!</definedName>
    <definedName name="bta" localSheetId="7">#REF!</definedName>
    <definedName name="bta" localSheetId="20">#REF!</definedName>
    <definedName name="bta" localSheetId="21">#REF!</definedName>
    <definedName name="bta" localSheetId="11">#REF!</definedName>
    <definedName name="bta" localSheetId="17">#REF!</definedName>
    <definedName name="bta" localSheetId="16">#REF!</definedName>
    <definedName name="bta" localSheetId="22">#REF!</definedName>
    <definedName name="bta" localSheetId="9">#REF!</definedName>
    <definedName name="bta" localSheetId="13">#REF!</definedName>
    <definedName name="bta" localSheetId="23">#REF!</definedName>
    <definedName name="bta">#REF!</definedName>
    <definedName name="btd" localSheetId="4">#REF!</definedName>
    <definedName name="btd" localSheetId="5">#REF!</definedName>
    <definedName name="btd" localSheetId="15">#REF!</definedName>
    <definedName name="btd" localSheetId="19">#REF!</definedName>
    <definedName name="btd" localSheetId="18">#REF!</definedName>
    <definedName name="btd" localSheetId="14">#REF!</definedName>
    <definedName name="btd" localSheetId="12">#REF!</definedName>
    <definedName name="btd" localSheetId="24">#REF!</definedName>
    <definedName name="btd" localSheetId="7">#REF!</definedName>
    <definedName name="btd" localSheetId="20">#REF!</definedName>
    <definedName name="btd" localSheetId="21">#REF!</definedName>
    <definedName name="btd" localSheetId="11">#REF!</definedName>
    <definedName name="btd" localSheetId="17">#REF!</definedName>
    <definedName name="btd" localSheetId="16">#REF!</definedName>
    <definedName name="btd" localSheetId="22">#REF!</definedName>
    <definedName name="btd" localSheetId="9">#REF!</definedName>
    <definedName name="btd" localSheetId="13">#REF!</definedName>
    <definedName name="btd" localSheetId="23">#REF!</definedName>
    <definedName name="btd">#REF!</definedName>
    <definedName name="bte" localSheetId="4">#REF!</definedName>
    <definedName name="bte" localSheetId="5">#REF!</definedName>
    <definedName name="bte" localSheetId="15">#REF!</definedName>
    <definedName name="bte" localSheetId="19">#REF!</definedName>
    <definedName name="bte" localSheetId="18">#REF!</definedName>
    <definedName name="bte" localSheetId="14">#REF!</definedName>
    <definedName name="bte" localSheetId="12">#REF!</definedName>
    <definedName name="bte" localSheetId="24">#REF!</definedName>
    <definedName name="bte" localSheetId="7">#REF!</definedName>
    <definedName name="bte" localSheetId="20">#REF!</definedName>
    <definedName name="bte" localSheetId="21">#REF!</definedName>
    <definedName name="bte" localSheetId="11">#REF!</definedName>
    <definedName name="bte" localSheetId="17">#REF!</definedName>
    <definedName name="bte" localSheetId="16">#REF!</definedName>
    <definedName name="bte" localSheetId="22">#REF!</definedName>
    <definedName name="bte" localSheetId="9">#REF!</definedName>
    <definedName name="bte" localSheetId="13">#REF!</definedName>
    <definedName name="bte" localSheetId="23">#REF!</definedName>
    <definedName name="bte">#REF!</definedName>
    <definedName name="btl" localSheetId="4">#REF!</definedName>
    <definedName name="btl" localSheetId="9">#REF!</definedName>
    <definedName name="btl">#REF!</definedName>
    <definedName name="btp" localSheetId="4">#REF!</definedName>
    <definedName name="btp" localSheetId="9">#REF!</definedName>
    <definedName name="btp">#REF!</definedName>
    <definedName name="Button_2">"Submittals_Status_Drawing__2__List"</definedName>
    <definedName name="Button2">{"Mcp08.PrintRep",""}</definedName>
    <definedName name="buyback" localSheetId="4">#REF!</definedName>
    <definedName name="buyback" localSheetId="5">#REF!</definedName>
    <definedName name="buyback" localSheetId="15">#REF!</definedName>
    <definedName name="buyback" localSheetId="19">#REF!</definedName>
    <definedName name="buyback" localSheetId="18">#REF!</definedName>
    <definedName name="buyback" localSheetId="14">#REF!</definedName>
    <definedName name="buyback" localSheetId="12">#REF!</definedName>
    <definedName name="buyback" localSheetId="24">#REF!</definedName>
    <definedName name="buyback" localSheetId="7">#REF!</definedName>
    <definedName name="buyback" localSheetId="20">#REF!</definedName>
    <definedName name="buyback" localSheetId="21">#REF!</definedName>
    <definedName name="buyback" localSheetId="11">#REF!</definedName>
    <definedName name="buyback" localSheetId="17">#REF!</definedName>
    <definedName name="buyback" localSheetId="16">#REF!</definedName>
    <definedName name="buyback" localSheetId="22">#REF!</definedName>
    <definedName name="buyback" localSheetId="9">#REF!</definedName>
    <definedName name="buyback" localSheetId="13">#REF!</definedName>
    <definedName name="buyback" localSheetId="23">#REF!</definedName>
    <definedName name="buyback">#REF!</definedName>
    <definedName name="BVPS" localSheetId="4">#REF!</definedName>
    <definedName name="BVPS" localSheetId="9">#REF!</definedName>
    <definedName name="BVPS">#REF!</definedName>
    <definedName name="C_Factor">#REF!</definedName>
    <definedName name="CA" localSheetId="4">#REF!</definedName>
    <definedName name="CA" localSheetId="5">#REF!</definedName>
    <definedName name="CA" localSheetId="15">#REF!</definedName>
    <definedName name="CA" localSheetId="19">#REF!</definedName>
    <definedName name="CA" localSheetId="18">#REF!</definedName>
    <definedName name="CA" localSheetId="14">#REF!</definedName>
    <definedName name="CA" localSheetId="12">#REF!</definedName>
    <definedName name="CA" localSheetId="24">#REF!</definedName>
    <definedName name="CA" localSheetId="7">#REF!</definedName>
    <definedName name="CA" localSheetId="20">#REF!</definedName>
    <definedName name="CA" localSheetId="21">#REF!</definedName>
    <definedName name="CA" localSheetId="11">#REF!</definedName>
    <definedName name="CA" localSheetId="17">#REF!</definedName>
    <definedName name="CA" localSheetId="16">#REF!</definedName>
    <definedName name="CA" localSheetId="22">#REF!</definedName>
    <definedName name="CA" localSheetId="9">#REF!</definedName>
    <definedName name="CA" localSheetId="13">#REF!</definedName>
    <definedName name="CA" localSheetId="23">#REF!</definedName>
    <definedName name="CA">#REF!</definedName>
    <definedName name="CA_CASH" localSheetId="4">#REF!</definedName>
    <definedName name="CA_CASH" localSheetId="5">#REF!</definedName>
    <definedName name="CA_CASH" localSheetId="15">#REF!</definedName>
    <definedName name="CA_CASH" localSheetId="19">#REF!</definedName>
    <definedName name="CA_CASH" localSheetId="18">#REF!</definedName>
    <definedName name="CA_CASH" localSheetId="14">#REF!</definedName>
    <definedName name="CA_CASH" localSheetId="12">#REF!</definedName>
    <definedName name="CA_CASH" localSheetId="24">#REF!</definedName>
    <definedName name="CA_CASH" localSheetId="7">#REF!</definedName>
    <definedName name="CA_CASH" localSheetId="20">#REF!</definedName>
    <definedName name="CA_CASH" localSheetId="21">#REF!</definedName>
    <definedName name="CA_CASH" localSheetId="11">#REF!</definedName>
    <definedName name="CA_CASH" localSheetId="17">#REF!</definedName>
    <definedName name="CA_CASH" localSheetId="16">#REF!</definedName>
    <definedName name="CA_CASH" localSheetId="22">#REF!</definedName>
    <definedName name="CA_CASH" localSheetId="9">#REF!</definedName>
    <definedName name="CA_CASH" localSheetId="13">#REF!</definedName>
    <definedName name="CA_CASH" localSheetId="23">#REF!</definedName>
    <definedName name="CA_CASH">#REF!</definedName>
    <definedName name="CA_RECS" localSheetId="4">#REF!</definedName>
    <definedName name="CA_RECS" localSheetId="5">#REF!</definedName>
    <definedName name="CA_RECS" localSheetId="15">#REF!</definedName>
    <definedName name="CA_RECS" localSheetId="19">#REF!</definedName>
    <definedName name="CA_RECS" localSheetId="18">#REF!</definedName>
    <definedName name="CA_RECS" localSheetId="14">#REF!</definedName>
    <definedName name="CA_RECS" localSheetId="12">#REF!</definedName>
    <definedName name="CA_RECS" localSheetId="24">#REF!</definedName>
    <definedName name="CA_RECS" localSheetId="7">#REF!</definedName>
    <definedName name="CA_RECS" localSheetId="20">#REF!</definedName>
    <definedName name="CA_RECS" localSheetId="21">#REF!</definedName>
    <definedName name="CA_RECS" localSheetId="11">#REF!</definedName>
    <definedName name="CA_RECS" localSheetId="17">#REF!</definedName>
    <definedName name="CA_RECS" localSheetId="16">#REF!</definedName>
    <definedName name="CA_RECS" localSheetId="22">#REF!</definedName>
    <definedName name="CA_RECS" localSheetId="9">#REF!</definedName>
    <definedName name="CA_RECS" localSheetId="13">#REF!</definedName>
    <definedName name="CA_RECS" localSheetId="23">#REF!</definedName>
    <definedName name="CA_RECS">#REF!</definedName>
    <definedName name="CA_STK" localSheetId="4">#REF!</definedName>
    <definedName name="CA_STK" localSheetId="9">#REF!</definedName>
    <definedName name="CA_STK">#REF!</definedName>
    <definedName name="CABLE" localSheetId="4">#REF!</definedName>
    <definedName name="CABLE" localSheetId="5">#REF!</definedName>
    <definedName name="CABLE" localSheetId="15">#REF!</definedName>
    <definedName name="CABLE" localSheetId="19">#REF!</definedName>
    <definedName name="CABLE" localSheetId="18">#REF!</definedName>
    <definedName name="CABLE" localSheetId="14">#REF!</definedName>
    <definedName name="CABLE" localSheetId="12">#REF!</definedName>
    <definedName name="CABLE" localSheetId="24">#REF!</definedName>
    <definedName name="CABLE" localSheetId="7">#REF!</definedName>
    <definedName name="CABLE" localSheetId="20">#REF!</definedName>
    <definedName name="CABLE" localSheetId="21">#REF!</definedName>
    <definedName name="CABLE" localSheetId="11">#REF!</definedName>
    <definedName name="CABLE" localSheetId="17">#REF!</definedName>
    <definedName name="CABLE" localSheetId="16">#REF!</definedName>
    <definedName name="CABLE" localSheetId="22">#REF!</definedName>
    <definedName name="CABLE" localSheetId="9">#REF!</definedName>
    <definedName name="CABLE" localSheetId="13">#REF!</definedName>
    <definedName name="CABLE" localSheetId="23">#REF!</definedName>
    <definedName name="CABLE">#REF!</definedName>
    <definedName name="cac" localSheetId="4">#REF!</definedName>
    <definedName name="cac" localSheetId="5">#REF!</definedName>
    <definedName name="cac" localSheetId="15">#REF!</definedName>
    <definedName name="cac" localSheetId="19">#REF!</definedName>
    <definedName name="cac" localSheetId="18">#REF!</definedName>
    <definedName name="cac" localSheetId="14">#REF!</definedName>
    <definedName name="cac" localSheetId="12">#REF!</definedName>
    <definedName name="cac" localSheetId="24">#REF!</definedName>
    <definedName name="cac" localSheetId="7">#REF!</definedName>
    <definedName name="cac" localSheetId="20">#REF!</definedName>
    <definedName name="cac" localSheetId="21">#REF!</definedName>
    <definedName name="cac" localSheetId="11">#REF!</definedName>
    <definedName name="cac" localSheetId="17">#REF!</definedName>
    <definedName name="cac" localSheetId="16">#REF!</definedName>
    <definedName name="cac" localSheetId="22">#REF!</definedName>
    <definedName name="cac" localSheetId="9">#REF!</definedName>
    <definedName name="cac" localSheetId="13">#REF!</definedName>
    <definedName name="cac" localSheetId="23">#REF!</definedName>
    <definedName name="cac">#REF!</definedName>
    <definedName name="cahgwgt">#REF!</definedName>
    <definedName name="CALC" localSheetId="4">#REF!</definedName>
    <definedName name="CALC" localSheetId="9">#REF!</definedName>
    <definedName name="CALC">#REF!</definedName>
    <definedName name="cam" localSheetId="4">#REF!</definedName>
    <definedName name="cam" localSheetId="5">#REF!</definedName>
    <definedName name="cam" localSheetId="15">#REF!</definedName>
    <definedName name="cam" localSheetId="19">#REF!</definedName>
    <definedName name="cam" localSheetId="18">#REF!</definedName>
    <definedName name="cam" localSheetId="14">#REF!</definedName>
    <definedName name="cam" localSheetId="12">#REF!</definedName>
    <definedName name="cam" localSheetId="24">#REF!</definedName>
    <definedName name="cam" localSheetId="7">#REF!</definedName>
    <definedName name="cam" localSheetId="20">#REF!</definedName>
    <definedName name="cam" localSheetId="21">#REF!</definedName>
    <definedName name="cam" localSheetId="11">#REF!</definedName>
    <definedName name="cam" localSheetId="17">#REF!</definedName>
    <definedName name="cam" localSheetId="16">#REF!</definedName>
    <definedName name="cam" localSheetId="22">#REF!</definedName>
    <definedName name="cam" localSheetId="9">#REF!</definedName>
    <definedName name="cam" localSheetId="13">#REF!</definedName>
    <definedName name="cam" localSheetId="23">#REF!</definedName>
    <definedName name="cam">#REF!</definedName>
    <definedName name="Cap._RnD_Asset_net_of_RnD_amort." localSheetId="4">#REF!</definedName>
    <definedName name="Cap._RnD_Asset_net_of_RnD_amort." localSheetId="9">#REF!</definedName>
    <definedName name="Cap._RnD_Asset_net_of_RnD_amort.">#REF!</definedName>
    <definedName name="capacity">#REF!</definedName>
    <definedName name="Capacity_percentage">#REF!</definedName>
    <definedName name="CAPEX" localSheetId="4">#REF!</definedName>
    <definedName name="CAPEX" localSheetId="5">#REF!</definedName>
    <definedName name="CAPEX" localSheetId="15">#REF!</definedName>
    <definedName name="CAPEX" localSheetId="19">#REF!</definedName>
    <definedName name="CAPEX" localSheetId="18">#REF!</definedName>
    <definedName name="CAPEX" localSheetId="14">#REF!</definedName>
    <definedName name="CAPEX" localSheetId="12">#REF!</definedName>
    <definedName name="CAPEX" localSheetId="24">#REF!</definedName>
    <definedName name="CAPEX" localSheetId="7">#REF!</definedName>
    <definedName name="CAPEX" localSheetId="20">#REF!</definedName>
    <definedName name="CAPEX" localSheetId="21">#REF!</definedName>
    <definedName name="CAPEX" localSheetId="11">#REF!</definedName>
    <definedName name="CAPEX" localSheetId="17">#REF!</definedName>
    <definedName name="CAPEX" localSheetId="16">#REF!</definedName>
    <definedName name="CAPEX" localSheetId="22">#REF!</definedName>
    <definedName name="CAPEX" localSheetId="9">#REF!</definedName>
    <definedName name="CAPEX" localSheetId="13">#REF!</definedName>
    <definedName name="CAPEX" localSheetId="23">#REF!</definedName>
    <definedName name="CAPEX">#REF!</definedName>
    <definedName name="capital" localSheetId="4">#REF!</definedName>
    <definedName name="capital" localSheetId="9">#REF!</definedName>
    <definedName name="capital">#REF!</definedName>
    <definedName name="capital_employed">#REF!</definedName>
    <definedName name="capital_employed_A">#REF!</definedName>
    <definedName name="capital_employed_avg">#REF!</definedName>
    <definedName name="capital_employed_avg_A">#REF!</definedName>
    <definedName name="Capital_employed6">#REF!</definedName>
    <definedName name="capital_expenditure" localSheetId="4">#REF!</definedName>
    <definedName name="capital_expenditure" localSheetId="5">#REF!</definedName>
    <definedName name="capital_expenditure" localSheetId="15">#REF!</definedName>
    <definedName name="capital_expenditure" localSheetId="19">#REF!</definedName>
    <definedName name="capital_expenditure" localSheetId="18">#REF!</definedName>
    <definedName name="capital_expenditure" localSheetId="14">#REF!</definedName>
    <definedName name="capital_expenditure" localSheetId="12">#REF!</definedName>
    <definedName name="capital_expenditure" localSheetId="24">#REF!</definedName>
    <definedName name="capital_expenditure" localSheetId="7">#REF!</definedName>
    <definedName name="capital_expenditure" localSheetId="20">#REF!</definedName>
    <definedName name="capital_expenditure" localSheetId="21">#REF!</definedName>
    <definedName name="capital_expenditure" localSheetId="11">#REF!</definedName>
    <definedName name="capital_expenditure" localSheetId="17">#REF!</definedName>
    <definedName name="capital_expenditure" localSheetId="16">#REF!</definedName>
    <definedName name="capital_expenditure" localSheetId="22">#REF!</definedName>
    <definedName name="capital_expenditure" localSheetId="9">#REF!</definedName>
    <definedName name="capital_expenditure" localSheetId="13">#REF!</definedName>
    <definedName name="capital_expenditure" localSheetId="23">#REF!</definedName>
    <definedName name="capital_expenditure">#REF!</definedName>
    <definedName name="Capital_Redemption_Reserve">#REF!</definedName>
    <definedName name="capital_wip">#REF!</definedName>
    <definedName name="capital_wip_A">#REF!</definedName>
    <definedName name="Capital_work_in_progress_AD">#REF!</definedName>
    <definedName name="Capital_work_in_progress_GB">#REF!</definedName>
    <definedName name="Capital_Work_in_Progress_NB">#REF!</definedName>
    <definedName name="CapitalEmployed" localSheetId="4">#REF!</definedName>
    <definedName name="CapitalEmployed" localSheetId="5">#REF!</definedName>
    <definedName name="CapitalEmployed" localSheetId="15">#REF!</definedName>
    <definedName name="CapitalEmployed" localSheetId="19">#REF!</definedName>
    <definedName name="CapitalEmployed" localSheetId="18">#REF!</definedName>
    <definedName name="CapitalEmployed" localSheetId="14">#REF!</definedName>
    <definedName name="CapitalEmployed" localSheetId="12">#REF!</definedName>
    <definedName name="CapitalEmployed" localSheetId="24">#REF!</definedName>
    <definedName name="CapitalEmployed" localSheetId="7">#REF!</definedName>
    <definedName name="CapitalEmployed" localSheetId="20">#REF!</definedName>
    <definedName name="CapitalEmployed" localSheetId="21">#REF!</definedName>
    <definedName name="CapitalEmployed" localSheetId="11">#REF!</definedName>
    <definedName name="CapitalEmployed" localSheetId="17">#REF!</definedName>
    <definedName name="CapitalEmployed" localSheetId="16">#REF!</definedName>
    <definedName name="CapitalEmployed" localSheetId="22">#REF!</definedName>
    <definedName name="CapitalEmployed" localSheetId="9">#REF!</definedName>
    <definedName name="CapitalEmployed" localSheetId="13">#REF!</definedName>
    <definedName name="CapitalEmployed" localSheetId="23">#REF!</definedName>
    <definedName name="CapitalEmployed">#REF!</definedName>
    <definedName name="capitalexp">#REF!</definedName>
    <definedName name="capitalised_int" localSheetId="4">#REF!</definedName>
    <definedName name="capitalised_int" localSheetId="5">#REF!</definedName>
    <definedName name="capitalised_int" localSheetId="15">#REF!</definedName>
    <definedName name="capitalised_int" localSheetId="19">#REF!</definedName>
    <definedName name="capitalised_int" localSheetId="18">#REF!</definedName>
    <definedName name="capitalised_int" localSheetId="14">#REF!</definedName>
    <definedName name="capitalised_int" localSheetId="12">#REF!</definedName>
    <definedName name="capitalised_int" localSheetId="24">#REF!</definedName>
    <definedName name="capitalised_int" localSheetId="7">#REF!</definedName>
    <definedName name="capitalised_int" localSheetId="20">#REF!</definedName>
    <definedName name="capitalised_int" localSheetId="21">#REF!</definedName>
    <definedName name="capitalised_int" localSheetId="11">#REF!</definedName>
    <definedName name="capitalised_int" localSheetId="17">#REF!</definedName>
    <definedName name="capitalised_int" localSheetId="16">#REF!</definedName>
    <definedName name="capitalised_int" localSheetId="22">#REF!</definedName>
    <definedName name="capitalised_int" localSheetId="9">#REF!</definedName>
    <definedName name="capitalised_int" localSheetId="13">#REF!</definedName>
    <definedName name="capitalised_int" localSheetId="23">#REF!</definedName>
    <definedName name="capitalised_int">#REF!</definedName>
    <definedName name="CardPrevDate" localSheetId="4">#REF!</definedName>
    <definedName name="CardPrevDate" localSheetId="5">#REF!</definedName>
    <definedName name="CardPrevDate" localSheetId="15">#REF!</definedName>
    <definedName name="CardPrevDate" localSheetId="19">#REF!</definedName>
    <definedName name="CardPrevDate" localSheetId="18">#REF!</definedName>
    <definedName name="CardPrevDate" localSheetId="14">#REF!</definedName>
    <definedName name="CardPrevDate" localSheetId="12">#REF!</definedName>
    <definedName name="CardPrevDate" localSheetId="24">#REF!</definedName>
    <definedName name="CardPrevDate" localSheetId="7">#REF!</definedName>
    <definedName name="CardPrevDate" localSheetId="20">#REF!</definedName>
    <definedName name="CardPrevDate" localSheetId="21">#REF!</definedName>
    <definedName name="CardPrevDate" localSheetId="11">#REF!</definedName>
    <definedName name="CardPrevDate" localSheetId="17">#REF!</definedName>
    <definedName name="CardPrevDate" localSheetId="16">#REF!</definedName>
    <definedName name="CardPrevDate" localSheetId="22">#REF!</definedName>
    <definedName name="CardPrevDate" localSheetId="9">#REF!</definedName>
    <definedName name="CardPrevDate" localSheetId="13">#REF!</definedName>
    <definedName name="CardPrevDate" localSheetId="23">#REF!</definedName>
    <definedName name="CardPrevDate">#REF!</definedName>
    <definedName name="CardPrevRecom" localSheetId="4">#REF!</definedName>
    <definedName name="CardPrevRecom" localSheetId="9">#REF!</definedName>
    <definedName name="CardPrevRecom">#REF!</definedName>
    <definedName name="CardRationale" localSheetId="4">#REF!</definedName>
    <definedName name="CardRationale" localSheetId="9">#REF!</definedName>
    <definedName name="CardRationale">#REF!</definedName>
    <definedName name="CardRecom" localSheetId="4">#REF!</definedName>
    <definedName name="CardRecom" localSheetId="9">#REF!</definedName>
    <definedName name="CardRecom">#REF!</definedName>
    <definedName name="CardSummary" localSheetId="4">#REF!</definedName>
    <definedName name="CardSummary" localSheetId="9">#REF!</definedName>
    <definedName name="CardSummary">#REF!</definedName>
    <definedName name="CAS_Amortization" localSheetId="4">#REF!</definedName>
    <definedName name="CAS_Amortization" localSheetId="9">#REF!</definedName>
    <definedName name="CAS_Amortization">#REF!</definedName>
    <definedName name="CAS_CashFlowFinancing" localSheetId="4">#REF!</definedName>
    <definedName name="CAS_CashFlowFinancing" localSheetId="9">#REF!</definedName>
    <definedName name="CAS_CashFlowFinancing">#REF!</definedName>
    <definedName name="CAS_CashFlowGross" localSheetId="4">#REF!</definedName>
    <definedName name="CAS_CashFlowGross" localSheetId="9">#REF!</definedName>
    <definedName name="CAS_CashFlowGross">#REF!</definedName>
    <definedName name="CAS_CashFlowInvestment" localSheetId="4">#REF!</definedName>
    <definedName name="CAS_CashFlowInvestment" localSheetId="9">#REF!</definedName>
    <definedName name="CAS_CashFlowInvestment">#REF!</definedName>
    <definedName name="CAS_CashFlowNetDebt" localSheetId="4">#REF!</definedName>
    <definedName name="CAS_CashFlowNetDebt" localSheetId="9">#REF!</definedName>
    <definedName name="CAS_CashFlowNetDebt">#REF!</definedName>
    <definedName name="CAS_CashFlowOperational" localSheetId="4">#REF!</definedName>
    <definedName name="CAS_CashFlowOperational" localSheetId="9">#REF!</definedName>
    <definedName name="CAS_CashFlowOperational">#REF!</definedName>
    <definedName name="CAS_CFAssetsInterestBearing" localSheetId="4">#REF!</definedName>
    <definedName name="CAS_CFAssetsInterestBearing" localSheetId="9">#REF!</definedName>
    <definedName name="CAS_CFAssetsInterestBearing">#REF!</definedName>
    <definedName name="CAS_CFAssetsNonInterestBearing" localSheetId="4">#REF!</definedName>
    <definedName name="CAS_CFAssetsNonInterestBearing" localSheetId="9">#REF!</definedName>
    <definedName name="CAS_CFAssetsNonInterestBearing">#REF!</definedName>
    <definedName name="CAS_CFAssociatesAssets" localSheetId="4">#REF!</definedName>
    <definedName name="CAS_CFAssociatesAssets" localSheetId="9">#REF!</definedName>
    <definedName name="CAS_CFAssociatesAssets">#REF!</definedName>
    <definedName name="CAS_CFFixedAssets" localSheetId="4">#REF!</definedName>
    <definedName name="CAS_CFFixedAssets" localSheetId="9">#REF!</definedName>
    <definedName name="CAS_CFFixedAssets">#REF!</definedName>
    <definedName name="CAS_ChgCashSTInvestment" localSheetId="4">#REF!</definedName>
    <definedName name="CAS_ChgCashSTInvestment" localSheetId="9">#REF!</definedName>
    <definedName name="CAS_ChgCashSTInvestment">#REF!</definedName>
    <definedName name="CAS_ChgCurrentOutstandingClaims" localSheetId="4">#REF!</definedName>
    <definedName name="CAS_ChgCurrentOutstandingClaims" localSheetId="9">#REF!</definedName>
    <definedName name="CAS_ChgCurrentOutstandingClaims">#REF!</definedName>
    <definedName name="CAS_ChgCurrentUnearnedPremium" localSheetId="4">#REF!</definedName>
    <definedName name="CAS_ChgCurrentUnearnedPremium" localSheetId="9">#REF!</definedName>
    <definedName name="CAS_ChgCurrentUnearnedPremium">#REF!</definedName>
    <definedName name="CAS_ChgDeferredTax" localSheetId="4">#REF!</definedName>
    <definedName name="CAS_ChgDeferredTax" localSheetId="9">#REF!</definedName>
    <definedName name="CAS_ChgDeferredTax">#REF!</definedName>
    <definedName name="CAS_ChgDividendPayout" localSheetId="4">#REF!</definedName>
    <definedName name="CAS_ChgDividendPayout" localSheetId="9">#REF!</definedName>
    <definedName name="CAS_ChgDividendPayout">#REF!</definedName>
    <definedName name="CAS_ChgGrossDebt" localSheetId="4">#REF!</definedName>
    <definedName name="CAS_ChgGrossDebt" localSheetId="9">#REF!</definedName>
    <definedName name="CAS_ChgGrossDebt">#REF!</definedName>
    <definedName name="CAS_ChgInventory" localSheetId="4">#REF!</definedName>
    <definedName name="CAS_ChgInventory" localSheetId="9">#REF!</definedName>
    <definedName name="CAS_ChgInventory">#REF!</definedName>
    <definedName name="CAS_ChgInvestment" localSheetId="4">#REF!</definedName>
    <definedName name="CAS_ChgInvestment" localSheetId="9">#REF!</definedName>
    <definedName name="CAS_ChgInvestment">#REF!</definedName>
    <definedName name="CAS_ChgLTDebt" localSheetId="4">#REF!</definedName>
    <definedName name="CAS_ChgLTDebt" localSheetId="9">#REF!</definedName>
    <definedName name="CAS_ChgLTDebt">#REF!</definedName>
    <definedName name="CAS_ChgLTOutstandingClaims" localSheetId="4">#REF!</definedName>
    <definedName name="CAS_ChgLTOutstandingClaims" localSheetId="9">#REF!</definedName>
    <definedName name="CAS_ChgLTOutstandingClaims">#REF!</definedName>
    <definedName name="CAS_ChgLTUnearnedPremium" localSheetId="4">#REF!</definedName>
    <definedName name="CAS_ChgLTUnearnedPremium" localSheetId="9">#REF!</definedName>
    <definedName name="CAS_ChgLTUnearnedPremium">#REF!</definedName>
    <definedName name="CAS_ChgMinorityInterest" localSheetId="4">#REF!</definedName>
    <definedName name="CAS_ChgMinorityInterest" localSheetId="9">#REF!</definedName>
    <definedName name="CAS_ChgMinorityInterest">#REF!</definedName>
    <definedName name="CAS_ChgNewEquity" localSheetId="4">#REF!</definedName>
    <definedName name="CAS_ChgNewEquity" localSheetId="9">#REF!</definedName>
    <definedName name="CAS_ChgNewEquity">#REF!</definedName>
    <definedName name="CAS_ChgOtherEquity" localSheetId="4">#REF!</definedName>
    <definedName name="CAS_ChgOtherEquity" localSheetId="9">#REF!</definedName>
    <definedName name="CAS_ChgOtherEquity">#REF!</definedName>
    <definedName name="CAS_ChgOtherLiability" localSheetId="4">#REF!</definedName>
    <definedName name="CAS_ChgOtherLiability" localSheetId="9">#REF!</definedName>
    <definedName name="CAS_ChgOtherLiability">#REF!</definedName>
    <definedName name="CAS_ChgPayables" localSheetId="4">#REF!</definedName>
    <definedName name="CAS_ChgPayables" localSheetId="9">#REF!</definedName>
    <definedName name="CAS_ChgPayables">#REF!</definedName>
    <definedName name="CAS_ChgPremiumPaidUpCapital" localSheetId="4">#REF!</definedName>
    <definedName name="CAS_ChgPremiumPaidUpCapital" localSheetId="9">#REF!</definedName>
    <definedName name="CAS_ChgPremiumPaidUpCapital">#REF!</definedName>
    <definedName name="CAS_ChgReceivables" localSheetId="4">#REF!</definedName>
    <definedName name="CAS_ChgReceivables" localSheetId="9">#REF!</definedName>
    <definedName name="CAS_ChgReceivables">#REF!</definedName>
    <definedName name="CAS_ChgShareCapital" localSheetId="4">#REF!</definedName>
    <definedName name="CAS_ChgShareCapital" localSheetId="9">#REF!</definedName>
    <definedName name="CAS_ChgShareCapital">#REF!</definedName>
    <definedName name="CAS_ChgSTDebt" localSheetId="4">#REF!</definedName>
    <definedName name="CAS_ChgSTDebt" localSheetId="9">#REF!</definedName>
    <definedName name="CAS_ChgSTDebt">#REF!</definedName>
    <definedName name="CAS_ChgTotalSharePaidUpCapitalLiability" localSheetId="4">#REF!</definedName>
    <definedName name="CAS_ChgTotalSharePaidUpCapitalLiability" localSheetId="9">#REF!</definedName>
    <definedName name="CAS_ChgTotalSharePaidUpCapitalLiability">#REF!</definedName>
    <definedName name="CAS_Depreciation" localSheetId="4">#REF!</definedName>
    <definedName name="CAS_Depreciation" localSheetId="9">#REF!</definedName>
    <definedName name="CAS_Depreciation">#REF!</definedName>
    <definedName name="CAS_DepreciationAmortization" localSheetId="4">#REF!</definedName>
    <definedName name="CAS_DepreciationAmortization" localSheetId="9">#REF!</definedName>
    <definedName name="CAS_DepreciationAmortization">#REF!</definedName>
    <definedName name="CAS_Dividends" localSheetId="4">#REF!</definedName>
    <definedName name="CAS_Dividends" localSheetId="9">#REF!</definedName>
    <definedName name="CAS_Dividends">#REF!</definedName>
    <definedName name="CAS_IncomeAssociatesAfterDividends" localSheetId="4">#REF!</definedName>
    <definedName name="CAS_IncomeAssociatesAfterDividends" localSheetId="9">#REF!</definedName>
    <definedName name="CAS_IncomeAssociatesAfterDividends">#REF!</definedName>
    <definedName name="CAS_LookUpYears" localSheetId="4">#REF!</definedName>
    <definedName name="CAS_LookUpYears" localSheetId="9">#REF!</definedName>
    <definedName name="CAS_LookUpYears">#REF!</definedName>
    <definedName name="CAS_NetProfit" localSheetId="4">#REF!</definedName>
    <definedName name="CAS_NetProfit" localSheetId="9">#REF!</definedName>
    <definedName name="CAS_NetProfit">#REF!</definedName>
    <definedName name="CAS_Provisions" localSheetId="4">#REF!</definedName>
    <definedName name="CAS_Provisions" localSheetId="9">#REF!</definedName>
    <definedName name="CAS_Provisions">#REF!</definedName>
    <definedName name="CAS_PurchasesLessDisposals" localSheetId="4">#REF!</definedName>
    <definedName name="CAS_PurchasesLessDisposals" localSheetId="9">#REF!</definedName>
    <definedName name="CAS_PurchasesLessDisposals">#REF!</definedName>
    <definedName name="CAS_TotalChangeinWC" localSheetId="4">#REF!</definedName>
    <definedName name="CAS_TotalChangeinWC" localSheetId="9">#REF!</definedName>
    <definedName name="CAS_TotalChangeinWC">#REF!</definedName>
    <definedName name="CASH" localSheetId="4">#REF!</definedName>
    <definedName name="CASH" localSheetId="9">#REF!</definedName>
    <definedName name="CASH">#REF!</definedName>
    <definedName name="cash_avg_A">#REF!</definedName>
    <definedName name="cash_bank">#REF!</definedName>
    <definedName name="cash_bank_A">#REF!</definedName>
    <definedName name="cash_bank_avg">#REF!</definedName>
    <definedName name="Cash_Bank_balances">#REF!</definedName>
    <definedName name="cash_bank_Q">#REF!</definedName>
    <definedName name="Cash_Cheques_on_hand">#REF!</definedName>
    <definedName name="Cash_Credit_Secured">#REF!</definedName>
    <definedName name="Cash_DCF" localSheetId="4">#REF!</definedName>
    <definedName name="Cash_DCF" localSheetId="9">#REF!</definedName>
    <definedName name="Cash_DCF">#REF!</definedName>
    <definedName name="CASH_FLOW" localSheetId="4">#REF!</definedName>
    <definedName name="CASH_FLOW" localSheetId="9">#REF!</definedName>
    <definedName name="CASH_FLOW">#REF!</definedName>
    <definedName name="cash_flow_from_financing">#REF!</definedName>
    <definedName name="cash_flow_from_financing_activities">#REF!</definedName>
    <definedName name="cash_flow_from_financing_activities_A">#REF!</definedName>
    <definedName name="Cash_flow_from_financing6">#REF!</definedName>
    <definedName name="cash_flow_from_investing">#REF!</definedName>
    <definedName name="cash_flow_from_investing_activities">#REF!</definedName>
    <definedName name="cash_flow_from_investing_activities_A">#REF!</definedName>
    <definedName name="Cash_flow_from_investing6">#REF!</definedName>
    <definedName name="cash_flow_from_operating_activities">#REF!</definedName>
    <definedName name="cash_flow_from_operating_activities_A">#REF!</definedName>
    <definedName name="cash_flow_from_operations">#REF!</definedName>
    <definedName name="cash_flow_from_operations6">#REF!</definedName>
    <definedName name="Cash_Flow_Statement">#REF!</definedName>
    <definedName name="Cash_fore" localSheetId="4">#REF!</definedName>
    <definedName name="Cash_fore" localSheetId="5">#REF!</definedName>
    <definedName name="Cash_fore" localSheetId="15">#REF!</definedName>
    <definedName name="Cash_fore" localSheetId="19">#REF!</definedName>
    <definedName name="Cash_fore" localSheetId="18">#REF!</definedName>
    <definedName name="Cash_fore" localSheetId="14">#REF!</definedName>
    <definedName name="Cash_fore" localSheetId="12">#REF!</definedName>
    <definedName name="Cash_fore" localSheetId="24">#REF!</definedName>
    <definedName name="Cash_fore" localSheetId="7">#REF!</definedName>
    <definedName name="Cash_fore" localSheetId="20">#REF!</definedName>
    <definedName name="Cash_fore" localSheetId="21">#REF!</definedName>
    <definedName name="Cash_fore" localSheetId="11">#REF!</definedName>
    <definedName name="Cash_fore" localSheetId="17">#REF!</definedName>
    <definedName name="Cash_fore" localSheetId="16">#REF!</definedName>
    <definedName name="Cash_fore" localSheetId="22">#REF!</definedName>
    <definedName name="Cash_fore" localSheetId="9">#REF!</definedName>
    <definedName name="Cash_fore" localSheetId="13">#REF!</definedName>
    <definedName name="Cash_fore" localSheetId="23">#REF!</definedName>
    <definedName name="Cash_fore">#REF!</definedName>
    <definedName name="Cash_growth" localSheetId="4">#REF!</definedName>
    <definedName name="Cash_growth" localSheetId="9">#REF!</definedName>
    <definedName name="Cash_growth">#REF!</definedName>
    <definedName name="Cash_growth_fore" localSheetId="4">#REF!</definedName>
    <definedName name="Cash_growth_fore" localSheetId="5">#REF!</definedName>
    <definedName name="Cash_growth_fore" localSheetId="15">#REF!</definedName>
    <definedName name="Cash_growth_fore" localSheetId="19">#REF!</definedName>
    <definedName name="Cash_growth_fore" localSheetId="18">#REF!</definedName>
    <definedName name="Cash_growth_fore" localSheetId="14">#REF!</definedName>
    <definedName name="Cash_growth_fore" localSheetId="12">#REF!</definedName>
    <definedName name="Cash_growth_fore" localSheetId="24">#REF!</definedName>
    <definedName name="Cash_growth_fore" localSheetId="7">#REF!</definedName>
    <definedName name="Cash_growth_fore" localSheetId="20">#REF!</definedName>
    <definedName name="Cash_growth_fore" localSheetId="21">#REF!</definedName>
    <definedName name="Cash_growth_fore" localSheetId="11">#REF!</definedName>
    <definedName name="Cash_growth_fore" localSheetId="17">#REF!</definedName>
    <definedName name="Cash_growth_fore" localSheetId="16">#REF!</definedName>
    <definedName name="Cash_growth_fore" localSheetId="22">#REF!</definedName>
    <definedName name="Cash_growth_fore" localSheetId="9">#REF!</definedName>
    <definedName name="Cash_growth_fore" localSheetId="13">#REF!</definedName>
    <definedName name="Cash_growth_fore" localSheetId="23">#REF!</definedName>
    <definedName name="Cash_growth_fore">#REF!</definedName>
    <definedName name="Cash_Op._Taxes">#REF!</definedName>
    <definedName name="Cash_Op._Taxes_Core">#REF!</definedName>
    <definedName name="Cash_Operating_Taxes" localSheetId="4">#REF!</definedName>
    <definedName name="Cash_Operating_Taxes" localSheetId="9">#REF!</definedName>
    <definedName name="Cash_Operating_Taxes">#REF!</definedName>
    <definedName name="Cash_Operating_taxes_Core" localSheetId="4">#REF!</definedName>
    <definedName name="Cash_Operating_taxes_Core" localSheetId="9">#REF!</definedName>
    <definedName name="Cash_Operating_taxes_Core">#REF!</definedName>
    <definedName name="Cash_operating_taxes_core_fore" localSheetId="4">#REF!</definedName>
    <definedName name="Cash_operating_taxes_core_fore" localSheetId="5">#REF!</definedName>
    <definedName name="Cash_operating_taxes_core_fore" localSheetId="15">#REF!</definedName>
    <definedName name="Cash_operating_taxes_core_fore" localSheetId="19">#REF!</definedName>
    <definedName name="Cash_operating_taxes_core_fore" localSheetId="18">#REF!</definedName>
    <definedName name="Cash_operating_taxes_core_fore" localSheetId="14">#REF!</definedName>
    <definedName name="Cash_operating_taxes_core_fore" localSheetId="12">#REF!</definedName>
    <definedName name="Cash_operating_taxes_core_fore" localSheetId="24">#REF!</definedName>
    <definedName name="Cash_operating_taxes_core_fore" localSheetId="7">#REF!</definedName>
    <definedName name="Cash_operating_taxes_core_fore" localSheetId="20">#REF!</definedName>
    <definedName name="Cash_operating_taxes_core_fore" localSheetId="21">#REF!</definedName>
    <definedName name="Cash_operating_taxes_core_fore" localSheetId="11">#REF!</definedName>
    <definedName name="Cash_operating_taxes_core_fore" localSheetId="17">#REF!</definedName>
    <definedName name="Cash_operating_taxes_core_fore" localSheetId="16">#REF!</definedName>
    <definedName name="Cash_operating_taxes_core_fore" localSheetId="22">#REF!</definedName>
    <definedName name="Cash_operating_taxes_core_fore" localSheetId="9">#REF!</definedName>
    <definedName name="Cash_operating_taxes_core_fore" localSheetId="13">#REF!</definedName>
    <definedName name="Cash_operating_taxes_core_fore" localSheetId="23">#REF!</definedName>
    <definedName name="Cash_operating_taxes_core_fore">#REF!</definedName>
    <definedName name="Cash_operating_taxes_fore" localSheetId="4">#REF!</definedName>
    <definedName name="Cash_operating_taxes_fore" localSheetId="5">#REF!</definedName>
    <definedName name="Cash_operating_taxes_fore" localSheetId="15">#REF!</definedName>
    <definedName name="Cash_operating_taxes_fore" localSheetId="19">#REF!</definedName>
    <definedName name="Cash_operating_taxes_fore" localSheetId="18">#REF!</definedName>
    <definedName name="Cash_operating_taxes_fore" localSheetId="14">#REF!</definedName>
    <definedName name="Cash_operating_taxes_fore" localSheetId="12">#REF!</definedName>
    <definedName name="Cash_operating_taxes_fore" localSheetId="24">#REF!</definedName>
    <definedName name="Cash_operating_taxes_fore" localSheetId="7">#REF!</definedName>
    <definedName name="Cash_operating_taxes_fore" localSheetId="20">#REF!</definedName>
    <definedName name="Cash_operating_taxes_fore" localSheetId="21">#REF!</definedName>
    <definedName name="Cash_operating_taxes_fore" localSheetId="11">#REF!</definedName>
    <definedName name="Cash_operating_taxes_fore" localSheetId="17">#REF!</definedName>
    <definedName name="Cash_operating_taxes_fore" localSheetId="16">#REF!</definedName>
    <definedName name="Cash_operating_taxes_fore" localSheetId="22">#REF!</definedName>
    <definedName name="Cash_operating_taxes_fore" localSheetId="9">#REF!</definedName>
    <definedName name="Cash_operating_taxes_fore" localSheetId="13">#REF!</definedName>
    <definedName name="Cash_operating_taxes_fore" localSheetId="23">#REF!</definedName>
    <definedName name="Cash_operating_taxes_fore">#REF!</definedName>
    <definedName name="CashBankBalances" localSheetId="4">#REF!</definedName>
    <definedName name="CashBankBalances" localSheetId="9">#REF!</definedName>
    <definedName name="CashBankBalances">#REF!</definedName>
    <definedName name="CashChg">#REF!</definedName>
    <definedName name="CashCr">#REF!</definedName>
    <definedName name="CASHFLOW" localSheetId="4">#REF!</definedName>
    <definedName name="CASHFLOW" localSheetId="5">#REF!</definedName>
    <definedName name="CASHFLOW" localSheetId="15">#REF!</definedName>
    <definedName name="CASHFLOW" localSheetId="19">#REF!</definedName>
    <definedName name="CASHFLOW" localSheetId="18">#REF!</definedName>
    <definedName name="CASHFLOW" localSheetId="14">#REF!</definedName>
    <definedName name="CASHFLOW" localSheetId="12">#REF!</definedName>
    <definedName name="CASHFLOW" localSheetId="24">#REF!</definedName>
    <definedName name="CASHFLOW" localSheetId="7">#REF!</definedName>
    <definedName name="CASHFLOW" localSheetId="20">#REF!</definedName>
    <definedName name="CASHFLOW" localSheetId="21">#REF!</definedName>
    <definedName name="CASHFLOW" localSheetId="11">#REF!</definedName>
    <definedName name="CASHFLOW" localSheetId="17">#REF!</definedName>
    <definedName name="CASHFLOW" localSheetId="16">#REF!</definedName>
    <definedName name="CASHFLOW" localSheetId="22">#REF!</definedName>
    <definedName name="CASHFLOW" localSheetId="9">#REF!</definedName>
    <definedName name="CASHFLOW" localSheetId="13">#REF!</definedName>
    <definedName name="CASHFLOW" localSheetId="23">#REF!</definedName>
    <definedName name="CASHFLOW">#REF!</definedName>
    <definedName name="CashPr">#REF!</definedName>
    <definedName name="CASHTAX" localSheetId="4">#REF!</definedName>
    <definedName name="CASHTAX" localSheetId="9">#REF!</definedName>
    <definedName name="CASHTAX">#REF!</definedName>
    <definedName name="catdry" localSheetId="4">#REF!</definedName>
    <definedName name="catdry" localSheetId="5">#REF!</definedName>
    <definedName name="catdry" localSheetId="15">#REF!</definedName>
    <definedName name="catdry" localSheetId="19">#REF!</definedName>
    <definedName name="catdry" localSheetId="18">#REF!</definedName>
    <definedName name="catdry" localSheetId="14">#REF!</definedName>
    <definedName name="catdry" localSheetId="12">#REF!</definedName>
    <definedName name="catdry" localSheetId="24">#REF!</definedName>
    <definedName name="catdry" localSheetId="7">#REF!</definedName>
    <definedName name="catdry" localSheetId="20">#REF!</definedName>
    <definedName name="catdry" localSheetId="21">#REF!</definedName>
    <definedName name="catdry" localSheetId="11">#REF!</definedName>
    <definedName name="catdry" localSheetId="17">#REF!</definedName>
    <definedName name="catdry" localSheetId="16">#REF!</definedName>
    <definedName name="catdry" localSheetId="22">#REF!</definedName>
    <definedName name="catdry" localSheetId="9">#REF!</definedName>
    <definedName name="catdry" localSheetId="13">#REF!</definedName>
    <definedName name="catdry" localSheetId="23">#REF!</definedName>
    <definedName name="catdry">#REF!</definedName>
    <definedName name="catmoist" localSheetId="4">#REF!</definedName>
    <definedName name="catmoist" localSheetId="5">#REF!</definedName>
    <definedName name="catmoist" localSheetId="15">#REF!</definedName>
    <definedName name="catmoist" localSheetId="19">#REF!</definedName>
    <definedName name="catmoist" localSheetId="18">#REF!</definedName>
    <definedName name="catmoist" localSheetId="14">#REF!</definedName>
    <definedName name="catmoist" localSheetId="12">#REF!</definedName>
    <definedName name="catmoist" localSheetId="24">#REF!</definedName>
    <definedName name="catmoist" localSheetId="7">#REF!</definedName>
    <definedName name="catmoist" localSheetId="20">#REF!</definedName>
    <definedName name="catmoist" localSheetId="21">#REF!</definedName>
    <definedName name="catmoist" localSheetId="11">#REF!</definedName>
    <definedName name="catmoist" localSheetId="17">#REF!</definedName>
    <definedName name="catmoist" localSheetId="16">#REF!</definedName>
    <definedName name="catmoist" localSheetId="22">#REF!</definedName>
    <definedName name="catmoist" localSheetId="9">#REF!</definedName>
    <definedName name="catmoist" localSheetId="13">#REF!</definedName>
    <definedName name="catmoist" localSheetId="23">#REF!</definedName>
    <definedName name="catmoist">#REF!</definedName>
    <definedName name="catsup" localSheetId="4">#REF!</definedName>
    <definedName name="catsup" localSheetId="5">#REF!</definedName>
    <definedName name="catsup" localSheetId="15">#REF!</definedName>
    <definedName name="catsup" localSheetId="19">#REF!</definedName>
    <definedName name="catsup" localSheetId="18">#REF!</definedName>
    <definedName name="catsup" localSheetId="14">#REF!</definedName>
    <definedName name="catsup" localSheetId="12">#REF!</definedName>
    <definedName name="catsup" localSheetId="24">#REF!</definedName>
    <definedName name="catsup" localSheetId="7">#REF!</definedName>
    <definedName name="catsup" localSheetId="20">#REF!</definedName>
    <definedName name="catsup" localSheetId="21">#REF!</definedName>
    <definedName name="catsup" localSheetId="11">#REF!</definedName>
    <definedName name="catsup" localSheetId="17">#REF!</definedName>
    <definedName name="catsup" localSheetId="16">#REF!</definedName>
    <definedName name="catsup" localSheetId="22">#REF!</definedName>
    <definedName name="catsup" localSheetId="9">#REF!</definedName>
    <definedName name="catsup" localSheetId="13">#REF!</definedName>
    <definedName name="catsup" localSheetId="23">#REF!</definedName>
    <definedName name="catsup">#REF!</definedName>
    <definedName name="catwet" localSheetId="4">#REF!</definedName>
    <definedName name="catwet" localSheetId="9">#REF!</definedName>
    <definedName name="catwet">#REF!</definedName>
    <definedName name="caz_bs" localSheetId="4">#REF!</definedName>
    <definedName name="caz_bs" localSheetId="9">#REF!</definedName>
    <definedName name="caz_bs">#REF!</definedName>
    <definedName name="caz_cf" localSheetId="4">#REF!</definedName>
    <definedName name="caz_cf" localSheetId="9">#REF!</definedName>
    <definedName name="caz_cf">#REF!</definedName>
    <definedName name="caz_pl" localSheetId="4">#REF!</definedName>
    <definedName name="caz_pl" localSheetId="9">#REF!</definedName>
    <definedName name="caz_pl">#REF!</definedName>
    <definedName name="caz_ratio" localSheetId="4">#REF!</definedName>
    <definedName name="caz_ratio" localSheetId="9">#REF!</definedName>
    <definedName name="caz_ratio">#REF!</definedName>
    <definedName name="cbkwgt">#REF!</definedName>
    <definedName name="CBORDER" localSheetId="4">#REF!</definedName>
    <definedName name="CBORDER" localSheetId="9">#REF!</definedName>
    <definedName name="CBORDER">#REF!</definedName>
    <definedName name="CBS_BM11" localSheetId="4">#REF!</definedName>
    <definedName name="CBS_BM11" localSheetId="5">#REF!</definedName>
    <definedName name="CBS_BM11" localSheetId="15">#REF!</definedName>
    <definedName name="CBS_BM11" localSheetId="19">#REF!</definedName>
    <definedName name="CBS_BM11" localSheetId="18">#REF!</definedName>
    <definedName name="CBS_BM11" localSheetId="14">#REF!</definedName>
    <definedName name="CBS_BM11" localSheetId="12">#REF!</definedName>
    <definedName name="CBS_BM11" localSheetId="24">#REF!</definedName>
    <definedName name="CBS_BM11" localSheetId="7">#REF!</definedName>
    <definedName name="CBS_BM11" localSheetId="20">#REF!</definedName>
    <definedName name="CBS_BM11" localSheetId="21">#REF!</definedName>
    <definedName name="CBS_BM11" localSheetId="11">#REF!</definedName>
    <definedName name="CBS_BM11" localSheetId="17">#REF!</definedName>
    <definedName name="CBS_BM11" localSheetId="16">#REF!</definedName>
    <definedName name="CBS_BM11" localSheetId="22">#REF!</definedName>
    <definedName name="CBS_BM11" localSheetId="9">#REF!</definedName>
    <definedName name="CBS_BM11" localSheetId="13">#REF!</definedName>
    <definedName name="CBS_BM11" localSheetId="23">#REF!</definedName>
    <definedName name="CBS_BM11">#REF!</definedName>
    <definedName name="CBS_BM110" localSheetId="4">#REF!</definedName>
    <definedName name="CBS_BM110" localSheetId="5">#REF!</definedName>
    <definedName name="CBS_BM110" localSheetId="15">#REF!</definedName>
    <definedName name="CBS_BM110" localSheetId="19">#REF!</definedName>
    <definedName name="CBS_BM110" localSheetId="18">#REF!</definedName>
    <definedName name="CBS_BM110" localSheetId="14">#REF!</definedName>
    <definedName name="CBS_BM110" localSheetId="12">#REF!</definedName>
    <definedName name="CBS_BM110" localSheetId="24">#REF!</definedName>
    <definedName name="CBS_BM110" localSheetId="7">#REF!</definedName>
    <definedName name="CBS_BM110" localSheetId="20">#REF!</definedName>
    <definedName name="CBS_BM110" localSheetId="21">#REF!</definedName>
    <definedName name="CBS_BM110" localSheetId="11">#REF!</definedName>
    <definedName name="CBS_BM110" localSheetId="17">#REF!</definedName>
    <definedName name="CBS_BM110" localSheetId="16">#REF!</definedName>
    <definedName name="CBS_BM110" localSheetId="22">#REF!</definedName>
    <definedName name="CBS_BM110" localSheetId="9">#REF!</definedName>
    <definedName name="CBS_BM110" localSheetId="13">#REF!</definedName>
    <definedName name="CBS_BM110" localSheetId="23">#REF!</definedName>
    <definedName name="CBS_BM110">#REF!</definedName>
    <definedName name="CBS_BM111" localSheetId="4">#REF!</definedName>
    <definedName name="CBS_BM111" localSheetId="5">#REF!</definedName>
    <definedName name="CBS_BM111" localSheetId="15">#REF!</definedName>
    <definedName name="CBS_BM111" localSheetId="19">#REF!</definedName>
    <definedName name="CBS_BM111" localSheetId="18">#REF!</definedName>
    <definedName name="CBS_BM111" localSheetId="14">#REF!</definedName>
    <definedName name="CBS_BM111" localSheetId="12">#REF!</definedName>
    <definedName name="CBS_BM111" localSheetId="24">#REF!</definedName>
    <definedName name="CBS_BM111" localSheetId="7">#REF!</definedName>
    <definedName name="CBS_BM111" localSheetId="20">#REF!</definedName>
    <definedName name="CBS_BM111" localSheetId="21">#REF!</definedName>
    <definedName name="CBS_BM111" localSheetId="11">#REF!</definedName>
    <definedName name="CBS_BM111" localSheetId="17">#REF!</definedName>
    <definedName name="CBS_BM111" localSheetId="16">#REF!</definedName>
    <definedName name="CBS_BM111" localSheetId="22">#REF!</definedName>
    <definedName name="CBS_BM111" localSheetId="9">#REF!</definedName>
    <definedName name="CBS_BM111" localSheetId="13">#REF!</definedName>
    <definedName name="CBS_BM111" localSheetId="23">#REF!</definedName>
    <definedName name="CBS_BM111">#REF!</definedName>
    <definedName name="CBS_BM112" localSheetId="4">#REF!</definedName>
    <definedName name="CBS_BM112" localSheetId="9">#REF!</definedName>
    <definedName name="CBS_BM112">#REF!</definedName>
    <definedName name="CBS_BM113" localSheetId="4">#REF!</definedName>
    <definedName name="CBS_BM113" localSheetId="9">#REF!</definedName>
    <definedName name="CBS_BM113">#REF!</definedName>
    <definedName name="CBS_BM114" localSheetId="4">#REF!</definedName>
    <definedName name="CBS_BM114" localSheetId="9">#REF!</definedName>
    <definedName name="CBS_BM114">#REF!</definedName>
    <definedName name="CBS_BM115" localSheetId="4">#REF!</definedName>
    <definedName name="CBS_BM115" localSheetId="9">#REF!</definedName>
    <definedName name="CBS_BM115">#REF!</definedName>
    <definedName name="CBS_BM116" localSheetId="4">#REF!</definedName>
    <definedName name="CBS_BM116" localSheetId="9">#REF!</definedName>
    <definedName name="CBS_BM116">#REF!</definedName>
    <definedName name="CBS_BM117" localSheetId="4">#REF!</definedName>
    <definedName name="CBS_BM117" localSheetId="9">#REF!</definedName>
    <definedName name="CBS_BM117">#REF!</definedName>
    <definedName name="CBS_BM118" localSheetId="4">#REF!</definedName>
    <definedName name="CBS_BM118" localSheetId="9">#REF!</definedName>
    <definedName name="CBS_BM118">#REF!</definedName>
    <definedName name="CBS_BM119" localSheetId="4">#REF!</definedName>
    <definedName name="CBS_BM119" localSheetId="9">#REF!</definedName>
    <definedName name="CBS_BM119">#REF!</definedName>
    <definedName name="CBS_BM12" localSheetId="4">#REF!</definedName>
    <definedName name="CBS_BM12" localSheetId="9">#REF!</definedName>
    <definedName name="CBS_BM12">#REF!</definedName>
    <definedName name="CBS_BM120" localSheetId="4">#REF!</definedName>
    <definedName name="CBS_BM120" localSheetId="9">#REF!</definedName>
    <definedName name="CBS_BM120">#REF!</definedName>
    <definedName name="CBS_BM121" localSheetId="4">#REF!</definedName>
    <definedName name="CBS_BM121" localSheetId="9">#REF!</definedName>
    <definedName name="CBS_BM121">#REF!</definedName>
    <definedName name="CBS_BM122" localSheetId="4">#REF!</definedName>
    <definedName name="CBS_BM122" localSheetId="9">#REF!</definedName>
    <definedName name="CBS_BM122">#REF!</definedName>
    <definedName name="CBS_BM123" localSheetId="4">#REF!</definedName>
    <definedName name="CBS_BM123" localSheetId="9">#REF!</definedName>
    <definedName name="CBS_BM123">#REF!</definedName>
    <definedName name="CBS_BM124" localSheetId="4">#REF!</definedName>
    <definedName name="CBS_BM124" localSheetId="9">#REF!</definedName>
    <definedName name="CBS_BM124">#REF!</definedName>
    <definedName name="CBS_BM125" localSheetId="4">#REF!</definedName>
    <definedName name="CBS_BM125" localSheetId="9">#REF!</definedName>
    <definedName name="CBS_BM125">#REF!</definedName>
    <definedName name="CBS_BM13" localSheetId="4">#REF!</definedName>
    <definedName name="CBS_BM13" localSheetId="9">#REF!</definedName>
    <definedName name="CBS_BM13">#REF!</definedName>
    <definedName name="CBS_BM14" localSheetId="4">#REF!</definedName>
    <definedName name="CBS_BM14" localSheetId="9">#REF!</definedName>
    <definedName name="CBS_BM14">#REF!</definedName>
    <definedName name="CBS_BM15" localSheetId="4">#REF!</definedName>
    <definedName name="CBS_BM15" localSheetId="9">#REF!</definedName>
    <definedName name="CBS_BM15">#REF!</definedName>
    <definedName name="CBS_BM16" localSheetId="4">#REF!</definedName>
    <definedName name="CBS_BM16" localSheetId="9">#REF!</definedName>
    <definedName name="CBS_BM16">#REF!</definedName>
    <definedName name="CBS_BM17" localSheetId="4">#REF!</definedName>
    <definedName name="CBS_BM17" localSheetId="9">#REF!</definedName>
    <definedName name="CBS_BM17">#REF!</definedName>
    <definedName name="CBS_BM18" localSheetId="4">#REF!</definedName>
    <definedName name="CBS_BM18" localSheetId="9">#REF!</definedName>
    <definedName name="CBS_BM18">#REF!</definedName>
    <definedName name="CBS_BM19" localSheetId="4">#REF!</definedName>
    <definedName name="CBS_BM19" localSheetId="9">#REF!</definedName>
    <definedName name="CBS_BM19">#REF!</definedName>
    <definedName name="CBS_BM21" localSheetId="4">#REF!</definedName>
    <definedName name="CBS_BM21" localSheetId="9">#REF!</definedName>
    <definedName name="CBS_BM21">#REF!</definedName>
    <definedName name="CBS_BM210_N0" localSheetId="4">#REF!</definedName>
    <definedName name="CBS_BM210_N0" localSheetId="9">#REF!</definedName>
    <definedName name="CBS_BM210_N0">#REF!</definedName>
    <definedName name="CBS_BM211_N0" localSheetId="4">#REF!</definedName>
    <definedName name="CBS_BM211_N0" localSheetId="9">#REF!</definedName>
    <definedName name="CBS_BM211_N0">#REF!</definedName>
    <definedName name="CBS_BM212_N0" localSheetId="4">#REF!</definedName>
    <definedName name="CBS_BM212_N0" localSheetId="9">#REF!</definedName>
    <definedName name="CBS_BM212_N0">#REF!</definedName>
    <definedName name="CBS_BM213_N0" localSheetId="4">#REF!</definedName>
    <definedName name="CBS_BM213_N0" localSheetId="9">#REF!</definedName>
    <definedName name="CBS_BM213_N0">#REF!</definedName>
    <definedName name="CBS_BM214_N0" localSheetId="4">#REF!</definedName>
    <definedName name="CBS_BM214_N0" localSheetId="9">#REF!</definedName>
    <definedName name="CBS_BM214_N0">#REF!</definedName>
    <definedName name="CBS_BM215_N0" localSheetId="4">#REF!</definedName>
    <definedName name="CBS_BM215_N0" localSheetId="9">#REF!</definedName>
    <definedName name="CBS_BM215_N0">#REF!</definedName>
    <definedName name="CBS_BM216_N0" localSheetId="4">#REF!</definedName>
    <definedName name="CBS_BM216_N0" localSheetId="9">#REF!</definedName>
    <definedName name="CBS_BM216_N0">#REF!</definedName>
    <definedName name="CBS_BM217_N0" localSheetId="4">#REF!</definedName>
    <definedName name="CBS_BM217_N0" localSheetId="9">#REF!</definedName>
    <definedName name="CBS_BM217_N0">#REF!</definedName>
    <definedName name="CBS_BM218_N0" localSheetId="4">#REF!</definedName>
    <definedName name="CBS_BM218_N0" localSheetId="9">#REF!</definedName>
    <definedName name="CBS_BM218_N0">#REF!</definedName>
    <definedName name="CBS_BM219_N0" localSheetId="4">#REF!</definedName>
    <definedName name="CBS_BM219_N0" localSheetId="9">#REF!</definedName>
    <definedName name="CBS_BM219_N0">#REF!</definedName>
    <definedName name="CBS_BM22_N0" localSheetId="4">#REF!</definedName>
    <definedName name="CBS_BM22_N0" localSheetId="9">#REF!</definedName>
    <definedName name="CBS_BM22_N0">#REF!</definedName>
    <definedName name="CBS_BM220_N1" localSheetId="4">#REF!</definedName>
    <definedName name="CBS_BM220_N1" localSheetId="9">#REF!</definedName>
    <definedName name="CBS_BM220_N1">#REF!</definedName>
    <definedName name="CBS_BM221_N1" localSheetId="4">#REF!</definedName>
    <definedName name="CBS_BM221_N1" localSheetId="9">#REF!</definedName>
    <definedName name="CBS_BM221_N1">#REF!</definedName>
    <definedName name="CBS_BM222_N1" localSheetId="4">#REF!</definedName>
    <definedName name="CBS_BM222_N1" localSheetId="9">#REF!</definedName>
    <definedName name="CBS_BM222_N1">#REF!</definedName>
    <definedName name="CBS_BM223_N1" localSheetId="4">#REF!</definedName>
    <definedName name="CBS_BM223_N1" localSheetId="9">#REF!</definedName>
    <definedName name="CBS_BM223_N1">#REF!</definedName>
    <definedName name="CBS_BM224_N1" localSheetId="4">#REF!</definedName>
    <definedName name="CBS_BM224_N1" localSheetId="9">#REF!</definedName>
    <definedName name="CBS_BM224_N1">#REF!</definedName>
    <definedName name="CBS_BM225_N1" localSheetId="4">#REF!</definedName>
    <definedName name="CBS_BM225_N1" localSheetId="9">#REF!</definedName>
    <definedName name="CBS_BM225_N1">#REF!</definedName>
    <definedName name="CBS_BM23_N0" localSheetId="4">#REF!</definedName>
    <definedName name="CBS_BM23_N0" localSheetId="9">#REF!</definedName>
    <definedName name="CBS_BM23_N0">#REF!</definedName>
    <definedName name="CBS_BM24_N0" localSheetId="4">#REF!</definedName>
    <definedName name="CBS_BM24_N0" localSheetId="9">#REF!</definedName>
    <definedName name="CBS_BM24_N0">#REF!</definedName>
    <definedName name="CBS_BM25_N0" localSheetId="4">#REF!</definedName>
    <definedName name="CBS_BM25_N0" localSheetId="9">#REF!</definedName>
    <definedName name="CBS_BM25_N0">#REF!</definedName>
    <definedName name="CBS_BM26_N0" localSheetId="4">#REF!</definedName>
    <definedName name="CBS_BM26_N0" localSheetId="9">#REF!</definedName>
    <definedName name="CBS_BM26_N0">#REF!</definedName>
    <definedName name="CBS_BM27_N0" localSheetId="4">#REF!</definedName>
    <definedName name="CBS_BM27_N0" localSheetId="9">#REF!</definedName>
    <definedName name="CBS_BM27_N0">#REF!</definedName>
    <definedName name="CBS_BM28_N0" localSheetId="4">#REF!</definedName>
    <definedName name="CBS_BM28_N0" localSheetId="9">#REF!</definedName>
    <definedName name="CBS_BM28_N0">#REF!</definedName>
    <definedName name="CBS_BM29_N0" localSheetId="4">#REF!</definedName>
    <definedName name="CBS_BM29_N0" localSheetId="9">#REF!</definedName>
    <definedName name="CBS_BM29_N0">#REF!</definedName>
    <definedName name="CBS_BM31" localSheetId="4">#REF!</definedName>
    <definedName name="CBS_BM31" localSheetId="9">#REF!</definedName>
    <definedName name="CBS_BM31">#REF!</definedName>
    <definedName name="CBS_BM310_N0" localSheetId="4">#REF!</definedName>
    <definedName name="CBS_BM310_N0" localSheetId="9">#REF!</definedName>
    <definedName name="CBS_BM310_N0">#REF!</definedName>
    <definedName name="CBS_BM311_N0" localSheetId="4">#REF!</definedName>
    <definedName name="CBS_BM311_N0" localSheetId="9">#REF!</definedName>
    <definedName name="CBS_BM311_N0">#REF!</definedName>
    <definedName name="CBS_BM312_N0" localSheetId="4">#REF!</definedName>
    <definedName name="CBS_BM312_N0" localSheetId="9">#REF!</definedName>
    <definedName name="CBS_BM312_N0">#REF!</definedName>
    <definedName name="CBS_BM313_N0" localSheetId="4">#REF!</definedName>
    <definedName name="CBS_BM313_N0" localSheetId="9">#REF!</definedName>
    <definedName name="CBS_BM313_N0">#REF!</definedName>
    <definedName name="CBS_BM314_N0" localSheetId="4">#REF!</definedName>
    <definedName name="CBS_BM314_N0" localSheetId="9">#REF!</definedName>
    <definedName name="CBS_BM314_N0">#REF!</definedName>
    <definedName name="CBS_BM315_N0" localSheetId="4">#REF!</definedName>
    <definedName name="CBS_BM315_N0" localSheetId="9">#REF!</definedName>
    <definedName name="CBS_BM315_N0">#REF!</definedName>
    <definedName name="CBS_BM316_N0" localSheetId="4">#REF!</definedName>
    <definedName name="CBS_BM316_N0" localSheetId="9">#REF!</definedName>
    <definedName name="CBS_BM316_N0">#REF!</definedName>
    <definedName name="CBS_BM317_N0" localSheetId="4">#REF!</definedName>
    <definedName name="CBS_BM317_N0" localSheetId="9">#REF!</definedName>
    <definedName name="CBS_BM317_N0">#REF!</definedName>
    <definedName name="CBS_BM318_N0" localSheetId="4">#REF!</definedName>
    <definedName name="CBS_BM318_N0" localSheetId="9">#REF!</definedName>
    <definedName name="CBS_BM318_N0">#REF!</definedName>
    <definedName name="CBS_BM319_N0" localSheetId="4">#REF!</definedName>
    <definedName name="CBS_BM319_N0" localSheetId="9">#REF!</definedName>
    <definedName name="CBS_BM319_N0">#REF!</definedName>
    <definedName name="CBS_BM32_N0" localSheetId="4">#REF!</definedName>
    <definedName name="CBS_BM32_N0" localSheetId="9">#REF!</definedName>
    <definedName name="CBS_BM32_N0">#REF!</definedName>
    <definedName name="CBS_BM322_N1" localSheetId="4">#REF!</definedName>
    <definedName name="CBS_BM322_N1" localSheetId="9">#REF!</definedName>
    <definedName name="CBS_BM322_N1">#REF!</definedName>
    <definedName name="CBS_BM323_N1" localSheetId="4">#REF!</definedName>
    <definedName name="CBS_BM323_N1" localSheetId="9">#REF!</definedName>
    <definedName name="CBS_BM323_N1">#REF!</definedName>
    <definedName name="CBS_BM324_N1" localSheetId="4">#REF!</definedName>
    <definedName name="CBS_BM324_N1" localSheetId="9">#REF!</definedName>
    <definedName name="CBS_BM324_N1">#REF!</definedName>
    <definedName name="CBS_BM325_N1" localSheetId="4">#REF!</definedName>
    <definedName name="CBS_BM325_N1" localSheetId="9">#REF!</definedName>
    <definedName name="CBS_BM325_N1">#REF!</definedName>
    <definedName name="CBS_BM33_N0" localSheetId="4">#REF!</definedName>
    <definedName name="CBS_BM33_N0" localSheetId="9">#REF!</definedName>
    <definedName name="CBS_BM33_N0">#REF!</definedName>
    <definedName name="CBS_BM34_N0" localSheetId="4">#REF!</definedName>
    <definedName name="CBS_BM34_N0" localSheetId="9">#REF!</definedName>
    <definedName name="CBS_BM34_N0">#REF!</definedName>
    <definedName name="CBS_BM35_N0" localSheetId="4">#REF!</definedName>
    <definedName name="CBS_BM35_N0" localSheetId="9">#REF!</definedName>
    <definedName name="CBS_BM35_N0">#REF!</definedName>
    <definedName name="CBS_BM36_N0" localSheetId="4">#REF!</definedName>
    <definedName name="CBS_BM36_N0" localSheetId="9">#REF!</definedName>
    <definedName name="CBS_BM36_N0">#REF!</definedName>
    <definedName name="CBS_BM37_N0" localSheetId="4">#REF!</definedName>
    <definedName name="CBS_BM37_N0" localSheetId="9">#REF!</definedName>
    <definedName name="CBS_BM37_N0">#REF!</definedName>
    <definedName name="CBS_BM38_N0" localSheetId="4">#REF!</definedName>
    <definedName name="CBS_BM38_N0" localSheetId="9">#REF!</definedName>
    <definedName name="CBS_BM38_N0">#REF!</definedName>
    <definedName name="CBS_BM39_N0" localSheetId="4">#REF!</definedName>
    <definedName name="CBS_BM39_N0" localSheetId="9">#REF!</definedName>
    <definedName name="CBS_BM39_N0">#REF!</definedName>
    <definedName name="CBS_BM41" localSheetId="4">#REF!</definedName>
    <definedName name="CBS_BM41" localSheetId="9">#REF!</definedName>
    <definedName name="CBS_BM41">#REF!</definedName>
    <definedName name="CBS_BM410_N0" localSheetId="4">#REF!</definedName>
    <definedName name="CBS_BM410_N0" localSheetId="9">#REF!</definedName>
    <definedName name="CBS_BM410_N0">#REF!</definedName>
    <definedName name="CBS_BM411_N0" localSheetId="4">#REF!</definedName>
    <definedName name="CBS_BM411_N0" localSheetId="9">#REF!</definedName>
    <definedName name="CBS_BM411_N0">#REF!</definedName>
    <definedName name="CBS_BM412_N0" localSheetId="4">#REF!</definedName>
    <definedName name="CBS_BM412_N0" localSheetId="9">#REF!</definedName>
    <definedName name="CBS_BM412_N0">#REF!</definedName>
    <definedName name="CBS_BM413_N0" localSheetId="4">#REF!</definedName>
    <definedName name="CBS_BM413_N0" localSheetId="9">#REF!</definedName>
    <definedName name="CBS_BM413_N0">#REF!</definedName>
    <definedName name="CBS_BM414_N0" localSheetId="4">#REF!</definedName>
    <definedName name="CBS_BM414_N0" localSheetId="9">#REF!</definedName>
    <definedName name="CBS_BM414_N0">#REF!</definedName>
    <definedName name="CBS_BM415_N0" localSheetId="4">#REF!</definedName>
    <definedName name="CBS_BM415_N0" localSheetId="9">#REF!</definedName>
    <definedName name="CBS_BM415_N0">#REF!</definedName>
    <definedName name="CBS_BM416_N0" localSheetId="4">#REF!</definedName>
    <definedName name="CBS_BM416_N0" localSheetId="9">#REF!</definedName>
    <definedName name="CBS_BM416_N0">#REF!</definedName>
    <definedName name="CBS_BM417_N0" localSheetId="4">#REF!</definedName>
    <definedName name="CBS_BM417_N0" localSheetId="9">#REF!</definedName>
    <definedName name="CBS_BM417_N0">#REF!</definedName>
    <definedName name="CBS_BM418_N0" localSheetId="4">#REF!</definedName>
    <definedName name="CBS_BM418_N0" localSheetId="9">#REF!</definedName>
    <definedName name="CBS_BM418_N0">#REF!</definedName>
    <definedName name="CBS_BM419_N0" localSheetId="4">#REF!</definedName>
    <definedName name="CBS_BM419_N0" localSheetId="9">#REF!</definedName>
    <definedName name="CBS_BM419_N0">#REF!</definedName>
    <definedName name="CBS_BM42_N0" localSheetId="4">#REF!</definedName>
    <definedName name="CBS_BM42_N0" localSheetId="9">#REF!</definedName>
    <definedName name="CBS_BM42_N0">#REF!</definedName>
    <definedName name="CBS_BM420_N1" localSheetId="4">#REF!</definedName>
    <definedName name="CBS_BM420_N1" localSheetId="9">#REF!</definedName>
    <definedName name="CBS_BM420_N1">#REF!</definedName>
    <definedName name="CBS_BM421_N1" localSheetId="4">#REF!</definedName>
    <definedName name="CBS_BM421_N1" localSheetId="9">#REF!</definedName>
    <definedName name="CBS_BM421_N1">#REF!</definedName>
    <definedName name="CBS_BM422_N1" localSheetId="4">#REF!</definedName>
    <definedName name="CBS_BM422_N1" localSheetId="9">#REF!</definedName>
    <definedName name="CBS_BM422_N1">#REF!</definedName>
    <definedName name="CBS_BM423_N1" localSheetId="4">#REF!</definedName>
    <definedName name="CBS_BM423_N1" localSheetId="9">#REF!</definedName>
    <definedName name="CBS_BM423_N1">#REF!</definedName>
    <definedName name="CBS_BM424_N1" localSheetId="4">#REF!</definedName>
    <definedName name="CBS_BM424_N1" localSheetId="9">#REF!</definedName>
    <definedName name="CBS_BM424_N1">#REF!</definedName>
    <definedName name="CBS_BM425_N1" localSheetId="4">#REF!</definedName>
    <definedName name="CBS_BM425_N1" localSheetId="9">#REF!</definedName>
    <definedName name="CBS_BM425_N1">#REF!</definedName>
    <definedName name="CBS_BM43_N0" localSheetId="4">#REF!</definedName>
    <definedName name="CBS_BM43_N0" localSheetId="9">#REF!</definedName>
    <definedName name="CBS_BM43_N0">#REF!</definedName>
    <definedName name="CBS_BM44_N0" localSheetId="4">#REF!</definedName>
    <definedName name="CBS_BM44_N0" localSheetId="9">#REF!</definedName>
    <definedName name="CBS_BM44_N0">#REF!</definedName>
    <definedName name="CBS_BM45_N0" localSheetId="4">#REF!</definedName>
    <definedName name="CBS_BM45_N0" localSheetId="9">#REF!</definedName>
    <definedName name="CBS_BM45_N0">#REF!</definedName>
    <definedName name="CBS_BM46_N0" localSheetId="4">#REF!</definedName>
    <definedName name="CBS_BM46_N0" localSheetId="9">#REF!</definedName>
    <definedName name="CBS_BM46_N0">#REF!</definedName>
    <definedName name="CBS_BM47_N0" localSheetId="4">#REF!</definedName>
    <definedName name="CBS_BM47_N0" localSheetId="9">#REF!</definedName>
    <definedName name="CBS_BM47_N0">#REF!</definedName>
    <definedName name="CBS_BM48_N0" localSheetId="4">#REF!</definedName>
    <definedName name="CBS_BM48_N0" localSheetId="9">#REF!</definedName>
    <definedName name="CBS_BM48_N0">#REF!</definedName>
    <definedName name="CBS_BM49_N0" localSheetId="4">#REF!</definedName>
    <definedName name="CBS_BM49_N0" localSheetId="9">#REF!</definedName>
    <definedName name="CBS_BM49_N0">#REF!</definedName>
    <definedName name="CBS_BM51" localSheetId="4">#REF!</definedName>
    <definedName name="CBS_BM51" localSheetId="9">#REF!</definedName>
    <definedName name="CBS_BM51">#REF!</definedName>
    <definedName name="CBS_BM510_N0" localSheetId="4">#REF!</definedName>
    <definedName name="CBS_BM510_N0" localSheetId="9">#REF!</definedName>
    <definedName name="CBS_BM510_N0">#REF!</definedName>
    <definedName name="CBS_BM511_N0" localSheetId="4">#REF!</definedName>
    <definedName name="CBS_BM511_N0" localSheetId="9">#REF!</definedName>
    <definedName name="CBS_BM511_N0">#REF!</definedName>
    <definedName name="CBS_BM512_N0" localSheetId="4">#REF!</definedName>
    <definedName name="CBS_BM512_N0" localSheetId="9">#REF!</definedName>
    <definedName name="CBS_BM512_N0">#REF!</definedName>
    <definedName name="CBS_BM513_N0" localSheetId="4">#REF!</definedName>
    <definedName name="CBS_BM513_N0" localSheetId="9">#REF!</definedName>
    <definedName name="CBS_BM513_N0">#REF!</definedName>
    <definedName name="CBS_BM514_N0" localSheetId="4">#REF!</definedName>
    <definedName name="CBS_BM514_N0" localSheetId="9">#REF!</definedName>
    <definedName name="CBS_BM514_N0">#REF!</definedName>
    <definedName name="CBS_BM515_N0" localSheetId="4">#REF!</definedName>
    <definedName name="CBS_BM515_N0" localSheetId="9">#REF!</definedName>
    <definedName name="CBS_BM515_N0">#REF!</definedName>
    <definedName name="CBS_BM516_N0" localSheetId="4">#REF!</definedName>
    <definedName name="CBS_BM516_N0" localSheetId="9">#REF!</definedName>
    <definedName name="CBS_BM516_N0">#REF!</definedName>
    <definedName name="CBS_BM517_N0" localSheetId="4">#REF!</definedName>
    <definedName name="CBS_BM517_N0" localSheetId="9">#REF!</definedName>
    <definedName name="CBS_BM517_N0">#REF!</definedName>
    <definedName name="CBS_BM518_N0" localSheetId="4">#REF!</definedName>
    <definedName name="CBS_BM518_N0" localSheetId="9">#REF!</definedName>
    <definedName name="CBS_BM518_N0">#REF!</definedName>
    <definedName name="CBS_BM519_N0" localSheetId="4">#REF!</definedName>
    <definedName name="CBS_BM519_N0" localSheetId="9">#REF!</definedName>
    <definedName name="CBS_BM519_N0">#REF!</definedName>
    <definedName name="CBS_BM52_N0" localSheetId="4">#REF!</definedName>
    <definedName name="CBS_BM52_N0" localSheetId="9">#REF!</definedName>
    <definedName name="CBS_BM52_N0">#REF!</definedName>
    <definedName name="CBS_BM520_N1" localSheetId="4">#REF!</definedName>
    <definedName name="CBS_BM520_N1" localSheetId="9">#REF!</definedName>
    <definedName name="CBS_BM520_N1">#REF!</definedName>
    <definedName name="CBS_BM521_N1" localSheetId="4">#REF!</definedName>
    <definedName name="CBS_BM521_N1" localSheetId="9">#REF!</definedName>
    <definedName name="CBS_BM521_N1">#REF!</definedName>
    <definedName name="CBS_BM522_N1" localSheetId="4">#REF!</definedName>
    <definedName name="CBS_BM522_N1" localSheetId="9">#REF!</definedName>
    <definedName name="CBS_BM522_N1">#REF!</definedName>
    <definedName name="CBS_BM523_N1" localSheetId="4">#REF!</definedName>
    <definedName name="CBS_BM523_N1" localSheetId="9">#REF!</definedName>
    <definedName name="CBS_BM523_N1">#REF!</definedName>
    <definedName name="CBS_BM524_N1" localSheetId="4">#REF!</definedName>
    <definedName name="CBS_BM524_N1" localSheetId="9">#REF!</definedName>
    <definedName name="CBS_BM524_N1">#REF!</definedName>
    <definedName name="CBS_BM525_N1" localSheetId="4">#REF!</definedName>
    <definedName name="CBS_BM525_N1" localSheetId="9">#REF!</definedName>
    <definedName name="CBS_BM525_N1">#REF!</definedName>
    <definedName name="CBS_BM53_N0" localSheetId="4">#REF!</definedName>
    <definedName name="CBS_BM53_N0" localSheetId="9">#REF!</definedName>
    <definedName name="CBS_BM53_N0">#REF!</definedName>
    <definedName name="CBS_BM54_N0" localSheetId="4">#REF!</definedName>
    <definedName name="CBS_BM54_N0" localSheetId="9">#REF!</definedName>
    <definedName name="CBS_BM54_N0">#REF!</definedName>
    <definedName name="CBS_BM55_N0" localSheetId="4">#REF!</definedName>
    <definedName name="CBS_BM55_N0" localSheetId="9">#REF!</definedName>
    <definedName name="CBS_BM55_N0">#REF!</definedName>
    <definedName name="CBS_BM56_N0" localSheetId="4">#REF!</definedName>
    <definedName name="CBS_BM56_N0" localSheetId="9">#REF!</definedName>
    <definedName name="CBS_BM56_N0">#REF!</definedName>
    <definedName name="CBS_BM57_N0" localSheetId="4">#REF!</definedName>
    <definedName name="CBS_BM57_N0" localSheetId="9">#REF!</definedName>
    <definedName name="CBS_BM57_N0">#REF!</definedName>
    <definedName name="CBS_BM58_N0" localSheetId="4">#REF!</definedName>
    <definedName name="CBS_BM58_N0" localSheetId="9">#REF!</definedName>
    <definedName name="CBS_BM58_N0">#REF!</definedName>
    <definedName name="CBS_BM59_N0" localSheetId="4">#REF!</definedName>
    <definedName name="CBS_BM59_N0" localSheetId="9">#REF!</definedName>
    <definedName name="CBS_BM59_N0">#REF!</definedName>
    <definedName name="CCC" localSheetId="4">#REF!</definedName>
    <definedName name="CCC" localSheetId="5">#REF!</definedName>
    <definedName name="CCC" localSheetId="15">#REF!</definedName>
    <definedName name="CCC" localSheetId="19">#REF!</definedName>
    <definedName name="CCC" localSheetId="18">#REF!</definedName>
    <definedName name="CCC" localSheetId="14">#REF!</definedName>
    <definedName name="CCC" localSheetId="12">#REF!</definedName>
    <definedName name="CCC" localSheetId="24">#REF!</definedName>
    <definedName name="CCC" localSheetId="7">#REF!</definedName>
    <definedName name="CCC" localSheetId="20">#REF!</definedName>
    <definedName name="CCC" localSheetId="21">#REF!</definedName>
    <definedName name="CCC" localSheetId="11">#REF!</definedName>
    <definedName name="CCC" localSheetId="17">#REF!</definedName>
    <definedName name="CCC" localSheetId="16">#REF!</definedName>
    <definedName name="CCC" localSheetId="22">#REF!</definedName>
    <definedName name="CCC" localSheetId="9">#REF!</definedName>
    <definedName name="CCC" localSheetId="13">#REF!</definedName>
    <definedName name="CCC" localSheetId="23">#REF!</definedName>
    <definedName name="CCC">#REF!</definedName>
    <definedName name="cce" localSheetId="4">#REF!</definedName>
    <definedName name="cce" localSheetId="5">#REF!</definedName>
    <definedName name="cce" localSheetId="15">#REF!</definedName>
    <definedName name="cce" localSheetId="19">#REF!</definedName>
    <definedName name="cce" localSheetId="18">#REF!</definedName>
    <definedName name="cce" localSheetId="14">#REF!</definedName>
    <definedName name="cce" localSheetId="12">#REF!</definedName>
    <definedName name="cce" localSheetId="24">#REF!</definedName>
    <definedName name="cce" localSheetId="7">#REF!</definedName>
    <definedName name="cce" localSheetId="20">#REF!</definedName>
    <definedName name="cce" localSheetId="21">#REF!</definedName>
    <definedName name="cce" localSheetId="11">#REF!</definedName>
    <definedName name="cce" localSheetId="17">#REF!</definedName>
    <definedName name="cce" localSheetId="16">#REF!</definedName>
    <definedName name="cce" localSheetId="22">#REF!</definedName>
    <definedName name="cce" localSheetId="9">#REF!</definedName>
    <definedName name="cce" localSheetId="13">#REF!</definedName>
    <definedName name="cce" localSheetId="23">#REF!</definedName>
    <definedName name="cce">#REF!</definedName>
    <definedName name="CCF_BM11" localSheetId="4">#REF!</definedName>
    <definedName name="CCF_BM11" localSheetId="5">#REF!</definedName>
    <definedName name="CCF_BM11" localSheetId="15">#REF!</definedName>
    <definedName name="CCF_BM11" localSheetId="19">#REF!</definedName>
    <definedName name="CCF_BM11" localSheetId="18">#REF!</definedName>
    <definedName name="CCF_BM11" localSheetId="14">#REF!</definedName>
    <definedName name="CCF_BM11" localSheetId="12">#REF!</definedName>
    <definedName name="CCF_BM11" localSheetId="24">#REF!</definedName>
    <definedName name="CCF_BM11" localSheetId="7">#REF!</definedName>
    <definedName name="CCF_BM11" localSheetId="20">#REF!</definedName>
    <definedName name="CCF_BM11" localSheetId="21">#REF!</definedName>
    <definedName name="CCF_BM11" localSheetId="11">#REF!</definedName>
    <definedName name="CCF_BM11" localSheetId="17">#REF!</definedName>
    <definedName name="CCF_BM11" localSheetId="16">#REF!</definedName>
    <definedName name="CCF_BM11" localSheetId="22">#REF!</definedName>
    <definedName name="CCF_BM11" localSheetId="9">#REF!</definedName>
    <definedName name="CCF_BM11" localSheetId="13">#REF!</definedName>
    <definedName name="CCF_BM11" localSheetId="23">#REF!</definedName>
    <definedName name="CCF_BM11">#REF!</definedName>
    <definedName name="CCF_BM110" localSheetId="4">#REF!</definedName>
    <definedName name="CCF_BM110" localSheetId="5">#REF!</definedName>
    <definedName name="CCF_BM110" localSheetId="15">#REF!</definedName>
    <definedName name="CCF_BM110" localSheetId="19">#REF!</definedName>
    <definedName name="CCF_BM110" localSheetId="18">#REF!</definedName>
    <definedName name="CCF_BM110" localSheetId="14">#REF!</definedName>
    <definedName name="CCF_BM110" localSheetId="12">#REF!</definedName>
    <definedName name="CCF_BM110" localSheetId="24">#REF!</definedName>
    <definedName name="CCF_BM110" localSheetId="7">#REF!</definedName>
    <definedName name="CCF_BM110" localSheetId="20">#REF!</definedName>
    <definedName name="CCF_BM110" localSheetId="21">#REF!</definedName>
    <definedName name="CCF_BM110" localSheetId="11">#REF!</definedName>
    <definedName name="CCF_BM110" localSheetId="17">#REF!</definedName>
    <definedName name="CCF_BM110" localSheetId="16">#REF!</definedName>
    <definedName name="CCF_BM110" localSheetId="22">#REF!</definedName>
    <definedName name="CCF_BM110" localSheetId="9">#REF!</definedName>
    <definedName name="CCF_BM110" localSheetId="13">#REF!</definedName>
    <definedName name="CCF_BM110" localSheetId="23">#REF!</definedName>
    <definedName name="CCF_BM110">#REF!</definedName>
    <definedName name="CCF_BM111" localSheetId="4">#REF!</definedName>
    <definedName name="CCF_BM111" localSheetId="9">#REF!</definedName>
    <definedName name="CCF_BM111">#REF!</definedName>
    <definedName name="CCF_BM112" localSheetId="4">#REF!</definedName>
    <definedName name="CCF_BM112" localSheetId="9">#REF!</definedName>
    <definedName name="CCF_BM112">#REF!</definedName>
    <definedName name="CCF_BM113" localSheetId="4">#REF!</definedName>
    <definedName name="CCF_BM113" localSheetId="9">#REF!</definedName>
    <definedName name="CCF_BM113">#REF!</definedName>
    <definedName name="CCF_BM114" localSheetId="4">#REF!</definedName>
    <definedName name="CCF_BM114" localSheetId="9">#REF!</definedName>
    <definedName name="CCF_BM114">#REF!</definedName>
    <definedName name="CCF_BM115" localSheetId="4">#REF!</definedName>
    <definedName name="CCF_BM115" localSheetId="9">#REF!</definedName>
    <definedName name="CCF_BM115">#REF!</definedName>
    <definedName name="CCF_BM116" localSheetId="4">#REF!</definedName>
    <definedName name="CCF_BM116" localSheetId="9">#REF!</definedName>
    <definedName name="CCF_BM116">#REF!</definedName>
    <definedName name="CCF_BM117" localSheetId="4">#REF!</definedName>
    <definedName name="CCF_BM117" localSheetId="9">#REF!</definedName>
    <definedName name="CCF_BM117">#REF!</definedName>
    <definedName name="CCF_BM118" localSheetId="4">#REF!</definedName>
    <definedName name="CCF_BM118" localSheetId="9">#REF!</definedName>
    <definedName name="CCF_BM118">#REF!</definedName>
    <definedName name="CCF_BM120" localSheetId="4">#REF!</definedName>
    <definedName name="CCF_BM120" localSheetId="9">#REF!</definedName>
    <definedName name="CCF_BM120">#REF!</definedName>
    <definedName name="CCF_BM121" localSheetId="4">#REF!</definedName>
    <definedName name="CCF_BM121" localSheetId="9">#REF!</definedName>
    <definedName name="CCF_BM121">#REF!</definedName>
    <definedName name="CCF_BM122" localSheetId="4">#REF!</definedName>
    <definedName name="CCF_BM122" localSheetId="9">#REF!</definedName>
    <definedName name="CCF_BM122">#REF!</definedName>
    <definedName name="CCF_BM123" localSheetId="4">#REF!</definedName>
    <definedName name="CCF_BM123" localSheetId="9">#REF!</definedName>
    <definedName name="CCF_BM123">#REF!</definedName>
    <definedName name="CCF_BM124" localSheetId="4">#REF!</definedName>
    <definedName name="CCF_BM124" localSheetId="9">#REF!</definedName>
    <definedName name="CCF_BM124">#REF!</definedName>
    <definedName name="CCF_BM125" localSheetId="4">#REF!</definedName>
    <definedName name="CCF_BM125" localSheetId="9">#REF!</definedName>
    <definedName name="CCF_BM125">#REF!</definedName>
    <definedName name="CCF_BM126" localSheetId="4">#REF!</definedName>
    <definedName name="CCF_BM126" localSheetId="9">#REF!</definedName>
    <definedName name="CCF_BM126">#REF!</definedName>
    <definedName name="CCF_BM13" localSheetId="4">#REF!</definedName>
    <definedName name="CCF_BM13" localSheetId="9">#REF!</definedName>
    <definedName name="CCF_BM13">#REF!</definedName>
    <definedName name="CCF_BM14" localSheetId="4">#REF!</definedName>
    <definedName name="CCF_BM14" localSheetId="9">#REF!</definedName>
    <definedName name="CCF_BM14">#REF!</definedName>
    <definedName name="CCF_BM15" localSheetId="4">#REF!</definedName>
    <definedName name="CCF_BM15" localSheetId="9">#REF!</definedName>
    <definedName name="CCF_BM15">#REF!</definedName>
    <definedName name="CCF_BM16" localSheetId="4">#REF!</definedName>
    <definedName name="CCF_BM16" localSheetId="9">#REF!</definedName>
    <definedName name="CCF_BM16">#REF!</definedName>
    <definedName name="CCF_BM17" localSheetId="4">#REF!</definedName>
    <definedName name="CCF_BM17" localSheetId="9">#REF!</definedName>
    <definedName name="CCF_BM17">#REF!</definedName>
    <definedName name="CCF_BM18" localSheetId="4">#REF!</definedName>
    <definedName name="CCF_BM18" localSheetId="9">#REF!</definedName>
    <definedName name="CCF_BM18">#REF!</definedName>
    <definedName name="CCF_BM19" localSheetId="4">#REF!</definedName>
    <definedName name="CCF_BM19" localSheetId="9">#REF!</definedName>
    <definedName name="CCF_BM19">#REF!</definedName>
    <definedName name="CCF_BM21" localSheetId="4">#REF!</definedName>
    <definedName name="CCF_BM21" localSheetId="9">#REF!</definedName>
    <definedName name="CCF_BM21">#REF!</definedName>
    <definedName name="CCF_BM210_N0" localSheetId="4">#REF!</definedName>
    <definedName name="CCF_BM210_N0" localSheetId="9">#REF!</definedName>
    <definedName name="CCF_BM210_N0">#REF!</definedName>
    <definedName name="CCF_BM211_N0" localSheetId="4">#REF!</definedName>
    <definedName name="CCF_BM211_N0" localSheetId="9">#REF!</definedName>
    <definedName name="CCF_BM211_N0">#REF!</definedName>
    <definedName name="CCF_BM212_N0" localSheetId="4">#REF!</definedName>
    <definedName name="CCF_BM212_N0" localSheetId="9">#REF!</definedName>
    <definedName name="CCF_BM212_N0">#REF!</definedName>
    <definedName name="CCF_BM213_N0" localSheetId="4">#REF!</definedName>
    <definedName name="CCF_BM213_N0" localSheetId="9">#REF!</definedName>
    <definedName name="CCF_BM213_N0">#REF!</definedName>
    <definedName name="CCF_BM214_N0" localSheetId="4">#REF!</definedName>
    <definedName name="CCF_BM214_N0" localSheetId="9">#REF!</definedName>
    <definedName name="CCF_BM214_N0">#REF!</definedName>
    <definedName name="CCF_BM215_N0" localSheetId="4">#REF!</definedName>
    <definedName name="CCF_BM215_N0" localSheetId="9">#REF!</definedName>
    <definedName name="CCF_BM215_N0">#REF!</definedName>
    <definedName name="CCF_BM216_N0" localSheetId="4">#REF!</definedName>
    <definedName name="CCF_BM216_N0" localSheetId="9">#REF!</definedName>
    <definedName name="CCF_BM216_N0">#REF!</definedName>
    <definedName name="CCF_BM217_P0" localSheetId="4">#REF!</definedName>
    <definedName name="CCF_BM217_P0" localSheetId="9">#REF!</definedName>
    <definedName name="CCF_BM217_P0">#REF!</definedName>
    <definedName name="CCF_BM218" localSheetId="4">#REF!</definedName>
    <definedName name="CCF_BM218" localSheetId="9">#REF!</definedName>
    <definedName name="CCF_BM218">#REF!</definedName>
    <definedName name="CCF_BM218_P0" localSheetId="4">#REF!</definedName>
    <definedName name="CCF_BM218_P0" localSheetId="9">#REF!</definedName>
    <definedName name="CCF_BM218_P0">#REF!</definedName>
    <definedName name="CCF_BM219_P0" localSheetId="4">#REF!</definedName>
    <definedName name="CCF_BM219_P0" localSheetId="9">#REF!</definedName>
    <definedName name="CCF_BM219_P0">#REF!</definedName>
    <definedName name="CCF_BM22_N0" localSheetId="4">#REF!</definedName>
    <definedName name="CCF_BM22_N0" localSheetId="9">#REF!</definedName>
    <definedName name="CCF_BM22_N0">#REF!</definedName>
    <definedName name="CCF_BM220_P0" localSheetId="4">#REF!</definedName>
    <definedName name="CCF_BM220_P0" localSheetId="9">#REF!</definedName>
    <definedName name="CCF_BM220_P0">#REF!</definedName>
    <definedName name="CCF_BM221_N1" localSheetId="4">#REF!</definedName>
    <definedName name="CCF_BM221_N1" localSheetId="9">#REF!</definedName>
    <definedName name="CCF_BM221_N1">#REF!</definedName>
    <definedName name="CCF_BM222_N1" localSheetId="4">#REF!</definedName>
    <definedName name="CCF_BM222_N1" localSheetId="9">#REF!</definedName>
    <definedName name="CCF_BM222_N1">#REF!</definedName>
    <definedName name="CCF_BM223_N1" localSheetId="4">#REF!</definedName>
    <definedName name="CCF_BM223_N1" localSheetId="9">#REF!</definedName>
    <definedName name="CCF_BM223_N1">#REF!</definedName>
    <definedName name="CCF_BM224_N1" localSheetId="4">#REF!</definedName>
    <definedName name="CCF_BM224_N1" localSheetId="9">#REF!</definedName>
    <definedName name="CCF_BM224_N1">#REF!</definedName>
    <definedName name="CCF_BM225_N1" localSheetId="4">#REF!</definedName>
    <definedName name="CCF_BM225_N1" localSheetId="9">#REF!</definedName>
    <definedName name="CCF_BM225_N1">#REF!</definedName>
    <definedName name="CCF_BM226_P1" localSheetId="4">#REF!</definedName>
    <definedName name="CCF_BM226_P1" localSheetId="9">#REF!</definedName>
    <definedName name="CCF_BM226_P1">#REF!</definedName>
    <definedName name="CCF_BM23_N0" localSheetId="4">#REF!</definedName>
    <definedName name="CCF_BM23_N0" localSheetId="9">#REF!</definedName>
    <definedName name="CCF_BM23_N0">#REF!</definedName>
    <definedName name="CCF_BM24_N0" localSheetId="4">#REF!</definedName>
    <definedName name="CCF_BM24_N0" localSheetId="9">#REF!</definedName>
    <definedName name="CCF_BM24_N0">#REF!</definedName>
    <definedName name="CCF_BM25_N0" localSheetId="4">#REF!</definedName>
    <definedName name="CCF_BM25_N0" localSheetId="9">#REF!</definedName>
    <definedName name="CCF_BM25_N0">#REF!</definedName>
    <definedName name="CCF_BM26_N0" localSheetId="4">#REF!</definedName>
    <definedName name="CCF_BM26_N0" localSheetId="9">#REF!</definedName>
    <definedName name="CCF_BM26_N0">#REF!</definedName>
    <definedName name="CCF_BM27_N0" localSheetId="4">#REF!</definedName>
    <definedName name="CCF_BM27_N0" localSheetId="9">#REF!</definedName>
    <definedName name="CCF_BM27_N0">#REF!</definedName>
    <definedName name="CCF_BM28_N0" localSheetId="4">#REF!</definedName>
    <definedName name="CCF_BM28_N0" localSheetId="9">#REF!</definedName>
    <definedName name="CCF_BM28_N0">#REF!</definedName>
    <definedName name="CCF_BM29_N0" localSheetId="4">#REF!</definedName>
    <definedName name="CCF_BM29_N0" localSheetId="9">#REF!</definedName>
    <definedName name="CCF_BM29_N0">#REF!</definedName>
    <definedName name="CCF_BM31" localSheetId="4">#REF!</definedName>
    <definedName name="CCF_BM31" localSheetId="9">#REF!</definedName>
    <definedName name="CCF_BM31">#REF!</definedName>
    <definedName name="CCF_BM310_N0" localSheetId="4">#REF!</definedName>
    <definedName name="CCF_BM310_N0" localSheetId="9">#REF!</definedName>
    <definedName name="CCF_BM310_N0">#REF!</definedName>
    <definedName name="CCF_BM311_N0" localSheetId="4">#REF!</definedName>
    <definedName name="CCF_BM311_N0" localSheetId="9">#REF!</definedName>
    <definedName name="CCF_BM311_N0">#REF!</definedName>
    <definedName name="CCF_BM312_N0" localSheetId="4">#REF!</definedName>
    <definedName name="CCF_BM312_N0" localSheetId="9">#REF!</definedName>
    <definedName name="CCF_BM312_N0">#REF!</definedName>
    <definedName name="CCF_BM313_N0" localSheetId="4">#REF!</definedName>
    <definedName name="CCF_BM313_N0" localSheetId="9">#REF!</definedName>
    <definedName name="CCF_BM313_N0">#REF!</definedName>
    <definedName name="CCF_BM314_N0" localSheetId="4">#REF!</definedName>
    <definedName name="CCF_BM314_N0" localSheetId="9">#REF!</definedName>
    <definedName name="CCF_BM314_N0">#REF!</definedName>
    <definedName name="CCF_BM315_N0" localSheetId="4">#REF!</definedName>
    <definedName name="CCF_BM315_N0" localSheetId="9">#REF!</definedName>
    <definedName name="CCF_BM315_N0">#REF!</definedName>
    <definedName name="CCF_BM316_N0" localSheetId="4">#REF!</definedName>
    <definedName name="CCF_BM316_N0" localSheetId="9">#REF!</definedName>
    <definedName name="CCF_BM316_N0">#REF!</definedName>
    <definedName name="CCF_BM317_P0" localSheetId="4">#REF!</definedName>
    <definedName name="CCF_BM317_P0" localSheetId="9">#REF!</definedName>
    <definedName name="CCF_BM317_P0">#REF!</definedName>
    <definedName name="CCF_BM318" localSheetId="4">#REF!</definedName>
    <definedName name="CCF_BM318" localSheetId="9">#REF!</definedName>
    <definedName name="CCF_BM318">#REF!</definedName>
    <definedName name="CCF_BM318_P0" localSheetId="4">#REF!</definedName>
    <definedName name="CCF_BM318_P0" localSheetId="9">#REF!</definedName>
    <definedName name="CCF_BM318_P0">#REF!</definedName>
    <definedName name="CCF_BM319_P0" localSheetId="4">#REF!</definedName>
    <definedName name="CCF_BM319_P0" localSheetId="9">#REF!</definedName>
    <definedName name="CCF_BM319_P0">#REF!</definedName>
    <definedName name="CCF_BM32_N0" localSheetId="4">#REF!</definedName>
    <definedName name="CCF_BM32_N0" localSheetId="9">#REF!</definedName>
    <definedName name="CCF_BM32_N0">#REF!</definedName>
    <definedName name="CCF_BM320_P0" localSheetId="4">#REF!</definedName>
    <definedName name="CCF_BM320_P0" localSheetId="9">#REF!</definedName>
    <definedName name="CCF_BM320_P0">#REF!</definedName>
    <definedName name="CCF_BM321_N1" localSheetId="4">#REF!</definedName>
    <definedName name="CCF_BM321_N1" localSheetId="9">#REF!</definedName>
    <definedName name="CCF_BM321_N1">#REF!</definedName>
    <definedName name="CCF_BM322_N1" localSheetId="4">#REF!</definedName>
    <definedName name="CCF_BM322_N1" localSheetId="9">#REF!</definedName>
    <definedName name="CCF_BM322_N1">#REF!</definedName>
    <definedName name="CCF_BM323_N1" localSheetId="4">#REF!</definedName>
    <definedName name="CCF_BM323_N1" localSheetId="9">#REF!</definedName>
    <definedName name="CCF_BM323_N1">#REF!</definedName>
    <definedName name="CCF_BM324_N1" localSheetId="4">#REF!</definedName>
    <definedName name="CCF_BM324_N1" localSheetId="9">#REF!</definedName>
    <definedName name="CCF_BM324_N1">#REF!</definedName>
    <definedName name="CCF_BM325_N1" localSheetId="4">#REF!</definedName>
    <definedName name="CCF_BM325_N1" localSheetId="9">#REF!</definedName>
    <definedName name="CCF_BM325_N1">#REF!</definedName>
    <definedName name="CCF_BM326_P1" localSheetId="4">#REF!</definedName>
    <definedName name="CCF_BM326_P1" localSheetId="9">#REF!</definedName>
    <definedName name="CCF_BM326_P1">#REF!</definedName>
    <definedName name="CCF_BM33_N0" localSheetId="4">#REF!</definedName>
    <definedName name="CCF_BM33_N0" localSheetId="9">#REF!</definedName>
    <definedName name="CCF_BM33_N0">#REF!</definedName>
    <definedName name="CCF_BM34_N0" localSheetId="4">#REF!</definedName>
    <definedName name="CCF_BM34_N0" localSheetId="9">#REF!</definedName>
    <definedName name="CCF_BM34_N0">#REF!</definedName>
    <definedName name="CCF_BM35_N0" localSheetId="4">#REF!</definedName>
    <definedName name="CCF_BM35_N0" localSheetId="9">#REF!</definedName>
    <definedName name="CCF_BM35_N0">#REF!</definedName>
    <definedName name="CCF_BM36_N0" localSheetId="4">#REF!</definedName>
    <definedName name="CCF_BM36_N0" localSheetId="9">#REF!</definedName>
    <definedName name="CCF_BM36_N0">#REF!</definedName>
    <definedName name="CCF_BM37_N0" localSheetId="4">#REF!</definedName>
    <definedName name="CCF_BM37_N0" localSheetId="9">#REF!</definedName>
    <definedName name="CCF_BM37_N0">#REF!</definedName>
    <definedName name="CCF_BM38_N0" localSheetId="4">#REF!</definedName>
    <definedName name="CCF_BM38_N0" localSheetId="9">#REF!</definedName>
    <definedName name="CCF_BM38_N0">#REF!</definedName>
    <definedName name="CCF_BM39_N0" localSheetId="4">#REF!</definedName>
    <definedName name="CCF_BM39_N0" localSheetId="9">#REF!</definedName>
    <definedName name="CCF_BM39_N0">#REF!</definedName>
    <definedName name="CCF_BM41" localSheetId="4">#REF!</definedName>
    <definedName name="CCF_BM41" localSheetId="9">#REF!</definedName>
    <definedName name="CCF_BM41">#REF!</definedName>
    <definedName name="CCF_BM410_N0" localSheetId="4">#REF!</definedName>
    <definedName name="CCF_BM410_N0" localSheetId="9">#REF!</definedName>
    <definedName name="CCF_BM410_N0">#REF!</definedName>
    <definedName name="CCF_BM411_N0" localSheetId="4">#REF!</definedName>
    <definedName name="CCF_BM411_N0" localSheetId="9">#REF!</definedName>
    <definedName name="CCF_BM411_N0">#REF!</definedName>
    <definedName name="CCF_BM412_N0" localSheetId="4">#REF!</definedName>
    <definedName name="CCF_BM412_N0" localSheetId="9">#REF!</definedName>
    <definedName name="CCF_BM412_N0">#REF!</definedName>
    <definedName name="CCF_BM413_N0" localSheetId="4">#REF!</definedName>
    <definedName name="CCF_BM413_N0" localSheetId="9">#REF!</definedName>
    <definedName name="CCF_BM413_N0">#REF!</definedName>
    <definedName name="CCF_BM414_N0" localSheetId="4">#REF!</definedName>
    <definedName name="CCF_BM414_N0" localSheetId="9">#REF!</definedName>
    <definedName name="CCF_BM414_N0">#REF!</definedName>
    <definedName name="CCF_BM415_N0" localSheetId="4">#REF!</definedName>
    <definedName name="CCF_BM415_N0" localSheetId="9">#REF!</definedName>
    <definedName name="CCF_BM415_N0">#REF!</definedName>
    <definedName name="CCF_BM416_N0" localSheetId="4">#REF!</definedName>
    <definedName name="CCF_BM416_N0" localSheetId="9">#REF!</definedName>
    <definedName name="CCF_BM416_N0">#REF!</definedName>
    <definedName name="CCF_BM417_P0" localSheetId="4">#REF!</definedName>
    <definedName name="CCF_BM417_P0" localSheetId="9">#REF!</definedName>
    <definedName name="CCF_BM417_P0">#REF!</definedName>
    <definedName name="CCF_BM418" localSheetId="4">#REF!</definedName>
    <definedName name="CCF_BM418" localSheetId="9">#REF!</definedName>
    <definedName name="CCF_BM418">#REF!</definedName>
    <definedName name="CCF_BM418_P0" localSheetId="4">#REF!</definedName>
    <definedName name="CCF_BM418_P0" localSheetId="9">#REF!</definedName>
    <definedName name="CCF_BM418_P0">#REF!</definedName>
    <definedName name="CCF_BM419_P0" localSheetId="4">#REF!</definedName>
    <definedName name="CCF_BM419_P0" localSheetId="9">#REF!</definedName>
    <definedName name="CCF_BM419_P0">#REF!</definedName>
    <definedName name="CCF_BM42_N0" localSheetId="4">#REF!</definedName>
    <definedName name="CCF_BM42_N0" localSheetId="9">#REF!</definedName>
    <definedName name="CCF_BM42_N0">#REF!</definedName>
    <definedName name="CCF_BM420_P0" localSheetId="4">#REF!</definedName>
    <definedName name="CCF_BM420_P0" localSheetId="9">#REF!</definedName>
    <definedName name="CCF_BM420_P0">#REF!</definedName>
    <definedName name="CCF_BM421_N1" localSheetId="4">#REF!</definedName>
    <definedName name="CCF_BM421_N1" localSheetId="9">#REF!</definedName>
    <definedName name="CCF_BM421_N1">#REF!</definedName>
    <definedName name="CCF_BM422_N1" localSheetId="4">#REF!</definedName>
    <definedName name="CCF_BM422_N1" localSheetId="9">#REF!</definedName>
    <definedName name="CCF_BM422_N1">#REF!</definedName>
    <definedName name="CCF_BM423_N1" localSheetId="4">#REF!</definedName>
    <definedName name="CCF_BM423_N1" localSheetId="9">#REF!</definedName>
    <definedName name="CCF_BM423_N1">#REF!</definedName>
    <definedName name="CCF_BM424_N1" localSheetId="4">#REF!</definedName>
    <definedName name="CCF_BM424_N1" localSheetId="9">#REF!</definedName>
    <definedName name="CCF_BM424_N1">#REF!</definedName>
    <definedName name="CCF_BM425_N1" localSheetId="4">#REF!</definedName>
    <definedName name="CCF_BM425_N1" localSheetId="9">#REF!</definedName>
    <definedName name="CCF_BM425_N1">#REF!</definedName>
    <definedName name="CCF_BM426_P1" localSheetId="4">#REF!</definedName>
    <definedName name="CCF_BM426_P1" localSheetId="9">#REF!</definedName>
    <definedName name="CCF_BM426_P1">#REF!</definedName>
    <definedName name="CCF_BM43_N0" localSheetId="4">#REF!</definedName>
    <definedName name="CCF_BM43_N0" localSheetId="9">#REF!</definedName>
    <definedName name="CCF_BM43_N0">#REF!</definedName>
    <definedName name="CCF_BM44_N0" localSheetId="4">#REF!</definedName>
    <definedName name="CCF_BM44_N0" localSheetId="9">#REF!</definedName>
    <definedName name="CCF_BM44_N0">#REF!</definedName>
    <definedName name="CCF_BM45_N0" localSheetId="4">#REF!</definedName>
    <definedName name="CCF_BM45_N0" localSheetId="9">#REF!</definedName>
    <definedName name="CCF_BM45_N0">#REF!</definedName>
    <definedName name="CCF_BM46_N0" localSheetId="4">#REF!</definedName>
    <definedName name="CCF_BM46_N0" localSheetId="9">#REF!</definedName>
    <definedName name="CCF_BM46_N0">#REF!</definedName>
    <definedName name="CCF_BM47_N0" localSheetId="4">#REF!</definedName>
    <definedName name="CCF_BM47_N0" localSheetId="9">#REF!</definedName>
    <definedName name="CCF_BM47_N0">#REF!</definedName>
    <definedName name="CCF_BM48_N0" localSheetId="4">#REF!</definedName>
    <definedName name="CCF_BM48_N0" localSheetId="9">#REF!</definedName>
    <definedName name="CCF_BM48_N0">#REF!</definedName>
    <definedName name="CCF_BM49_N0" localSheetId="4">#REF!</definedName>
    <definedName name="CCF_BM49_N0" localSheetId="9">#REF!</definedName>
    <definedName name="CCF_BM49_N0">#REF!</definedName>
    <definedName name="CCF_BM51" localSheetId="4">#REF!</definedName>
    <definedName name="CCF_BM51" localSheetId="9">#REF!</definedName>
    <definedName name="CCF_BM51">#REF!</definedName>
    <definedName name="CCF_BM510_N0" localSheetId="4">#REF!</definedName>
    <definedName name="CCF_BM510_N0" localSheetId="9">#REF!</definedName>
    <definedName name="CCF_BM510_N0">#REF!</definedName>
    <definedName name="CCF_BM511_N0" localSheetId="4">#REF!</definedName>
    <definedName name="CCF_BM511_N0" localSheetId="9">#REF!</definedName>
    <definedName name="CCF_BM511_N0">#REF!</definedName>
    <definedName name="CCF_BM512_N0" localSheetId="4">#REF!</definedName>
    <definedName name="CCF_BM512_N0" localSheetId="9">#REF!</definedName>
    <definedName name="CCF_BM512_N0">#REF!</definedName>
    <definedName name="CCF_BM513_N0" localSheetId="4">#REF!</definedName>
    <definedName name="CCF_BM513_N0" localSheetId="9">#REF!</definedName>
    <definedName name="CCF_BM513_N0">#REF!</definedName>
    <definedName name="CCF_BM514_N0" localSheetId="4">#REF!</definedName>
    <definedName name="CCF_BM514_N0" localSheetId="9">#REF!</definedName>
    <definedName name="CCF_BM514_N0">#REF!</definedName>
    <definedName name="CCF_BM515_N0" localSheetId="4">#REF!</definedName>
    <definedName name="CCF_BM515_N0" localSheetId="9">#REF!</definedName>
    <definedName name="CCF_BM515_N0">#REF!</definedName>
    <definedName name="CCF_BM516_N0" localSheetId="4">#REF!</definedName>
    <definedName name="CCF_BM516_N0" localSheetId="9">#REF!</definedName>
    <definedName name="CCF_BM516_N0">#REF!</definedName>
    <definedName name="CCF_BM517_P0" localSheetId="4">#REF!</definedName>
    <definedName name="CCF_BM517_P0" localSheetId="9">#REF!</definedName>
    <definedName name="CCF_BM517_P0">#REF!</definedName>
    <definedName name="CCF_BM518" localSheetId="4">#REF!</definedName>
    <definedName name="CCF_BM518" localSheetId="9">#REF!</definedName>
    <definedName name="CCF_BM518">#REF!</definedName>
    <definedName name="CCF_BM518_P0" localSheetId="4">#REF!</definedName>
    <definedName name="CCF_BM518_P0" localSheetId="9">#REF!</definedName>
    <definedName name="CCF_BM518_P0">#REF!</definedName>
    <definedName name="CCF_BM519_P0" localSheetId="4">#REF!</definedName>
    <definedName name="CCF_BM519_P0" localSheetId="9">#REF!</definedName>
    <definedName name="CCF_BM519_P0">#REF!</definedName>
    <definedName name="CCF_BM52_N0" localSheetId="4">#REF!</definedName>
    <definedName name="CCF_BM52_N0" localSheetId="9">#REF!</definedName>
    <definedName name="CCF_BM52_N0">#REF!</definedName>
    <definedName name="CCF_BM520_P0" localSheetId="4">#REF!</definedName>
    <definedName name="CCF_BM520_P0" localSheetId="9">#REF!</definedName>
    <definedName name="CCF_BM520_P0">#REF!</definedName>
    <definedName name="CCF_BM521_N1" localSheetId="4">#REF!</definedName>
    <definedName name="CCF_BM521_N1" localSheetId="9">#REF!</definedName>
    <definedName name="CCF_BM521_N1">#REF!</definedName>
    <definedName name="CCF_BM522_N1" localSheetId="4">#REF!</definedName>
    <definedName name="CCF_BM522_N1" localSheetId="9">#REF!</definedName>
    <definedName name="CCF_BM522_N1">#REF!</definedName>
    <definedName name="CCF_BM523_N1" localSheetId="4">#REF!</definedName>
    <definedName name="CCF_BM523_N1" localSheetId="9">#REF!</definedName>
    <definedName name="CCF_BM523_N1">#REF!</definedName>
    <definedName name="CCF_BM524_N1" localSheetId="4">#REF!</definedName>
    <definedName name="CCF_BM524_N1" localSheetId="9">#REF!</definedName>
    <definedName name="CCF_BM524_N1">#REF!</definedName>
    <definedName name="CCF_BM525_N1" localSheetId="4">#REF!</definedName>
    <definedName name="CCF_BM525_N1" localSheetId="9">#REF!</definedName>
    <definedName name="CCF_BM525_N1">#REF!</definedName>
    <definedName name="CCF_BM526_P1" localSheetId="4">#REF!</definedName>
    <definedName name="CCF_BM526_P1" localSheetId="9">#REF!</definedName>
    <definedName name="CCF_BM526_P1">#REF!</definedName>
    <definedName name="CCF_BM53_N0" localSheetId="4">#REF!</definedName>
    <definedName name="CCF_BM53_N0" localSheetId="9">#REF!</definedName>
    <definedName name="CCF_BM53_N0">#REF!</definedName>
    <definedName name="CCF_BM54_N0" localSheetId="4">#REF!</definedName>
    <definedName name="CCF_BM54_N0" localSheetId="9">#REF!</definedName>
    <definedName name="CCF_BM54_N0">#REF!</definedName>
    <definedName name="CCF_BM55_N0" localSheetId="4">#REF!</definedName>
    <definedName name="CCF_BM55_N0" localSheetId="9">#REF!</definedName>
    <definedName name="CCF_BM55_N0">#REF!</definedName>
    <definedName name="CCF_BM56_N0" localSheetId="4">#REF!</definedName>
    <definedName name="CCF_BM56_N0" localSheetId="9">#REF!</definedName>
    <definedName name="CCF_BM56_N0">#REF!</definedName>
    <definedName name="CCF_BM57_N0" localSheetId="4">#REF!</definedName>
    <definedName name="CCF_BM57_N0" localSheetId="9">#REF!</definedName>
    <definedName name="CCF_BM57_N0">#REF!</definedName>
    <definedName name="CCF_BM58_N0" localSheetId="4">#REF!</definedName>
    <definedName name="CCF_BM58_N0" localSheetId="9">#REF!</definedName>
    <definedName name="CCF_BM58_N0">#REF!</definedName>
    <definedName name="CCF_BM59_N0" localSheetId="4">#REF!</definedName>
    <definedName name="CCF_BM59_N0" localSheetId="9">#REF!</definedName>
    <definedName name="CCF_BM59_N0">#REF!</definedName>
    <definedName name="ccn" localSheetId="4">#REF!</definedName>
    <definedName name="ccn" localSheetId="9">#REF!</definedName>
    <definedName name="ccn">#REF!</definedName>
    <definedName name="cde" localSheetId="4">#REF!</definedName>
    <definedName name="cde" localSheetId="9">#REF!</definedName>
    <definedName name="cde">#REF!</definedName>
    <definedName name="cdi" localSheetId="4">#REF!</definedName>
    <definedName name="cdi" localSheetId="9">#REF!</definedName>
    <definedName name="cdi">#REF!</definedName>
    <definedName name="cdp" localSheetId="4">#REF!</definedName>
    <definedName name="cdp" localSheetId="9">#REF!</definedName>
    <definedName name="cdp">#REF!</definedName>
    <definedName name="CE" localSheetId="4">#REF!</definedName>
    <definedName name="CE" localSheetId="9">#REF!</definedName>
    <definedName name="CE">#REF!</definedName>
    <definedName name="CE_BM11" localSheetId="4">#REF!</definedName>
    <definedName name="CE_BM11" localSheetId="9">#REF!</definedName>
    <definedName name="CE_BM11">#REF!</definedName>
    <definedName name="CE_BM12" localSheetId="4">#REF!</definedName>
    <definedName name="CE_BM12" localSheetId="9">#REF!</definedName>
    <definedName name="CE_BM12">#REF!</definedName>
    <definedName name="CE_BM13" localSheetId="4">#REF!</definedName>
    <definedName name="CE_BM13" localSheetId="9">#REF!</definedName>
    <definedName name="CE_BM13">#REF!</definedName>
    <definedName name="CE_BM14" localSheetId="4">#REF!</definedName>
    <definedName name="CE_BM14" localSheetId="9">#REF!</definedName>
    <definedName name="CE_BM14">#REF!</definedName>
    <definedName name="CE_BM15" localSheetId="4">#REF!</definedName>
    <definedName name="CE_BM15" localSheetId="9">#REF!</definedName>
    <definedName name="CE_BM15">#REF!</definedName>
    <definedName name="CE_BM16" localSheetId="4">#REF!</definedName>
    <definedName name="CE_BM16" localSheetId="9">#REF!</definedName>
    <definedName name="CE_BM16">#REF!</definedName>
    <definedName name="CE_BM17" localSheetId="4">#REF!</definedName>
    <definedName name="CE_BM17" localSheetId="9">#REF!</definedName>
    <definedName name="CE_BM17">#REF!</definedName>
    <definedName name="CE_BM21" localSheetId="4">#REF!</definedName>
    <definedName name="CE_BM21" localSheetId="9">#REF!</definedName>
    <definedName name="CE_BM21">#REF!</definedName>
    <definedName name="CE_BM22_N1" localSheetId="4">#REF!</definedName>
    <definedName name="CE_BM22_N1" localSheetId="9">#REF!</definedName>
    <definedName name="CE_BM22_N1">#REF!</definedName>
    <definedName name="CE_BM23_N1" localSheetId="4">#REF!</definedName>
    <definedName name="CE_BM23_N1" localSheetId="9">#REF!</definedName>
    <definedName name="CE_BM23_N1">#REF!</definedName>
    <definedName name="CE_BM24_N0" localSheetId="4">#REF!</definedName>
    <definedName name="CE_BM24_N0" localSheetId="9">#REF!</definedName>
    <definedName name="CE_BM24_N0">#REF!</definedName>
    <definedName name="CE_BM25_N0" localSheetId="4">#REF!</definedName>
    <definedName name="CE_BM25_N0" localSheetId="9">#REF!</definedName>
    <definedName name="CE_BM25_N0">#REF!</definedName>
    <definedName name="CE_BM26_N0" localSheetId="4">#REF!</definedName>
    <definedName name="CE_BM26_N0" localSheetId="9">#REF!</definedName>
    <definedName name="CE_BM26_N0">#REF!</definedName>
    <definedName name="CE_BM27_N0" localSheetId="4">#REF!</definedName>
    <definedName name="CE_BM27_N0" localSheetId="9">#REF!</definedName>
    <definedName name="CE_BM27_N0">#REF!</definedName>
    <definedName name="CE_BM31" localSheetId="4">#REF!</definedName>
    <definedName name="CE_BM31" localSheetId="9">#REF!</definedName>
    <definedName name="CE_BM31">#REF!</definedName>
    <definedName name="CE_BM32_N1" localSheetId="4">#REF!</definedName>
    <definedName name="CE_BM32_N1" localSheetId="9">#REF!</definedName>
    <definedName name="CE_BM32_N1">#REF!</definedName>
    <definedName name="CE_BM33_N1" localSheetId="4">#REF!</definedName>
    <definedName name="CE_BM33_N1" localSheetId="9">#REF!</definedName>
    <definedName name="CE_BM33_N1">#REF!</definedName>
    <definedName name="CE_BM34_N0" localSheetId="4">#REF!</definedName>
    <definedName name="CE_BM34_N0" localSheetId="9">#REF!</definedName>
    <definedName name="CE_BM34_N0">#REF!</definedName>
    <definedName name="CE_BM35_N0" localSheetId="4">#REF!</definedName>
    <definedName name="CE_BM35_N0" localSheetId="9">#REF!</definedName>
    <definedName name="CE_BM35_N0">#REF!</definedName>
    <definedName name="CE_BM36_N0" localSheetId="4">#REF!</definedName>
    <definedName name="CE_BM36_N0" localSheetId="9">#REF!</definedName>
    <definedName name="CE_BM36_N0">#REF!</definedName>
    <definedName name="CE_BM37_N0" localSheetId="4">#REF!</definedName>
    <definedName name="CE_BM37_N0" localSheetId="9">#REF!</definedName>
    <definedName name="CE_BM37_N0">#REF!</definedName>
    <definedName name="CE_BM41" localSheetId="4">#REF!</definedName>
    <definedName name="CE_BM41" localSheetId="9">#REF!</definedName>
    <definedName name="CE_BM41">#REF!</definedName>
    <definedName name="CE_BM42_P0" localSheetId="4">#REF!</definedName>
    <definedName name="CE_BM42_P0" localSheetId="9">#REF!</definedName>
    <definedName name="CE_BM42_P0">#REF!</definedName>
    <definedName name="CE_BM43_P0" localSheetId="4">#REF!</definedName>
    <definedName name="CE_BM43_P0" localSheetId="9">#REF!</definedName>
    <definedName name="CE_BM43_P0">#REF!</definedName>
    <definedName name="CE_BM44_P0" localSheetId="4">#REF!</definedName>
    <definedName name="CE_BM44_P0" localSheetId="9">#REF!</definedName>
    <definedName name="CE_BM44_P0">#REF!</definedName>
    <definedName name="CE_BM45_P0" localSheetId="4">#REF!</definedName>
    <definedName name="CE_BM45_P0" localSheetId="9">#REF!</definedName>
    <definedName name="CE_BM45_P0">#REF!</definedName>
    <definedName name="CE_BM46_P0" localSheetId="4">#REF!</definedName>
    <definedName name="CE_BM46_P0" localSheetId="9">#REF!</definedName>
    <definedName name="CE_BM46_P0">#REF!</definedName>
    <definedName name="CE_BM47_P0" localSheetId="4">#REF!</definedName>
    <definedName name="CE_BM47_P0" localSheetId="9">#REF!</definedName>
    <definedName name="CE_BM47_P0">#REF!</definedName>
    <definedName name="cem" localSheetId="4" hidden="1">{#N/A,#N/A,FALSE,"Status of Projects";#N/A,#N/A,FALSE,"CEA-TEC";#N/A,#N/A,FALSE,"U-Constr.";#N/A,#N/A,FALSE,"summary";#N/A,#N/A,FALSE,"PPP-3 yrs"}</definedName>
    <definedName name="cem" localSheetId="5" hidden="1">{#N/A,#N/A,FALSE,"Status of Projects";#N/A,#N/A,FALSE,"CEA-TEC";#N/A,#N/A,FALSE,"U-Constr.";#N/A,#N/A,FALSE,"summary";#N/A,#N/A,FALSE,"PPP-3 yrs"}</definedName>
    <definedName name="cem" localSheetId="15" hidden="1">{#N/A,#N/A,FALSE,"Status of Projects";#N/A,#N/A,FALSE,"CEA-TEC";#N/A,#N/A,FALSE,"U-Constr.";#N/A,#N/A,FALSE,"summary";#N/A,#N/A,FALSE,"PPP-3 yrs"}</definedName>
    <definedName name="cem" localSheetId="19" hidden="1">{#N/A,#N/A,FALSE,"Status of Projects";#N/A,#N/A,FALSE,"CEA-TEC";#N/A,#N/A,FALSE,"U-Constr.";#N/A,#N/A,FALSE,"summary";#N/A,#N/A,FALSE,"PPP-3 yrs"}</definedName>
    <definedName name="cem" localSheetId="18" hidden="1">{#N/A,#N/A,FALSE,"Status of Projects";#N/A,#N/A,FALSE,"CEA-TEC";#N/A,#N/A,FALSE,"U-Constr.";#N/A,#N/A,FALSE,"summary";#N/A,#N/A,FALSE,"PPP-3 yrs"}</definedName>
    <definedName name="cem" localSheetId="14" hidden="1">{#N/A,#N/A,FALSE,"Status of Projects";#N/A,#N/A,FALSE,"CEA-TEC";#N/A,#N/A,FALSE,"U-Constr.";#N/A,#N/A,FALSE,"summary";#N/A,#N/A,FALSE,"PPP-3 yrs"}</definedName>
    <definedName name="cem" localSheetId="12" hidden="1">{#N/A,#N/A,FALSE,"Status of Projects";#N/A,#N/A,FALSE,"CEA-TEC";#N/A,#N/A,FALSE,"U-Constr.";#N/A,#N/A,FALSE,"summary";#N/A,#N/A,FALSE,"PPP-3 yrs"}</definedName>
    <definedName name="cem" localSheetId="24" hidden="1">{#N/A,#N/A,FALSE,"Status of Projects";#N/A,#N/A,FALSE,"CEA-TEC";#N/A,#N/A,FALSE,"U-Constr.";#N/A,#N/A,FALSE,"summary";#N/A,#N/A,FALSE,"PPP-3 yrs"}</definedName>
    <definedName name="cem" localSheetId="7" hidden="1">{#N/A,#N/A,FALSE,"Status of Projects";#N/A,#N/A,FALSE,"CEA-TEC";#N/A,#N/A,FALSE,"U-Constr.";#N/A,#N/A,FALSE,"summary";#N/A,#N/A,FALSE,"PPP-3 yrs"}</definedName>
    <definedName name="cem" localSheetId="20" hidden="1">{#N/A,#N/A,FALSE,"Status of Projects";#N/A,#N/A,FALSE,"CEA-TEC";#N/A,#N/A,FALSE,"U-Constr.";#N/A,#N/A,FALSE,"summary";#N/A,#N/A,FALSE,"PPP-3 yrs"}</definedName>
    <definedName name="cem" localSheetId="21" hidden="1">{#N/A,#N/A,FALSE,"Status of Projects";#N/A,#N/A,FALSE,"CEA-TEC";#N/A,#N/A,FALSE,"U-Constr.";#N/A,#N/A,FALSE,"summary";#N/A,#N/A,FALSE,"PPP-3 yrs"}</definedName>
    <definedName name="cem" localSheetId="11" hidden="1">{#N/A,#N/A,FALSE,"Status of Projects";#N/A,#N/A,FALSE,"CEA-TEC";#N/A,#N/A,FALSE,"U-Constr.";#N/A,#N/A,FALSE,"summary";#N/A,#N/A,FALSE,"PPP-3 yrs"}</definedName>
    <definedName name="cem" localSheetId="17" hidden="1">{#N/A,#N/A,FALSE,"Status of Projects";#N/A,#N/A,FALSE,"CEA-TEC";#N/A,#N/A,FALSE,"U-Constr.";#N/A,#N/A,FALSE,"summary";#N/A,#N/A,FALSE,"PPP-3 yrs"}</definedName>
    <definedName name="cem" localSheetId="16" hidden="1">{#N/A,#N/A,FALSE,"Status of Projects";#N/A,#N/A,FALSE,"CEA-TEC";#N/A,#N/A,FALSE,"U-Constr.";#N/A,#N/A,FALSE,"summary";#N/A,#N/A,FALSE,"PPP-3 yrs"}</definedName>
    <definedName name="cem" localSheetId="22" hidden="1">{#N/A,#N/A,FALSE,"Status of Projects";#N/A,#N/A,FALSE,"CEA-TEC";#N/A,#N/A,FALSE,"U-Constr.";#N/A,#N/A,FALSE,"summary";#N/A,#N/A,FALSE,"PPP-3 yrs"}</definedName>
    <definedName name="cem" localSheetId="9" hidden="1">{#N/A,#N/A,FALSE,"Status of Projects";#N/A,#N/A,FALSE,"CEA-TEC";#N/A,#N/A,FALSE,"U-Constr.";#N/A,#N/A,FALSE,"summary";#N/A,#N/A,FALSE,"PPP-3 yrs"}</definedName>
    <definedName name="cem" localSheetId="13" hidden="1">{#N/A,#N/A,FALSE,"Status of Projects";#N/A,#N/A,FALSE,"CEA-TEC";#N/A,#N/A,FALSE,"U-Constr.";#N/A,#N/A,FALSE,"summary";#N/A,#N/A,FALSE,"PPP-3 yrs"}</definedName>
    <definedName name="cem" localSheetId="23" hidden="1">{#N/A,#N/A,FALSE,"Status of Projects";#N/A,#N/A,FALSE,"CEA-TEC";#N/A,#N/A,FALSE,"U-Constr.";#N/A,#N/A,FALSE,"summary";#N/A,#N/A,FALSE,"PPP-3 yrs"}</definedName>
    <definedName name="cem" hidden="1">{#N/A,#N/A,FALSE,"Status of Projects";#N/A,#N/A,FALSE,"CEA-TEC";#N/A,#N/A,FALSE,"U-Constr.";#N/A,#N/A,FALSE,"summary";#N/A,#N/A,FALSE,"PPP-3 yrs"}</definedName>
    <definedName name="centre.1" localSheetId="4">#REF!</definedName>
    <definedName name="centre.1" localSheetId="5">#REF!</definedName>
    <definedName name="centre.1" localSheetId="15">#REF!</definedName>
    <definedName name="centre.1" localSheetId="19">#REF!</definedName>
    <definedName name="centre.1" localSheetId="18">#REF!</definedName>
    <definedName name="centre.1" localSheetId="14">#REF!</definedName>
    <definedName name="centre.1" localSheetId="12">#REF!</definedName>
    <definedName name="centre.1" localSheetId="24">#REF!</definedName>
    <definedName name="centre.1" localSheetId="7">#REF!</definedName>
    <definedName name="centre.1" localSheetId="20">#REF!</definedName>
    <definedName name="centre.1" localSheetId="21">#REF!</definedName>
    <definedName name="centre.1" localSheetId="11">#REF!</definedName>
    <definedName name="centre.1" localSheetId="17">#REF!</definedName>
    <definedName name="centre.1" localSheetId="16">#REF!</definedName>
    <definedName name="centre.1" localSheetId="22">#REF!</definedName>
    <definedName name="centre.1" localSheetId="9">#REF!</definedName>
    <definedName name="centre.1" localSheetId="13">#REF!</definedName>
    <definedName name="centre.1" localSheetId="23">#REF!</definedName>
    <definedName name="centre.1">#REF!</definedName>
    <definedName name="centre.2" localSheetId="4">#REF!</definedName>
    <definedName name="centre.2" localSheetId="5">#REF!</definedName>
    <definedName name="centre.2" localSheetId="15">#REF!</definedName>
    <definedName name="centre.2" localSheetId="19">#REF!</definedName>
    <definedName name="centre.2" localSheetId="18">#REF!</definedName>
    <definedName name="centre.2" localSheetId="14">#REF!</definedName>
    <definedName name="centre.2" localSheetId="12">#REF!</definedName>
    <definedName name="centre.2" localSheetId="24">#REF!</definedName>
    <definedName name="centre.2" localSheetId="7">#REF!</definedName>
    <definedName name="centre.2" localSheetId="20">#REF!</definedName>
    <definedName name="centre.2" localSheetId="21">#REF!</definedName>
    <definedName name="centre.2" localSheetId="11">#REF!</definedName>
    <definedName name="centre.2" localSheetId="17">#REF!</definedName>
    <definedName name="centre.2" localSheetId="16">#REF!</definedName>
    <definedName name="centre.2" localSheetId="22">#REF!</definedName>
    <definedName name="centre.2" localSheetId="9">#REF!</definedName>
    <definedName name="centre.2" localSheetId="13">#REF!</definedName>
    <definedName name="centre.2" localSheetId="23">#REF!</definedName>
    <definedName name="centre.2">#REF!</definedName>
    <definedName name="ceps">#REF!</definedName>
    <definedName name="CF">#REF!</definedName>
    <definedName name="CF_ASSOC" localSheetId="4">#REF!</definedName>
    <definedName name="CF_ASSOC" localSheetId="5">#REF!</definedName>
    <definedName name="CF_ASSOC" localSheetId="15">#REF!</definedName>
    <definedName name="CF_ASSOC" localSheetId="19">#REF!</definedName>
    <definedName name="CF_ASSOC" localSheetId="18">#REF!</definedName>
    <definedName name="CF_ASSOC" localSheetId="14">#REF!</definedName>
    <definedName name="CF_ASSOC" localSheetId="12">#REF!</definedName>
    <definedName name="CF_ASSOC" localSheetId="24">#REF!</definedName>
    <definedName name="CF_ASSOC" localSheetId="7">#REF!</definedName>
    <definedName name="CF_ASSOC" localSheetId="20">#REF!</definedName>
    <definedName name="CF_ASSOC" localSheetId="21">#REF!</definedName>
    <definedName name="CF_ASSOC" localSheetId="11">#REF!</definedName>
    <definedName name="CF_ASSOC" localSheetId="17">#REF!</definedName>
    <definedName name="CF_ASSOC" localSheetId="16">#REF!</definedName>
    <definedName name="CF_ASSOC" localSheetId="22">#REF!</definedName>
    <definedName name="CF_ASSOC" localSheetId="9">#REF!</definedName>
    <definedName name="CF_ASSOC" localSheetId="13">#REF!</definedName>
    <definedName name="CF_ASSOC" localSheetId="23">#REF!</definedName>
    <definedName name="CF_ASSOC">#REF!</definedName>
    <definedName name="CF_BM11" localSheetId="4">#REF!</definedName>
    <definedName name="CF_BM11" localSheetId="5">#REF!</definedName>
    <definedName name="CF_BM11" localSheetId="15">#REF!</definedName>
    <definedName name="CF_BM11" localSheetId="19">#REF!</definedName>
    <definedName name="CF_BM11" localSheetId="18">#REF!</definedName>
    <definedName name="CF_BM11" localSheetId="14">#REF!</definedName>
    <definedName name="CF_BM11" localSheetId="12">#REF!</definedName>
    <definedName name="CF_BM11" localSheetId="24">#REF!</definedName>
    <definedName name="CF_BM11" localSheetId="7">#REF!</definedName>
    <definedName name="CF_BM11" localSheetId="20">#REF!</definedName>
    <definedName name="CF_BM11" localSheetId="21">#REF!</definedName>
    <definedName name="CF_BM11" localSheetId="11">#REF!</definedName>
    <definedName name="CF_BM11" localSheetId="17">#REF!</definedName>
    <definedName name="CF_BM11" localSheetId="16">#REF!</definedName>
    <definedName name="CF_BM11" localSheetId="22">#REF!</definedName>
    <definedName name="CF_BM11" localSheetId="9">#REF!</definedName>
    <definedName name="CF_BM11" localSheetId="13">#REF!</definedName>
    <definedName name="CF_BM11" localSheetId="23">#REF!</definedName>
    <definedName name="CF_BM11">#REF!</definedName>
    <definedName name="CF_BM110" localSheetId="4">#REF!</definedName>
    <definedName name="CF_BM110" localSheetId="5">#REF!</definedName>
    <definedName name="CF_BM110" localSheetId="15">#REF!</definedName>
    <definedName name="CF_BM110" localSheetId="19">#REF!</definedName>
    <definedName name="CF_BM110" localSheetId="18">#REF!</definedName>
    <definedName name="CF_BM110" localSheetId="14">#REF!</definedName>
    <definedName name="CF_BM110" localSheetId="12">#REF!</definedName>
    <definedName name="CF_BM110" localSheetId="24">#REF!</definedName>
    <definedName name="CF_BM110" localSheetId="7">#REF!</definedName>
    <definedName name="CF_BM110" localSheetId="20">#REF!</definedName>
    <definedName name="CF_BM110" localSheetId="21">#REF!</definedName>
    <definedName name="CF_BM110" localSheetId="11">#REF!</definedName>
    <definedName name="CF_BM110" localSheetId="17">#REF!</definedName>
    <definedName name="CF_BM110" localSheetId="16">#REF!</definedName>
    <definedName name="CF_BM110" localSheetId="22">#REF!</definedName>
    <definedName name="CF_BM110" localSheetId="9">#REF!</definedName>
    <definedName name="CF_BM110" localSheetId="13">#REF!</definedName>
    <definedName name="CF_BM110" localSheetId="23">#REF!</definedName>
    <definedName name="CF_BM110">#REF!</definedName>
    <definedName name="CF_BM111" localSheetId="4">#REF!</definedName>
    <definedName name="CF_BM111" localSheetId="9">#REF!</definedName>
    <definedName name="CF_BM111">#REF!</definedName>
    <definedName name="CF_BM112" localSheetId="4">#REF!</definedName>
    <definedName name="CF_BM112" localSheetId="9">#REF!</definedName>
    <definedName name="CF_BM112">#REF!</definedName>
    <definedName name="CF_BM113" localSheetId="4">#REF!</definedName>
    <definedName name="CF_BM113" localSheetId="9">#REF!</definedName>
    <definedName name="CF_BM113">#REF!</definedName>
    <definedName name="CF_BM114" localSheetId="4">#REF!</definedName>
    <definedName name="CF_BM114" localSheetId="9">#REF!</definedName>
    <definedName name="CF_BM114">#REF!</definedName>
    <definedName name="CF_BM115" localSheetId="4">#REF!</definedName>
    <definedName name="CF_BM115" localSheetId="9">#REF!</definedName>
    <definedName name="CF_BM115">#REF!</definedName>
    <definedName name="CF_BM116" localSheetId="4">#REF!</definedName>
    <definedName name="CF_BM116" localSheetId="9">#REF!</definedName>
    <definedName name="CF_BM116">#REF!</definedName>
    <definedName name="CF_BM117" localSheetId="4">#REF!</definedName>
    <definedName name="CF_BM117" localSheetId="9">#REF!</definedName>
    <definedName name="CF_BM117">#REF!</definedName>
    <definedName name="CF_BM118" localSheetId="4">#REF!</definedName>
    <definedName name="CF_BM118" localSheetId="9">#REF!</definedName>
    <definedName name="CF_BM118">#REF!</definedName>
    <definedName name="CF_BM119" localSheetId="4">#REF!</definedName>
    <definedName name="CF_BM119" localSheetId="9">#REF!</definedName>
    <definedName name="CF_BM119">#REF!</definedName>
    <definedName name="CF_BM12" localSheetId="4">#REF!</definedName>
    <definedName name="CF_BM12" localSheetId="9">#REF!</definedName>
    <definedName name="CF_BM12">#REF!</definedName>
    <definedName name="CF_BM120" localSheetId="4">#REF!</definedName>
    <definedName name="CF_BM120" localSheetId="9">#REF!</definedName>
    <definedName name="CF_BM120">#REF!</definedName>
    <definedName name="CF_BM121" localSheetId="4">#REF!</definedName>
    <definedName name="CF_BM121" localSheetId="9">#REF!</definedName>
    <definedName name="CF_BM121">#REF!</definedName>
    <definedName name="CF_BM122" localSheetId="4">#REF!</definedName>
    <definedName name="CF_BM122" localSheetId="9">#REF!</definedName>
    <definedName name="CF_BM122">#REF!</definedName>
    <definedName name="CF_BM123" localSheetId="4">#REF!</definedName>
    <definedName name="CF_BM123" localSheetId="9">#REF!</definedName>
    <definedName name="CF_BM123">#REF!</definedName>
    <definedName name="CF_BM13" localSheetId="4">#REF!</definedName>
    <definedName name="CF_BM13" localSheetId="9">#REF!</definedName>
    <definedName name="CF_BM13">#REF!</definedName>
    <definedName name="CF_BM14" localSheetId="4">#REF!</definedName>
    <definedName name="CF_BM14" localSheetId="9">#REF!</definedName>
    <definedName name="CF_BM14">#REF!</definedName>
    <definedName name="CF_BM15" localSheetId="4">#REF!</definedName>
    <definedName name="CF_BM15" localSheetId="9">#REF!</definedName>
    <definedName name="CF_BM15">#REF!</definedName>
    <definedName name="CF_BM16" localSheetId="4">#REF!</definedName>
    <definedName name="CF_BM16" localSheetId="9">#REF!</definedName>
    <definedName name="CF_BM16">#REF!</definedName>
    <definedName name="CF_BM17" localSheetId="4">#REF!</definedName>
    <definedName name="CF_BM17" localSheetId="9">#REF!</definedName>
    <definedName name="CF_BM17">#REF!</definedName>
    <definedName name="CF_BM18" localSheetId="4">#REF!</definedName>
    <definedName name="CF_BM18" localSheetId="9">#REF!</definedName>
    <definedName name="CF_BM18">#REF!</definedName>
    <definedName name="CF_BM19" localSheetId="4">#REF!</definedName>
    <definedName name="CF_BM19" localSheetId="9">#REF!</definedName>
    <definedName name="CF_BM19">#REF!</definedName>
    <definedName name="CF_BM21" localSheetId="4">#REF!</definedName>
    <definedName name="CF_BM21" localSheetId="9">#REF!</definedName>
    <definedName name="CF_BM21">#REF!</definedName>
    <definedName name="CF_BM210_N0" localSheetId="4">#REF!</definedName>
    <definedName name="CF_BM210_N0" localSheetId="9">#REF!</definedName>
    <definedName name="CF_BM210_N0">#REF!</definedName>
    <definedName name="CF_BM211_N0" localSheetId="4">#REF!</definedName>
    <definedName name="CF_BM211_N0" localSheetId="9">#REF!</definedName>
    <definedName name="CF_BM211_N0">#REF!</definedName>
    <definedName name="CF_BM212" localSheetId="4">#REF!</definedName>
    <definedName name="CF_BM212" localSheetId="9">#REF!</definedName>
    <definedName name="CF_BM212">#REF!</definedName>
    <definedName name="CF_BM213_N1" localSheetId="4">#REF!</definedName>
    <definedName name="CF_BM213_N1" localSheetId="9">#REF!</definedName>
    <definedName name="CF_BM213_N1">#REF!</definedName>
    <definedName name="CF_BM214_N0" localSheetId="4">#REF!</definedName>
    <definedName name="CF_BM214_N0" localSheetId="9">#REF!</definedName>
    <definedName name="CF_BM214_N0">#REF!</definedName>
    <definedName name="CF_BM215_N1" localSheetId="4">#REF!</definedName>
    <definedName name="CF_BM215_N1" localSheetId="9">#REF!</definedName>
    <definedName name="CF_BM215_N1">#REF!</definedName>
    <definedName name="CF_BM216_N1" localSheetId="4">#REF!</definedName>
    <definedName name="CF_BM216_N1" localSheetId="9">#REF!</definedName>
    <definedName name="CF_BM216_N1">#REF!</definedName>
    <definedName name="CF_BM217_N1" localSheetId="4">#REF!</definedName>
    <definedName name="CF_BM217_N1" localSheetId="9">#REF!</definedName>
    <definedName name="CF_BM217_N1">#REF!</definedName>
    <definedName name="CF_BM218_N1" localSheetId="4">#REF!</definedName>
    <definedName name="CF_BM218_N1" localSheetId="9">#REF!</definedName>
    <definedName name="CF_BM218_N1">#REF!</definedName>
    <definedName name="CF_BM219_N1" localSheetId="4">#REF!</definedName>
    <definedName name="CF_BM219_N1" localSheetId="9">#REF!</definedName>
    <definedName name="CF_BM219_N1">#REF!</definedName>
    <definedName name="CF_BM22_N0" localSheetId="4">#REF!</definedName>
    <definedName name="CF_BM22_N0" localSheetId="9">#REF!</definedName>
    <definedName name="CF_BM22_N0">#REF!</definedName>
    <definedName name="CF_BM220_P0" localSheetId="4">#REF!</definedName>
    <definedName name="CF_BM220_P0" localSheetId="9">#REF!</definedName>
    <definedName name="CF_BM220_P0">#REF!</definedName>
    <definedName name="CF_BM221_P0" localSheetId="4">#REF!</definedName>
    <definedName name="CF_BM221_P0" localSheetId="9">#REF!</definedName>
    <definedName name="CF_BM221_P0">#REF!</definedName>
    <definedName name="CF_BM222_P0" localSheetId="4">#REF!</definedName>
    <definedName name="CF_BM222_P0" localSheetId="9">#REF!</definedName>
    <definedName name="CF_BM222_P0">#REF!</definedName>
    <definedName name="CF_BM223_P0" localSheetId="4">#REF!</definedName>
    <definedName name="CF_BM223_P0" localSheetId="9">#REF!</definedName>
    <definedName name="CF_BM223_P0">#REF!</definedName>
    <definedName name="CF_BM23_N0" localSheetId="4">#REF!</definedName>
    <definedName name="CF_BM23_N0" localSheetId="9">#REF!</definedName>
    <definedName name="CF_BM23_N0">#REF!</definedName>
    <definedName name="CF_BM24_N0" localSheetId="4">#REF!</definedName>
    <definedName name="CF_BM24_N0" localSheetId="9">#REF!</definedName>
    <definedName name="CF_BM24_N0">#REF!</definedName>
    <definedName name="CF_BM25_N0" localSheetId="4">#REF!</definedName>
    <definedName name="CF_BM25_N0" localSheetId="9">#REF!</definedName>
    <definedName name="CF_BM25_N0">#REF!</definedName>
    <definedName name="CF_BM26_N0" localSheetId="4">#REF!</definedName>
    <definedName name="CF_BM26_N0" localSheetId="9">#REF!</definedName>
    <definedName name="CF_BM26_N0">#REF!</definedName>
    <definedName name="CF_BM27_N0" localSheetId="4">#REF!</definedName>
    <definedName name="CF_BM27_N0" localSheetId="9">#REF!</definedName>
    <definedName name="CF_BM27_N0">#REF!</definedName>
    <definedName name="CF_BM28_N0" localSheetId="4">#REF!</definedName>
    <definedName name="CF_BM28_N0" localSheetId="9">#REF!</definedName>
    <definedName name="CF_BM28_N0">#REF!</definedName>
    <definedName name="CF_BM29_N0" localSheetId="4">#REF!</definedName>
    <definedName name="CF_BM29_N0" localSheetId="9">#REF!</definedName>
    <definedName name="CF_BM29_N0">#REF!</definedName>
    <definedName name="CF_BM31" localSheetId="4">#REF!</definedName>
    <definedName name="CF_BM31" localSheetId="9">#REF!</definedName>
    <definedName name="CF_BM31">#REF!</definedName>
    <definedName name="CF_BM310_N0" localSheetId="4">#REF!</definedName>
    <definedName name="CF_BM310_N0" localSheetId="9">#REF!</definedName>
    <definedName name="CF_BM310_N0">#REF!</definedName>
    <definedName name="CF_BM311_N0" localSheetId="4">#REF!</definedName>
    <definedName name="CF_BM311_N0" localSheetId="9">#REF!</definedName>
    <definedName name="CF_BM311_N0">#REF!</definedName>
    <definedName name="CF_BM312" localSheetId="4">#REF!</definedName>
    <definedName name="CF_BM312" localSheetId="9">#REF!</definedName>
    <definedName name="CF_BM312">#REF!</definedName>
    <definedName name="CF_BM313_N1" localSheetId="4">#REF!</definedName>
    <definedName name="CF_BM313_N1" localSheetId="9">#REF!</definedName>
    <definedName name="CF_BM313_N1">#REF!</definedName>
    <definedName name="CF_BM314_N0" localSheetId="4">#REF!</definedName>
    <definedName name="CF_BM314_N0" localSheetId="9">#REF!</definedName>
    <definedName name="CF_BM314_N0">#REF!</definedName>
    <definedName name="CF_BM315_N1" localSheetId="4">#REF!</definedName>
    <definedName name="CF_BM315_N1" localSheetId="9">#REF!</definedName>
    <definedName name="CF_BM315_N1">#REF!</definedName>
    <definedName name="CF_BM316_N1" localSheetId="4">#REF!</definedName>
    <definedName name="CF_BM316_N1" localSheetId="9">#REF!</definedName>
    <definedName name="CF_BM316_N1">#REF!</definedName>
    <definedName name="CF_BM317_N1" localSheetId="4">#REF!</definedName>
    <definedName name="CF_BM317_N1" localSheetId="9">#REF!</definedName>
    <definedName name="CF_BM317_N1">#REF!</definedName>
    <definedName name="CF_BM318_N1" localSheetId="4">#REF!</definedName>
    <definedName name="CF_BM318_N1" localSheetId="9">#REF!</definedName>
    <definedName name="CF_BM318_N1">#REF!</definedName>
    <definedName name="CF_BM319_N1" localSheetId="4">#REF!</definedName>
    <definedName name="CF_BM319_N1" localSheetId="9">#REF!</definedName>
    <definedName name="CF_BM319_N1">#REF!</definedName>
    <definedName name="CF_BM32_N0" localSheetId="4">#REF!</definedName>
    <definedName name="CF_BM32_N0" localSheetId="9">#REF!</definedName>
    <definedName name="CF_BM32_N0">#REF!</definedName>
    <definedName name="CF_BM320_P0" localSheetId="4">#REF!</definedName>
    <definedName name="CF_BM320_P0" localSheetId="9">#REF!</definedName>
    <definedName name="CF_BM320_P0">#REF!</definedName>
    <definedName name="CF_BM321_P0" localSheetId="4">#REF!</definedName>
    <definedName name="CF_BM321_P0" localSheetId="9">#REF!</definedName>
    <definedName name="CF_BM321_P0">#REF!</definedName>
    <definedName name="CF_BM322_P0" localSheetId="4">#REF!</definedName>
    <definedName name="CF_BM322_P0" localSheetId="9">#REF!</definedName>
    <definedName name="CF_BM322_P0">#REF!</definedName>
    <definedName name="CF_BM323_P0" localSheetId="4">#REF!</definedName>
    <definedName name="CF_BM323_P0" localSheetId="9">#REF!</definedName>
    <definedName name="CF_BM323_P0">#REF!</definedName>
    <definedName name="CF_BM33_N0" localSheetId="4">#REF!</definedName>
    <definedName name="CF_BM33_N0" localSheetId="9">#REF!</definedName>
    <definedName name="CF_BM33_N0">#REF!</definedName>
    <definedName name="CF_BM34_N0" localSheetId="4">#REF!</definedName>
    <definedName name="CF_BM34_N0" localSheetId="9">#REF!</definedName>
    <definedName name="CF_BM34_N0">#REF!</definedName>
    <definedName name="CF_BM35_N0" localSheetId="4">#REF!</definedName>
    <definedName name="CF_BM35_N0" localSheetId="9">#REF!</definedName>
    <definedName name="CF_BM35_N0">#REF!</definedName>
    <definedName name="CF_BM36_N0" localSheetId="4">#REF!</definedName>
    <definedName name="CF_BM36_N0" localSheetId="9">#REF!</definedName>
    <definedName name="CF_BM36_N0">#REF!</definedName>
    <definedName name="CF_BM37_N0" localSheetId="4">#REF!</definedName>
    <definedName name="CF_BM37_N0" localSheetId="9">#REF!</definedName>
    <definedName name="CF_BM37_N0">#REF!</definedName>
    <definedName name="CF_BM38_N0" localSheetId="4">#REF!</definedName>
    <definedName name="CF_BM38_N0" localSheetId="9">#REF!</definedName>
    <definedName name="CF_BM38_N0">#REF!</definedName>
    <definedName name="CF_BM39_N0" localSheetId="4">#REF!</definedName>
    <definedName name="CF_BM39_N0" localSheetId="9">#REF!</definedName>
    <definedName name="CF_BM39_N0">#REF!</definedName>
    <definedName name="CF_BM41" localSheetId="4">#REF!</definedName>
    <definedName name="CF_BM41" localSheetId="9">#REF!</definedName>
    <definedName name="CF_BM41">#REF!</definedName>
    <definedName name="CF_BM410_N0" localSheetId="4">#REF!</definedName>
    <definedName name="CF_BM410_N0" localSheetId="9">#REF!</definedName>
    <definedName name="CF_BM410_N0">#REF!</definedName>
    <definedName name="CF_BM411_N0" localSheetId="4">#REF!</definedName>
    <definedName name="CF_BM411_N0" localSheetId="9">#REF!</definedName>
    <definedName name="CF_BM411_N0">#REF!</definedName>
    <definedName name="CF_BM412" localSheetId="4">#REF!</definedName>
    <definedName name="CF_BM412" localSheetId="9">#REF!</definedName>
    <definedName name="CF_BM412">#REF!</definedName>
    <definedName name="CF_BM413_N1" localSheetId="4">#REF!</definedName>
    <definedName name="CF_BM413_N1" localSheetId="9">#REF!</definedName>
    <definedName name="CF_BM413_N1">#REF!</definedName>
    <definedName name="CF_BM414_N0" localSheetId="4">#REF!</definedName>
    <definedName name="CF_BM414_N0" localSheetId="9">#REF!</definedName>
    <definedName name="CF_BM414_N0">#REF!</definedName>
    <definedName name="CF_BM415_N1" localSheetId="4">#REF!</definedName>
    <definedName name="CF_BM415_N1" localSheetId="9">#REF!</definedName>
    <definedName name="CF_BM415_N1">#REF!</definedName>
    <definedName name="CF_BM416_N1" localSheetId="4">#REF!</definedName>
    <definedName name="CF_BM416_N1" localSheetId="9">#REF!</definedName>
    <definedName name="CF_BM416_N1">#REF!</definedName>
    <definedName name="CF_BM417_N1" localSheetId="4">#REF!</definedName>
    <definedName name="CF_BM417_N1" localSheetId="9">#REF!</definedName>
    <definedName name="CF_BM417_N1">#REF!</definedName>
    <definedName name="CF_BM418_N1" localSheetId="4">#REF!</definedName>
    <definedName name="CF_BM418_N1" localSheetId="9">#REF!</definedName>
    <definedName name="CF_BM418_N1">#REF!</definedName>
    <definedName name="CF_BM419_N1" localSheetId="4">#REF!</definedName>
    <definedName name="CF_BM419_N1" localSheetId="9">#REF!</definedName>
    <definedName name="CF_BM419_N1">#REF!</definedName>
    <definedName name="CF_BM42_N0" localSheetId="4">#REF!</definedName>
    <definedName name="CF_BM42_N0" localSheetId="9">#REF!</definedName>
    <definedName name="CF_BM42_N0">#REF!</definedName>
    <definedName name="CF_BM420_P0" localSheetId="4">#REF!</definedName>
    <definedName name="CF_BM420_P0" localSheetId="9">#REF!</definedName>
    <definedName name="CF_BM420_P0">#REF!</definedName>
    <definedName name="CF_BM421_P0" localSheetId="4">#REF!</definedName>
    <definedName name="CF_BM421_P0" localSheetId="9">#REF!</definedName>
    <definedName name="CF_BM421_P0">#REF!</definedName>
    <definedName name="CF_BM422_P0" localSheetId="4">#REF!</definedName>
    <definedName name="CF_BM422_P0" localSheetId="9">#REF!</definedName>
    <definedName name="CF_BM422_P0">#REF!</definedName>
    <definedName name="CF_BM423_P0" localSheetId="4">#REF!</definedName>
    <definedName name="CF_BM423_P0" localSheetId="9">#REF!</definedName>
    <definedName name="CF_BM423_P0">#REF!</definedName>
    <definedName name="CF_BM43_N0" localSheetId="4">#REF!</definedName>
    <definedName name="CF_BM43_N0" localSheetId="9">#REF!</definedName>
    <definedName name="CF_BM43_N0">#REF!</definedName>
    <definedName name="CF_BM44_N0" localSheetId="4">#REF!</definedName>
    <definedName name="CF_BM44_N0" localSheetId="9">#REF!</definedName>
    <definedName name="CF_BM44_N0">#REF!</definedName>
    <definedName name="CF_BM45_N0" localSheetId="4">#REF!</definedName>
    <definedName name="CF_BM45_N0" localSheetId="9">#REF!</definedName>
    <definedName name="CF_BM45_N0">#REF!</definedName>
    <definedName name="CF_BM46_N0" localSheetId="4">#REF!</definedName>
    <definedName name="CF_BM46_N0" localSheetId="9">#REF!</definedName>
    <definedName name="CF_BM46_N0">#REF!</definedName>
    <definedName name="CF_BM47_N0" localSheetId="4">#REF!</definedName>
    <definedName name="CF_BM47_N0" localSheetId="9">#REF!</definedName>
    <definedName name="CF_BM47_N0">#REF!</definedName>
    <definedName name="CF_BM48_N0" localSheetId="4">#REF!</definedName>
    <definedName name="CF_BM48_N0" localSheetId="9">#REF!</definedName>
    <definedName name="CF_BM48_N0">#REF!</definedName>
    <definedName name="CF_BM49_N0" localSheetId="4">#REF!</definedName>
    <definedName name="CF_BM49_N0" localSheetId="9">#REF!</definedName>
    <definedName name="CF_BM49_N0">#REF!</definedName>
    <definedName name="CF_BM51" localSheetId="4">#REF!</definedName>
    <definedName name="CF_BM51" localSheetId="9">#REF!</definedName>
    <definedName name="CF_BM51">#REF!</definedName>
    <definedName name="CF_BM510_N0" localSheetId="4">#REF!</definedName>
    <definedName name="CF_BM510_N0" localSheetId="9">#REF!</definedName>
    <definedName name="CF_BM510_N0">#REF!</definedName>
    <definedName name="CF_BM511_N0" localSheetId="4">#REF!</definedName>
    <definedName name="CF_BM511_N0" localSheetId="9">#REF!</definedName>
    <definedName name="CF_BM511_N0">#REF!</definedName>
    <definedName name="CF_BM512" localSheetId="4">#REF!</definedName>
    <definedName name="CF_BM512" localSheetId="9">#REF!</definedName>
    <definedName name="CF_BM512">#REF!</definedName>
    <definedName name="CF_BM513_N1" localSheetId="4">#REF!</definedName>
    <definedName name="CF_BM513_N1" localSheetId="9">#REF!</definedName>
    <definedName name="CF_BM513_N1">#REF!</definedName>
    <definedName name="CF_BM514_N0" localSheetId="4">#REF!</definedName>
    <definedName name="CF_BM514_N0" localSheetId="9">#REF!</definedName>
    <definedName name="CF_BM514_N0">#REF!</definedName>
    <definedName name="CF_BM515_N1" localSheetId="4">#REF!</definedName>
    <definedName name="CF_BM515_N1" localSheetId="9">#REF!</definedName>
    <definedName name="CF_BM515_N1">#REF!</definedName>
    <definedName name="CF_BM516_N1" localSheetId="4">#REF!</definedName>
    <definedName name="CF_BM516_N1" localSheetId="9">#REF!</definedName>
    <definedName name="CF_BM516_N1">#REF!</definedName>
    <definedName name="CF_BM517_N1" localSheetId="4">#REF!</definedName>
    <definedName name="CF_BM517_N1" localSheetId="9">#REF!</definedName>
    <definedName name="CF_BM517_N1">#REF!</definedName>
    <definedName name="CF_BM518_N1" localSheetId="4">#REF!</definedName>
    <definedName name="CF_BM518_N1" localSheetId="9">#REF!</definedName>
    <definedName name="CF_BM518_N1">#REF!</definedName>
    <definedName name="CF_BM519_N1" localSheetId="4">#REF!</definedName>
    <definedName name="CF_BM519_N1" localSheetId="9">#REF!</definedName>
    <definedName name="CF_BM519_N1">#REF!</definedName>
    <definedName name="CF_BM52_N0" localSheetId="4">#REF!</definedName>
    <definedName name="CF_BM52_N0" localSheetId="9">#REF!</definedName>
    <definedName name="CF_BM52_N0">#REF!</definedName>
    <definedName name="CF_BM520_P0" localSheetId="4">#REF!</definedName>
    <definedName name="CF_BM520_P0" localSheetId="9">#REF!</definedName>
    <definedName name="CF_BM520_P0">#REF!</definedName>
    <definedName name="CF_BM521_P0" localSheetId="4">#REF!</definedName>
    <definedName name="CF_BM521_P0" localSheetId="9">#REF!</definedName>
    <definedName name="CF_BM521_P0">#REF!</definedName>
    <definedName name="CF_BM522_P0" localSheetId="4">#REF!</definedName>
    <definedName name="CF_BM522_P0" localSheetId="9">#REF!</definedName>
    <definedName name="CF_BM522_P0">#REF!</definedName>
    <definedName name="CF_BM523_P0" localSheetId="4">#REF!</definedName>
    <definedName name="CF_BM523_P0" localSheetId="9">#REF!</definedName>
    <definedName name="CF_BM523_P0">#REF!</definedName>
    <definedName name="CF_BM53_N0" localSheetId="4">#REF!</definedName>
    <definedName name="CF_BM53_N0" localSheetId="9">#REF!</definedName>
    <definedName name="CF_BM53_N0">#REF!</definedName>
    <definedName name="CF_BM54_N0" localSheetId="4">#REF!</definedName>
    <definedName name="CF_BM54_N0" localSheetId="9">#REF!</definedName>
    <definedName name="CF_BM54_N0">#REF!</definedName>
    <definedName name="CF_BM55_N0" localSheetId="4">#REF!</definedName>
    <definedName name="CF_BM55_N0" localSheetId="9">#REF!</definedName>
    <definedName name="CF_BM55_N0">#REF!</definedName>
    <definedName name="CF_BM56_N0" localSheetId="4">#REF!</definedName>
    <definedName name="CF_BM56_N0" localSheetId="9">#REF!</definedName>
    <definedName name="CF_BM56_N0">#REF!</definedName>
    <definedName name="CF_BM57_N0" localSheetId="4">#REF!</definedName>
    <definedName name="CF_BM57_N0" localSheetId="9">#REF!</definedName>
    <definedName name="CF_BM57_N0">#REF!</definedName>
    <definedName name="CF_BM58_N0" localSheetId="4">#REF!</definedName>
    <definedName name="CF_BM58_N0" localSheetId="9">#REF!</definedName>
    <definedName name="CF_BM58_N0">#REF!</definedName>
    <definedName name="CF_BM59_N0" localSheetId="4">#REF!</definedName>
    <definedName name="CF_BM59_N0" localSheetId="9">#REF!</definedName>
    <definedName name="CF_BM59_N0">#REF!</definedName>
    <definedName name="CF_CTP" localSheetId="4">#REF!</definedName>
    <definedName name="CF_CTP" localSheetId="9">#REF!</definedName>
    <definedName name="CF_CTP">#REF!</definedName>
    <definedName name="CF_DEPR" localSheetId="4">#REF!</definedName>
    <definedName name="CF_DEPR" localSheetId="9">#REF!</definedName>
    <definedName name="CF_DEPR">#REF!</definedName>
    <definedName name="CF_GAIN_LOSS" localSheetId="4">#REF!</definedName>
    <definedName name="CF_GAIN_LOSS" localSheetId="9">#REF!</definedName>
    <definedName name="CF_GAIN_LOSS">#REF!</definedName>
    <definedName name="cf_ganesh">#REF!</definedName>
    <definedName name="cf_jb">#REF!</definedName>
    <definedName name="CF_PBT" localSheetId="4">#REF!</definedName>
    <definedName name="CF_PBT" localSheetId="5">#REF!</definedName>
    <definedName name="CF_PBT" localSheetId="15">#REF!</definedName>
    <definedName name="CF_PBT" localSheetId="19">#REF!</definedName>
    <definedName name="CF_PBT" localSheetId="18">#REF!</definedName>
    <definedName name="CF_PBT" localSheetId="14">#REF!</definedName>
    <definedName name="CF_PBT" localSheetId="12">#REF!</definedName>
    <definedName name="CF_PBT" localSheetId="24">#REF!</definedName>
    <definedName name="CF_PBT" localSheetId="7">#REF!</definedName>
    <definedName name="CF_PBT" localSheetId="20">#REF!</definedName>
    <definedName name="CF_PBT" localSheetId="21">#REF!</definedName>
    <definedName name="CF_PBT" localSheetId="11">#REF!</definedName>
    <definedName name="CF_PBT" localSheetId="17">#REF!</definedName>
    <definedName name="CF_PBT" localSheetId="16">#REF!</definedName>
    <definedName name="CF_PBT" localSheetId="22">#REF!</definedName>
    <definedName name="CF_PBT" localSheetId="9">#REF!</definedName>
    <definedName name="CF_PBT" localSheetId="13">#REF!</definedName>
    <definedName name="CF_PBT" localSheetId="23">#REF!</definedName>
    <definedName name="CF_PBT">#REF!</definedName>
    <definedName name="CF_WC" localSheetId="4">#REF!</definedName>
    <definedName name="CF_WC" localSheetId="5">#REF!</definedName>
    <definedName name="CF_WC" localSheetId="15">#REF!</definedName>
    <definedName name="CF_WC" localSheetId="19">#REF!</definedName>
    <definedName name="CF_WC" localSheetId="18">#REF!</definedName>
    <definedName name="CF_WC" localSheetId="14">#REF!</definedName>
    <definedName name="CF_WC" localSheetId="12">#REF!</definedName>
    <definedName name="CF_WC" localSheetId="24">#REF!</definedName>
    <definedName name="CF_WC" localSheetId="7">#REF!</definedName>
    <definedName name="CF_WC" localSheetId="20">#REF!</definedName>
    <definedName name="CF_WC" localSheetId="21">#REF!</definedName>
    <definedName name="CF_WC" localSheetId="11">#REF!</definedName>
    <definedName name="CF_WC" localSheetId="17">#REF!</definedName>
    <definedName name="CF_WC" localSheetId="16">#REF!</definedName>
    <definedName name="CF_WC" localSheetId="22">#REF!</definedName>
    <definedName name="CF_WC" localSheetId="9">#REF!</definedName>
    <definedName name="CF_WC" localSheetId="13">#REF!</definedName>
    <definedName name="CF_WC" localSheetId="23">#REF!</definedName>
    <definedName name="CF_WC">#REF!</definedName>
    <definedName name="cfc" localSheetId="4">#REF!</definedName>
    <definedName name="cfc" localSheetId="5">#REF!</definedName>
    <definedName name="cfc" localSheetId="15">#REF!</definedName>
    <definedName name="cfc" localSheetId="19">#REF!</definedName>
    <definedName name="cfc" localSheetId="18">#REF!</definedName>
    <definedName name="cfc" localSheetId="14">#REF!</definedName>
    <definedName name="cfc" localSheetId="12">#REF!</definedName>
    <definedName name="cfc" localSheetId="24">#REF!</definedName>
    <definedName name="cfc" localSheetId="7">#REF!</definedName>
    <definedName name="cfc" localSheetId="20">#REF!</definedName>
    <definedName name="cfc" localSheetId="21">#REF!</definedName>
    <definedName name="cfc" localSheetId="11">#REF!</definedName>
    <definedName name="cfc" localSheetId="17">#REF!</definedName>
    <definedName name="cfc" localSheetId="16">#REF!</definedName>
    <definedName name="cfc" localSheetId="22">#REF!</definedName>
    <definedName name="cfc" localSheetId="9">#REF!</definedName>
    <definedName name="cfc" localSheetId="13">#REF!</definedName>
    <definedName name="cfc" localSheetId="23">#REF!</definedName>
    <definedName name="cfc">#REF!</definedName>
    <definedName name="CFDiff">#REF!</definedName>
    <definedName name="cfgr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g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flow">#REF!</definedName>
    <definedName name="CFlow1">#REF!</definedName>
    <definedName name="CFPS" localSheetId="4">#REF!</definedName>
    <definedName name="CFPS" localSheetId="5">#REF!</definedName>
    <definedName name="CFPS" localSheetId="15">#REF!</definedName>
    <definedName name="CFPS" localSheetId="19">#REF!</definedName>
    <definedName name="CFPS" localSheetId="18">#REF!</definedName>
    <definedName name="CFPS" localSheetId="14">#REF!</definedName>
    <definedName name="CFPS" localSheetId="12">#REF!</definedName>
    <definedName name="CFPS" localSheetId="24">#REF!</definedName>
    <definedName name="CFPS" localSheetId="7">#REF!</definedName>
    <definedName name="CFPS" localSheetId="20">#REF!</definedName>
    <definedName name="CFPS" localSheetId="21">#REF!</definedName>
    <definedName name="CFPS" localSheetId="11">#REF!</definedName>
    <definedName name="CFPS" localSheetId="17">#REF!</definedName>
    <definedName name="CFPS" localSheetId="16">#REF!</definedName>
    <definedName name="CFPS" localSheetId="22">#REF!</definedName>
    <definedName name="CFPS" localSheetId="9">#REF!</definedName>
    <definedName name="CFPS" localSheetId="13">#REF!</definedName>
    <definedName name="CFPS" localSheetId="23">#REF!</definedName>
    <definedName name="CFPS">#REF!</definedName>
    <definedName name="CFPS_Curr_Yr" localSheetId="4">#REF!</definedName>
    <definedName name="CFPS_Curr_Yr" localSheetId="5">#REF!</definedName>
    <definedName name="CFPS_Curr_Yr" localSheetId="15">#REF!</definedName>
    <definedName name="CFPS_Curr_Yr" localSheetId="19">#REF!</definedName>
    <definedName name="CFPS_Curr_Yr" localSheetId="18">#REF!</definedName>
    <definedName name="CFPS_Curr_Yr" localSheetId="14">#REF!</definedName>
    <definedName name="CFPS_Curr_Yr" localSheetId="12">#REF!</definedName>
    <definedName name="CFPS_Curr_Yr" localSheetId="24">#REF!</definedName>
    <definedName name="CFPS_Curr_Yr" localSheetId="7">#REF!</definedName>
    <definedName name="CFPS_Curr_Yr" localSheetId="20">#REF!</definedName>
    <definedName name="CFPS_Curr_Yr" localSheetId="21">#REF!</definedName>
    <definedName name="CFPS_Curr_Yr" localSheetId="11">#REF!</definedName>
    <definedName name="CFPS_Curr_Yr" localSheetId="17">#REF!</definedName>
    <definedName name="CFPS_Curr_Yr" localSheetId="16">#REF!</definedName>
    <definedName name="CFPS_Curr_Yr" localSheetId="22">#REF!</definedName>
    <definedName name="CFPS_Curr_Yr" localSheetId="9">#REF!</definedName>
    <definedName name="CFPS_Curr_Yr" localSheetId="13">#REF!</definedName>
    <definedName name="CFPS_Curr_Yr" localSheetId="23">#REF!</definedName>
    <definedName name="CFPS_Curr_Yr">#REF!</definedName>
    <definedName name="CFPS_Lst_Yr" localSheetId="4">#REF!</definedName>
    <definedName name="CFPS_Lst_Yr" localSheetId="5">#REF!</definedName>
    <definedName name="CFPS_Lst_Yr" localSheetId="15">#REF!</definedName>
    <definedName name="CFPS_Lst_Yr" localSheetId="19">#REF!</definedName>
    <definedName name="CFPS_Lst_Yr" localSheetId="18">#REF!</definedName>
    <definedName name="CFPS_Lst_Yr" localSheetId="14">#REF!</definedName>
    <definedName name="CFPS_Lst_Yr" localSheetId="12">#REF!</definedName>
    <definedName name="CFPS_Lst_Yr" localSheetId="24">#REF!</definedName>
    <definedName name="CFPS_Lst_Yr" localSheetId="7">#REF!</definedName>
    <definedName name="CFPS_Lst_Yr" localSheetId="20">#REF!</definedName>
    <definedName name="CFPS_Lst_Yr" localSheetId="21">#REF!</definedName>
    <definedName name="CFPS_Lst_Yr" localSheetId="11">#REF!</definedName>
    <definedName name="CFPS_Lst_Yr" localSheetId="17">#REF!</definedName>
    <definedName name="CFPS_Lst_Yr" localSheetId="16">#REF!</definedName>
    <definedName name="CFPS_Lst_Yr" localSheetId="22">#REF!</definedName>
    <definedName name="CFPS_Lst_Yr" localSheetId="9">#REF!</definedName>
    <definedName name="CFPS_Lst_Yr" localSheetId="13">#REF!</definedName>
    <definedName name="CFPS_Lst_Yr" localSheetId="23">#REF!</definedName>
    <definedName name="CFPS_Lst_Yr">#REF!</definedName>
    <definedName name="CFPS_Next_Yr" localSheetId="4">#REF!</definedName>
    <definedName name="CFPS_Next_Yr" localSheetId="9">#REF!</definedName>
    <definedName name="CFPS_Next_Yr">#REF!</definedName>
    <definedName name="cfx" localSheetId="4">#REF!</definedName>
    <definedName name="cfx" localSheetId="9">#REF!</definedName>
    <definedName name="cfx">#REF!</definedName>
    <definedName name="ChangeInCreditors" localSheetId="4">#REF!</definedName>
    <definedName name="ChangeInCreditors" localSheetId="9">#REF!</definedName>
    <definedName name="ChangeInCreditors">#REF!</definedName>
    <definedName name="ChangeInDebtors" localSheetId="4">#REF!</definedName>
    <definedName name="ChangeInDebtors" localSheetId="9">#REF!</definedName>
    <definedName name="ChangeInDebtors">#REF!</definedName>
    <definedName name="ChangeInFixedAssets" localSheetId="4">#REF!</definedName>
    <definedName name="ChangeInFixedAssets" localSheetId="9">#REF!</definedName>
    <definedName name="ChangeInFixedAssets">#REF!</definedName>
    <definedName name="ChangeInInvestments" localSheetId="4">#REF!</definedName>
    <definedName name="ChangeInInvestments" localSheetId="9">#REF!</definedName>
    <definedName name="ChangeInInvestments">#REF!</definedName>
    <definedName name="ChangeInStocks" localSheetId="4">#REF!</definedName>
    <definedName name="ChangeInStocks" localSheetId="9">#REF!</definedName>
    <definedName name="ChangeInStocks">#REF!</definedName>
    <definedName name="ChangeInTotalDebt" localSheetId="4">#REF!</definedName>
    <definedName name="ChangeInTotalDebt" localSheetId="9">#REF!</definedName>
    <definedName name="ChangeInTotalDebt">#REF!</definedName>
    <definedName name="ChangeInWorkingCapital" localSheetId="4">#REF!</definedName>
    <definedName name="ChangeInWorkingCapital" localSheetId="9">#REF!</definedName>
    <definedName name="ChangeInWorkingCapital">#REF!</definedName>
    <definedName name="changwgt">#REF!</definedName>
    <definedName name="Charts1" localSheetId="4">#REF!</definedName>
    <definedName name="Charts1" localSheetId="9">#REF!</definedName>
    <definedName name="Charts1">#REF!</definedName>
    <definedName name="Charts2" localSheetId="4">#REF!</definedName>
    <definedName name="Charts2" localSheetId="9">#REF!</definedName>
    <definedName name="Charts2">#REF!</definedName>
    <definedName name="chbwgt">#REF!</definedName>
    <definedName name="check"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heck"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heck"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CHECKLIST" localSheetId="4">#REF!</definedName>
    <definedName name="CHECKLIST" localSheetId="5">#REF!</definedName>
    <definedName name="CHECKLIST" localSheetId="15">#REF!</definedName>
    <definedName name="CHECKLIST" localSheetId="19">#REF!</definedName>
    <definedName name="CHECKLIST" localSheetId="18">#REF!</definedName>
    <definedName name="CHECKLIST" localSheetId="14">#REF!</definedName>
    <definedName name="CHECKLIST" localSheetId="12">#REF!</definedName>
    <definedName name="CHECKLIST" localSheetId="24">#REF!</definedName>
    <definedName name="CHECKLIST" localSheetId="7">#REF!</definedName>
    <definedName name="CHECKLIST" localSheetId="20">#REF!</definedName>
    <definedName name="CHECKLIST" localSheetId="21">#REF!</definedName>
    <definedName name="CHECKLIST" localSheetId="11">#REF!</definedName>
    <definedName name="CHECKLIST" localSheetId="17">#REF!</definedName>
    <definedName name="CHECKLIST" localSheetId="16">#REF!</definedName>
    <definedName name="CHECKLIST" localSheetId="22">#REF!</definedName>
    <definedName name="CHECKLIST" localSheetId="9">#REF!</definedName>
    <definedName name="CHECKLIST" localSheetId="13">#REF!</definedName>
    <definedName name="CHECKLIST" localSheetId="23">#REF!</definedName>
    <definedName name="CHECKLIST">#REF!</definedName>
    <definedName name="chg_in_current_liabilities" localSheetId="4">#REF!</definedName>
    <definedName name="chg_in_current_liabilities" localSheetId="9">#REF!</definedName>
    <definedName name="chg_in_current_liabilities">#REF!</definedName>
    <definedName name="chg_in_debt" localSheetId="4">#REF!</definedName>
    <definedName name="chg_in_debt" localSheetId="9">#REF!</definedName>
    <definedName name="chg_in_debt">#REF!</definedName>
    <definedName name="chg_in_debtors" localSheetId="4">#REF!</definedName>
    <definedName name="chg_in_debtors" localSheetId="9">#REF!</definedName>
    <definedName name="chg_in_debtors">#REF!</definedName>
    <definedName name="Chg_in_fixed_assets" localSheetId="4">#REF!</definedName>
    <definedName name="Chg_in_fixed_assets" localSheetId="9">#REF!</definedName>
    <definedName name="Chg_in_fixed_assets">#REF!</definedName>
    <definedName name="chg_in_inventory" localSheetId="4">#REF!</definedName>
    <definedName name="chg_in_inventory" localSheetId="5">#REF!</definedName>
    <definedName name="chg_in_inventory" localSheetId="15">#REF!</definedName>
    <definedName name="chg_in_inventory" localSheetId="19">#REF!</definedName>
    <definedName name="chg_in_inventory" localSheetId="18">#REF!</definedName>
    <definedName name="chg_in_inventory" localSheetId="14">#REF!</definedName>
    <definedName name="chg_in_inventory" localSheetId="12">#REF!</definedName>
    <definedName name="chg_in_inventory" localSheetId="24">#REF!</definedName>
    <definedName name="chg_in_inventory" localSheetId="7">#REF!</definedName>
    <definedName name="chg_in_inventory" localSheetId="20">#REF!</definedName>
    <definedName name="chg_in_inventory" localSheetId="21">#REF!</definedName>
    <definedName name="chg_in_inventory" localSheetId="11">#REF!</definedName>
    <definedName name="chg_in_inventory" localSheetId="17">#REF!</definedName>
    <definedName name="chg_in_inventory" localSheetId="16">#REF!</definedName>
    <definedName name="chg_in_inventory" localSheetId="22">#REF!</definedName>
    <definedName name="chg_in_inventory" localSheetId="9">#REF!</definedName>
    <definedName name="chg_in_inventory" localSheetId="13">#REF!</definedName>
    <definedName name="chg_in_inventory" localSheetId="23">#REF!</definedName>
    <definedName name="chg_in_inventory">#REF!</definedName>
    <definedName name="chg_in_investment" localSheetId="4">#REF!</definedName>
    <definedName name="chg_in_investment" localSheetId="5">#REF!</definedName>
    <definedName name="chg_in_investment" localSheetId="15">#REF!</definedName>
    <definedName name="chg_in_investment" localSheetId="19">#REF!</definedName>
    <definedName name="chg_in_investment" localSheetId="18">#REF!</definedName>
    <definedName name="chg_in_investment" localSheetId="14">#REF!</definedName>
    <definedName name="chg_in_investment" localSheetId="12">#REF!</definedName>
    <definedName name="chg_in_investment" localSheetId="24">#REF!</definedName>
    <definedName name="chg_in_investment" localSheetId="7">#REF!</definedName>
    <definedName name="chg_in_investment" localSheetId="20">#REF!</definedName>
    <definedName name="chg_in_investment" localSheetId="21">#REF!</definedName>
    <definedName name="chg_in_investment" localSheetId="11">#REF!</definedName>
    <definedName name="chg_in_investment" localSheetId="17">#REF!</definedName>
    <definedName name="chg_in_investment" localSheetId="16">#REF!</definedName>
    <definedName name="chg_in_investment" localSheetId="22">#REF!</definedName>
    <definedName name="chg_in_investment" localSheetId="9">#REF!</definedName>
    <definedName name="chg_in_investment" localSheetId="13">#REF!</definedName>
    <definedName name="chg_in_investment" localSheetId="23">#REF!</definedName>
    <definedName name="chg_in_investment">#REF!</definedName>
    <definedName name="chg_in_loans_advances" localSheetId="4">#REF!</definedName>
    <definedName name="chg_in_loans_advances" localSheetId="5">#REF!</definedName>
    <definedName name="chg_in_loans_advances" localSheetId="15">#REF!</definedName>
    <definedName name="chg_in_loans_advances" localSheetId="19">#REF!</definedName>
    <definedName name="chg_in_loans_advances" localSheetId="18">#REF!</definedName>
    <definedName name="chg_in_loans_advances" localSheetId="14">#REF!</definedName>
    <definedName name="chg_in_loans_advances" localSheetId="12">#REF!</definedName>
    <definedName name="chg_in_loans_advances" localSheetId="24">#REF!</definedName>
    <definedName name="chg_in_loans_advances" localSheetId="7">#REF!</definedName>
    <definedName name="chg_in_loans_advances" localSheetId="20">#REF!</definedName>
    <definedName name="chg_in_loans_advances" localSheetId="21">#REF!</definedName>
    <definedName name="chg_in_loans_advances" localSheetId="11">#REF!</definedName>
    <definedName name="chg_in_loans_advances" localSheetId="17">#REF!</definedName>
    <definedName name="chg_in_loans_advances" localSheetId="16">#REF!</definedName>
    <definedName name="chg_in_loans_advances" localSheetId="22">#REF!</definedName>
    <definedName name="chg_in_loans_advances" localSheetId="9">#REF!</definedName>
    <definedName name="chg_in_loans_advances" localSheetId="13">#REF!</definedName>
    <definedName name="chg_in_loans_advances" localSheetId="23">#REF!</definedName>
    <definedName name="chg_in_loans_advances">#REF!</definedName>
    <definedName name="chg_in_marketable_securities" localSheetId="4">#REF!</definedName>
    <definedName name="chg_in_marketable_securities" localSheetId="9">#REF!</definedName>
    <definedName name="chg_in_marketable_securities">#REF!</definedName>
    <definedName name="Chg_in_other_assets" localSheetId="4">#REF!</definedName>
    <definedName name="Chg_in_other_assets" localSheetId="9">#REF!</definedName>
    <definedName name="Chg_in_other_assets">#REF!</definedName>
    <definedName name="chg_in_other_current_assets" localSheetId="4">#REF!</definedName>
    <definedName name="chg_in_other_current_assets" localSheetId="5">#REF!</definedName>
    <definedName name="chg_in_other_current_assets" localSheetId="15">#REF!</definedName>
    <definedName name="chg_in_other_current_assets" localSheetId="19">#REF!</definedName>
    <definedName name="chg_in_other_current_assets" localSheetId="18">#REF!</definedName>
    <definedName name="chg_in_other_current_assets" localSheetId="14">#REF!</definedName>
    <definedName name="chg_in_other_current_assets" localSheetId="12">#REF!</definedName>
    <definedName name="chg_in_other_current_assets" localSheetId="24">#REF!</definedName>
    <definedName name="chg_in_other_current_assets" localSheetId="7">#REF!</definedName>
    <definedName name="chg_in_other_current_assets" localSheetId="20">#REF!</definedName>
    <definedName name="chg_in_other_current_assets" localSheetId="21">#REF!</definedName>
    <definedName name="chg_in_other_current_assets" localSheetId="11">#REF!</definedName>
    <definedName name="chg_in_other_current_assets" localSheetId="17">#REF!</definedName>
    <definedName name="chg_in_other_current_assets" localSheetId="16">#REF!</definedName>
    <definedName name="chg_in_other_current_assets" localSheetId="22">#REF!</definedName>
    <definedName name="chg_in_other_current_assets" localSheetId="9">#REF!</definedName>
    <definedName name="chg_in_other_current_assets" localSheetId="13">#REF!</definedName>
    <definedName name="chg_in_other_current_assets" localSheetId="23">#REF!</definedName>
    <definedName name="chg_in_other_current_assets">#REF!</definedName>
    <definedName name="chg_in_provisions">#REF!</definedName>
    <definedName name="chg_in_total_investments" localSheetId="4">#REF!</definedName>
    <definedName name="chg_in_total_investments" localSheetId="5">#REF!</definedName>
    <definedName name="chg_in_total_investments" localSheetId="15">#REF!</definedName>
    <definedName name="chg_in_total_investments" localSheetId="19">#REF!</definedName>
    <definedName name="chg_in_total_investments" localSheetId="18">#REF!</definedName>
    <definedName name="chg_in_total_investments" localSheetId="14">#REF!</definedName>
    <definedName name="chg_in_total_investments" localSheetId="12">#REF!</definedName>
    <definedName name="chg_in_total_investments" localSheetId="24">#REF!</definedName>
    <definedName name="chg_in_total_investments" localSheetId="7">#REF!</definedName>
    <definedName name="chg_in_total_investments" localSheetId="20">#REF!</definedName>
    <definedName name="chg_in_total_investments" localSheetId="21">#REF!</definedName>
    <definedName name="chg_in_total_investments" localSheetId="11">#REF!</definedName>
    <definedName name="chg_in_total_investments" localSheetId="17">#REF!</definedName>
    <definedName name="chg_in_total_investments" localSheetId="16">#REF!</definedName>
    <definedName name="chg_in_total_investments" localSheetId="22">#REF!</definedName>
    <definedName name="chg_in_total_investments" localSheetId="9">#REF!</definedName>
    <definedName name="chg_in_total_investments" localSheetId="13">#REF!</definedName>
    <definedName name="chg_in_total_investments" localSheetId="23">#REF!</definedName>
    <definedName name="chg_in_total_investments">#REF!</definedName>
    <definedName name="chg_in_wk_cap" localSheetId="4">#REF!</definedName>
    <definedName name="chg_in_wk_cap" localSheetId="5">#REF!</definedName>
    <definedName name="chg_in_wk_cap" localSheetId="15">#REF!</definedName>
    <definedName name="chg_in_wk_cap" localSheetId="19">#REF!</definedName>
    <definedName name="chg_in_wk_cap" localSheetId="18">#REF!</definedName>
    <definedName name="chg_in_wk_cap" localSheetId="14">#REF!</definedName>
    <definedName name="chg_in_wk_cap" localSheetId="12">#REF!</definedName>
    <definedName name="chg_in_wk_cap" localSheetId="24">#REF!</definedName>
    <definedName name="chg_in_wk_cap" localSheetId="7">#REF!</definedName>
    <definedName name="chg_in_wk_cap" localSheetId="20">#REF!</definedName>
    <definedName name="chg_in_wk_cap" localSheetId="21">#REF!</definedName>
    <definedName name="chg_in_wk_cap" localSheetId="11">#REF!</definedName>
    <definedName name="chg_in_wk_cap" localSheetId="17">#REF!</definedName>
    <definedName name="chg_in_wk_cap" localSheetId="16">#REF!</definedName>
    <definedName name="chg_in_wk_cap" localSheetId="22">#REF!</definedName>
    <definedName name="chg_in_wk_cap" localSheetId="9">#REF!</definedName>
    <definedName name="chg_in_wk_cap" localSheetId="13">#REF!</definedName>
    <definedName name="chg_in_wk_cap" localSheetId="23">#REF!</definedName>
    <definedName name="chg_in_wk_cap">#REF!</definedName>
    <definedName name="chg_in_working_cap">#REF!</definedName>
    <definedName name="Chg_in_working_capital" localSheetId="4">#REF!</definedName>
    <definedName name="Chg_in_working_capital" localSheetId="9">#REF!</definedName>
    <definedName name="Chg_in_working_capital">#REF!</definedName>
    <definedName name="Chile1" localSheetId="4">#REF!</definedName>
    <definedName name="Chile1" localSheetId="5">#REF!</definedName>
    <definedName name="Chile1" localSheetId="15">#REF!</definedName>
    <definedName name="Chile1" localSheetId="19">#REF!</definedName>
    <definedName name="Chile1" localSheetId="18">#REF!</definedName>
    <definedName name="Chile1" localSheetId="14">#REF!</definedName>
    <definedName name="Chile1" localSheetId="12">#REF!</definedName>
    <definedName name="Chile1" localSheetId="24">#REF!</definedName>
    <definedName name="Chile1" localSheetId="7">#REF!</definedName>
    <definedName name="Chile1" localSheetId="20">#REF!</definedName>
    <definedName name="Chile1" localSheetId="21">#REF!</definedName>
    <definedName name="Chile1" localSheetId="11">#REF!</definedName>
    <definedName name="Chile1" localSheetId="17">#REF!</definedName>
    <definedName name="Chile1" localSheetId="16">#REF!</definedName>
    <definedName name="Chile1" localSheetId="22">#REF!</definedName>
    <definedName name="Chile1" localSheetId="9">#REF!</definedName>
    <definedName name="Chile1" localSheetId="13">#REF!</definedName>
    <definedName name="Chile1" localSheetId="23">#REF!</definedName>
    <definedName name="Chile1">#REF!</definedName>
    <definedName name="Chile2" localSheetId="4">#REF!</definedName>
    <definedName name="Chile2" localSheetId="5">#REF!</definedName>
    <definedName name="Chile2" localSheetId="15">#REF!</definedName>
    <definedName name="Chile2" localSheetId="19">#REF!</definedName>
    <definedName name="Chile2" localSheetId="18">#REF!</definedName>
    <definedName name="Chile2" localSheetId="14">#REF!</definedName>
    <definedName name="Chile2" localSheetId="12">#REF!</definedName>
    <definedName name="Chile2" localSheetId="24">#REF!</definedName>
    <definedName name="Chile2" localSheetId="7">#REF!</definedName>
    <definedName name="Chile2" localSheetId="20">#REF!</definedName>
    <definedName name="Chile2" localSheetId="21">#REF!</definedName>
    <definedName name="Chile2" localSheetId="11">#REF!</definedName>
    <definedName name="Chile2" localSheetId="17">#REF!</definedName>
    <definedName name="Chile2" localSheetId="16">#REF!</definedName>
    <definedName name="Chile2" localSheetId="22">#REF!</definedName>
    <definedName name="Chile2" localSheetId="9">#REF!</definedName>
    <definedName name="Chile2" localSheetId="13">#REF!</definedName>
    <definedName name="Chile2" localSheetId="23">#REF!</definedName>
    <definedName name="Chile2">#REF!</definedName>
    <definedName name="chndata">#REF!</definedName>
    <definedName name="chnold" localSheetId="4">#REF!</definedName>
    <definedName name="chnold" localSheetId="5">#REF!</definedName>
    <definedName name="chnold" localSheetId="15">#REF!</definedName>
    <definedName name="chnold" localSheetId="19">#REF!</definedName>
    <definedName name="chnold" localSheetId="18">#REF!</definedName>
    <definedName name="chnold" localSheetId="14">#REF!</definedName>
    <definedName name="chnold" localSheetId="12">#REF!</definedName>
    <definedName name="chnold" localSheetId="24">#REF!</definedName>
    <definedName name="chnold" localSheetId="7">#REF!</definedName>
    <definedName name="chnold" localSheetId="20">#REF!</definedName>
    <definedName name="chnold" localSheetId="21">#REF!</definedName>
    <definedName name="chnold" localSheetId="11">#REF!</definedName>
    <definedName name="chnold" localSheetId="17">#REF!</definedName>
    <definedName name="chnold" localSheetId="16">#REF!</definedName>
    <definedName name="chnold" localSheetId="22">#REF!</definedName>
    <definedName name="chnold" localSheetId="9">#REF!</definedName>
    <definedName name="chnold" localSheetId="13">#REF!</definedName>
    <definedName name="chnold" localSheetId="23">#REF!</definedName>
    <definedName name="chnold">#REF!</definedName>
    <definedName name="cii" localSheetId="4">#REF!</definedName>
    <definedName name="cii" localSheetId="5">#REF!</definedName>
    <definedName name="cii" localSheetId="15">#REF!</definedName>
    <definedName name="cii" localSheetId="19">#REF!</definedName>
    <definedName name="cii" localSheetId="18">#REF!</definedName>
    <definedName name="cii" localSheetId="14">#REF!</definedName>
    <definedName name="cii" localSheetId="12">#REF!</definedName>
    <definedName name="cii" localSheetId="24">#REF!</definedName>
    <definedName name="cii" localSheetId="7">#REF!</definedName>
    <definedName name="cii" localSheetId="20">#REF!</definedName>
    <definedName name="cii" localSheetId="21">#REF!</definedName>
    <definedName name="cii" localSheetId="11">#REF!</definedName>
    <definedName name="cii" localSheetId="17">#REF!</definedName>
    <definedName name="cii" localSheetId="16">#REF!</definedName>
    <definedName name="cii" localSheetId="22">#REF!</definedName>
    <definedName name="cii" localSheetId="9">#REF!</definedName>
    <definedName name="cii" localSheetId="13">#REF!</definedName>
    <definedName name="cii" localSheetId="23">#REF!</definedName>
    <definedName name="cii">#REF!</definedName>
    <definedName name="CIQWBGuid" hidden="1">"cf8bf3f9-ae57-4def-bbe2-2300d4a03470"</definedName>
    <definedName name="civ" localSheetId="4">#REF!</definedName>
    <definedName name="civ" localSheetId="5">#REF!</definedName>
    <definedName name="civ" localSheetId="15">#REF!</definedName>
    <definedName name="civ" localSheetId="19">#REF!</definedName>
    <definedName name="civ" localSheetId="18">#REF!</definedName>
    <definedName name="civ" localSheetId="14">#REF!</definedName>
    <definedName name="civ" localSheetId="12">#REF!</definedName>
    <definedName name="civ" localSheetId="24">#REF!</definedName>
    <definedName name="civ" localSheetId="7">#REF!</definedName>
    <definedName name="civ" localSheetId="20">#REF!</definedName>
    <definedName name="civ" localSheetId="21">#REF!</definedName>
    <definedName name="civ" localSheetId="11">#REF!</definedName>
    <definedName name="civ" localSheetId="17">#REF!</definedName>
    <definedName name="civ" localSheetId="16">#REF!</definedName>
    <definedName name="civ" localSheetId="22">#REF!</definedName>
    <definedName name="civ" localSheetId="9">#REF!</definedName>
    <definedName name="civ" localSheetId="13">#REF!</definedName>
    <definedName name="civ" localSheetId="23">#REF!</definedName>
    <definedName name="civ">#REF!</definedName>
    <definedName name="CL" localSheetId="4">#REF!</definedName>
    <definedName name="CL" localSheetId="5">#REF!</definedName>
    <definedName name="CL" localSheetId="15">#REF!</definedName>
    <definedName name="CL" localSheetId="19">#REF!</definedName>
    <definedName name="CL" localSheetId="18">#REF!</definedName>
    <definedName name="CL" localSheetId="14">#REF!</definedName>
    <definedName name="CL" localSheetId="12">#REF!</definedName>
    <definedName name="CL" localSheetId="24">#REF!</definedName>
    <definedName name="CL" localSheetId="7">#REF!</definedName>
    <definedName name="CL" localSheetId="20">#REF!</definedName>
    <definedName name="CL" localSheetId="21">#REF!</definedName>
    <definedName name="CL" localSheetId="11">#REF!</definedName>
    <definedName name="CL" localSheetId="17">#REF!</definedName>
    <definedName name="CL" localSheetId="16">#REF!</definedName>
    <definedName name="CL" localSheetId="22">#REF!</definedName>
    <definedName name="CL" localSheetId="9">#REF!</definedName>
    <definedName name="CL" localSheetId="13">#REF!</definedName>
    <definedName name="CL" localSheetId="23">#REF!</definedName>
    <definedName name="CL">#REF!</definedName>
    <definedName name="CL_DEBT" localSheetId="4">#REF!</definedName>
    <definedName name="CL_DEBT" localSheetId="5">#REF!</definedName>
    <definedName name="CL_DEBT" localSheetId="15">#REF!</definedName>
    <definedName name="CL_DEBT" localSheetId="19">#REF!</definedName>
    <definedName name="CL_DEBT" localSheetId="18">#REF!</definedName>
    <definedName name="CL_DEBT" localSheetId="14">#REF!</definedName>
    <definedName name="CL_DEBT" localSheetId="12">#REF!</definedName>
    <definedName name="CL_DEBT" localSheetId="24">#REF!</definedName>
    <definedName name="CL_DEBT" localSheetId="7">#REF!</definedName>
    <definedName name="CL_DEBT" localSheetId="20">#REF!</definedName>
    <definedName name="CL_DEBT" localSheetId="21">#REF!</definedName>
    <definedName name="CL_DEBT" localSheetId="11">#REF!</definedName>
    <definedName name="CL_DEBT" localSheetId="17">#REF!</definedName>
    <definedName name="CL_DEBT" localSheetId="16">#REF!</definedName>
    <definedName name="CL_DEBT" localSheetId="22">#REF!</definedName>
    <definedName name="CL_DEBT" localSheetId="9">#REF!</definedName>
    <definedName name="CL_DEBT" localSheetId="13">#REF!</definedName>
    <definedName name="CL_DEBT" localSheetId="23">#REF!</definedName>
    <definedName name="CL_DEBT">#REF!</definedName>
    <definedName name="CL_PAY" localSheetId="4">#REF!</definedName>
    <definedName name="CL_PAY" localSheetId="9">#REF!</definedName>
    <definedName name="CL_PAY">#REF!</definedName>
    <definedName name="ClEqSh">#REF!</definedName>
    <definedName name="Closed_End" localSheetId="4">#REF!</definedName>
    <definedName name="Closed_End" localSheetId="5">#REF!</definedName>
    <definedName name="Closed_End" localSheetId="15">#REF!</definedName>
    <definedName name="Closed_End" localSheetId="19">#REF!</definedName>
    <definedName name="Closed_End" localSheetId="18">#REF!</definedName>
    <definedName name="Closed_End" localSheetId="14">#REF!</definedName>
    <definedName name="Closed_End" localSheetId="12">#REF!</definedName>
    <definedName name="Closed_End" localSheetId="24">#REF!</definedName>
    <definedName name="Closed_End" localSheetId="7">#REF!</definedName>
    <definedName name="Closed_End" localSheetId="20">#REF!</definedName>
    <definedName name="Closed_End" localSheetId="21">#REF!</definedName>
    <definedName name="Closed_End" localSheetId="11">#REF!</definedName>
    <definedName name="Closed_End" localSheetId="17">#REF!</definedName>
    <definedName name="Closed_End" localSheetId="16">#REF!</definedName>
    <definedName name="Closed_End" localSheetId="22">#REF!</definedName>
    <definedName name="Closed_End" localSheetId="9">#REF!</definedName>
    <definedName name="Closed_End" localSheetId="13">#REF!</definedName>
    <definedName name="Closed_End" localSheetId="23">#REF!</definedName>
    <definedName name="Closed_End">#REF!</definedName>
    <definedName name="Closing_price" localSheetId="4">#REF!</definedName>
    <definedName name="Closing_price" localSheetId="9">#REF!</definedName>
    <definedName name="Closing_price">#REF!</definedName>
    <definedName name="CMP">#REF!</definedName>
    <definedName name="cni" localSheetId="4">#REF!</definedName>
    <definedName name="cni" localSheetId="5">#REF!</definedName>
    <definedName name="cni" localSheetId="15">#REF!</definedName>
    <definedName name="cni" localSheetId="19">#REF!</definedName>
    <definedName name="cni" localSheetId="18">#REF!</definedName>
    <definedName name="cni" localSheetId="14">#REF!</definedName>
    <definedName name="cni" localSheetId="12">#REF!</definedName>
    <definedName name="cni" localSheetId="24">#REF!</definedName>
    <definedName name="cni" localSheetId="7">#REF!</definedName>
    <definedName name="cni" localSheetId="20">#REF!</definedName>
    <definedName name="cni" localSheetId="21">#REF!</definedName>
    <definedName name="cni" localSheetId="11">#REF!</definedName>
    <definedName name="cni" localSheetId="17">#REF!</definedName>
    <definedName name="cni" localSheetId="16">#REF!</definedName>
    <definedName name="cni" localSheetId="22">#REF!</definedName>
    <definedName name="cni" localSheetId="9">#REF!</definedName>
    <definedName name="cni" localSheetId="13">#REF!</definedName>
    <definedName name="cni" localSheetId="23">#REF!</definedName>
    <definedName name="cni">#REF!</definedName>
    <definedName name="coalworking">#REF!</definedName>
    <definedName name="CoBorr12" localSheetId="4">#REF!</definedName>
    <definedName name="CoBorr12" localSheetId="5">#REF!</definedName>
    <definedName name="CoBorr12" localSheetId="15">#REF!</definedName>
    <definedName name="CoBorr12" localSheetId="19">#REF!</definedName>
    <definedName name="CoBorr12" localSheetId="18">#REF!</definedName>
    <definedName name="CoBorr12" localSheetId="14">#REF!</definedName>
    <definedName name="CoBorr12" localSheetId="12">#REF!</definedName>
    <definedName name="CoBorr12" localSheetId="24">#REF!</definedName>
    <definedName name="CoBorr12" localSheetId="7">#REF!</definedName>
    <definedName name="CoBorr12" localSheetId="20">#REF!</definedName>
    <definedName name="CoBorr12" localSheetId="21">#REF!</definedName>
    <definedName name="CoBorr12" localSheetId="11">#REF!</definedName>
    <definedName name="CoBorr12" localSheetId="17">#REF!</definedName>
    <definedName name="CoBorr12" localSheetId="16">#REF!</definedName>
    <definedName name="CoBorr12" localSheetId="22">#REF!</definedName>
    <definedName name="CoBorr12" localSheetId="9">#REF!</definedName>
    <definedName name="CoBorr12" localSheetId="13">#REF!</definedName>
    <definedName name="CoBorr12" localSheetId="23">#REF!</definedName>
    <definedName name="CoBorr12">#REF!</definedName>
    <definedName name="CoBorr13" localSheetId="4">#REF!</definedName>
    <definedName name="CoBorr13" localSheetId="5">#REF!</definedName>
    <definedName name="CoBorr13" localSheetId="15">#REF!</definedName>
    <definedName name="CoBorr13" localSheetId="19">#REF!</definedName>
    <definedName name="CoBorr13" localSheetId="18">#REF!</definedName>
    <definedName name="CoBorr13" localSheetId="14">#REF!</definedName>
    <definedName name="CoBorr13" localSheetId="12">#REF!</definedName>
    <definedName name="CoBorr13" localSheetId="24">#REF!</definedName>
    <definedName name="CoBorr13" localSheetId="7">#REF!</definedName>
    <definedName name="CoBorr13" localSheetId="20">#REF!</definedName>
    <definedName name="CoBorr13" localSheetId="21">#REF!</definedName>
    <definedName name="CoBorr13" localSheetId="11">#REF!</definedName>
    <definedName name="CoBorr13" localSheetId="17">#REF!</definedName>
    <definedName name="CoBorr13" localSheetId="16">#REF!</definedName>
    <definedName name="CoBorr13" localSheetId="22">#REF!</definedName>
    <definedName name="CoBorr13" localSheetId="9">#REF!</definedName>
    <definedName name="CoBorr13" localSheetId="13">#REF!</definedName>
    <definedName name="CoBorr13" localSheetId="23">#REF!</definedName>
    <definedName name="CoBorr13">#REF!</definedName>
    <definedName name="coc" localSheetId="4">#REF!</definedName>
    <definedName name="coc" localSheetId="5">#REF!</definedName>
    <definedName name="coc" localSheetId="15">#REF!</definedName>
    <definedName name="coc" localSheetId="19">#REF!</definedName>
    <definedName name="coc" localSheetId="18">#REF!</definedName>
    <definedName name="coc" localSheetId="14">#REF!</definedName>
    <definedName name="coc" localSheetId="12">#REF!</definedName>
    <definedName name="coc" localSheetId="24">#REF!</definedName>
    <definedName name="coc" localSheetId="7">#REF!</definedName>
    <definedName name="coc" localSheetId="20">#REF!</definedName>
    <definedName name="coc" localSheetId="21">#REF!</definedName>
    <definedName name="coc" localSheetId="11">#REF!</definedName>
    <definedName name="coc" localSheetId="17">#REF!</definedName>
    <definedName name="coc" localSheetId="16">#REF!</definedName>
    <definedName name="coc" localSheetId="22">#REF!</definedName>
    <definedName name="coc" localSheetId="9">#REF!</definedName>
    <definedName name="coc" localSheetId="13">#REF!</definedName>
    <definedName name="coc" localSheetId="23">#REF!</definedName>
    <definedName name="coc">#REF!</definedName>
    <definedName name="Cochin" localSheetId="4">#REF!</definedName>
    <definedName name="Cochin" localSheetId="9">#REF!</definedName>
    <definedName name="Cochin">#REF!</definedName>
    <definedName name="COGS" localSheetId="4">#REF!</definedName>
    <definedName name="COGS" localSheetId="9">#REF!</definedName>
    <definedName name="COGS">#REF!</definedName>
    <definedName name="coi" localSheetId="4">#REF!</definedName>
    <definedName name="coi" localSheetId="5">#REF!</definedName>
    <definedName name="coi" localSheetId="15">#REF!</definedName>
    <definedName name="coi" localSheetId="19">#REF!</definedName>
    <definedName name="coi" localSheetId="18">#REF!</definedName>
    <definedName name="coi" localSheetId="14">#REF!</definedName>
    <definedName name="coi" localSheetId="12">#REF!</definedName>
    <definedName name="coi" localSheetId="24">#REF!</definedName>
    <definedName name="coi" localSheetId="7">#REF!</definedName>
    <definedName name="coi" localSheetId="20">#REF!</definedName>
    <definedName name="coi" localSheetId="21">#REF!</definedName>
    <definedName name="coi" localSheetId="11">#REF!</definedName>
    <definedName name="coi" localSheetId="17">#REF!</definedName>
    <definedName name="coi" localSheetId="16">#REF!</definedName>
    <definedName name="coi" localSheetId="22">#REF!</definedName>
    <definedName name="coi" localSheetId="9">#REF!</definedName>
    <definedName name="coi" localSheetId="13">#REF!</definedName>
    <definedName name="coi" localSheetId="23">#REF!</definedName>
    <definedName name="coi">#REF!</definedName>
    <definedName name="Colend" localSheetId="4">#REF!</definedName>
    <definedName name="Colend" localSheetId="5">#REF!</definedName>
    <definedName name="Colend" localSheetId="15">#REF!</definedName>
    <definedName name="Colend" localSheetId="19">#REF!</definedName>
    <definedName name="Colend" localSheetId="18">#REF!</definedName>
    <definedName name="Colend" localSheetId="14">#REF!</definedName>
    <definedName name="Colend" localSheetId="12">#REF!</definedName>
    <definedName name="Colend" localSheetId="24">#REF!</definedName>
    <definedName name="Colend" localSheetId="7">#REF!</definedName>
    <definedName name="Colend" localSheetId="20">#REF!</definedName>
    <definedName name="Colend" localSheetId="21">#REF!</definedName>
    <definedName name="Colend" localSheetId="11">#REF!</definedName>
    <definedName name="Colend" localSheetId="17">#REF!</definedName>
    <definedName name="Colend" localSheetId="16">#REF!</definedName>
    <definedName name="Colend" localSheetId="22">#REF!</definedName>
    <definedName name="Colend" localSheetId="9">#REF!</definedName>
    <definedName name="Colend" localSheetId="13">#REF!</definedName>
    <definedName name="Colend" localSheetId="23">#REF!</definedName>
    <definedName name="Colend">#REF!</definedName>
    <definedName name="colocation">#REF!</definedName>
    <definedName name="colocation1">#REF!</definedName>
    <definedName name="ColumnCurrentYear" localSheetId="4">#REF!</definedName>
    <definedName name="ColumnCurrentYear" localSheetId="5">#REF!</definedName>
    <definedName name="ColumnCurrentYear" localSheetId="15">#REF!</definedName>
    <definedName name="ColumnCurrentYear" localSheetId="19">#REF!</definedName>
    <definedName name="ColumnCurrentYear" localSheetId="18">#REF!</definedName>
    <definedName name="ColumnCurrentYear" localSheetId="14">#REF!</definedName>
    <definedName name="ColumnCurrentYear" localSheetId="12">#REF!</definedName>
    <definedName name="ColumnCurrentYear" localSheetId="24">#REF!</definedName>
    <definedName name="ColumnCurrentYear" localSheetId="7">#REF!</definedName>
    <definedName name="ColumnCurrentYear" localSheetId="20">#REF!</definedName>
    <definedName name="ColumnCurrentYear" localSheetId="21">#REF!</definedName>
    <definedName name="ColumnCurrentYear" localSheetId="11">#REF!</definedName>
    <definedName name="ColumnCurrentYear" localSheetId="17">#REF!</definedName>
    <definedName name="ColumnCurrentYear" localSheetId="16">#REF!</definedName>
    <definedName name="ColumnCurrentYear" localSheetId="22">#REF!</definedName>
    <definedName name="ColumnCurrentYear" localSheetId="9">#REF!</definedName>
    <definedName name="ColumnCurrentYear" localSheetId="13">#REF!</definedName>
    <definedName name="ColumnCurrentYear" localSheetId="23">#REF!</definedName>
    <definedName name="ColumnCurrentYear">#REF!</definedName>
    <definedName name="COM_AnalystName" localSheetId="4">#REF!</definedName>
    <definedName name="COM_AnalystName" localSheetId="9">#REF!</definedName>
    <definedName name="COM_AnalystName">#REF!</definedName>
    <definedName name="COM_Bloomberg" localSheetId="4">#REF!</definedName>
    <definedName name="COM_Bloomberg" localSheetId="9">#REF!</definedName>
    <definedName name="COM_Bloomberg">#REF!</definedName>
    <definedName name="COM_CompanyName" localSheetId="4">#REF!</definedName>
    <definedName name="COM_CompanyName" localSheetId="9">#REF!</definedName>
    <definedName name="COM_CompanyName">#REF!</definedName>
    <definedName name="COM_CompanyType" localSheetId="4">#REF!</definedName>
    <definedName name="COM_CompanyType" localSheetId="9">#REF!</definedName>
    <definedName name="COM_CompanyType">#REF!</definedName>
    <definedName name="COM_DailyVolume" localSheetId="4">#REF!</definedName>
    <definedName name="COM_DailyVolume" localSheetId="9">#REF!</definedName>
    <definedName name="COM_DailyVolume">#REF!</definedName>
    <definedName name="COM_Datastream" localSheetId="4">#REF!</definedName>
    <definedName name="COM_Datastream" localSheetId="9">#REF!</definedName>
    <definedName name="COM_Datastream">#REF!</definedName>
    <definedName name="COM_DateofLastUpdate" localSheetId="4">#REF!</definedName>
    <definedName name="COM_DateofLastUpdate" localSheetId="9">#REF!</definedName>
    <definedName name="COM_DateofLastUpdate">#REF!</definedName>
    <definedName name="COM_Float" localSheetId="4">#REF!</definedName>
    <definedName name="COM_Float" localSheetId="9">#REF!</definedName>
    <definedName name="COM_Float">#REF!</definedName>
    <definedName name="COM_IndexLevel" localSheetId="4">#REF!</definedName>
    <definedName name="COM_IndexLevel" localSheetId="9">#REF!</definedName>
    <definedName name="COM_IndexLevel">#REF!</definedName>
    <definedName name="COM_IndexWeighting" localSheetId="4">#REF!</definedName>
    <definedName name="COM_IndexWeighting" localSheetId="9">#REF!</definedName>
    <definedName name="COM_IndexWeighting">#REF!</definedName>
    <definedName name="COM_IssuedCapital" localSheetId="4">#REF!</definedName>
    <definedName name="COM_IssuedCapital" localSheetId="9">#REF!</definedName>
    <definedName name="COM_IssuedCapital">#REF!</definedName>
    <definedName name="COM_IssuedCapitalForeignAuto" localSheetId="4">#REF!</definedName>
    <definedName name="COM_IssuedCapitalForeignAuto" localSheetId="9">#REF!</definedName>
    <definedName name="COM_IssuedCapitalForeignAuto">#REF!</definedName>
    <definedName name="COM_IssuedCapitalForeignManual" localSheetId="4">#REF!</definedName>
    <definedName name="COM_IssuedCapitalForeignManual" localSheetId="9">#REF!</definedName>
    <definedName name="COM_IssuedCapitalForeignManual">#REF!</definedName>
    <definedName name="COM_IssuedCapitalStdAuto" localSheetId="4">#REF!</definedName>
    <definedName name="COM_IssuedCapitalStdAuto" localSheetId="9">#REF!</definedName>
    <definedName name="COM_IssuedCapitalStdAuto">#REF!</definedName>
    <definedName name="COM_IssuedCapitalStdManual" localSheetId="4">#REF!</definedName>
    <definedName name="COM_IssuedCapitalStdManual" localSheetId="9">#REF!</definedName>
    <definedName name="COM_IssuedCapitalStdManual">#REF!</definedName>
    <definedName name="COM_ListedCapital" localSheetId="4">#REF!</definedName>
    <definedName name="COM_ListedCapital" localSheetId="9">#REF!</definedName>
    <definedName name="COM_ListedCapital">#REF!</definedName>
    <definedName name="COM_ListedCapitalForeignAuto" localSheetId="4">#REF!</definedName>
    <definedName name="COM_ListedCapitalForeignAuto" localSheetId="9">#REF!</definedName>
    <definedName name="COM_ListedCapitalForeignAuto">#REF!</definedName>
    <definedName name="COM_ListedCapitalForeignManual" localSheetId="4">#REF!</definedName>
    <definedName name="COM_ListedCapitalForeignManual" localSheetId="9">#REF!</definedName>
    <definedName name="COM_ListedCapitalForeignManual">#REF!</definedName>
    <definedName name="COM_ListedCapitalStdAuto" localSheetId="4">#REF!</definedName>
    <definedName name="COM_ListedCapitalStdAuto" localSheetId="9">#REF!</definedName>
    <definedName name="COM_ListedCapitalStdAuto">#REF!</definedName>
    <definedName name="COM_ListedCapitalStdManual" localSheetId="4">#REF!</definedName>
    <definedName name="COM_ListedCapitalStdManual" localSheetId="9">#REF!</definedName>
    <definedName name="COM_ListedCapitalStdManual">#REF!</definedName>
    <definedName name="COM_ListedMarketCap" localSheetId="4">#REF!</definedName>
    <definedName name="COM_ListedMarketCap" localSheetId="9">#REF!</definedName>
    <definedName name="COM_ListedMarketCap">#REF!</definedName>
    <definedName name="COM_ListedMarketCapForeignAuto" localSheetId="4">#REF!</definedName>
    <definedName name="COM_ListedMarketCapForeignAuto" localSheetId="9">#REF!</definedName>
    <definedName name="COM_ListedMarketCapForeignAuto">#REF!</definedName>
    <definedName name="COM_ListedMarketCapForeignManual" localSheetId="4">#REF!</definedName>
    <definedName name="COM_ListedMarketCapForeignManual" localSheetId="9">#REF!</definedName>
    <definedName name="COM_ListedMarketCapForeignManual">#REF!</definedName>
    <definedName name="COM_ListedMarketCapStdAuto" localSheetId="4">#REF!</definedName>
    <definedName name="COM_ListedMarketCapStdAuto" localSheetId="9">#REF!</definedName>
    <definedName name="COM_ListedMarketCapStdAuto">#REF!</definedName>
    <definedName name="COM_ListedMarketCapStdManual" localSheetId="4">#REF!</definedName>
    <definedName name="COM_ListedMarketCapStdManual" localSheetId="9">#REF!</definedName>
    <definedName name="COM_ListedMarketCapStdManual">#REF!</definedName>
    <definedName name="COM_MarketCap" localSheetId="4">#REF!</definedName>
    <definedName name="COM_MarketCap" localSheetId="9">#REF!</definedName>
    <definedName name="COM_MarketCap">#REF!</definedName>
    <definedName name="COM_MarketCapForeignAuto" localSheetId="4">#REF!</definedName>
    <definedName name="COM_MarketCapForeignAuto" localSheetId="9">#REF!</definedName>
    <definedName name="COM_MarketCapForeignAuto">#REF!</definedName>
    <definedName name="COM_MarketCapForeignManual" localSheetId="4">#REF!</definedName>
    <definedName name="COM_MarketCapForeignManual" localSheetId="9">#REF!</definedName>
    <definedName name="COM_MarketCapForeignManual">#REF!</definedName>
    <definedName name="COM_MarketCapStdAuto" localSheetId="4">#REF!</definedName>
    <definedName name="COM_MarketCapStdAuto" localSheetId="9">#REF!</definedName>
    <definedName name="COM_MarketCapStdAuto">#REF!</definedName>
    <definedName name="COM_MarketCapStdManual" localSheetId="4">#REF!</definedName>
    <definedName name="COM_MarketCapStdManual" localSheetId="9">#REF!</definedName>
    <definedName name="COM_MarketCapStdManual">#REF!</definedName>
    <definedName name="COM_MarketEPSGrowth" localSheetId="4">#REF!</definedName>
    <definedName name="COM_MarketEPSGrowth" localSheetId="9">#REF!</definedName>
    <definedName name="COM_MarketEPSGrowth">#REF!</definedName>
    <definedName name="COM_MarketName" localSheetId="4">#REF!</definedName>
    <definedName name="COM_MarketName" localSheetId="9">#REF!</definedName>
    <definedName name="COM_MarketName">#REF!</definedName>
    <definedName name="COM_MarketPE" localSheetId="4">#REF!</definedName>
    <definedName name="COM_MarketPE" localSheetId="9">#REF!</definedName>
    <definedName name="COM_MarketPE">#REF!</definedName>
    <definedName name="COM_MonthlyVolume" localSheetId="4">#REF!</definedName>
    <definedName name="COM_MonthlyVolume" localSheetId="9">#REF!</definedName>
    <definedName name="COM_MonthlyVolume">#REF!</definedName>
    <definedName name="COM_Price" localSheetId="4">#REF!</definedName>
    <definedName name="COM_Price" localSheetId="9">#REF!</definedName>
    <definedName name="COM_Price">#REF!</definedName>
    <definedName name="COM_Price12MHigh" localSheetId="4">#REF!</definedName>
    <definedName name="COM_Price12MHigh" localSheetId="9">#REF!</definedName>
    <definedName name="COM_Price12MHigh">#REF!</definedName>
    <definedName name="COM_Price12MLow" localSheetId="4">#REF!</definedName>
    <definedName name="COM_Price12MLow" localSheetId="9">#REF!</definedName>
    <definedName name="COM_Price12MLow">#REF!</definedName>
    <definedName name="COM_Price12Mth" localSheetId="4">#REF!</definedName>
    <definedName name="COM_Price12Mth" localSheetId="9">#REF!</definedName>
    <definedName name="COM_Price12Mth">#REF!</definedName>
    <definedName name="COM_Price1Mth" localSheetId="4">#REF!</definedName>
    <definedName name="COM_Price1Mth" localSheetId="9">#REF!</definedName>
    <definedName name="COM_Price1Mth">#REF!</definedName>
    <definedName name="COM_Price3Mth" localSheetId="4">#REF!</definedName>
    <definedName name="COM_Price3Mth" localSheetId="9">#REF!</definedName>
    <definedName name="COM_Price3Mth">#REF!</definedName>
    <definedName name="COM_PriceActual12MthStdAuto" localSheetId="4">#REF!</definedName>
    <definedName name="COM_PriceActual12MthStdAuto" localSheetId="9">#REF!</definedName>
    <definedName name="COM_PriceActual12MthStdAuto">#REF!</definedName>
    <definedName name="COM_PriceActual12MthStdManual" localSheetId="4">#REF!</definedName>
    <definedName name="COM_PriceActual12MthStdManual" localSheetId="9">#REF!</definedName>
    <definedName name="COM_PriceActual12MthStdManual">#REF!</definedName>
    <definedName name="COM_PriceActual1MthStdAuto" localSheetId="4">#REF!</definedName>
    <definedName name="COM_PriceActual1MthStdAuto" localSheetId="9">#REF!</definedName>
    <definedName name="COM_PriceActual1MthStdAuto">#REF!</definedName>
    <definedName name="COM_PriceActual1MthStdManual" localSheetId="4">#REF!</definedName>
    <definedName name="COM_PriceActual1MthStdManual" localSheetId="9">#REF!</definedName>
    <definedName name="COM_PriceActual1MthStdManual">#REF!</definedName>
    <definedName name="COM_PriceActual3MthStdAuto" localSheetId="4">#REF!</definedName>
    <definedName name="COM_PriceActual3MthStdAuto" localSheetId="9">#REF!</definedName>
    <definedName name="COM_PriceActual3MthStdAuto">#REF!</definedName>
    <definedName name="COM_PriceActual3mthStdManual" localSheetId="4">#REF!</definedName>
    <definedName name="COM_PriceActual3mthStdManual" localSheetId="9">#REF!</definedName>
    <definedName name="COM_PriceActual3mthStdManual">#REF!</definedName>
    <definedName name="COM_PriceForeign12MHighAuto" localSheetId="4">#REF!</definedName>
    <definedName name="COM_PriceForeign12MHighAuto" localSheetId="9">#REF!</definedName>
    <definedName name="COM_PriceForeign12MHighAuto">#REF!</definedName>
    <definedName name="COM_PriceForeign12MHighManual" localSheetId="4">#REF!</definedName>
    <definedName name="COM_PriceForeign12MHighManual" localSheetId="9">#REF!</definedName>
    <definedName name="COM_PriceForeign12MHighManual">#REF!</definedName>
    <definedName name="COM_PriceForeign12MLowAuto" localSheetId="4">#REF!</definedName>
    <definedName name="COM_PriceForeign12MLowAuto" localSheetId="9">#REF!</definedName>
    <definedName name="COM_PriceForeign12MLowAuto">#REF!</definedName>
    <definedName name="COM_PriceForeign12MLowManual" localSheetId="4">#REF!</definedName>
    <definedName name="COM_PriceForeign12MLowManual" localSheetId="9">#REF!</definedName>
    <definedName name="COM_PriceForeign12MLowManual">#REF!</definedName>
    <definedName name="COM_PriceForeignActual12MthStdAuto" localSheetId="4">#REF!</definedName>
    <definedName name="COM_PriceForeignActual12MthStdAuto" localSheetId="9">#REF!</definedName>
    <definedName name="COM_PriceForeignActual12MthStdAuto">#REF!</definedName>
    <definedName name="COM_PriceForeignActual12MthStdManual" localSheetId="4">#REF!</definedName>
    <definedName name="COM_PriceForeignActual12MthStdManual" localSheetId="9">#REF!</definedName>
    <definedName name="COM_PriceForeignActual12MthStdManual">#REF!</definedName>
    <definedName name="COM_PriceForeignActual1MthStdAuto" localSheetId="4">#REF!</definedName>
    <definedName name="COM_PriceForeignActual1MthStdAuto" localSheetId="9">#REF!</definedName>
    <definedName name="COM_PriceForeignActual1MthStdAuto">#REF!</definedName>
    <definedName name="COM_PriceForeignActual1MthStdManual" localSheetId="4">#REF!</definedName>
    <definedName name="COM_PriceForeignActual1MthStdManual" localSheetId="9">#REF!</definedName>
    <definedName name="COM_PriceForeignActual1MthStdManual">#REF!</definedName>
    <definedName name="COM_PriceForeignActual3MthStdAuto" localSheetId="4">#REF!</definedName>
    <definedName name="COM_PriceForeignActual3MthStdAuto" localSheetId="9">#REF!</definedName>
    <definedName name="COM_PriceForeignActual3MthStdAuto">#REF!</definedName>
    <definedName name="COM_PriceForeignActual3mthStdManual" localSheetId="4">#REF!</definedName>
    <definedName name="COM_PriceForeignActual3mthStdManual" localSheetId="9">#REF!</definedName>
    <definedName name="COM_PriceForeignActual3mthStdManual">#REF!</definedName>
    <definedName name="COM_PriceForeignAuto" localSheetId="4">#REF!</definedName>
    <definedName name="COM_PriceForeignAuto" localSheetId="9">#REF!</definedName>
    <definedName name="COM_PriceForeignAuto">#REF!</definedName>
    <definedName name="COM_PriceForeignManual" localSheetId="4">#REF!</definedName>
    <definedName name="COM_PriceForeignManual" localSheetId="9">#REF!</definedName>
    <definedName name="COM_PriceForeignManual">#REF!</definedName>
    <definedName name="COM_PriceForeignRelative12MthStdAuto" localSheetId="4">#REF!</definedName>
    <definedName name="COM_PriceForeignRelative12MthStdAuto" localSheetId="9">#REF!</definedName>
    <definedName name="COM_PriceForeignRelative12MthStdAuto">#REF!</definedName>
    <definedName name="COM_PriceForeignRelative12MthStdManual" localSheetId="4">#REF!</definedName>
    <definedName name="COM_PriceForeignRelative12MthStdManual" localSheetId="9">#REF!</definedName>
    <definedName name="COM_PriceForeignRelative12MthStdManual">#REF!</definedName>
    <definedName name="COM_PriceForeignRelative1MthStdAuto" localSheetId="4">#REF!</definedName>
    <definedName name="COM_PriceForeignRelative1MthStdAuto" localSheetId="9">#REF!</definedName>
    <definedName name="COM_PriceForeignRelative1MthStdAuto">#REF!</definedName>
    <definedName name="COM_PriceForeignRelative1MthStdManual" localSheetId="4">#REF!</definedName>
    <definedName name="COM_PriceForeignRelative1MthStdManual" localSheetId="9">#REF!</definedName>
    <definedName name="COM_PriceForeignRelative1MthStdManual">#REF!</definedName>
    <definedName name="COM_PriceForeignRelative3MthStdAuto" localSheetId="4">#REF!</definedName>
    <definedName name="COM_PriceForeignRelative3MthStdAuto" localSheetId="9">#REF!</definedName>
    <definedName name="COM_PriceForeignRelative3MthStdAuto">#REF!</definedName>
    <definedName name="COM_PriceForeignRelative3MthStdManual" localSheetId="4">#REF!</definedName>
    <definedName name="COM_PriceForeignRelative3MthStdManual" localSheetId="9">#REF!</definedName>
    <definedName name="COM_PriceForeignRelative3MthStdManual">#REF!</definedName>
    <definedName name="COM_PriceR12Mth" localSheetId="4">#REF!</definedName>
    <definedName name="COM_PriceR12Mth" localSheetId="9">#REF!</definedName>
    <definedName name="COM_PriceR12Mth">#REF!</definedName>
    <definedName name="COM_PriceR1Mth" localSheetId="4">#REF!</definedName>
    <definedName name="COM_PriceR1Mth" localSheetId="9">#REF!</definedName>
    <definedName name="COM_PriceR1Mth">#REF!</definedName>
    <definedName name="COM_PriceR3Mth" localSheetId="4">#REF!</definedName>
    <definedName name="COM_PriceR3Mth" localSheetId="9">#REF!</definedName>
    <definedName name="COM_PriceR3Mth">#REF!</definedName>
    <definedName name="COM_PriceRelative12mthStdAuto" localSheetId="4">#REF!</definedName>
    <definedName name="COM_PriceRelative12mthStdAuto" localSheetId="9">#REF!</definedName>
    <definedName name="COM_PriceRelative12mthStdAuto">#REF!</definedName>
    <definedName name="COM_PriceRelative12MthStdManual" localSheetId="4">#REF!</definedName>
    <definedName name="COM_PriceRelative12MthStdManual" localSheetId="9">#REF!</definedName>
    <definedName name="COM_PriceRelative12MthStdManual">#REF!</definedName>
    <definedName name="COM_PriceRelative1MthStdAuto" localSheetId="4">#REF!</definedName>
    <definedName name="COM_PriceRelative1MthStdAuto" localSheetId="9">#REF!</definedName>
    <definedName name="COM_PriceRelative1MthStdAuto">#REF!</definedName>
    <definedName name="COM_PriceRelative1MthStdManual" localSheetId="4">#REF!</definedName>
    <definedName name="COM_PriceRelative1MthStdManual" localSheetId="9">#REF!</definedName>
    <definedName name="COM_PriceRelative1MthStdManual">#REF!</definedName>
    <definedName name="COM_PriceRelative3MthStdAuto" localSheetId="4">#REF!</definedName>
    <definedName name="COM_PriceRelative3MthStdAuto" localSheetId="9">#REF!</definedName>
    <definedName name="COM_PriceRelative3MthStdAuto">#REF!</definedName>
    <definedName name="COM_PriceRelative3MthStdManual" localSheetId="4">#REF!</definedName>
    <definedName name="COM_PriceRelative3MthStdManual" localSheetId="9">#REF!</definedName>
    <definedName name="COM_PriceRelative3MthStdManual">#REF!</definedName>
    <definedName name="COM_PriceStd12MHighAuto" localSheetId="4">#REF!</definedName>
    <definedName name="COM_PriceStd12MHighAuto" localSheetId="9">#REF!</definedName>
    <definedName name="COM_PriceStd12MHighAuto">#REF!</definedName>
    <definedName name="COM_PriceStd12MHighManual" localSheetId="4">#REF!</definedName>
    <definedName name="COM_PriceStd12MHighManual" localSheetId="9">#REF!</definedName>
    <definedName name="COM_PriceStd12MHighManual">#REF!</definedName>
    <definedName name="COM_PriceStd12MLowAuto" localSheetId="4">#REF!</definedName>
    <definedName name="COM_PriceStd12MLowAuto" localSheetId="9">#REF!</definedName>
    <definedName name="COM_PriceStd12MLowAuto">#REF!</definedName>
    <definedName name="COM_PriceStd12MLowManual" localSheetId="4">#REF!</definedName>
    <definedName name="COM_PriceStd12MLowManual" localSheetId="9">#REF!</definedName>
    <definedName name="COM_PriceStd12MLowManual">#REF!</definedName>
    <definedName name="COM_PriceStdAuto" localSheetId="4">#REF!</definedName>
    <definedName name="COM_PriceStdAuto" localSheetId="9">#REF!</definedName>
    <definedName name="COM_PriceStdAuto">#REF!</definedName>
    <definedName name="COM_PriceStdManual" localSheetId="4">#REF!</definedName>
    <definedName name="COM_PriceStdManual" localSheetId="9">#REF!</definedName>
    <definedName name="COM_PriceStdManual">#REF!</definedName>
    <definedName name="COM_Recommendation" localSheetId="4">#REF!</definedName>
    <definedName name="COM_Recommendation" localSheetId="9">#REF!</definedName>
    <definedName name="COM_Recommendation">#REF!</definedName>
    <definedName name="COM_RecommendationDate" localSheetId="4">#REF!</definedName>
    <definedName name="COM_RecommendationDate" localSheetId="9">#REF!</definedName>
    <definedName name="COM_RecommendationDate">#REF!</definedName>
    <definedName name="COM_RecommendationPrice" localSheetId="4">#REF!</definedName>
    <definedName name="COM_RecommendationPrice" localSheetId="9">#REF!</definedName>
    <definedName name="COM_RecommendationPrice">#REF!</definedName>
    <definedName name="COM_Reuters" localSheetId="4">#REF!</definedName>
    <definedName name="COM_Reuters" localSheetId="9">#REF!</definedName>
    <definedName name="COM_Reuters">#REF!</definedName>
    <definedName name="COM_SET" localSheetId="4">#REF!</definedName>
    <definedName name="COM_SET" localSheetId="9">#REF!</definedName>
    <definedName name="COM_SET">#REF!</definedName>
    <definedName name="COM_Spare1" localSheetId="4">#REF!</definedName>
    <definedName name="COM_Spare1" localSheetId="9">#REF!</definedName>
    <definedName name="COM_Spare1">#REF!</definedName>
    <definedName name="COM_Spare2" localSheetId="4">#REF!</definedName>
    <definedName name="COM_Spare2" localSheetId="9">#REF!</definedName>
    <definedName name="COM_Spare2">#REF!</definedName>
    <definedName name="COM_TodaysDate" localSheetId="4">#REF!</definedName>
    <definedName name="COM_TodaysDate" localSheetId="9">#REF!</definedName>
    <definedName name="COM_TodaysDate">#REF!</definedName>
    <definedName name="Combining_Type">#REF!</definedName>
    <definedName name="Comm_fee">#REF!</definedName>
    <definedName name="commerce" localSheetId="4">#REF!</definedName>
    <definedName name="commerce" localSheetId="5">#REF!</definedName>
    <definedName name="commerce" localSheetId="15">#REF!</definedName>
    <definedName name="commerce" localSheetId="19">#REF!</definedName>
    <definedName name="commerce" localSheetId="18">#REF!</definedName>
    <definedName name="commerce" localSheetId="14">#REF!</definedName>
    <definedName name="commerce" localSheetId="12">#REF!</definedName>
    <definedName name="commerce" localSheetId="24">#REF!</definedName>
    <definedName name="commerce" localSheetId="7">#REF!</definedName>
    <definedName name="commerce" localSheetId="20">#REF!</definedName>
    <definedName name="commerce" localSheetId="21">#REF!</definedName>
    <definedName name="commerce" localSheetId="11">#REF!</definedName>
    <definedName name="commerce" localSheetId="17">#REF!</definedName>
    <definedName name="commerce" localSheetId="16">#REF!</definedName>
    <definedName name="commerce" localSheetId="22">#REF!</definedName>
    <definedName name="commerce" localSheetId="9">#REF!</definedName>
    <definedName name="commerce" localSheetId="13">#REF!</definedName>
    <definedName name="commerce" localSheetId="23">#REF!</definedName>
    <definedName name="commerce">#REF!</definedName>
    <definedName name="Commercial_paper" localSheetId="4">#REF!</definedName>
    <definedName name="Commercial_paper" localSheetId="9">#REF!</definedName>
    <definedName name="Commercial_paper">#REF!</definedName>
    <definedName name="Commercial_Paper_Unsecured">#REF!</definedName>
    <definedName name="Commission_Brokerage">#REF!</definedName>
    <definedName name="company" localSheetId="4">#REF!</definedName>
    <definedName name="company" localSheetId="5">#REF!</definedName>
    <definedName name="company" localSheetId="15">#REF!</definedName>
    <definedName name="company" localSheetId="19">#REF!</definedName>
    <definedName name="company" localSheetId="18">#REF!</definedName>
    <definedName name="company" localSheetId="14">#REF!</definedName>
    <definedName name="company" localSheetId="12">#REF!</definedName>
    <definedName name="company" localSheetId="24">#REF!</definedName>
    <definedName name="company" localSheetId="7">#REF!</definedName>
    <definedName name="company" localSheetId="20">#REF!</definedName>
    <definedName name="company" localSheetId="21">#REF!</definedName>
    <definedName name="company" localSheetId="11">#REF!</definedName>
    <definedName name="company" localSheetId="17">#REF!</definedName>
    <definedName name="company" localSheetId="16">#REF!</definedName>
    <definedName name="company" localSheetId="22">#REF!</definedName>
    <definedName name="company" localSheetId="9">#REF!</definedName>
    <definedName name="company" localSheetId="13">#REF!</definedName>
    <definedName name="company" localSheetId="23">#REF!</definedName>
    <definedName name="company">#REF!</definedName>
    <definedName name="company_name" localSheetId="4">#REF!</definedName>
    <definedName name="company_name" localSheetId="5">#REF!</definedName>
    <definedName name="company_name" localSheetId="15">#REF!</definedName>
    <definedName name="company_name" localSheetId="19">#REF!</definedName>
    <definedName name="company_name" localSheetId="18">#REF!</definedName>
    <definedName name="company_name" localSheetId="14">#REF!</definedName>
    <definedName name="company_name" localSheetId="12">#REF!</definedName>
    <definedName name="company_name" localSheetId="24">#REF!</definedName>
    <definedName name="company_name" localSheetId="7">#REF!</definedName>
    <definedName name="company_name" localSheetId="20">#REF!</definedName>
    <definedName name="company_name" localSheetId="21">#REF!</definedName>
    <definedName name="company_name" localSheetId="11">#REF!</definedName>
    <definedName name="company_name" localSheetId="17">#REF!</definedName>
    <definedName name="company_name" localSheetId="16">#REF!</definedName>
    <definedName name="company_name" localSheetId="22">#REF!</definedName>
    <definedName name="company_name" localSheetId="9">#REF!</definedName>
    <definedName name="company_name" localSheetId="13">#REF!</definedName>
    <definedName name="company_name" localSheetId="23">#REF!</definedName>
    <definedName name="company_name">#REF!</definedName>
    <definedName name="company_nameh" localSheetId="4">#REF!</definedName>
    <definedName name="company_nameh" localSheetId="5">#REF!</definedName>
    <definedName name="company_nameh" localSheetId="15">#REF!</definedName>
    <definedName name="company_nameh" localSheetId="19">#REF!</definedName>
    <definedName name="company_nameh" localSheetId="18">#REF!</definedName>
    <definedName name="company_nameh" localSheetId="14">#REF!</definedName>
    <definedName name="company_nameh" localSheetId="12">#REF!</definedName>
    <definedName name="company_nameh" localSheetId="24">#REF!</definedName>
    <definedName name="company_nameh" localSheetId="7">#REF!</definedName>
    <definedName name="company_nameh" localSheetId="20">#REF!</definedName>
    <definedName name="company_nameh" localSheetId="21">#REF!</definedName>
    <definedName name="company_nameh" localSheetId="11">#REF!</definedName>
    <definedName name="company_nameh" localSheetId="17">#REF!</definedName>
    <definedName name="company_nameh" localSheetId="16">#REF!</definedName>
    <definedName name="company_nameh" localSheetId="22">#REF!</definedName>
    <definedName name="company_nameh" localSheetId="9">#REF!</definedName>
    <definedName name="company_nameh" localSheetId="13">#REF!</definedName>
    <definedName name="company_nameh" localSheetId="23">#REF!</definedName>
    <definedName name="company_nameh">#REF!</definedName>
    <definedName name="Computers_AD">#REF!</definedName>
    <definedName name="Computers_Dep">#REF!</definedName>
    <definedName name="Computers_GB">#REF!</definedName>
    <definedName name="Computers_NB">#REF!</definedName>
    <definedName name="CoName" hidden="1">#REF!</definedName>
    <definedName name="connectivity">#REF!</definedName>
    <definedName name="connectivity1">#REF!</definedName>
    <definedName name="consol_standalone" localSheetId="4">#REF!</definedName>
    <definedName name="consol_standalone" localSheetId="5">#REF!</definedName>
    <definedName name="consol_standalone" localSheetId="15">#REF!</definedName>
    <definedName name="consol_standalone" localSheetId="19">#REF!</definedName>
    <definedName name="consol_standalone" localSheetId="18">#REF!</definedName>
    <definedName name="consol_standalone" localSheetId="14">#REF!</definedName>
    <definedName name="consol_standalone" localSheetId="12">#REF!</definedName>
    <definedName name="consol_standalone" localSheetId="24">#REF!</definedName>
    <definedName name="consol_standalone" localSheetId="7">#REF!</definedName>
    <definedName name="consol_standalone" localSheetId="20">#REF!</definedName>
    <definedName name="consol_standalone" localSheetId="21">#REF!</definedName>
    <definedName name="consol_standalone" localSheetId="11">#REF!</definedName>
    <definedName name="consol_standalone" localSheetId="17">#REF!</definedName>
    <definedName name="consol_standalone" localSheetId="16">#REF!</definedName>
    <definedName name="consol_standalone" localSheetId="22">#REF!</definedName>
    <definedName name="consol_standalone" localSheetId="9">#REF!</definedName>
    <definedName name="consol_standalone" localSheetId="13">#REF!</definedName>
    <definedName name="consol_standalone" localSheetId="23">#REF!</definedName>
    <definedName name="consol_standalone">#REF!</definedName>
    <definedName name="CONSTANT" localSheetId="4">#REF!</definedName>
    <definedName name="CONSTANT" localSheetId="5">#REF!</definedName>
    <definedName name="CONSTANT" localSheetId="15">#REF!</definedName>
    <definedName name="CONSTANT" localSheetId="19">#REF!</definedName>
    <definedName name="CONSTANT" localSheetId="18">#REF!</definedName>
    <definedName name="CONSTANT" localSheetId="14">#REF!</definedName>
    <definedName name="CONSTANT" localSheetId="12">#REF!</definedName>
    <definedName name="CONSTANT" localSheetId="24">#REF!</definedName>
    <definedName name="CONSTANT" localSheetId="7">#REF!</definedName>
    <definedName name="CONSTANT" localSheetId="20">#REF!</definedName>
    <definedName name="CONSTANT" localSheetId="21">#REF!</definedName>
    <definedName name="CONSTANT" localSheetId="11">#REF!</definedName>
    <definedName name="CONSTANT" localSheetId="17">#REF!</definedName>
    <definedName name="CONSTANT" localSheetId="16">#REF!</definedName>
    <definedName name="CONSTANT" localSheetId="22">#REF!</definedName>
    <definedName name="CONSTANT" localSheetId="9">#REF!</definedName>
    <definedName name="CONSTANT" localSheetId="13">#REF!</definedName>
    <definedName name="CONSTANT" localSheetId="23">#REF!</definedName>
    <definedName name="CONSTANT">#REF!</definedName>
    <definedName name="consumption">#REF!</definedName>
    <definedName name="ContrbUnit">#REF!</definedName>
    <definedName name="ContrbVal">#REF!</definedName>
    <definedName name="Contribution_to_PF">#REF!</definedName>
    <definedName name="ConversionOfDebentures" localSheetId="4">#REF!</definedName>
    <definedName name="ConversionOfDebentures" localSheetId="9">#REF!</definedName>
    <definedName name="ConversionOfDebentures">#REF!</definedName>
    <definedName name="convertible_bonds">#REF!</definedName>
    <definedName name="cop" localSheetId="4">#REF!</definedName>
    <definedName name="cop" localSheetId="5">#REF!</definedName>
    <definedName name="cop" localSheetId="15">#REF!</definedName>
    <definedName name="cop" localSheetId="19">#REF!</definedName>
    <definedName name="cop" localSheetId="18">#REF!</definedName>
    <definedName name="cop" localSheetId="14">#REF!</definedName>
    <definedName name="cop" localSheetId="12">#REF!</definedName>
    <definedName name="cop" localSheetId="24">#REF!</definedName>
    <definedName name="cop" localSheetId="7">#REF!</definedName>
    <definedName name="cop" localSheetId="20">#REF!</definedName>
    <definedName name="cop" localSheetId="21">#REF!</definedName>
    <definedName name="cop" localSheetId="11">#REF!</definedName>
    <definedName name="cop" localSheetId="17">#REF!</definedName>
    <definedName name="cop" localSheetId="16">#REF!</definedName>
    <definedName name="cop" localSheetId="22">#REF!</definedName>
    <definedName name="cop" localSheetId="9">#REF!</definedName>
    <definedName name="cop" localSheetId="13">#REF!</definedName>
    <definedName name="cop" localSheetId="23">#REF!</definedName>
    <definedName name="cop">#REF!</definedName>
    <definedName name="Core_Average_Invested_Capital_Actual" localSheetId="4">#REF!</definedName>
    <definedName name="Core_Average_Invested_Capital_Actual" localSheetId="5">#REF!</definedName>
    <definedName name="Core_Average_Invested_Capital_Actual" localSheetId="15">#REF!</definedName>
    <definedName name="Core_Average_Invested_Capital_Actual" localSheetId="19">#REF!</definedName>
    <definedName name="Core_Average_Invested_Capital_Actual" localSheetId="18">#REF!</definedName>
    <definedName name="Core_Average_Invested_Capital_Actual" localSheetId="14">#REF!</definedName>
    <definedName name="Core_Average_Invested_Capital_Actual" localSheetId="12">#REF!</definedName>
    <definedName name="Core_Average_Invested_Capital_Actual" localSheetId="24">#REF!</definedName>
    <definedName name="Core_Average_Invested_Capital_Actual" localSheetId="7">#REF!</definedName>
    <definedName name="Core_Average_Invested_Capital_Actual" localSheetId="20">#REF!</definedName>
    <definedName name="Core_Average_Invested_Capital_Actual" localSheetId="21">#REF!</definedName>
    <definedName name="Core_Average_Invested_Capital_Actual" localSheetId="11">#REF!</definedName>
    <definedName name="Core_Average_Invested_Capital_Actual" localSheetId="17">#REF!</definedName>
    <definedName name="Core_Average_Invested_Capital_Actual" localSheetId="16">#REF!</definedName>
    <definedName name="Core_Average_Invested_Capital_Actual" localSheetId="22">#REF!</definedName>
    <definedName name="Core_Average_Invested_Capital_Actual" localSheetId="9">#REF!</definedName>
    <definedName name="Core_Average_Invested_Capital_Actual" localSheetId="13">#REF!</definedName>
    <definedName name="Core_Average_Invested_Capital_Actual" localSheetId="23">#REF!</definedName>
    <definedName name="Core_Average_Invested_Capital_Actual">#REF!</definedName>
    <definedName name="Core_Incremental_Invested_Capital" localSheetId="4">#REF!</definedName>
    <definedName name="Core_Incremental_Invested_Capital" localSheetId="5">#REF!</definedName>
    <definedName name="Core_Incremental_Invested_Capital" localSheetId="15">#REF!</definedName>
    <definedName name="Core_Incremental_Invested_Capital" localSheetId="19">#REF!</definedName>
    <definedName name="Core_Incremental_Invested_Capital" localSheetId="18">#REF!</definedName>
    <definedName name="Core_Incremental_Invested_Capital" localSheetId="14">#REF!</definedName>
    <definedName name="Core_Incremental_Invested_Capital" localSheetId="12">#REF!</definedName>
    <definedName name="Core_Incremental_Invested_Capital" localSheetId="24">#REF!</definedName>
    <definedName name="Core_Incremental_Invested_Capital" localSheetId="7">#REF!</definedName>
    <definedName name="Core_Incremental_Invested_Capital" localSheetId="20">#REF!</definedName>
    <definedName name="Core_Incremental_Invested_Capital" localSheetId="21">#REF!</definedName>
    <definedName name="Core_Incremental_Invested_Capital" localSheetId="11">#REF!</definedName>
    <definedName name="Core_Incremental_Invested_Capital" localSheetId="17">#REF!</definedName>
    <definedName name="Core_Incremental_Invested_Capital" localSheetId="16">#REF!</definedName>
    <definedName name="Core_Incremental_Invested_Capital" localSheetId="22">#REF!</definedName>
    <definedName name="Core_Incremental_Invested_Capital" localSheetId="9">#REF!</definedName>
    <definedName name="Core_Incremental_Invested_Capital" localSheetId="13">#REF!</definedName>
    <definedName name="Core_Incremental_Invested_Capital" localSheetId="23">#REF!</definedName>
    <definedName name="Core_Incremental_Invested_Capital">#REF!</definedName>
    <definedName name="Core_Invested_Capital_Actual" localSheetId="4">#REF!</definedName>
    <definedName name="Core_Invested_Capital_Actual" localSheetId="9">#REF!</definedName>
    <definedName name="Core_Invested_Capital_Actual">#REF!</definedName>
    <definedName name="Core_Invested_Capital_growth" localSheetId="4">#REF!</definedName>
    <definedName name="Core_Invested_Capital_growth" localSheetId="9">#REF!</definedName>
    <definedName name="Core_Invested_Capital_growth">#REF!</definedName>
    <definedName name="Core_Invested_Capital_turns" localSheetId="4">#REF!</definedName>
    <definedName name="Core_Invested_Capital_turns" localSheetId="9">#REF!</definedName>
    <definedName name="Core_Invested_Capital_turns">#REF!</definedName>
    <definedName name="Corporate_Dividend_Tax_BS">#REF!</definedName>
    <definedName name="Corporate_Dividend_Tax_PL">#REF!</definedName>
    <definedName name="Corporate_Value" localSheetId="4">#REF!</definedName>
    <definedName name="Corporate_Value" localSheetId="9">#REF!</definedName>
    <definedName name="Corporate_Value">#REF!</definedName>
    <definedName name="Cost" localSheetId="4">#REF!</definedName>
    <definedName name="Cost" localSheetId="5">#REF!</definedName>
    <definedName name="Cost" localSheetId="15">#REF!</definedName>
    <definedName name="Cost" localSheetId="19">#REF!</definedName>
    <definedName name="Cost" localSheetId="18">#REF!</definedName>
    <definedName name="Cost" localSheetId="14">#REF!</definedName>
    <definedName name="Cost" localSheetId="12">#REF!</definedName>
    <definedName name="Cost" localSheetId="24">#REF!</definedName>
    <definedName name="Cost" localSheetId="7">#REF!</definedName>
    <definedName name="Cost" localSheetId="20">#REF!</definedName>
    <definedName name="Cost" localSheetId="21">#REF!</definedName>
    <definedName name="Cost" localSheetId="11">#REF!</definedName>
    <definedName name="Cost" localSheetId="17">#REF!</definedName>
    <definedName name="Cost" localSheetId="16">#REF!</definedName>
    <definedName name="Cost" localSheetId="22">#REF!</definedName>
    <definedName name="Cost" localSheetId="9">#REF!</definedName>
    <definedName name="Cost" localSheetId="13">#REF!</definedName>
    <definedName name="Cost" localSheetId="23">#REF!</definedName>
    <definedName name="Cost">#REF!</definedName>
    <definedName name="Cost_of_borrowings_Q" localSheetId="4">#REF!</definedName>
    <definedName name="Cost_of_borrowings_Q" localSheetId="5">#REF!</definedName>
    <definedName name="Cost_of_borrowings_Q" localSheetId="15">#REF!</definedName>
    <definedName name="Cost_of_borrowings_Q" localSheetId="19">#REF!</definedName>
    <definedName name="Cost_of_borrowings_Q" localSheetId="18">#REF!</definedName>
    <definedName name="Cost_of_borrowings_Q" localSheetId="14">#REF!</definedName>
    <definedName name="Cost_of_borrowings_Q" localSheetId="12">#REF!</definedName>
    <definedName name="Cost_of_borrowings_Q" localSheetId="24">#REF!</definedName>
    <definedName name="Cost_of_borrowings_Q" localSheetId="7">#REF!</definedName>
    <definedName name="Cost_of_borrowings_Q" localSheetId="20">#REF!</definedName>
    <definedName name="Cost_of_borrowings_Q" localSheetId="21">#REF!</definedName>
    <definedName name="Cost_of_borrowings_Q" localSheetId="11">#REF!</definedName>
    <definedName name="Cost_of_borrowings_Q" localSheetId="17">#REF!</definedName>
    <definedName name="Cost_of_borrowings_Q" localSheetId="16">#REF!</definedName>
    <definedName name="Cost_of_borrowings_Q" localSheetId="22">#REF!</definedName>
    <definedName name="Cost_of_borrowings_Q" localSheetId="9">#REF!</definedName>
    <definedName name="Cost_of_borrowings_Q" localSheetId="13">#REF!</definedName>
    <definedName name="Cost_of_borrowings_Q" localSheetId="23">#REF!</definedName>
    <definedName name="Cost_of_borrowings_Q">#REF!</definedName>
    <definedName name="cost_of_cap_growth" localSheetId="4">#REF!</definedName>
    <definedName name="cost_of_cap_growth" localSheetId="5">#REF!</definedName>
    <definedName name="cost_of_cap_growth" localSheetId="15">#REF!</definedName>
    <definedName name="cost_of_cap_growth" localSheetId="19">#REF!</definedName>
    <definedName name="cost_of_cap_growth" localSheetId="18">#REF!</definedName>
    <definedName name="cost_of_cap_growth" localSheetId="14">#REF!</definedName>
    <definedName name="cost_of_cap_growth" localSheetId="12">#REF!</definedName>
    <definedName name="cost_of_cap_growth" localSheetId="24">#REF!</definedName>
    <definedName name="cost_of_cap_growth" localSheetId="7">#REF!</definedName>
    <definedName name="cost_of_cap_growth" localSheetId="20">#REF!</definedName>
    <definedName name="cost_of_cap_growth" localSheetId="21">#REF!</definedName>
    <definedName name="cost_of_cap_growth" localSheetId="11">#REF!</definedName>
    <definedName name="cost_of_cap_growth" localSheetId="17">#REF!</definedName>
    <definedName name="cost_of_cap_growth" localSheetId="16">#REF!</definedName>
    <definedName name="cost_of_cap_growth" localSheetId="22">#REF!</definedName>
    <definedName name="cost_of_cap_growth" localSheetId="9">#REF!</definedName>
    <definedName name="cost_of_cap_growth" localSheetId="13">#REF!</definedName>
    <definedName name="cost_of_cap_growth" localSheetId="23">#REF!</definedName>
    <definedName name="cost_of_cap_growth">#REF!</definedName>
    <definedName name="cost_of_debt">#REF!</definedName>
    <definedName name="cost_of_equity">#REF!</definedName>
    <definedName name="Cost_of_funds_Q">#REF!</definedName>
    <definedName name="Cost_of_interest_bearing_liabilities">#REF!</definedName>
    <definedName name="Cost_of_sales_net_of_D_A" localSheetId="4">#REF!</definedName>
    <definedName name="Cost_of_sales_net_of_D_A" localSheetId="9">#REF!</definedName>
    <definedName name="Cost_of_sales_net_of_D_A">#REF!</definedName>
    <definedName name="Costing">#REF!</definedName>
    <definedName name="cot" localSheetId="4">#REF!</definedName>
    <definedName name="cot" localSheetId="5">#REF!</definedName>
    <definedName name="cot" localSheetId="15">#REF!</definedName>
    <definedName name="cot" localSheetId="19">#REF!</definedName>
    <definedName name="cot" localSheetId="18">#REF!</definedName>
    <definedName name="cot" localSheetId="14">#REF!</definedName>
    <definedName name="cot" localSheetId="12">#REF!</definedName>
    <definedName name="cot" localSheetId="24">#REF!</definedName>
    <definedName name="cot" localSheetId="7">#REF!</definedName>
    <definedName name="cot" localSheetId="20">#REF!</definedName>
    <definedName name="cot" localSheetId="21">#REF!</definedName>
    <definedName name="cot" localSheetId="11">#REF!</definedName>
    <definedName name="cot" localSheetId="17">#REF!</definedName>
    <definedName name="cot" localSheetId="16">#REF!</definedName>
    <definedName name="cot" localSheetId="22">#REF!</definedName>
    <definedName name="cot" localSheetId="9">#REF!</definedName>
    <definedName name="cot" localSheetId="13">#REF!</definedName>
    <definedName name="cot" localSheetId="23">#REF!</definedName>
    <definedName name="cot">#REF!</definedName>
    <definedName name="CoTD12" localSheetId="4">#REF!</definedName>
    <definedName name="CoTD12" localSheetId="5">#REF!</definedName>
    <definedName name="CoTD12" localSheetId="15">#REF!</definedName>
    <definedName name="CoTD12" localSheetId="19">#REF!</definedName>
    <definedName name="CoTD12" localSheetId="18">#REF!</definedName>
    <definedName name="CoTD12" localSheetId="14">#REF!</definedName>
    <definedName name="CoTD12" localSheetId="12">#REF!</definedName>
    <definedName name="CoTD12" localSheetId="24">#REF!</definedName>
    <definedName name="CoTD12" localSheetId="7">#REF!</definedName>
    <definedName name="CoTD12" localSheetId="20">#REF!</definedName>
    <definedName name="CoTD12" localSheetId="21">#REF!</definedName>
    <definedName name="CoTD12" localSheetId="11">#REF!</definedName>
    <definedName name="CoTD12" localSheetId="17">#REF!</definedName>
    <definedName name="CoTD12" localSheetId="16">#REF!</definedName>
    <definedName name="CoTD12" localSheetId="22">#REF!</definedName>
    <definedName name="CoTD12" localSheetId="9">#REF!</definedName>
    <definedName name="CoTD12" localSheetId="13">#REF!</definedName>
    <definedName name="CoTD12" localSheetId="23">#REF!</definedName>
    <definedName name="CoTD12">#REF!</definedName>
    <definedName name="CoTD13" localSheetId="4">#REF!</definedName>
    <definedName name="CoTD13" localSheetId="5">#REF!</definedName>
    <definedName name="CoTD13" localSheetId="15">#REF!</definedName>
    <definedName name="CoTD13" localSheetId="19">#REF!</definedName>
    <definedName name="CoTD13" localSheetId="18">#REF!</definedName>
    <definedName name="CoTD13" localSheetId="14">#REF!</definedName>
    <definedName name="CoTD13" localSheetId="12">#REF!</definedName>
    <definedName name="CoTD13" localSheetId="24">#REF!</definedName>
    <definedName name="CoTD13" localSheetId="7">#REF!</definedName>
    <definedName name="CoTD13" localSheetId="20">#REF!</definedName>
    <definedName name="CoTD13" localSheetId="21">#REF!</definedName>
    <definedName name="CoTD13" localSheetId="11">#REF!</definedName>
    <definedName name="CoTD13" localSheetId="17">#REF!</definedName>
    <definedName name="CoTD13" localSheetId="16">#REF!</definedName>
    <definedName name="CoTD13" localSheetId="22">#REF!</definedName>
    <definedName name="CoTD13" localSheetId="9">#REF!</definedName>
    <definedName name="CoTD13" localSheetId="13">#REF!</definedName>
    <definedName name="CoTD13" localSheetId="23">#REF!</definedName>
    <definedName name="CoTD13">#REF!</definedName>
    <definedName name="Country">"UK"</definedName>
    <definedName name="COUNTRYa" localSheetId="4">#REF!</definedName>
    <definedName name="COUNTRYa" localSheetId="9">#REF!</definedName>
    <definedName name="COUNTRYa">#REF!</definedName>
    <definedName name="CP">#REF!</definedName>
    <definedName name="CPL_BM112" localSheetId="4">#REF!</definedName>
    <definedName name="CPL_BM112" localSheetId="5">#REF!</definedName>
    <definedName name="CPL_BM112" localSheetId="15">#REF!</definedName>
    <definedName name="CPL_BM112" localSheetId="19">#REF!</definedName>
    <definedName name="CPL_BM112" localSheetId="18">#REF!</definedName>
    <definedName name="CPL_BM112" localSheetId="14">#REF!</definedName>
    <definedName name="CPL_BM112" localSheetId="12">#REF!</definedName>
    <definedName name="CPL_BM112" localSheetId="24">#REF!</definedName>
    <definedName name="CPL_BM112" localSheetId="7">#REF!</definedName>
    <definedName name="CPL_BM112" localSheetId="20">#REF!</definedName>
    <definedName name="CPL_BM112" localSheetId="21">#REF!</definedName>
    <definedName name="CPL_BM112" localSheetId="11">#REF!</definedName>
    <definedName name="CPL_BM112" localSheetId="17">#REF!</definedName>
    <definedName name="CPL_BM112" localSheetId="16">#REF!</definedName>
    <definedName name="CPL_BM112" localSheetId="22">#REF!</definedName>
    <definedName name="CPL_BM112" localSheetId="9">#REF!</definedName>
    <definedName name="CPL_BM112" localSheetId="13">#REF!</definedName>
    <definedName name="CPL_BM112" localSheetId="23">#REF!</definedName>
    <definedName name="CPL_BM112">#REF!</definedName>
    <definedName name="CPL_BM113" localSheetId="4">#REF!</definedName>
    <definedName name="CPL_BM113" localSheetId="5">#REF!</definedName>
    <definedName name="CPL_BM113" localSheetId="15">#REF!</definedName>
    <definedName name="CPL_BM113" localSheetId="19">#REF!</definedName>
    <definedName name="CPL_BM113" localSheetId="18">#REF!</definedName>
    <definedName name="CPL_BM113" localSheetId="14">#REF!</definedName>
    <definedName name="CPL_BM113" localSheetId="12">#REF!</definedName>
    <definedName name="CPL_BM113" localSheetId="24">#REF!</definedName>
    <definedName name="CPL_BM113" localSheetId="7">#REF!</definedName>
    <definedName name="CPL_BM113" localSheetId="20">#REF!</definedName>
    <definedName name="CPL_BM113" localSheetId="21">#REF!</definedName>
    <definedName name="CPL_BM113" localSheetId="11">#REF!</definedName>
    <definedName name="CPL_BM113" localSheetId="17">#REF!</definedName>
    <definedName name="CPL_BM113" localSheetId="16">#REF!</definedName>
    <definedName name="CPL_BM113" localSheetId="22">#REF!</definedName>
    <definedName name="CPL_BM113" localSheetId="9">#REF!</definedName>
    <definedName name="CPL_BM113" localSheetId="13">#REF!</definedName>
    <definedName name="CPL_BM113" localSheetId="23">#REF!</definedName>
    <definedName name="CPL_BM113">#REF!</definedName>
    <definedName name="CPL_BM114" localSheetId="4">#REF!</definedName>
    <definedName name="CPL_BM114" localSheetId="5">#REF!</definedName>
    <definedName name="CPL_BM114" localSheetId="15">#REF!</definedName>
    <definedName name="CPL_BM114" localSheetId="19">#REF!</definedName>
    <definedName name="CPL_BM114" localSheetId="18">#REF!</definedName>
    <definedName name="CPL_BM114" localSheetId="14">#REF!</definedName>
    <definedName name="CPL_BM114" localSheetId="12">#REF!</definedName>
    <definedName name="CPL_BM114" localSheetId="24">#REF!</definedName>
    <definedName name="CPL_BM114" localSheetId="7">#REF!</definedName>
    <definedName name="CPL_BM114" localSheetId="20">#REF!</definedName>
    <definedName name="CPL_BM114" localSheetId="21">#REF!</definedName>
    <definedName name="CPL_BM114" localSheetId="11">#REF!</definedName>
    <definedName name="CPL_BM114" localSheetId="17">#REF!</definedName>
    <definedName name="CPL_BM114" localSheetId="16">#REF!</definedName>
    <definedName name="CPL_BM114" localSheetId="22">#REF!</definedName>
    <definedName name="CPL_BM114" localSheetId="9">#REF!</definedName>
    <definedName name="CPL_BM114" localSheetId="13">#REF!</definedName>
    <definedName name="CPL_BM114" localSheetId="23">#REF!</definedName>
    <definedName name="CPL_BM114">#REF!</definedName>
    <definedName name="CPL_BM115" localSheetId="4">#REF!</definedName>
    <definedName name="CPL_BM115" localSheetId="9">#REF!</definedName>
    <definedName name="CPL_BM115">#REF!</definedName>
    <definedName name="CPL_BM116" localSheetId="4">#REF!</definedName>
    <definedName name="CPL_BM116" localSheetId="9">#REF!</definedName>
    <definedName name="CPL_BM116">#REF!</definedName>
    <definedName name="CPL_BM117" localSheetId="4">#REF!</definedName>
    <definedName name="CPL_BM117" localSheetId="9">#REF!</definedName>
    <definedName name="CPL_BM117">#REF!</definedName>
    <definedName name="CPL_BM118" localSheetId="4">#REF!</definedName>
    <definedName name="CPL_BM118" localSheetId="9">#REF!</definedName>
    <definedName name="CPL_BM118">#REF!</definedName>
    <definedName name="CPL_BM120" localSheetId="4">#REF!</definedName>
    <definedName name="CPL_BM120" localSheetId="9">#REF!</definedName>
    <definedName name="CPL_BM120">#REF!</definedName>
    <definedName name="CPL_BM121" localSheetId="4">#REF!</definedName>
    <definedName name="CPL_BM121" localSheetId="9">#REF!</definedName>
    <definedName name="CPL_BM121">#REF!</definedName>
    <definedName name="CPL_BM122" localSheetId="4">#REF!</definedName>
    <definedName name="CPL_BM122" localSheetId="9">#REF!</definedName>
    <definedName name="CPL_BM122">#REF!</definedName>
    <definedName name="CPL_BM123" localSheetId="4">#REF!</definedName>
    <definedName name="CPL_BM123" localSheetId="9">#REF!</definedName>
    <definedName name="CPL_BM123">#REF!</definedName>
    <definedName name="CPL_BM124" localSheetId="4">#REF!</definedName>
    <definedName name="CPL_BM124" localSheetId="9">#REF!</definedName>
    <definedName name="CPL_BM124">#REF!</definedName>
    <definedName name="CPL_BM125" localSheetId="4">#REF!</definedName>
    <definedName name="CPL_BM125" localSheetId="9">#REF!</definedName>
    <definedName name="CPL_BM125">#REF!</definedName>
    <definedName name="CPL_BM126" localSheetId="4">#REF!</definedName>
    <definedName name="CPL_BM126" localSheetId="9">#REF!</definedName>
    <definedName name="CPL_BM126">#REF!</definedName>
    <definedName name="CPL_BM13" localSheetId="4">#REF!</definedName>
    <definedName name="CPL_BM13" localSheetId="9">#REF!</definedName>
    <definedName name="CPL_BM13">#REF!</definedName>
    <definedName name="CPL_BM14" localSheetId="4">#REF!</definedName>
    <definedName name="CPL_BM14" localSheetId="9">#REF!</definedName>
    <definedName name="CPL_BM14">#REF!</definedName>
    <definedName name="CPL_BM15" localSheetId="4">#REF!</definedName>
    <definedName name="CPL_BM15" localSheetId="9">#REF!</definedName>
    <definedName name="CPL_BM15">#REF!</definedName>
    <definedName name="CPL_BM16" localSheetId="4">#REF!</definedName>
    <definedName name="CPL_BM16" localSheetId="9">#REF!</definedName>
    <definedName name="CPL_BM16">#REF!</definedName>
    <definedName name="CPL_BM17" localSheetId="4">#REF!</definedName>
    <definedName name="CPL_BM17" localSheetId="9">#REF!</definedName>
    <definedName name="CPL_BM17">#REF!</definedName>
    <definedName name="CPL_BM18" localSheetId="4">#REF!</definedName>
    <definedName name="CPL_BM18" localSheetId="9">#REF!</definedName>
    <definedName name="CPL_BM18">#REF!</definedName>
    <definedName name="CPL_BM19" localSheetId="4">#REF!</definedName>
    <definedName name="CPL_BM19" localSheetId="9">#REF!</definedName>
    <definedName name="CPL_BM19">#REF!</definedName>
    <definedName name="CPL_BM21" localSheetId="4">#REF!</definedName>
    <definedName name="CPL_BM21" localSheetId="9">#REF!</definedName>
    <definedName name="CPL_BM21">#REF!</definedName>
    <definedName name="CPL_BM210_N0" localSheetId="4">#REF!</definedName>
    <definedName name="CPL_BM210_N0" localSheetId="9">#REF!</definedName>
    <definedName name="CPL_BM210_N0">#REF!</definedName>
    <definedName name="CPL_BM211_N0" localSheetId="4">#REF!</definedName>
    <definedName name="CPL_BM211_N0" localSheetId="9">#REF!</definedName>
    <definedName name="CPL_BM211_N0">#REF!</definedName>
    <definedName name="CPL_BM212_N0" localSheetId="4">#REF!</definedName>
    <definedName name="CPL_BM212_N0" localSheetId="9">#REF!</definedName>
    <definedName name="CPL_BM212_N0">#REF!</definedName>
    <definedName name="CPL_BM213_N0" localSheetId="4">#REF!</definedName>
    <definedName name="CPL_BM213_N0" localSheetId="9">#REF!</definedName>
    <definedName name="CPL_BM213_N0">#REF!</definedName>
    <definedName name="CPL_BM214_N0" localSheetId="4">#REF!</definedName>
    <definedName name="CPL_BM214_N0" localSheetId="9">#REF!</definedName>
    <definedName name="CPL_BM214_N0">#REF!</definedName>
    <definedName name="CPL_BM215_N0" localSheetId="4">#REF!</definedName>
    <definedName name="CPL_BM215_N0" localSheetId="9">#REF!</definedName>
    <definedName name="CPL_BM215_N0">#REF!</definedName>
    <definedName name="CPL_BM216_N0" localSheetId="4">#REF!</definedName>
    <definedName name="CPL_BM216_N0" localSheetId="9">#REF!</definedName>
    <definedName name="CPL_BM216_N0">#REF!</definedName>
    <definedName name="CPL_BM217_N1" localSheetId="4">#REF!</definedName>
    <definedName name="CPL_BM217_N1" localSheetId="9">#REF!</definedName>
    <definedName name="CPL_BM217_N1">#REF!</definedName>
    <definedName name="CPL_BM218" localSheetId="4">#REF!</definedName>
    <definedName name="CPL_BM218" localSheetId="9">#REF!</definedName>
    <definedName name="CPL_BM218">#REF!</definedName>
    <definedName name="CPL_BM218_N1" localSheetId="4">#REF!</definedName>
    <definedName name="CPL_BM218_N1" localSheetId="9">#REF!</definedName>
    <definedName name="CPL_BM218_N1">#REF!</definedName>
    <definedName name="CPL_BM219_N1" localSheetId="4">#REF!</definedName>
    <definedName name="CPL_BM219_N1" localSheetId="9">#REF!</definedName>
    <definedName name="CPL_BM219_N1">#REF!</definedName>
    <definedName name="CPL_BM22_N0" localSheetId="4">#REF!</definedName>
    <definedName name="CPL_BM22_N0" localSheetId="9">#REF!</definedName>
    <definedName name="CPL_BM22_N0">#REF!</definedName>
    <definedName name="CPL_BM220_N1" localSheetId="4">#REF!</definedName>
    <definedName name="CPL_BM220_N1" localSheetId="9">#REF!</definedName>
    <definedName name="CPL_BM220_N1">#REF!</definedName>
    <definedName name="CPL_BM221_N1" localSheetId="4">#REF!</definedName>
    <definedName name="CPL_BM221_N1" localSheetId="9">#REF!</definedName>
    <definedName name="CPL_BM221_N1">#REF!</definedName>
    <definedName name="CPL_BM222_P0" localSheetId="4">#REF!</definedName>
    <definedName name="CPL_BM222_P0" localSheetId="9">#REF!</definedName>
    <definedName name="CPL_BM222_P0">#REF!</definedName>
    <definedName name="CPL_BM223_P0" localSheetId="4">#REF!</definedName>
    <definedName name="CPL_BM223_P0" localSheetId="9">#REF!</definedName>
    <definedName name="CPL_BM223_P0">#REF!</definedName>
    <definedName name="CPL_BM224_P0" localSheetId="4">#REF!</definedName>
    <definedName name="CPL_BM224_P0" localSheetId="9">#REF!</definedName>
    <definedName name="CPL_BM224_P0">#REF!</definedName>
    <definedName name="CPL_BM225_P0" localSheetId="4">#REF!</definedName>
    <definedName name="CPL_BM225_P0" localSheetId="9">#REF!</definedName>
    <definedName name="CPL_BM225_P0">#REF!</definedName>
    <definedName name="CPL_BM226_P0" localSheetId="4">#REF!</definedName>
    <definedName name="CPL_BM226_P0" localSheetId="9">#REF!</definedName>
    <definedName name="CPL_BM226_P0">#REF!</definedName>
    <definedName name="CPL_BM23_N0" localSheetId="4">#REF!</definedName>
    <definedName name="CPL_BM23_N0" localSheetId="9">#REF!</definedName>
    <definedName name="CPL_BM23_N0">#REF!</definedName>
    <definedName name="CPL_BM24_N0" localSheetId="4">#REF!</definedName>
    <definedName name="CPL_BM24_N0" localSheetId="9">#REF!</definedName>
    <definedName name="CPL_BM24_N0">#REF!</definedName>
    <definedName name="CPL_BM25_N0" localSheetId="4">#REF!</definedName>
    <definedName name="CPL_BM25_N0" localSheetId="9">#REF!</definedName>
    <definedName name="CPL_BM25_N0">#REF!</definedName>
    <definedName name="CPL_BM26_N0" localSheetId="4">#REF!</definedName>
    <definedName name="CPL_BM26_N0" localSheetId="9">#REF!</definedName>
    <definedName name="CPL_BM26_N0">#REF!</definedName>
    <definedName name="CPL_BM27_N0" localSheetId="4">#REF!</definedName>
    <definedName name="CPL_BM27_N0" localSheetId="9">#REF!</definedName>
    <definedName name="CPL_BM27_N0">#REF!</definedName>
    <definedName name="CPL_BM28_N0" localSheetId="4">#REF!</definedName>
    <definedName name="CPL_BM28_N0" localSheetId="9">#REF!</definedName>
    <definedName name="CPL_BM28_N0">#REF!</definedName>
    <definedName name="CPL_BM29_N0" localSheetId="4">#REF!</definedName>
    <definedName name="CPL_BM29_N0" localSheetId="9">#REF!</definedName>
    <definedName name="CPL_BM29_N0">#REF!</definedName>
    <definedName name="CPL_BM31" localSheetId="4">#REF!</definedName>
    <definedName name="CPL_BM31" localSheetId="9">#REF!</definedName>
    <definedName name="CPL_BM31">#REF!</definedName>
    <definedName name="CPL_BM310_N0" localSheetId="4">#REF!</definedName>
    <definedName name="CPL_BM310_N0" localSheetId="9">#REF!</definedName>
    <definedName name="CPL_BM310_N0">#REF!</definedName>
    <definedName name="CPL_BM311_N0" localSheetId="4">#REF!</definedName>
    <definedName name="CPL_BM311_N0" localSheetId="9">#REF!</definedName>
    <definedName name="CPL_BM311_N0">#REF!</definedName>
    <definedName name="CPL_BM312_N0" localSheetId="4">#REF!</definedName>
    <definedName name="CPL_BM312_N0" localSheetId="9">#REF!</definedName>
    <definedName name="CPL_BM312_N0">#REF!</definedName>
    <definedName name="CPL_BM313_N0" localSheetId="4">#REF!</definedName>
    <definedName name="CPL_BM313_N0" localSheetId="9">#REF!</definedName>
    <definedName name="CPL_BM313_N0">#REF!</definedName>
    <definedName name="CPL_BM314_N0" localSheetId="4">#REF!</definedName>
    <definedName name="CPL_BM314_N0" localSheetId="9">#REF!</definedName>
    <definedName name="CPL_BM314_N0">#REF!</definedName>
    <definedName name="CPL_BM315_N0" localSheetId="4">#REF!</definedName>
    <definedName name="CPL_BM315_N0" localSheetId="9">#REF!</definedName>
    <definedName name="CPL_BM315_N0">#REF!</definedName>
    <definedName name="CPL_BM316_N0" localSheetId="4">#REF!</definedName>
    <definedName name="CPL_BM316_N0" localSheetId="9">#REF!</definedName>
    <definedName name="CPL_BM316_N0">#REF!</definedName>
    <definedName name="CPL_BM317_N1" localSheetId="4">#REF!</definedName>
    <definedName name="CPL_BM317_N1" localSheetId="9">#REF!</definedName>
    <definedName name="CPL_BM317_N1">#REF!</definedName>
    <definedName name="CPL_BM318" localSheetId="4">#REF!</definedName>
    <definedName name="CPL_BM318" localSheetId="9">#REF!</definedName>
    <definedName name="CPL_BM318">#REF!</definedName>
    <definedName name="CPL_BM318_N1" localSheetId="4">#REF!</definedName>
    <definedName name="CPL_BM318_N1" localSheetId="9">#REF!</definedName>
    <definedName name="CPL_BM318_N1">#REF!</definedName>
    <definedName name="CPL_BM319_N1" localSheetId="4">#REF!</definedName>
    <definedName name="CPL_BM319_N1" localSheetId="9">#REF!</definedName>
    <definedName name="CPL_BM319_N1">#REF!</definedName>
    <definedName name="CPL_BM32_N0" localSheetId="4">#REF!</definedName>
    <definedName name="CPL_BM32_N0" localSheetId="9">#REF!</definedName>
    <definedName name="CPL_BM32_N0">#REF!</definedName>
    <definedName name="CPL_BM320_N1" localSheetId="4">#REF!</definedName>
    <definedName name="CPL_BM320_N1" localSheetId="9">#REF!</definedName>
    <definedName name="CPL_BM320_N1">#REF!</definedName>
    <definedName name="CPL_BM321_N1" localSheetId="4">#REF!</definedName>
    <definedName name="CPL_BM321_N1" localSheetId="9">#REF!</definedName>
    <definedName name="CPL_BM321_N1">#REF!</definedName>
    <definedName name="CPL_BM322_P0" localSheetId="4">#REF!</definedName>
    <definedName name="CPL_BM322_P0" localSheetId="9">#REF!</definedName>
    <definedName name="CPL_BM322_P0">#REF!</definedName>
    <definedName name="CPL_BM323_P0" localSheetId="4">#REF!</definedName>
    <definedName name="CPL_BM323_P0" localSheetId="9">#REF!</definedName>
    <definedName name="CPL_BM323_P0">#REF!</definedName>
    <definedName name="CPL_BM324_P0" localSheetId="4">#REF!</definedName>
    <definedName name="CPL_BM324_P0" localSheetId="9">#REF!</definedName>
    <definedName name="CPL_BM324_P0">#REF!</definedName>
    <definedName name="CPL_BM325_P0" localSheetId="4">#REF!</definedName>
    <definedName name="CPL_BM325_P0" localSheetId="9">#REF!</definedName>
    <definedName name="CPL_BM325_P0">#REF!</definedName>
    <definedName name="CPL_BM326_P0" localSheetId="4">#REF!</definedName>
    <definedName name="CPL_BM326_P0" localSheetId="9">#REF!</definedName>
    <definedName name="CPL_BM326_P0">#REF!</definedName>
    <definedName name="CPL_BM33_N0" localSheetId="4">#REF!</definedName>
    <definedName name="CPL_BM33_N0" localSheetId="9">#REF!</definedName>
    <definedName name="CPL_BM33_N0">#REF!</definedName>
    <definedName name="CPL_BM34_N0" localSheetId="4">#REF!</definedName>
    <definedName name="CPL_BM34_N0" localSheetId="9">#REF!</definedName>
    <definedName name="CPL_BM34_N0">#REF!</definedName>
    <definedName name="CPL_BM35_N0" localSheetId="4">#REF!</definedName>
    <definedName name="CPL_BM35_N0" localSheetId="9">#REF!</definedName>
    <definedName name="CPL_BM35_N0">#REF!</definedName>
    <definedName name="CPL_BM36_N0" localSheetId="4">#REF!</definedName>
    <definedName name="CPL_BM36_N0" localSheetId="9">#REF!</definedName>
    <definedName name="CPL_BM36_N0">#REF!</definedName>
    <definedName name="CPL_BM37_N0" localSheetId="4">#REF!</definedName>
    <definedName name="CPL_BM37_N0" localSheetId="9">#REF!</definedName>
    <definedName name="CPL_BM37_N0">#REF!</definedName>
    <definedName name="CPL_BM38_N0" localSheetId="4">#REF!</definedName>
    <definedName name="CPL_BM38_N0" localSheetId="9">#REF!</definedName>
    <definedName name="CPL_BM38_N0">#REF!</definedName>
    <definedName name="CPL_BM39_N0" localSheetId="4">#REF!</definedName>
    <definedName name="CPL_BM39_N0" localSheetId="9">#REF!</definedName>
    <definedName name="CPL_BM39_N0">#REF!</definedName>
    <definedName name="CPL_BM41" localSheetId="4">#REF!</definedName>
    <definedName name="CPL_BM41" localSheetId="9">#REF!</definedName>
    <definedName name="CPL_BM41">#REF!</definedName>
    <definedName name="CPL_BM410_N0" localSheetId="4">#REF!</definedName>
    <definedName name="CPL_BM410_N0" localSheetId="9">#REF!</definedName>
    <definedName name="CPL_BM410_N0">#REF!</definedName>
    <definedName name="CPL_BM411_N0" localSheetId="4">#REF!</definedName>
    <definedName name="CPL_BM411_N0" localSheetId="9">#REF!</definedName>
    <definedName name="CPL_BM411_N0">#REF!</definedName>
    <definedName name="CPL_BM412_N0" localSheetId="4">#REF!</definedName>
    <definedName name="CPL_BM412_N0" localSheetId="9">#REF!</definedName>
    <definedName name="CPL_BM412_N0">#REF!</definedName>
    <definedName name="CPL_BM413_N0" localSheetId="4">#REF!</definedName>
    <definedName name="CPL_BM413_N0" localSheetId="9">#REF!</definedName>
    <definedName name="CPL_BM413_N0">#REF!</definedName>
    <definedName name="CPL_BM414_N0" localSheetId="4">#REF!</definedName>
    <definedName name="CPL_BM414_N0" localSheetId="9">#REF!</definedName>
    <definedName name="CPL_BM414_N0">#REF!</definedName>
    <definedName name="CPL_BM415_N0" localSheetId="4">#REF!</definedName>
    <definedName name="CPL_BM415_N0" localSheetId="9">#REF!</definedName>
    <definedName name="CPL_BM415_N0">#REF!</definedName>
    <definedName name="CPL_BM416_N0" localSheetId="4">#REF!</definedName>
    <definedName name="CPL_BM416_N0" localSheetId="9">#REF!</definedName>
    <definedName name="CPL_BM416_N0">#REF!</definedName>
    <definedName name="CPL_BM417_N1" localSheetId="4">#REF!</definedName>
    <definedName name="CPL_BM417_N1" localSheetId="9">#REF!</definedName>
    <definedName name="CPL_BM417_N1">#REF!</definedName>
    <definedName name="CPL_BM418" localSheetId="4">#REF!</definedName>
    <definedName name="CPL_BM418" localSheetId="9">#REF!</definedName>
    <definedName name="CPL_BM418">#REF!</definedName>
    <definedName name="CPL_BM418_N1" localSheetId="4">#REF!</definedName>
    <definedName name="CPL_BM418_N1" localSheetId="9">#REF!</definedName>
    <definedName name="CPL_BM418_N1">#REF!</definedName>
    <definedName name="CPL_BM419_N1" localSheetId="4">#REF!</definedName>
    <definedName name="CPL_BM419_N1" localSheetId="9">#REF!</definedName>
    <definedName name="CPL_BM419_N1">#REF!</definedName>
    <definedName name="CPL_BM42_N0" localSheetId="4">#REF!</definedName>
    <definedName name="CPL_BM42_N0" localSheetId="9">#REF!</definedName>
    <definedName name="CPL_BM42_N0">#REF!</definedName>
    <definedName name="CPL_BM420_N1" localSheetId="4">#REF!</definedName>
    <definedName name="CPL_BM420_N1" localSheetId="9">#REF!</definedName>
    <definedName name="CPL_BM420_N1">#REF!</definedName>
    <definedName name="CPL_BM421_N1" localSheetId="4">#REF!</definedName>
    <definedName name="CPL_BM421_N1" localSheetId="9">#REF!</definedName>
    <definedName name="CPL_BM421_N1">#REF!</definedName>
    <definedName name="CPL_BM422_P0" localSheetId="4">#REF!</definedName>
    <definedName name="CPL_BM422_P0" localSheetId="9">#REF!</definedName>
    <definedName name="CPL_BM422_P0">#REF!</definedName>
    <definedName name="CPL_BM423_P0" localSheetId="4">#REF!</definedName>
    <definedName name="CPL_BM423_P0" localSheetId="9">#REF!</definedName>
    <definedName name="CPL_BM423_P0">#REF!</definedName>
    <definedName name="CPL_BM424_P0" localSheetId="4">#REF!</definedName>
    <definedName name="CPL_BM424_P0" localSheetId="9">#REF!</definedName>
    <definedName name="CPL_BM424_P0">#REF!</definedName>
    <definedName name="CPL_BM425_P0" localSheetId="4">#REF!</definedName>
    <definedName name="CPL_BM425_P0" localSheetId="9">#REF!</definedName>
    <definedName name="CPL_BM425_P0">#REF!</definedName>
    <definedName name="CPL_BM426_P0" localSheetId="4">#REF!</definedName>
    <definedName name="CPL_BM426_P0" localSheetId="9">#REF!</definedName>
    <definedName name="CPL_BM426_P0">#REF!</definedName>
    <definedName name="CPL_BM43_N0" localSheetId="4">#REF!</definedName>
    <definedName name="CPL_BM43_N0" localSheetId="9">#REF!</definedName>
    <definedName name="CPL_BM43_N0">#REF!</definedName>
    <definedName name="CPL_BM44_N0" localSheetId="4">#REF!</definedName>
    <definedName name="CPL_BM44_N0" localSheetId="9">#REF!</definedName>
    <definedName name="CPL_BM44_N0">#REF!</definedName>
    <definedName name="CPL_BM45_N0" localSheetId="4">#REF!</definedName>
    <definedName name="CPL_BM45_N0" localSheetId="9">#REF!</definedName>
    <definedName name="CPL_BM45_N0">#REF!</definedName>
    <definedName name="CPL_BM46_N0" localSheetId="4">#REF!</definedName>
    <definedName name="CPL_BM46_N0" localSheetId="9">#REF!</definedName>
    <definedName name="CPL_BM46_N0">#REF!</definedName>
    <definedName name="CPL_BM47_N0" localSheetId="4">#REF!</definedName>
    <definedName name="CPL_BM47_N0" localSheetId="9">#REF!</definedName>
    <definedName name="CPL_BM47_N0">#REF!</definedName>
    <definedName name="CPL_BM48_N0" localSheetId="4">#REF!</definedName>
    <definedName name="CPL_BM48_N0" localSheetId="9">#REF!</definedName>
    <definedName name="CPL_BM48_N0">#REF!</definedName>
    <definedName name="CPL_BM49_N0" localSheetId="4">#REF!</definedName>
    <definedName name="CPL_BM49_N0" localSheetId="9">#REF!</definedName>
    <definedName name="CPL_BM49_N0">#REF!</definedName>
    <definedName name="CPL_BM51" localSheetId="4">#REF!</definedName>
    <definedName name="CPL_BM51" localSheetId="9">#REF!</definedName>
    <definedName name="CPL_BM51">#REF!</definedName>
    <definedName name="CPL_BM510_N0" localSheetId="4">#REF!</definedName>
    <definedName name="CPL_BM510_N0" localSheetId="9">#REF!</definedName>
    <definedName name="CPL_BM510_N0">#REF!</definedName>
    <definedName name="CPL_BM511_N0" localSheetId="4">#REF!</definedName>
    <definedName name="CPL_BM511_N0" localSheetId="9">#REF!</definedName>
    <definedName name="CPL_BM511_N0">#REF!</definedName>
    <definedName name="CPL_BM512_N0" localSheetId="4">#REF!</definedName>
    <definedName name="CPL_BM512_N0" localSheetId="9">#REF!</definedName>
    <definedName name="CPL_BM512_N0">#REF!</definedName>
    <definedName name="CPL_BM513_N0" localSheetId="4">#REF!</definedName>
    <definedName name="CPL_BM513_N0" localSheetId="9">#REF!</definedName>
    <definedName name="CPL_BM513_N0">#REF!</definedName>
    <definedName name="CPL_BM514_N0" localSheetId="4">#REF!</definedName>
    <definedName name="CPL_BM514_N0" localSheetId="9">#REF!</definedName>
    <definedName name="CPL_BM514_N0">#REF!</definedName>
    <definedName name="CPL_BM515_N0" localSheetId="4">#REF!</definedName>
    <definedName name="CPL_BM515_N0" localSheetId="9">#REF!</definedName>
    <definedName name="CPL_BM515_N0">#REF!</definedName>
    <definedName name="CPL_BM516_N0" localSheetId="4">#REF!</definedName>
    <definedName name="CPL_BM516_N0" localSheetId="9">#REF!</definedName>
    <definedName name="CPL_BM516_N0">#REF!</definedName>
    <definedName name="CPL_BM517_N1" localSheetId="4">#REF!</definedName>
    <definedName name="CPL_BM517_N1" localSheetId="9">#REF!</definedName>
    <definedName name="CPL_BM517_N1">#REF!</definedName>
    <definedName name="CPL_BM518" localSheetId="4">#REF!</definedName>
    <definedName name="CPL_BM518" localSheetId="9">#REF!</definedName>
    <definedName name="CPL_BM518">#REF!</definedName>
    <definedName name="CPL_BM518_N1" localSheetId="4">#REF!</definedName>
    <definedName name="CPL_BM518_N1" localSheetId="9">#REF!</definedName>
    <definedName name="CPL_BM518_N1">#REF!</definedName>
    <definedName name="CPL_BM52_N0" localSheetId="4">#REF!</definedName>
    <definedName name="CPL_BM52_N0" localSheetId="9">#REF!</definedName>
    <definedName name="CPL_BM52_N0">#REF!</definedName>
    <definedName name="CPL_BM520_N1" localSheetId="4">#REF!</definedName>
    <definedName name="CPL_BM520_N1" localSheetId="9">#REF!</definedName>
    <definedName name="CPL_BM520_N1">#REF!</definedName>
    <definedName name="CPL_BM521_N1" localSheetId="4">#REF!</definedName>
    <definedName name="CPL_BM521_N1" localSheetId="9">#REF!</definedName>
    <definedName name="CPL_BM521_N1">#REF!</definedName>
    <definedName name="CPL_BM522_P0" localSheetId="4">#REF!</definedName>
    <definedName name="CPL_BM522_P0" localSheetId="9">#REF!</definedName>
    <definedName name="CPL_BM522_P0">#REF!</definedName>
    <definedName name="CPL_BM523_P0" localSheetId="4">#REF!</definedName>
    <definedName name="CPL_BM523_P0" localSheetId="9">#REF!</definedName>
    <definedName name="CPL_BM523_P0">#REF!</definedName>
    <definedName name="CPL_BM524_P0" localSheetId="4">#REF!</definedName>
    <definedName name="CPL_BM524_P0" localSheetId="9">#REF!</definedName>
    <definedName name="CPL_BM524_P0">#REF!</definedName>
    <definedName name="CPL_BM525_P0" localSheetId="4">#REF!</definedName>
    <definedName name="CPL_BM525_P0" localSheetId="9">#REF!</definedName>
    <definedName name="CPL_BM525_P0">#REF!</definedName>
    <definedName name="CPL_BM526_P0" localSheetId="4">#REF!</definedName>
    <definedName name="CPL_BM526_P0" localSheetId="9">#REF!</definedName>
    <definedName name="CPL_BM526_P0">#REF!</definedName>
    <definedName name="CPL_BM53_N0" localSheetId="4">#REF!</definedName>
    <definedName name="CPL_BM53_N0" localSheetId="9">#REF!</definedName>
    <definedName name="CPL_BM53_N0">#REF!</definedName>
    <definedName name="CPL_BM54_N0" localSheetId="4">#REF!</definedName>
    <definedName name="CPL_BM54_N0" localSheetId="9">#REF!</definedName>
    <definedName name="CPL_BM54_N0">#REF!</definedName>
    <definedName name="CPL_BM55_N0" localSheetId="4">#REF!</definedName>
    <definedName name="CPL_BM55_N0" localSheetId="9">#REF!</definedName>
    <definedName name="CPL_BM55_N0">#REF!</definedName>
    <definedName name="CPL_BM56_N0" localSheetId="4">#REF!</definedName>
    <definedName name="CPL_BM56_N0" localSheetId="9">#REF!</definedName>
    <definedName name="CPL_BM56_N0">#REF!</definedName>
    <definedName name="CPL_BM57_N0" localSheetId="4">#REF!</definedName>
    <definedName name="CPL_BM57_N0" localSheetId="9">#REF!</definedName>
    <definedName name="CPL_BM57_N0">#REF!</definedName>
    <definedName name="CPL_BM58_N0" localSheetId="4">#REF!</definedName>
    <definedName name="CPL_BM58_N0" localSheetId="9">#REF!</definedName>
    <definedName name="CPL_BM58_N0">#REF!</definedName>
    <definedName name="CPL_BM59_N0" localSheetId="4">#REF!</definedName>
    <definedName name="CPL_BM59_N0" localSheetId="9">#REF!</definedName>
    <definedName name="CPL_BM59_N0">#REF!</definedName>
    <definedName name="CQEF_BM011" localSheetId="4">#REF!</definedName>
    <definedName name="CQEF_BM011" localSheetId="9">#REF!</definedName>
    <definedName name="CQEF_BM011">#REF!</definedName>
    <definedName name="CQEF_BM0110" localSheetId="4">#REF!</definedName>
    <definedName name="CQEF_BM0110" localSheetId="9">#REF!</definedName>
    <definedName name="CQEF_BM0110">#REF!</definedName>
    <definedName name="CQEF_BM0111" localSheetId="4">#REF!</definedName>
    <definedName name="CQEF_BM0111" localSheetId="9">#REF!</definedName>
    <definedName name="CQEF_BM0111">#REF!</definedName>
    <definedName name="CQEF_BM0112" localSheetId="4">#REF!</definedName>
    <definedName name="CQEF_BM0112" localSheetId="9">#REF!</definedName>
    <definedName name="CQEF_BM0112">#REF!</definedName>
    <definedName name="CQEF_BM0113" localSheetId="4">#REF!</definedName>
    <definedName name="CQEF_BM0113" localSheetId="9">#REF!</definedName>
    <definedName name="CQEF_BM0113">#REF!</definedName>
    <definedName name="CQEF_BM0114" localSheetId="4">#REF!</definedName>
    <definedName name="CQEF_BM0114" localSheetId="9">#REF!</definedName>
    <definedName name="CQEF_BM0114">#REF!</definedName>
    <definedName name="CQEF_BM0115" localSheetId="4">#REF!</definedName>
    <definedName name="CQEF_BM0115" localSheetId="9">#REF!</definedName>
    <definedName name="CQEF_BM0115">#REF!</definedName>
    <definedName name="CQEF_BM0115A" localSheetId="4">#REF!</definedName>
    <definedName name="CQEF_BM0115A" localSheetId="9">#REF!</definedName>
    <definedName name="CQEF_BM0115A">#REF!</definedName>
    <definedName name="CQEF_BM0115B" localSheetId="4">#REF!</definedName>
    <definedName name="CQEF_BM0115B" localSheetId="9">#REF!</definedName>
    <definedName name="CQEF_BM0115B">#REF!</definedName>
    <definedName name="CQEF_BM0115C" localSheetId="4">#REF!</definedName>
    <definedName name="CQEF_BM0115C" localSheetId="9">#REF!</definedName>
    <definedName name="CQEF_BM0115C">#REF!</definedName>
    <definedName name="CQEF_BM0116" localSheetId="4">#REF!</definedName>
    <definedName name="CQEF_BM0116" localSheetId="9">#REF!</definedName>
    <definedName name="CQEF_BM0116">#REF!</definedName>
    <definedName name="CQEF_BM0117" localSheetId="4">#REF!</definedName>
    <definedName name="CQEF_BM0117" localSheetId="9">#REF!</definedName>
    <definedName name="CQEF_BM0117">#REF!</definedName>
    <definedName name="CQEF_BM0118" localSheetId="4">#REF!</definedName>
    <definedName name="CQEF_BM0118" localSheetId="9">#REF!</definedName>
    <definedName name="CQEF_BM0118">#REF!</definedName>
    <definedName name="CQEF_BM0119" localSheetId="4">#REF!</definedName>
    <definedName name="CQEF_BM0119" localSheetId="9">#REF!</definedName>
    <definedName name="CQEF_BM0119">#REF!</definedName>
    <definedName name="CQEF_BM012" localSheetId="4">#REF!</definedName>
    <definedName name="CQEF_BM012" localSheetId="9">#REF!</definedName>
    <definedName name="CQEF_BM012">#REF!</definedName>
    <definedName name="CQEF_BM0120" localSheetId="4">#REF!</definedName>
    <definedName name="CQEF_BM0120" localSheetId="9">#REF!</definedName>
    <definedName name="CQEF_BM0120">#REF!</definedName>
    <definedName name="CQEF_BM0121" localSheetId="4">#REF!</definedName>
    <definedName name="CQEF_BM0121" localSheetId="9">#REF!</definedName>
    <definedName name="CQEF_BM0121">#REF!</definedName>
    <definedName name="CQEF_BM0122" localSheetId="4">#REF!</definedName>
    <definedName name="CQEF_BM0122" localSheetId="9">#REF!</definedName>
    <definedName name="CQEF_BM0122">#REF!</definedName>
    <definedName name="CQEF_BM0123" localSheetId="4">#REF!</definedName>
    <definedName name="CQEF_BM0123" localSheetId="9">#REF!</definedName>
    <definedName name="CQEF_BM0123">#REF!</definedName>
    <definedName name="CQEF_BM0124" localSheetId="4">#REF!</definedName>
    <definedName name="CQEF_BM0124" localSheetId="9">#REF!</definedName>
    <definedName name="CQEF_BM0124">#REF!</definedName>
    <definedName name="CQEF_BM0125" localSheetId="4">#REF!</definedName>
    <definedName name="CQEF_BM0125" localSheetId="9">#REF!</definedName>
    <definedName name="CQEF_BM0125">#REF!</definedName>
    <definedName name="CQEF_BM0126" localSheetId="4">#REF!</definedName>
    <definedName name="CQEF_BM0126" localSheetId="9">#REF!</definedName>
    <definedName name="CQEF_BM0126">#REF!</definedName>
    <definedName name="CQEF_BM0127" localSheetId="4">#REF!</definedName>
    <definedName name="CQEF_BM0127" localSheetId="9">#REF!</definedName>
    <definedName name="CQEF_BM0127">#REF!</definedName>
    <definedName name="CQEF_BM0128" localSheetId="4">#REF!</definedName>
    <definedName name="CQEF_BM0128" localSheetId="9">#REF!</definedName>
    <definedName name="CQEF_BM0128">#REF!</definedName>
    <definedName name="CQEF_BM0129" localSheetId="4">#REF!</definedName>
    <definedName name="CQEF_BM0129" localSheetId="9">#REF!</definedName>
    <definedName name="CQEF_BM0129">#REF!</definedName>
    <definedName name="CQEF_BM013" localSheetId="4">#REF!</definedName>
    <definedName name="CQEF_BM013" localSheetId="9">#REF!</definedName>
    <definedName name="CQEF_BM013">#REF!</definedName>
    <definedName name="CQEF_BM0130" localSheetId="4">#REF!</definedName>
    <definedName name="CQEF_BM0130" localSheetId="9">#REF!</definedName>
    <definedName name="CQEF_BM0130">#REF!</definedName>
    <definedName name="CQEF_BM0131" localSheetId="4">#REF!</definedName>
    <definedName name="CQEF_BM0131" localSheetId="9">#REF!</definedName>
    <definedName name="CQEF_BM0131">#REF!</definedName>
    <definedName name="CQEF_BM0132" localSheetId="4">#REF!</definedName>
    <definedName name="CQEF_BM0132" localSheetId="9">#REF!</definedName>
    <definedName name="CQEF_BM0132">#REF!</definedName>
    <definedName name="CQEF_BM0133" localSheetId="4">#REF!</definedName>
    <definedName name="CQEF_BM0133" localSheetId="9">#REF!</definedName>
    <definedName name="CQEF_BM0133">#REF!</definedName>
    <definedName name="CQEF_BM0134" localSheetId="4">#REF!</definedName>
    <definedName name="CQEF_BM0134" localSheetId="9">#REF!</definedName>
    <definedName name="CQEF_BM0134">#REF!</definedName>
    <definedName name="CQEF_BM0135" localSheetId="4">#REF!</definedName>
    <definedName name="CQEF_BM0135" localSheetId="9">#REF!</definedName>
    <definedName name="CQEF_BM0135">#REF!</definedName>
    <definedName name="CQEF_BM0136" localSheetId="4">#REF!</definedName>
    <definedName name="CQEF_BM0136" localSheetId="9">#REF!</definedName>
    <definedName name="CQEF_BM0136">#REF!</definedName>
    <definedName name="CQEF_BM0137" localSheetId="4">#REF!</definedName>
    <definedName name="CQEF_BM0137" localSheetId="9">#REF!</definedName>
    <definedName name="CQEF_BM0137">#REF!</definedName>
    <definedName name="CQEF_BM0138" localSheetId="4">#REF!</definedName>
    <definedName name="CQEF_BM0138" localSheetId="9">#REF!</definedName>
    <definedName name="CQEF_BM0138">#REF!</definedName>
    <definedName name="CQEF_BM0139" localSheetId="4">#REF!</definedName>
    <definedName name="CQEF_BM0139" localSheetId="9">#REF!</definedName>
    <definedName name="CQEF_BM0139">#REF!</definedName>
    <definedName name="CQEF_BM014" localSheetId="4">#REF!</definedName>
    <definedName name="CQEF_BM014" localSheetId="9">#REF!</definedName>
    <definedName name="CQEF_BM014">#REF!</definedName>
    <definedName name="CQEF_BM0140" localSheetId="4">#REF!</definedName>
    <definedName name="CQEF_BM0140" localSheetId="9">#REF!</definedName>
    <definedName name="CQEF_BM0140">#REF!</definedName>
    <definedName name="CQEF_BM0141" localSheetId="4">#REF!</definedName>
    <definedName name="CQEF_BM0141" localSheetId="9">#REF!</definedName>
    <definedName name="CQEF_BM0141">#REF!</definedName>
    <definedName name="CQEF_BM0142" localSheetId="4">#REF!</definedName>
    <definedName name="CQEF_BM0142" localSheetId="9">#REF!</definedName>
    <definedName name="CQEF_BM0142">#REF!</definedName>
    <definedName name="CQEF_BM0143" localSheetId="4">#REF!</definedName>
    <definedName name="CQEF_BM0143" localSheetId="9">#REF!</definedName>
    <definedName name="CQEF_BM0143">#REF!</definedName>
    <definedName name="CQEF_BM015" localSheetId="4">#REF!</definedName>
    <definedName name="CQEF_BM015" localSheetId="9">#REF!</definedName>
    <definedName name="CQEF_BM015">#REF!</definedName>
    <definedName name="CQEF_BM016" localSheetId="4">#REF!</definedName>
    <definedName name="CQEF_BM016" localSheetId="9">#REF!</definedName>
    <definedName name="CQEF_BM016">#REF!</definedName>
    <definedName name="CQEF_BM017" localSheetId="4">#REF!</definedName>
    <definedName name="CQEF_BM017" localSheetId="9">#REF!</definedName>
    <definedName name="CQEF_BM017">#REF!</definedName>
    <definedName name="CQEF_BM018" localSheetId="4">#REF!</definedName>
    <definedName name="CQEF_BM018" localSheetId="9">#REF!</definedName>
    <definedName name="CQEF_BM018">#REF!</definedName>
    <definedName name="CQEF_BM019" localSheetId="4">#REF!</definedName>
    <definedName name="CQEF_BM019" localSheetId="9">#REF!</definedName>
    <definedName name="CQEF_BM019">#REF!</definedName>
    <definedName name="CQEF_BM021" localSheetId="4">#REF!</definedName>
    <definedName name="CQEF_BM021" localSheetId="9">#REF!</definedName>
    <definedName name="CQEF_BM021">#REF!</definedName>
    <definedName name="CQEF_BM0210_N0" localSheetId="4">#REF!</definedName>
    <definedName name="CQEF_BM0210_N0" localSheetId="9">#REF!</definedName>
    <definedName name="CQEF_BM0210_N0">#REF!</definedName>
    <definedName name="CQEF_BM0211_N0" localSheetId="4">#REF!</definedName>
    <definedName name="CQEF_BM0211_N0" localSheetId="9">#REF!</definedName>
    <definedName name="CQEF_BM0211_N0">#REF!</definedName>
    <definedName name="CQEF_BM0212_N0" localSheetId="4">#REF!</definedName>
    <definedName name="CQEF_BM0212_N0" localSheetId="9">#REF!</definedName>
    <definedName name="CQEF_BM0212_N0">#REF!</definedName>
    <definedName name="CQEF_BM0213_N0" localSheetId="4">#REF!</definedName>
    <definedName name="CQEF_BM0213_N0" localSheetId="9">#REF!</definedName>
    <definedName name="CQEF_BM0213_N0">#REF!</definedName>
    <definedName name="CQEF_BM0214_N0" localSheetId="4">#REF!</definedName>
    <definedName name="CQEF_BM0214_N0" localSheetId="9">#REF!</definedName>
    <definedName name="CQEF_BM0214_N0">#REF!</definedName>
    <definedName name="CQEF_BM0215_N0" localSheetId="4">#REF!</definedName>
    <definedName name="CQEF_BM0215_N0" localSheetId="9">#REF!</definedName>
    <definedName name="CQEF_BM0215_N0">#REF!</definedName>
    <definedName name="CQEF_BM0215A_N0" localSheetId="4">#REF!</definedName>
    <definedName name="CQEF_BM0215A_N0" localSheetId="9">#REF!</definedName>
    <definedName name="CQEF_BM0215A_N0">#REF!</definedName>
    <definedName name="CQEF_BM0215B_N0" localSheetId="4">#REF!</definedName>
    <definedName name="CQEF_BM0215B_N0" localSheetId="9">#REF!</definedName>
    <definedName name="CQEF_BM0215B_N0">#REF!</definedName>
    <definedName name="CQEF_BM0215C_N0" localSheetId="4">#REF!</definedName>
    <definedName name="CQEF_BM0215C_N0" localSheetId="9">#REF!</definedName>
    <definedName name="CQEF_BM0215C_N0">#REF!</definedName>
    <definedName name="CQEF_BM0216_N0" localSheetId="4">#REF!</definedName>
    <definedName name="CQEF_BM0216_N0" localSheetId="9">#REF!</definedName>
    <definedName name="CQEF_BM0216_N0">#REF!</definedName>
    <definedName name="CQEF_BM0217_N0" localSheetId="4">#REF!</definedName>
    <definedName name="CQEF_BM0217_N0" localSheetId="9">#REF!</definedName>
    <definedName name="CQEF_BM0217_N0">#REF!</definedName>
    <definedName name="CQEF_BM0218_N2" localSheetId="4">#REF!</definedName>
    <definedName name="CQEF_BM0218_N2" localSheetId="9">#REF!</definedName>
    <definedName name="CQEF_BM0218_N2">#REF!</definedName>
    <definedName name="CQEF_BM0219" localSheetId="4">#REF!</definedName>
    <definedName name="CQEF_BM0219" localSheetId="9">#REF!</definedName>
    <definedName name="CQEF_BM0219">#REF!</definedName>
    <definedName name="CQEF_BM022_N0" localSheetId="4">#REF!</definedName>
    <definedName name="CQEF_BM022_N0" localSheetId="9">#REF!</definedName>
    <definedName name="CQEF_BM022_N0">#REF!</definedName>
    <definedName name="CQEF_BM0220" localSheetId="4">#REF!</definedName>
    <definedName name="CQEF_BM0220" localSheetId="9">#REF!</definedName>
    <definedName name="CQEF_BM0220">#REF!</definedName>
    <definedName name="CQEF_BM0221" localSheetId="4">#REF!</definedName>
    <definedName name="CQEF_BM0221" localSheetId="9">#REF!</definedName>
    <definedName name="CQEF_BM0221">#REF!</definedName>
    <definedName name="CQEF_BM0222" localSheetId="4">#REF!</definedName>
    <definedName name="CQEF_BM0222" localSheetId="9">#REF!</definedName>
    <definedName name="CQEF_BM0222">#REF!</definedName>
    <definedName name="CQEF_BM0223" localSheetId="4">#REF!</definedName>
    <definedName name="CQEF_BM0223" localSheetId="9">#REF!</definedName>
    <definedName name="CQEF_BM0223">#REF!</definedName>
    <definedName name="CQEF_BM0224" localSheetId="4">#REF!</definedName>
    <definedName name="CQEF_BM0224" localSheetId="9">#REF!</definedName>
    <definedName name="CQEF_BM0224">#REF!</definedName>
    <definedName name="CQEF_BM0225" localSheetId="4">#REF!</definedName>
    <definedName name="CQEF_BM0225" localSheetId="9">#REF!</definedName>
    <definedName name="CQEF_BM0225">#REF!</definedName>
    <definedName name="CQEF_BM0226" localSheetId="4">#REF!</definedName>
    <definedName name="CQEF_BM0226" localSheetId="9">#REF!</definedName>
    <definedName name="CQEF_BM0226">#REF!</definedName>
    <definedName name="CQEF_BM0229_P0" localSheetId="4">#REF!</definedName>
    <definedName name="CQEF_BM0229_P0" localSheetId="9">#REF!</definedName>
    <definedName name="CQEF_BM0229_P0">#REF!</definedName>
    <definedName name="CQEF_BM023_N0" localSheetId="4">#REF!</definedName>
    <definedName name="CQEF_BM023_N0" localSheetId="9">#REF!</definedName>
    <definedName name="CQEF_BM023_N0">#REF!</definedName>
    <definedName name="CQEF_BM0230_P0" localSheetId="4">#REF!</definedName>
    <definedName name="CQEF_BM0230_P0" localSheetId="9">#REF!</definedName>
    <definedName name="CQEF_BM0230_P0">#REF!</definedName>
    <definedName name="CQEF_BM0231_P0" localSheetId="4">#REF!</definedName>
    <definedName name="CQEF_BM0231_P0" localSheetId="9">#REF!</definedName>
    <definedName name="CQEF_BM0231_P0">#REF!</definedName>
    <definedName name="CQEF_BM0232_P0" localSheetId="4">#REF!</definedName>
    <definedName name="CQEF_BM0232_P0" localSheetId="9">#REF!</definedName>
    <definedName name="CQEF_BM0232_P0">#REF!</definedName>
    <definedName name="CQEF_BM0233" localSheetId="4">#REF!</definedName>
    <definedName name="CQEF_BM0233" localSheetId="9">#REF!</definedName>
    <definedName name="CQEF_BM0233">#REF!</definedName>
    <definedName name="CQEF_BM0234_P0" localSheetId="4">#REF!</definedName>
    <definedName name="CQEF_BM0234_P0" localSheetId="9">#REF!</definedName>
    <definedName name="CQEF_BM0234_P0">#REF!</definedName>
    <definedName name="CQEF_BM0235_P0" localSheetId="4">#REF!</definedName>
    <definedName name="CQEF_BM0235_P0" localSheetId="9">#REF!</definedName>
    <definedName name="CQEF_BM0235_P0">#REF!</definedName>
    <definedName name="CQEF_BM0236_P0" localSheetId="4">#REF!</definedName>
    <definedName name="CQEF_BM0236_P0" localSheetId="9">#REF!</definedName>
    <definedName name="CQEF_BM0236_P0">#REF!</definedName>
    <definedName name="CQEF_BM0237_P0" localSheetId="4">#REF!</definedName>
    <definedName name="CQEF_BM0237_P0" localSheetId="9">#REF!</definedName>
    <definedName name="CQEF_BM0237_P0">#REF!</definedName>
    <definedName name="CQEF_BM0238_P0" localSheetId="4">#REF!</definedName>
    <definedName name="CQEF_BM0238_P0" localSheetId="9">#REF!</definedName>
    <definedName name="CQEF_BM0238_P0">#REF!</definedName>
    <definedName name="CQEF_BM0239" localSheetId="4">#REF!</definedName>
    <definedName name="CQEF_BM0239" localSheetId="9">#REF!</definedName>
    <definedName name="CQEF_BM0239">#REF!</definedName>
    <definedName name="CQEF_BM024_N0" localSheetId="4">#REF!</definedName>
    <definedName name="CQEF_BM024_N0" localSheetId="9">#REF!</definedName>
    <definedName name="CQEF_BM024_N0">#REF!</definedName>
    <definedName name="CQEF_BM0240_P0" localSheetId="4">#REF!</definedName>
    <definedName name="CQEF_BM0240_P0" localSheetId="9">#REF!</definedName>
    <definedName name="CQEF_BM0240_P0">#REF!</definedName>
    <definedName name="CQEF_BM0241_P0" localSheetId="4">#REF!</definedName>
    <definedName name="CQEF_BM0241_P0" localSheetId="9">#REF!</definedName>
    <definedName name="CQEF_BM0241_P0">#REF!</definedName>
    <definedName name="CQEF_BM0242_P0" localSheetId="4">#REF!</definedName>
    <definedName name="CQEF_BM0242_P0" localSheetId="9">#REF!</definedName>
    <definedName name="CQEF_BM0242_P0">#REF!</definedName>
    <definedName name="CQEF_BM0243_P0" localSheetId="4">#REF!</definedName>
    <definedName name="CQEF_BM0243_P0" localSheetId="9">#REF!</definedName>
    <definedName name="CQEF_BM0243_P0">#REF!</definedName>
    <definedName name="CQEF_BM025_N0" localSheetId="4">#REF!</definedName>
    <definedName name="CQEF_BM025_N0" localSheetId="9">#REF!</definedName>
    <definedName name="CQEF_BM025_N0">#REF!</definedName>
    <definedName name="CQEF_BM026_N0" localSheetId="4">#REF!</definedName>
    <definedName name="CQEF_BM026_N0" localSheetId="9">#REF!</definedName>
    <definedName name="CQEF_BM026_N0">#REF!</definedName>
    <definedName name="CQEF_BM027_N0" localSheetId="4">#REF!</definedName>
    <definedName name="CQEF_BM027_N0" localSheetId="9">#REF!</definedName>
    <definedName name="CQEF_BM027_N0">#REF!</definedName>
    <definedName name="CQEF_BM028_N0" localSheetId="4">#REF!</definedName>
    <definedName name="CQEF_BM028_N0" localSheetId="9">#REF!</definedName>
    <definedName name="CQEF_BM028_N0">#REF!</definedName>
    <definedName name="CQEF_BM029_N0" localSheetId="4">#REF!</definedName>
    <definedName name="CQEF_BM029_N0" localSheetId="9">#REF!</definedName>
    <definedName name="CQEF_BM029_N0">#REF!</definedName>
    <definedName name="CQEF_BM031" localSheetId="4">#REF!</definedName>
    <definedName name="CQEF_BM031" localSheetId="9">#REF!</definedName>
    <definedName name="CQEF_BM031">#REF!</definedName>
    <definedName name="CQEF_BM0310_N0" localSheetId="4">#REF!</definedName>
    <definedName name="CQEF_BM0310_N0" localSheetId="9">#REF!</definedName>
    <definedName name="CQEF_BM0310_N0">#REF!</definedName>
    <definedName name="CQEF_BM0311_N0" localSheetId="4">#REF!</definedName>
    <definedName name="CQEF_BM0311_N0" localSheetId="9">#REF!</definedName>
    <definedName name="CQEF_BM0311_N0">#REF!</definedName>
    <definedName name="CQEF_BM0312_N0" localSheetId="4">#REF!</definedName>
    <definedName name="CQEF_BM0312_N0" localSheetId="9">#REF!</definedName>
    <definedName name="CQEF_BM0312_N0">#REF!</definedName>
    <definedName name="CQEF_BM0313_N0" localSheetId="4">#REF!</definedName>
    <definedName name="CQEF_BM0313_N0" localSheetId="9">#REF!</definedName>
    <definedName name="CQEF_BM0313_N0">#REF!</definedName>
    <definedName name="CQEF_BM0314_N0" localSheetId="4">#REF!</definedName>
    <definedName name="CQEF_BM0314_N0" localSheetId="9">#REF!</definedName>
    <definedName name="CQEF_BM0314_N0">#REF!</definedName>
    <definedName name="CQEF_BM0315_N0" localSheetId="4">#REF!</definedName>
    <definedName name="CQEF_BM0315_N0" localSheetId="9">#REF!</definedName>
    <definedName name="CQEF_BM0315_N0">#REF!</definedName>
    <definedName name="CQEF_BM0315A_N0" localSheetId="4">#REF!</definedName>
    <definedName name="CQEF_BM0315A_N0" localSheetId="9">#REF!</definedName>
    <definedName name="CQEF_BM0315A_N0">#REF!</definedName>
    <definedName name="CQEF_BM0315B_N0" localSheetId="4">#REF!</definedName>
    <definedName name="CQEF_BM0315B_N0" localSheetId="9">#REF!</definedName>
    <definedName name="CQEF_BM0315B_N0">#REF!</definedName>
    <definedName name="CQEF_BM0315C_N0" localSheetId="4">#REF!</definedName>
    <definedName name="CQEF_BM0315C_N0" localSheetId="9">#REF!</definedName>
    <definedName name="CQEF_BM0315C_N0">#REF!</definedName>
    <definedName name="CQEF_BM0316_N0" localSheetId="4">#REF!</definedName>
    <definedName name="CQEF_BM0316_N0" localSheetId="9">#REF!</definedName>
    <definedName name="CQEF_BM0316_N0">#REF!</definedName>
    <definedName name="CQEF_BM0317_N0" localSheetId="4">#REF!</definedName>
    <definedName name="CQEF_BM0317_N0" localSheetId="9">#REF!</definedName>
    <definedName name="CQEF_BM0317_N0">#REF!</definedName>
    <definedName name="CQEF_BM0318_N2" localSheetId="4">#REF!</definedName>
    <definedName name="CQEF_BM0318_N2" localSheetId="9">#REF!</definedName>
    <definedName name="CQEF_BM0318_N2">#REF!</definedName>
    <definedName name="CQEF_BM0319" localSheetId="4">#REF!</definedName>
    <definedName name="CQEF_BM0319" localSheetId="9">#REF!</definedName>
    <definedName name="CQEF_BM0319">#REF!</definedName>
    <definedName name="CQEF_BM032_N0" localSheetId="4">#REF!</definedName>
    <definedName name="CQEF_BM032_N0" localSheetId="9">#REF!</definedName>
    <definedName name="CQEF_BM032_N0">#REF!</definedName>
    <definedName name="CQEF_BM0320" localSheetId="4">#REF!</definedName>
    <definedName name="CQEF_BM0320" localSheetId="9">#REF!</definedName>
    <definedName name="CQEF_BM0320">#REF!</definedName>
    <definedName name="CQEF_BM0321" localSheetId="4">#REF!</definedName>
    <definedName name="CQEF_BM0321" localSheetId="9">#REF!</definedName>
    <definedName name="CQEF_BM0321">#REF!</definedName>
    <definedName name="CQEF_BM0322" localSheetId="4">#REF!</definedName>
    <definedName name="CQEF_BM0322" localSheetId="9">#REF!</definedName>
    <definedName name="CQEF_BM0322">#REF!</definedName>
    <definedName name="CQEF_BM0323" localSheetId="4">#REF!</definedName>
    <definedName name="CQEF_BM0323" localSheetId="9">#REF!</definedName>
    <definedName name="CQEF_BM0323">#REF!</definedName>
    <definedName name="CQEF_BM0324" localSheetId="4">#REF!</definedName>
    <definedName name="CQEF_BM0324" localSheetId="9">#REF!</definedName>
    <definedName name="CQEF_BM0324">#REF!</definedName>
    <definedName name="CQEF_BM0325" localSheetId="4">#REF!</definedName>
    <definedName name="CQEF_BM0325" localSheetId="9">#REF!</definedName>
    <definedName name="CQEF_BM0325">#REF!</definedName>
    <definedName name="CQEF_BM0326" localSheetId="4">#REF!</definedName>
    <definedName name="CQEF_BM0326" localSheetId="9">#REF!</definedName>
    <definedName name="CQEF_BM0326">#REF!</definedName>
    <definedName name="CQEF_BM0329_P0" localSheetId="4">#REF!</definedName>
    <definedName name="CQEF_BM0329_P0" localSheetId="9">#REF!</definedName>
    <definedName name="CQEF_BM0329_P0">#REF!</definedName>
    <definedName name="CQEF_BM033_N0" localSheetId="4">#REF!</definedName>
    <definedName name="CQEF_BM033_N0" localSheetId="9">#REF!</definedName>
    <definedName name="CQEF_BM033_N0">#REF!</definedName>
    <definedName name="CQEF_BM0330_P0" localSheetId="4">#REF!</definedName>
    <definedName name="CQEF_BM0330_P0" localSheetId="9">#REF!</definedName>
    <definedName name="CQEF_BM0330_P0">#REF!</definedName>
    <definedName name="CQEF_BM0331_P0" localSheetId="4">#REF!</definedName>
    <definedName name="CQEF_BM0331_P0" localSheetId="9">#REF!</definedName>
    <definedName name="CQEF_BM0331_P0">#REF!</definedName>
    <definedName name="CQEF_BM0332_P0" localSheetId="4">#REF!</definedName>
    <definedName name="CQEF_BM0332_P0" localSheetId="9">#REF!</definedName>
    <definedName name="CQEF_BM0332_P0">#REF!</definedName>
    <definedName name="CQEF_BM0333" localSheetId="4">#REF!</definedName>
    <definedName name="CQEF_BM0333" localSheetId="9">#REF!</definedName>
    <definedName name="CQEF_BM0333">#REF!</definedName>
    <definedName name="CQEF_BM0334_P0" localSheetId="4">#REF!</definedName>
    <definedName name="CQEF_BM0334_P0" localSheetId="9">#REF!</definedName>
    <definedName name="CQEF_BM0334_P0">#REF!</definedName>
    <definedName name="CQEF_BM0335_P0" localSheetId="4">#REF!</definedName>
    <definedName name="CQEF_BM0335_P0" localSheetId="9">#REF!</definedName>
    <definedName name="CQEF_BM0335_P0">#REF!</definedName>
    <definedName name="CQEF_BM0336_P0" localSheetId="4">#REF!</definedName>
    <definedName name="CQEF_BM0336_P0" localSheetId="9">#REF!</definedName>
    <definedName name="CQEF_BM0336_P0">#REF!</definedName>
    <definedName name="CQEF_BM0337_P0" localSheetId="4">#REF!</definedName>
    <definedName name="CQEF_BM0337_P0" localSheetId="9">#REF!</definedName>
    <definedName name="CQEF_BM0337_P0">#REF!</definedName>
    <definedName name="CQEF_BM0338_P0" localSheetId="4">#REF!</definedName>
    <definedName name="CQEF_BM0338_P0" localSheetId="9">#REF!</definedName>
    <definedName name="CQEF_BM0338_P0">#REF!</definedName>
    <definedName name="CQEF_BM0339" localSheetId="4">#REF!</definedName>
    <definedName name="CQEF_BM0339" localSheetId="9">#REF!</definedName>
    <definedName name="CQEF_BM0339">#REF!</definedName>
    <definedName name="CQEF_BM034_N0" localSheetId="4">#REF!</definedName>
    <definedName name="CQEF_BM034_N0" localSheetId="9">#REF!</definedName>
    <definedName name="CQEF_BM034_N0">#REF!</definedName>
    <definedName name="CQEF_BM0340_P0" localSheetId="4">#REF!</definedName>
    <definedName name="CQEF_BM0340_P0" localSheetId="9">#REF!</definedName>
    <definedName name="CQEF_BM0340_P0">#REF!</definedName>
    <definedName name="CQEF_BM0341_P0" localSheetId="4">#REF!</definedName>
    <definedName name="CQEF_BM0341_P0" localSheetId="9">#REF!</definedName>
    <definedName name="CQEF_BM0341_P0">#REF!</definedName>
    <definedName name="CQEF_BM0342_P0" localSheetId="4">#REF!</definedName>
    <definedName name="CQEF_BM0342_P0" localSheetId="9">#REF!</definedName>
    <definedName name="CQEF_BM0342_P0">#REF!</definedName>
    <definedName name="CQEF_BM0343_P0" localSheetId="4">#REF!</definedName>
    <definedName name="CQEF_BM0343_P0" localSheetId="9">#REF!</definedName>
    <definedName name="CQEF_BM0343_P0">#REF!</definedName>
    <definedName name="CQEF_BM035_N0" localSheetId="4">#REF!</definedName>
    <definedName name="CQEF_BM035_N0" localSheetId="9">#REF!</definedName>
    <definedName name="CQEF_BM035_N0">#REF!</definedName>
    <definedName name="CQEF_BM036_N0" localSheetId="4">#REF!</definedName>
    <definedName name="CQEF_BM036_N0" localSheetId="9">#REF!</definedName>
    <definedName name="CQEF_BM036_N0">#REF!</definedName>
    <definedName name="CQEF_BM037_N0" localSheetId="4">#REF!</definedName>
    <definedName name="CQEF_BM037_N0" localSheetId="9">#REF!</definedName>
    <definedName name="CQEF_BM037_N0">#REF!</definedName>
    <definedName name="CQEF_BM038_N0" localSheetId="4">#REF!</definedName>
    <definedName name="CQEF_BM038_N0" localSheetId="9">#REF!</definedName>
    <definedName name="CQEF_BM038_N0">#REF!</definedName>
    <definedName name="CQEF_BM039_N0" localSheetId="4">#REF!</definedName>
    <definedName name="CQEF_BM039_N0" localSheetId="9">#REF!</definedName>
    <definedName name="CQEF_BM039_N0">#REF!</definedName>
    <definedName name="CQEF_BM041" localSheetId="4">#REF!</definedName>
    <definedName name="CQEF_BM041" localSheetId="9">#REF!</definedName>
    <definedName name="CQEF_BM041">#REF!</definedName>
    <definedName name="CQEF_BM0410_N0" localSheetId="4">#REF!</definedName>
    <definedName name="CQEF_BM0410_N0" localSheetId="9">#REF!</definedName>
    <definedName name="CQEF_BM0410_N0">#REF!</definedName>
    <definedName name="CQEF_BM0411_N0" localSheetId="4">#REF!</definedName>
    <definedName name="CQEF_BM0411_N0" localSheetId="9">#REF!</definedName>
    <definedName name="CQEF_BM0411_N0">#REF!</definedName>
    <definedName name="CQEF_BM0412_N0" localSheetId="4">#REF!</definedName>
    <definedName name="CQEF_BM0412_N0" localSheetId="9">#REF!</definedName>
    <definedName name="CQEF_BM0412_N0">#REF!</definedName>
    <definedName name="CQEF_BM0413_N0" localSheetId="4">#REF!</definedName>
    <definedName name="CQEF_BM0413_N0" localSheetId="9">#REF!</definedName>
    <definedName name="CQEF_BM0413_N0">#REF!</definedName>
    <definedName name="CQEF_BM0414_N0" localSheetId="4">#REF!</definedName>
    <definedName name="CQEF_BM0414_N0" localSheetId="9">#REF!</definedName>
    <definedName name="CQEF_BM0414_N0">#REF!</definedName>
    <definedName name="CQEF_BM0415_N0" localSheetId="4">#REF!</definedName>
    <definedName name="CQEF_BM0415_N0" localSheetId="9">#REF!</definedName>
    <definedName name="CQEF_BM0415_N0">#REF!</definedName>
    <definedName name="CQEF_BM0415A_N0" localSheetId="4">#REF!</definedName>
    <definedName name="CQEF_BM0415A_N0" localSheetId="9">#REF!</definedName>
    <definedName name="CQEF_BM0415A_N0">#REF!</definedName>
    <definedName name="CQEF_BM0415B_N0" localSheetId="4">#REF!</definedName>
    <definedName name="CQEF_BM0415B_N0" localSheetId="9">#REF!</definedName>
    <definedName name="CQEF_BM0415B_N0">#REF!</definedName>
    <definedName name="CQEF_BM0415C_N0" localSheetId="4">#REF!</definedName>
    <definedName name="CQEF_BM0415C_N0" localSheetId="9">#REF!</definedName>
    <definedName name="CQEF_BM0415C_N0">#REF!</definedName>
    <definedName name="CQEF_BM0416_N0" localSheetId="4">#REF!</definedName>
    <definedName name="CQEF_BM0416_N0" localSheetId="9">#REF!</definedName>
    <definedName name="CQEF_BM0416_N0">#REF!</definedName>
    <definedName name="CQEF_BM0417_N0" localSheetId="4">#REF!</definedName>
    <definedName name="CQEF_BM0417_N0" localSheetId="9">#REF!</definedName>
    <definedName name="CQEF_BM0417_N0">#REF!</definedName>
    <definedName name="CQEF_BM0418_N2" localSheetId="4">#REF!</definedName>
    <definedName name="CQEF_BM0418_N2" localSheetId="9">#REF!</definedName>
    <definedName name="CQEF_BM0418_N2">#REF!</definedName>
    <definedName name="CQEF_BM0419" localSheetId="4">#REF!</definedName>
    <definedName name="CQEF_BM0419" localSheetId="9">#REF!</definedName>
    <definedName name="CQEF_BM0419">#REF!</definedName>
    <definedName name="CQEF_BM042_N0" localSheetId="4">#REF!</definedName>
    <definedName name="CQEF_BM042_N0" localSheetId="9">#REF!</definedName>
    <definedName name="CQEF_BM042_N0">#REF!</definedName>
    <definedName name="CQEF_BM0420" localSheetId="4">#REF!</definedName>
    <definedName name="CQEF_BM0420" localSheetId="9">#REF!</definedName>
    <definedName name="CQEF_BM0420">#REF!</definedName>
    <definedName name="CQEF_BM0421" localSheetId="4">#REF!</definedName>
    <definedName name="CQEF_BM0421" localSheetId="9">#REF!</definedName>
    <definedName name="CQEF_BM0421">#REF!</definedName>
    <definedName name="CQEF_BM0422" localSheetId="4">#REF!</definedName>
    <definedName name="CQEF_BM0422" localSheetId="9">#REF!</definedName>
    <definedName name="CQEF_BM0422">#REF!</definedName>
    <definedName name="CQEF_BM0423" localSheetId="4">#REF!</definedName>
    <definedName name="CQEF_BM0423" localSheetId="9">#REF!</definedName>
    <definedName name="CQEF_BM0423">#REF!</definedName>
    <definedName name="CQEF_BM0424" localSheetId="4">#REF!</definedName>
    <definedName name="CQEF_BM0424" localSheetId="9">#REF!</definedName>
    <definedName name="CQEF_BM0424">#REF!</definedName>
    <definedName name="CQEF_BM0425" localSheetId="4">#REF!</definedName>
    <definedName name="CQEF_BM0425" localSheetId="9">#REF!</definedName>
    <definedName name="CQEF_BM0425">#REF!</definedName>
    <definedName name="CQEF_BM0426" localSheetId="4">#REF!</definedName>
    <definedName name="CQEF_BM0426" localSheetId="9">#REF!</definedName>
    <definedName name="CQEF_BM0426">#REF!</definedName>
    <definedName name="CQEF_BM0429_P0" localSheetId="4">#REF!</definedName>
    <definedName name="CQEF_BM0429_P0" localSheetId="9">#REF!</definedName>
    <definedName name="CQEF_BM0429_P0">#REF!</definedName>
    <definedName name="CQEF_BM043_N0" localSheetId="4">#REF!</definedName>
    <definedName name="CQEF_BM043_N0" localSheetId="9">#REF!</definedName>
    <definedName name="CQEF_BM043_N0">#REF!</definedName>
    <definedName name="CQEF_BM0430_P0" localSheetId="4">#REF!</definedName>
    <definedName name="CQEF_BM0430_P0" localSheetId="9">#REF!</definedName>
    <definedName name="CQEF_BM0430_P0">#REF!</definedName>
    <definedName name="CQEF_BM0431_P0" localSheetId="4">#REF!</definedName>
    <definedName name="CQEF_BM0431_P0" localSheetId="9">#REF!</definedName>
    <definedName name="CQEF_BM0431_P0">#REF!</definedName>
    <definedName name="CQEF_BM0432_P0" localSheetId="4">#REF!</definedName>
    <definedName name="CQEF_BM0432_P0" localSheetId="9">#REF!</definedName>
    <definedName name="CQEF_BM0432_P0">#REF!</definedName>
    <definedName name="CQEF_BM0433" localSheetId="4">#REF!</definedName>
    <definedName name="CQEF_BM0433" localSheetId="9">#REF!</definedName>
    <definedName name="CQEF_BM0433">#REF!</definedName>
    <definedName name="CQEF_BM0434_P0" localSheetId="4">#REF!</definedName>
    <definedName name="CQEF_BM0434_P0" localSheetId="9">#REF!</definedName>
    <definedName name="CQEF_BM0434_P0">#REF!</definedName>
    <definedName name="CQEF_BM0435_P0" localSheetId="4">#REF!</definedName>
    <definedName name="CQEF_BM0435_P0" localSheetId="9">#REF!</definedName>
    <definedName name="CQEF_BM0435_P0">#REF!</definedName>
    <definedName name="CQEF_BM0436_P0" localSheetId="4">#REF!</definedName>
    <definedName name="CQEF_BM0436_P0" localSheetId="9">#REF!</definedName>
    <definedName name="CQEF_BM0436_P0">#REF!</definedName>
    <definedName name="CQEF_BM0437_P0" localSheetId="4">#REF!</definedName>
    <definedName name="CQEF_BM0437_P0" localSheetId="9">#REF!</definedName>
    <definedName name="CQEF_BM0437_P0">#REF!</definedName>
    <definedName name="CQEF_BM0438_P0" localSheetId="4">#REF!</definedName>
    <definedName name="CQEF_BM0438_P0" localSheetId="9">#REF!</definedName>
    <definedName name="CQEF_BM0438_P0">#REF!</definedName>
    <definedName name="CQEF_BM0439" localSheetId="4">#REF!</definedName>
    <definedName name="CQEF_BM0439" localSheetId="9">#REF!</definedName>
    <definedName name="CQEF_BM0439">#REF!</definedName>
    <definedName name="CQEF_BM044_N0" localSheetId="4">#REF!</definedName>
    <definedName name="CQEF_BM044_N0" localSheetId="9">#REF!</definedName>
    <definedName name="CQEF_BM044_N0">#REF!</definedName>
    <definedName name="CQEF_BM0440_P0" localSheetId="4">#REF!</definedName>
    <definedName name="CQEF_BM0440_P0" localSheetId="9">#REF!</definedName>
    <definedName name="CQEF_BM0440_P0">#REF!</definedName>
    <definedName name="CQEF_BM0441_P0" localSheetId="4">#REF!</definedName>
    <definedName name="CQEF_BM0441_P0" localSheetId="9">#REF!</definedName>
    <definedName name="CQEF_BM0441_P0">#REF!</definedName>
    <definedName name="CQEF_BM0442_P0" localSheetId="4">#REF!</definedName>
    <definedName name="CQEF_BM0442_P0" localSheetId="9">#REF!</definedName>
    <definedName name="CQEF_BM0442_P0">#REF!</definedName>
    <definedName name="CQEF_BM0443_P0" localSheetId="4">#REF!</definedName>
    <definedName name="CQEF_BM0443_P0" localSheetId="9">#REF!</definedName>
    <definedName name="CQEF_BM0443_P0">#REF!</definedName>
    <definedName name="CQEF_BM045_N0" localSheetId="4">#REF!</definedName>
    <definedName name="CQEF_BM045_N0" localSheetId="9">#REF!</definedName>
    <definedName name="CQEF_BM045_N0">#REF!</definedName>
    <definedName name="CQEF_BM046_N0" localSheetId="4">#REF!</definedName>
    <definedName name="CQEF_BM046_N0" localSheetId="9">#REF!</definedName>
    <definedName name="CQEF_BM046_N0">#REF!</definedName>
    <definedName name="CQEF_BM047_N0" localSheetId="4">#REF!</definedName>
    <definedName name="CQEF_BM047_N0" localSheetId="9">#REF!</definedName>
    <definedName name="CQEF_BM047_N0">#REF!</definedName>
    <definedName name="CQEF_BM048_N0" localSheetId="4">#REF!</definedName>
    <definedName name="CQEF_BM048_N0" localSheetId="9">#REF!</definedName>
    <definedName name="CQEF_BM048_N0">#REF!</definedName>
    <definedName name="CQEF_BM049_N0" localSheetId="4">#REF!</definedName>
    <definedName name="CQEF_BM049_N0" localSheetId="9">#REF!</definedName>
    <definedName name="CQEF_BM049_N0">#REF!</definedName>
    <definedName name="CQEF_BM051" localSheetId="4">#REF!</definedName>
    <definedName name="CQEF_BM051" localSheetId="9">#REF!</definedName>
    <definedName name="CQEF_BM051">#REF!</definedName>
    <definedName name="CQEF_BM0510_N0" localSheetId="4">#REF!</definedName>
    <definedName name="CQEF_BM0510_N0" localSheetId="9">#REF!</definedName>
    <definedName name="CQEF_BM0510_N0">#REF!</definedName>
    <definedName name="CQEF_BM0511_N0" localSheetId="4">#REF!</definedName>
    <definedName name="CQEF_BM0511_N0" localSheetId="9">#REF!</definedName>
    <definedName name="CQEF_BM0511_N0">#REF!</definedName>
    <definedName name="CQEF_BM0512_N0" localSheetId="4">#REF!</definedName>
    <definedName name="CQEF_BM0512_N0" localSheetId="9">#REF!</definedName>
    <definedName name="CQEF_BM0512_N0">#REF!</definedName>
    <definedName name="CQEF_BM0513_N0" localSheetId="4">#REF!</definedName>
    <definedName name="CQEF_BM0513_N0" localSheetId="9">#REF!</definedName>
    <definedName name="CQEF_BM0513_N0">#REF!</definedName>
    <definedName name="CQEF_BM0514_N0" localSheetId="4">#REF!</definedName>
    <definedName name="CQEF_BM0514_N0" localSheetId="9">#REF!</definedName>
    <definedName name="CQEF_BM0514_N0">#REF!</definedName>
    <definedName name="CQEF_BM0515_N0" localSheetId="4">#REF!</definedName>
    <definedName name="CQEF_BM0515_N0" localSheetId="9">#REF!</definedName>
    <definedName name="CQEF_BM0515_N0">#REF!</definedName>
    <definedName name="CQEF_BM0515A_N0" localSheetId="4">#REF!</definedName>
    <definedName name="CQEF_BM0515A_N0" localSheetId="9">#REF!</definedName>
    <definedName name="CQEF_BM0515A_N0">#REF!</definedName>
    <definedName name="CQEF_BM0515B_N0" localSheetId="4">#REF!</definedName>
    <definedName name="CQEF_BM0515B_N0" localSheetId="9">#REF!</definedName>
    <definedName name="CQEF_BM0515B_N0">#REF!</definedName>
    <definedName name="CQEF_BM0515C_N0" localSheetId="4">#REF!</definedName>
    <definedName name="CQEF_BM0515C_N0" localSheetId="9">#REF!</definedName>
    <definedName name="CQEF_BM0515C_N0">#REF!</definedName>
    <definedName name="CQEF_BM0516_N0" localSheetId="4">#REF!</definedName>
    <definedName name="CQEF_BM0516_N0" localSheetId="9">#REF!</definedName>
    <definedName name="CQEF_BM0516_N0">#REF!</definedName>
    <definedName name="CQEF_BM0517_N0" localSheetId="4">#REF!</definedName>
    <definedName name="CQEF_BM0517_N0" localSheetId="9">#REF!</definedName>
    <definedName name="CQEF_BM0517_N0">#REF!</definedName>
    <definedName name="CQEF_BM0518_N2" localSheetId="4">#REF!</definedName>
    <definedName name="CQEF_BM0518_N2" localSheetId="9">#REF!</definedName>
    <definedName name="CQEF_BM0518_N2">#REF!</definedName>
    <definedName name="CQEF_BM0519" localSheetId="4">#REF!</definedName>
    <definedName name="CQEF_BM0519" localSheetId="9">#REF!</definedName>
    <definedName name="CQEF_BM0519">#REF!</definedName>
    <definedName name="CQEF_BM052_N0" localSheetId="4">#REF!</definedName>
    <definedName name="CQEF_BM052_N0" localSheetId="9">#REF!</definedName>
    <definedName name="CQEF_BM052_N0">#REF!</definedName>
    <definedName name="CQEF_BM0520" localSheetId="4">#REF!</definedName>
    <definedName name="CQEF_BM0520" localSheetId="9">#REF!</definedName>
    <definedName name="CQEF_BM0520">#REF!</definedName>
    <definedName name="CQEF_BM0521" localSheetId="4">#REF!</definedName>
    <definedName name="CQEF_BM0521" localSheetId="9">#REF!</definedName>
    <definedName name="CQEF_BM0521">#REF!</definedName>
    <definedName name="CQEF_BM0522" localSheetId="4">#REF!</definedName>
    <definedName name="CQEF_BM0522" localSheetId="9">#REF!</definedName>
    <definedName name="CQEF_BM0522">#REF!</definedName>
    <definedName name="CQEF_BM0523" localSheetId="4">#REF!</definedName>
    <definedName name="CQEF_BM0523" localSheetId="9">#REF!</definedName>
    <definedName name="CQEF_BM0523">#REF!</definedName>
    <definedName name="CQEF_BM0524" localSheetId="4">#REF!</definedName>
    <definedName name="CQEF_BM0524" localSheetId="9">#REF!</definedName>
    <definedName name="CQEF_BM0524">#REF!</definedName>
    <definedName name="CQEF_BM0525" localSheetId="4">#REF!</definedName>
    <definedName name="CQEF_BM0525" localSheetId="9">#REF!</definedName>
    <definedName name="CQEF_BM0525">#REF!</definedName>
    <definedName name="CQEF_BM0526" localSheetId="4">#REF!</definedName>
    <definedName name="CQEF_BM0526" localSheetId="9">#REF!</definedName>
    <definedName name="CQEF_BM0526">#REF!</definedName>
    <definedName name="CQEF_BM0529_P0" localSheetId="4">#REF!</definedName>
    <definedName name="CQEF_BM0529_P0" localSheetId="9">#REF!</definedName>
    <definedName name="CQEF_BM0529_P0">#REF!</definedName>
    <definedName name="CQEF_BM053_N0" localSheetId="4">#REF!</definedName>
    <definedName name="CQEF_BM053_N0" localSheetId="9">#REF!</definedName>
    <definedName name="CQEF_BM053_N0">#REF!</definedName>
    <definedName name="CQEF_BM0530_P0" localSheetId="4">#REF!</definedName>
    <definedName name="CQEF_BM0530_P0" localSheetId="9">#REF!</definedName>
    <definedName name="CQEF_BM0530_P0">#REF!</definedName>
    <definedName name="CQEF_BM0531_P0" localSheetId="4">#REF!</definedName>
    <definedName name="CQEF_BM0531_P0" localSheetId="9">#REF!</definedName>
    <definedName name="CQEF_BM0531_P0">#REF!</definedName>
    <definedName name="CQEF_BM0532_P0" localSheetId="4">#REF!</definedName>
    <definedName name="CQEF_BM0532_P0" localSheetId="9">#REF!</definedName>
    <definedName name="CQEF_BM0532_P0">#REF!</definedName>
    <definedName name="CQEF_BM0533" localSheetId="4">#REF!</definedName>
    <definedName name="CQEF_BM0533" localSheetId="9">#REF!</definedName>
    <definedName name="CQEF_BM0533">#REF!</definedName>
    <definedName name="CQEF_BM0534_P0" localSheetId="4">#REF!</definedName>
    <definedName name="CQEF_BM0534_P0" localSheetId="9">#REF!</definedName>
    <definedName name="CQEF_BM0534_P0">#REF!</definedName>
    <definedName name="CQEF_BM0535_P0" localSheetId="4">#REF!</definedName>
    <definedName name="CQEF_BM0535_P0" localSheetId="9">#REF!</definedName>
    <definedName name="CQEF_BM0535_P0">#REF!</definedName>
    <definedName name="CQEF_BM0536_P0" localSheetId="4">#REF!</definedName>
    <definedName name="CQEF_BM0536_P0" localSheetId="9">#REF!</definedName>
    <definedName name="CQEF_BM0536_P0">#REF!</definedName>
    <definedName name="CQEF_BM0537_P0" localSheetId="4">#REF!</definedName>
    <definedName name="CQEF_BM0537_P0" localSheetId="9">#REF!</definedName>
    <definedName name="CQEF_BM0537_P0">#REF!</definedName>
    <definedName name="CQEF_BM0538_P0" localSheetId="4">#REF!</definedName>
    <definedName name="CQEF_BM0538_P0" localSheetId="9">#REF!</definedName>
    <definedName name="CQEF_BM0538_P0">#REF!</definedName>
    <definedName name="CQEF_BM0539" localSheetId="4">#REF!</definedName>
    <definedName name="CQEF_BM0539" localSheetId="9">#REF!</definedName>
    <definedName name="CQEF_BM0539">#REF!</definedName>
    <definedName name="CQEF_BM054_N0" localSheetId="4">#REF!</definedName>
    <definedName name="CQEF_BM054_N0" localSheetId="9">#REF!</definedName>
    <definedName name="CQEF_BM054_N0">#REF!</definedName>
    <definedName name="CQEF_BM0540_P0" localSheetId="4">#REF!</definedName>
    <definedName name="CQEF_BM0540_P0" localSheetId="9">#REF!</definedName>
    <definedName name="CQEF_BM0540_P0">#REF!</definedName>
    <definedName name="CQEF_BM0541_P0" localSheetId="4">#REF!</definedName>
    <definedName name="CQEF_BM0541_P0" localSheetId="9">#REF!</definedName>
    <definedName name="CQEF_BM0541_P0">#REF!</definedName>
    <definedName name="CQEF_BM0542_P0" localSheetId="4">#REF!</definedName>
    <definedName name="CQEF_BM0542_P0" localSheetId="9">#REF!</definedName>
    <definedName name="CQEF_BM0542_P0">#REF!</definedName>
    <definedName name="CQEF_BM0543_P0" localSheetId="4">#REF!</definedName>
    <definedName name="CQEF_BM0543_P0" localSheetId="9">#REF!</definedName>
    <definedName name="CQEF_BM0543_P0">#REF!</definedName>
    <definedName name="CQEF_BM055_N0" localSheetId="4">#REF!</definedName>
    <definedName name="CQEF_BM055_N0" localSheetId="9">#REF!</definedName>
    <definedName name="CQEF_BM055_N0">#REF!</definedName>
    <definedName name="CQEF_BM056_N0" localSheetId="4">#REF!</definedName>
    <definedName name="CQEF_BM056_N0" localSheetId="9">#REF!</definedName>
    <definedName name="CQEF_BM056_N0">#REF!</definedName>
    <definedName name="CQEF_BM057_N0" localSheetId="4">#REF!</definedName>
    <definedName name="CQEF_BM057_N0" localSheetId="9">#REF!</definedName>
    <definedName name="CQEF_BM057_N0">#REF!</definedName>
    <definedName name="CQEF_BM058_N0" localSheetId="4">#REF!</definedName>
    <definedName name="CQEF_BM058_N0" localSheetId="9">#REF!</definedName>
    <definedName name="CQEF_BM058_N0">#REF!</definedName>
    <definedName name="CQEF_BM059_N0" localSheetId="4">#REF!</definedName>
    <definedName name="CQEF_BM059_N0" localSheetId="9">#REF!</definedName>
    <definedName name="CQEF_BM059_N0">#REF!</definedName>
    <definedName name="CQEF_BM061" localSheetId="4">#REF!</definedName>
    <definedName name="CQEF_BM061" localSheetId="9">#REF!</definedName>
    <definedName name="CQEF_BM061">#REF!</definedName>
    <definedName name="CQEF_BM0610_N0" localSheetId="4">#REF!</definedName>
    <definedName name="CQEF_BM0610_N0" localSheetId="9">#REF!</definedName>
    <definedName name="CQEF_BM0610_N0">#REF!</definedName>
    <definedName name="CQEF_BM0611_N0" localSheetId="4">#REF!</definedName>
    <definedName name="CQEF_BM0611_N0" localSheetId="9">#REF!</definedName>
    <definedName name="CQEF_BM0611_N0">#REF!</definedName>
    <definedName name="CQEF_BM0612_N0" localSheetId="4">#REF!</definedName>
    <definedName name="CQEF_BM0612_N0" localSheetId="9">#REF!</definedName>
    <definedName name="CQEF_BM0612_N0">#REF!</definedName>
    <definedName name="CQEF_BM0613_N0" localSheetId="4">#REF!</definedName>
    <definedName name="CQEF_BM0613_N0" localSheetId="9">#REF!</definedName>
    <definedName name="CQEF_BM0613_N0">#REF!</definedName>
    <definedName name="CQEF_BM0614_N0" localSheetId="4">#REF!</definedName>
    <definedName name="CQEF_BM0614_N0" localSheetId="9">#REF!</definedName>
    <definedName name="CQEF_BM0614_N0">#REF!</definedName>
    <definedName name="CQEF_BM0615_N0" localSheetId="4">#REF!</definedName>
    <definedName name="CQEF_BM0615_N0" localSheetId="9">#REF!</definedName>
    <definedName name="CQEF_BM0615_N0">#REF!</definedName>
    <definedName name="CQEF_BM0615A_N0" localSheetId="4">#REF!</definedName>
    <definedName name="CQEF_BM0615A_N0" localSheetId="9">#REF!</definedName>
    <definedName name="CQEF_BM0615A_N0">#REF!</definedName>
    <definedName name="CQEF_BM0615B_N0" localSheetId="4">#REF!</definedName>
    <definedName name="CQEF_BM0615B_N0" localSheetId="9">#REF!</definedName>
    <definedName name="CQEF_BM0615B_N0">#REF!</definedName>
    <definedName name="CQEF_BM0615C_N0" localSheetId="4">#REF!</definedName>
    <definedName name="CQEF_BM0615C_N0" localSheetId="9">#REF!</definedName>
    <definedName name="CQEF_BM0615C_N0">#REF!</definedName>
    <definedName name="CQEF_BM0616_N0" localSheetId="4">#REF!</definedName>
    <definedName name="CQEF_BM0616_N0" localSheetId="9">#REF!</definedName>
    <definedName name="CQEF_BM0616_N0">#REF!</definedName>
    <definedName name="CQEF_BM0617_N0" localSheetId="4">#REF!</definedName>
    <definedName name="CQEF_BM0617_N0" localSheetId="9">#REF!</definedName>
    <definedName name="CQEF_BM0617_N0">#REF!</definedName>
    <definedName name="CQEF_BM0618_N2" localSheetId="4">#REF!</definedName>
    <definedName name="CQEF_BM0618_N2" localSheetId="9">#REF!</definedName>
    <definedName name="CQEF_BM0618_N2">#REF!</definedName>
    <definedName name="CQEF_BM0619" localSheetId="4">#REF!</definedName>
    <definedName name="CQEF_BM0619" localSheetId="9">#REF!</definedName>
    <definedName name="CQEF_BM0619">#REF!</definedName>
    <definedName name="CQEF_BM062_N0" localSheetId="4">#REF!</definedName>
    <definedName name="CQEF_BM062_N0" localSheetId="9">#REF!</definedName>
    <definedName name="CQEF_BM062_N0">#REF!</definedName>
    <definedName name="CQEF_BM0620" localSheetId="4">#REF!</definedName>
    <definedName name="CQEF_BM0620" localSheetId="9">#REF!</definedName>
    <definedName name="CQEF_BM0620">#REF!</definedName>
    <definedName name="CQEF_BM0621" localSheetId="4">#REF!</definedName>
    <definedName name="CQEF_BM0621" localSheetId="9">#REF!</definedName>
    <definedName name="CQEF_BM0621">#REF!</definedName>
    <definedName name="CQEF_BM0622" localSheetId="4">#REF!</definedName>
    <definedName name="CQEF_BM0622" localSheetId="9">#REF!</definedName>
    <definedName name="CQEF_BM0622">#REF!</definedName>
    <definedName name="CQEF_BM0623" localSheetId="4">#REF!</definedName>
    <definedName name="CQEF_BM0623" localSheetId="9">#REF!</definedName>
    <definedName name="CQEF_BM0623">#REF!</definedName>
    <definedName name="CQEF_BM0624" localSheetId="4">#REF!</definedName>
    <definedName name="CQEF_BM0624" localSheetId="9">#REF!</definedName>
    <definedName name="CQEF_BM0624">#REF!</definedName>
    <definedName name="CQEF_BM0625" localSheetId="4">#REF!</definedName>
    <definedName name="CQEF_BM0625" localSheetId="9">#REF!</definedName>
    <definedName name="CQEF_BM0625">#REF!</definedName>
    <definedName name="CQEF_BM0626" localSheetId="4">#REF!</definedName>
    <definedName name="CQEF_BM0626" localSheetId="9">#REF!</definedName>
    <definedName name="CQEF_BM0626">#REF!</definedName>
    <definedName name="CQEF_BM0629_P0" localSheetId="4">#REF!</definedName>
    <definedName name="CQEF_BM0629_P0" localSheetId="9">#REF!</definedName>
    <definedName name="CQEF_BM0629_P0">#REF!</definedName>
    <definedName name="CQEF_BM063_N0" localSheetId="4">#REF!</definedName>
    <definedName name="CQEF_BM063_N0" localSheetId="9">#REF!</definedName>
    <definedName name="CQEF_BM063_N0">#REF!</definedName>
    <definedName name="CQEF_BM0630_P0" localSheetId="4">#REF!</definedName>
    <definedName name="CQEF_BM0630_P0" localSheetId="9">#REF!</definedName>
    <definedName name="CQEF_BM0630_P0">#REF!</definedName>
    <definedName name="CQEF_BM0631_P0" localSheetId="4">#REF!</definedName>
    <definedName name="CQEF_BM0631_P0" localSheetId="9">#REF!</definedName>
    <definedName name="CQEF_BM0631_P0">#REF!</definedName>
    <definedName name="CQEF_BM0632_P0" localSheetId="4">#REF!</definedName>
    <definedName name="CQEF_BM0632_P0" localSheetId="9">#REF!</definedName>
    <definedName name="CQEF_BM0632_P0">#REF!</definedName>
    <definedName name="CQEF_BM0633" localSheetId="4">#REF!</definedName>
    <definedName name="CQEF_BM0633" localSheetId="9">#REF!</definedName>
    <definedName name="CQEF_BM0633">#REF!</definedName>
    <definedName name="CQEF_BM0634_P0" localSheetId="4">#REF!</definedName>
    <definedName name="CQEF_BM0634_P0" localSheetId="9">#REF!</definedName>
    <definedName name="CQEF_BM0634_P0">#REF!</definedName>
    <definedName name="CQEF_BM0635_P0" localSheetId="4">#REF!</definedName>
    <definedName name="CQEF_BM0635_P0" localSheetId="9">#REF!</definedName>
    <definedName name="CQEF_BM0635_P0">#REF!</definedName>
    <definedName name="CQEF_BM0636_P0" localSheetId="4">#REF!</definedName>
    <definedName name="CQEF_BM0636_P0" localSheetId="9">#REF!</definedName>
    <definedName name="CQEF_BM0636_P0">#REF!</definedName>
    <definedName name="CQEF_BM0637_P0" localSheetId="4">#REF!</definedName>
    <definedName name="CQEF_BM0637_P0" localSheetId="9">#REF!</definedName>
    <definedName name="CQEF_BM0637_P0">#REF!</definedName>
    <definedName name="CQEF_BM0638_P0" localSheetId="4">#REF!</definedName>
    <definedName name="CQEF_BM0638_P0" localSheetId="9">#REF!</definedName>
    <definedName name="CQEF_BM0638_P0">#REF!</definedName>
    <definedName name="CQEF_BM0639" localSheetId="4">#REF!</definedName>
    <definedName name="CQEF_BM0639" localSheetId="9">#REF!</definedName>
    <definedName name="CQEF_BM0639">#REF!</definedName>
    <definedName name="CQEF_BM064_N0" localSheetId="4">#REF!</definedName>
    <definedName name="CQEF_BM064_N0" localSheetId="9">#REF!</definedName>
    <definedName name="CQEF_BM064_N0">#REF!</definedName>
    <definedName name="CQEF_BM0640_P0" localSheetId="4">#REF!</definedName>
    <definedName name="CQEF_BM0640_P0" localSheetId="9">#REF!</definedName>
    <definedName name="CQEF_BM0640_P0">#REF!</definedName>
    <definedName name="CQEF_BM0641_P0" localSheetId="4">#REF!</definedName>
    <definedName name="CQEF_BM0641_P0" localSheetId="9">#REF!</definedName>
    <definedName name="CQEF_BM0641_P0">#REF!</definedName>
    <definedName name="CQEF_BM0642_P0" localSheetId="4">#REF!</definedName>
    <definedName name="CQEF_BM0642_P0" localSheetId="9">#REF!</definedName>
    <definedName name="CQEF_BM0642_P0">#REF!</definedName>
    <definedName name="CQEF_BM0643_P0" localSheetId="4">#REF!</definedName>
    <definedName name="CQEF_BM0643_P0" localSheetId="9">#REF!</definedName>
    <definedName name="CQEF_BM0643_P0">#REF!</definedName>
    <definedName name="CQEF_BM065_N0" localSheetId="4">#REF!</definedName>
    <definedName name="CQEF_BM065_N0" localSheetId="9">#REF!</definedName>
    <definedName name="CQEF_BM065_N0">#REF!</definedName>
    <definedName name="CQEF_BM066_N0" localSheetId="4">#REF!</definedName>
    <definedName name="CQEF_BM066_N0" localSheetId="9">#REF!</definedName>
    <definedName name="CQEF_BM066_N0">#REF!</definedName>
    <definedName name="CQEF_BM067_N0" localSheetId="4">#REF!</definedName>
    <definedName name="CQEF_BM067_N0" localSheetId="9">#REF!</definedName>
    <definedName name="CQEF_BM067_N0">#REF!</definedName>
    <definedName name="CQEF_BM068_N0" localSheetId="4">#REF!</definedName>
    <definedName name="CQEF_BM068_N0" localSheetId="9">#REF!</definedName>
    <definedName name="CQEF_BM068_N0">#REF!</definedName>
    <definedName name="CQEF_BM069_N0" localSheetId="4">#REF!</definedName>
    <definedName name="CQEF_BM069_N0" localSheetId="9">#REF!</definedName>
    <definedName name="CQEF_BM069_N0">#REF!</definedName>
    <definedName name="CQEF_BM071" localSheetId="4">#REF!</definedName>
    <definedName name="CQEF_BM071" localSheetId="9">#REF!</definedName>
    <definedName name="CQEF_BM071">#REF!</definedName>
    <definedName name="CQEF_BM0710_N0" localSheetId="4">#REF!</definedName>
    <definedName name="CQEF_BM0710_N0" localSheetId="9">#REF!</definedName>
    <definedName name="CQEF_BM0710_N0">#REF!</definedName>
    <definedName name="CQEF_BM0711_N0" localSheetId="4">#REF!</definedName>
    <definedName name="CQEF_BM0711_N0" localSheetId="9">#REF!</definedName>
    <definedName name="CQEF_BM0711_N0">#REF!</definedName>
    <definedName name="CQEF_BM0712_N0" localSheetId="4">#REF!</definedName>
    <definedName name="CQEF_BM0712_N0" localSheetId="9">#REF!</definedName>
    <definedName name="CQEF_BM0712_N0">#REF!</definedName>
    <definedName name="CQEF_BM0713_N0" localSheetId="4">#REF!</definedName>
    <definedName name="CQEF_BM0713_N0" localSheetId="9">#REF!</definedName>
    <definedName name="CQEF_BM0713_N0">#REF!</definedName>
    <definedName name="CQEF_BM0714_N0" localSheetId="4">#REF!</definedName>
    <definedName name="CQEF_BM0714_N0" localSheetId="9">#REF!</definedName>
    <definedName name="CQEF_BM0714_N0">#REF!</definedName>
    <definedName name="CQEF_BM0715_N0" localSheetId="4">#REF!</definedName>
    <definedName name="CQEF_BM0715_N0" localSheetId="9">#REF!</definedName>
    <definedName name="CQEF_BM0715_N0">#REF!</definedName>
    <definedName name="CQEF_BM0715A_N0" localSheetId="4">#REF!</definedName>
    <definedName name="CQEF_BM0715A_N0" localSheetId="9">#REF!</definedName>
    <definedName name="CQEF_BM0715A_N0">#REF!</definedName>
    <definedName name="CQEF_BM0715B_N0" localSheetId="4">#REF!</definedName>
    <definedName name="CQEF_BM0715B_N0" localSheetId="9">#REF!</definedName>
    <definedName name="CQEF_BM0715B_N0">#REF!</definedName>
    <definedName name="CQEF_BM0715C_N0" localSheetId="4">#REF!</definedName>
    <definedName name="CQEF_BM0715C_N0" localSheetId="9">#REF!</definedName>
    <definedName name="CQEF_BM0715C_N0">#REF!</definedName>
    <definedName name="CQEF_BM0716_N0" localSheetId="4">#REF!</definedName>
    <definedName name="CQEF_BM0716_N0" localSheetId="9">#REF!</definedName>
    <definedName name="CQEF_BM0716_N0">#REF!</definedName>
    <definedName name="CQEF_BM0717_N0" localSheetId="4">#REF!</definedName>
    <definedName name="CQEF_BM0717_N0" localSheetId="9">#REF!</definedName>
    <definedName name="CQEF_BM0717_N0">#REF!</definedName>
    <definedName name="CQEF_BM0718_N2" localSheetId="4">#REF!</definedName>
    <definedName name="CQEF_BM0718_N2" localSheetId="9">#REF!</definedName>
    <definedName name="CQEF_BM0718_N2">#REF!</definedName>
    <definedName name="CQEF_BM0719" localSheetId="4">#REF!</definedName>
    <definedName name="CQEF_BM0719" localSheetId="9">#REF!</definedName>
    <definedName name="CQEF_BM0719">#REF!</definedName>
    <definedName name="CQEF_BM072_N0" localSheetId="4">#REF!</definedName>
    <definedName name="CQEF_BM072_N0" localSheetId="9">#REF!</definedName>
    <definedName name="CQEF_BM072_N0">#REF!</definedName>
    <definedName name="CQEF_BM0720" localSheetId="4">#REF!</definedName>
    <definedName name="CQEF_BM0720" localSheetId="9">#REF!</definedName>
    <definedName name="CQEF_BM0720">#REF!</definedName>
    <definedName name="CQEF_BM0721" localSheetId="4">#REF!</definedName>
    <definedName name="CQEF_BM0721" localSheetId="9">#REF!</definedName>
    <definedName name="CQEF_BM0721">#REF!</definedName>
    <definedName name="CQEF_BM0722" localSheetId="4">#REF!</definedName>
    <definedName name="CQEF_BM0722" localSheetId="9">#REF!</definedName>
    <definedName name="CQEF_BM0722">#REF!</definedName>
    <definedName name="CQEF_BM0723" localSheetId="4">#REF!</definedName>
    <definedName name="CQEF_BM0723" localSheetId="9">#REF!</definedName>
    <definedName name="CQEF_BM0723">#REF!</definedName>
    <definedName name="CQEF_BM0724" localSheetId="4">#REF!</definedName>
    <definedName name="CQEF_BM0724" localSheetId="9">#REF!</definedName>
    <definedName name="CQEF_BM0724">#REF!</definedName>
    <definedName name="CQEF_BM0725" localSheetId="4">#REF!</definedName>
    <definedName name="CQEF_BM0725" localSheetId="9">#REF!</definedName>
    <definedName name="CQEF_BM0725">#REF!</definedName>
    <definedName name="CQEF_BM0726" localSheetId="4">#REF!</definedName>
    <definedName name="CQEF_BM0726" localSheetId="9">#REF!</definedName>
    <definedName name="CQEF_BM0726">#REF!</definedName>
    <definedName name="CQEF_BM0729_P0" localSheetId="4">#REF!</definedName>
    <definedName name="CQEF_BM0729_P0" localSheetId="9">#REF!</definedName>
    <definedName name="CQEF_BM0729_P0">#REF!</definedName>
    <definedName name="CQEF_BM073_N0" localSheetId="4">#REF!</definedName>
    <definedName name="CQEF_BM073_N0" localSheetId="9">#REF!</definedName>
    <definedName name="CQEF_BM073_N0">#REF!</definedName>
    <definedName name="CQEF_BM0730_P0" localSheetId="4">#REF!</definedName>
    <definedName name="CQEF_BM0730_P0" localSheetId="9">#REF!</definedName>
    <definedName name="CQEF_BM0730_P0">#REF!</definedName>
    <definedName name="CQEF_BM0731_P0" localSheetId="4">#REF!</definedName>
    <definedName name="CQEF_BM0731_P0" localSheetId="9">#REF!</definedName>
    <definedName name="CQEF_BM0731_P0">#REF!</definedName>
    <definedName name="CQEF_BM0732_P0" localSheetId="4">#REF!</definedName>
    <definedName name="CQEF_BM0732_P0" localSheetId="9">#REF!</definedName>
    <definedName name="CQEF_BM0732_P0">#REF!</definedName>
    <definedName name="CQEF_BM0733" localSheetId="4">#REF!</definedName>
    <definedName name="CQEF_BM0733" localSheetId="9">#REF!</definedName>
    <definedName name="CQEF_BM0733">#REF!</definedName>
    <definedName name="CQEF_BM0734_P0" localSheetId="4">#REF!</definedName>
    <definedName name="CQEF_BM0734_P0" localSheetId="9">#REF!</definedName>
    <definedName name="CQEF_BM0734_P0">#REF!</definedName>
    <definedName name="CQEF_BM0735_P0" localSheetId="4">#REF!</definedName>
    <definedName name="CQEF_BM0735_P0" localSheetId="9">#REF!</definedName>
    <definedName name="CQEF_BM0735_P0">#REF!</definedName>
    <definedName name="CQEF_BM0736_P0" localSheetId="4">#REF!</definedName>
    <definedName name="CQEF_BM0736_P0" localSheetId="9">#REF!</definedName>
    <definedName name="CQEF_BM0736_P0">#REF!</definedName>
    <definedName name="CQEF_BM0737_P0" localSheetId="4">#REF!</definedName>
    <definedName name="CQEF_BM0737_P0" localSheetId="9">#REF!</definedName>
    <definedName name="CQEF_BM0737_P0">#REF!</definedName>
    <definedName name="CQEF_BM0738_P0" localSheetId="4">#REF!</definedName>
    <definedName name="CQEF_BM0738_P0" localSheetId="9">#REF!</definedName>
    <definedName name="CQEF_BM0738_P0">#REF!</definedName>
    <definedName name="CQEF_BM0739" localSheetId="4">#REF!</definedName>
    <definedName name="CQEF_BM0739" localSheetId="9">#REF!</definedName>
    <definedName name="CQEF_BM0739">#REF!</definedName>
    <definedName name="CQEF_BM074_N0" localSheetId="4">#REF!</definedName>
    <definedName name="CQEF_BM074_N0" localSheetId="9">#REF!</definedName>
    <definedName name="CQEF_BM074_N0">#REF!</definedName>
    <definedName name="CQEF_BM0740_P0" localSheetId="4">#REF!</definedName>
    <definedName name="CQEF_BM0740_P0" localSheetId="9">#REF!</definedName>
    <definedName name="CQEF_BM0740_P0">#REF!</definedName>
    <definedName name="CQEF_BM0741_P0" localSheetId="4">#REF!</definedName>
    <definedName name="CQEF_BM0741_P0" localSheetId="9">#REF!</definedName>
    <definedName name="CQEF_BM0741_P0">#REF!</definedName>
    <definedName name="CQEF_BM0742_P0" localSheetId="4">#REF!</definedName>
    <definedName name="CQEF_BM0742_P0" localSheetId="9">#REF!</definedName>
    <definedName name="CQEF_BM0742_P0">#REF!</definedName>
    <definedName name="CQEF_BM0743_P0" localSheetId="4">#REF!</definedName>
    <definedName name="CQEF_BM0743_P0" localSheetId="9">#REF!</definedName>
    <definedName name="CQEF_BM0743_P0">#REF!</definedName>
    <definedName name="CQEF_BM075_N0" localSheetId="4">#REF!</definedName>
    <definedName name="CQEF_BM075_N0" localSheetId="9">#REF!</definedName>
    <definedName name="CQEF_BM075_N0">#REF!</definedName>
    <definedName name="CQEF_BM076_N0" localSheetId="4">#REF!</definedName>
    <definedName name="CQEF_BM076_N0" localSheetId="9">#REF!</definedName>
    <definedName name="CQEF_BM076_N0">#REF!</definedName>
    <definedName name="CQEF_BM077_N0" localSheetId="4">#REF!</definedName>
    <definedName name="CQEF_BM077_N0" localSheetId="9">#REF!</definedName>
    <definedName name="CQEF_BM077_N0">#REF!</definedName>
    <definedName name="CQEF_BM078_N0" localSheetId="4">#REF!</definedName>
    <definedName name="CQEF_BM078_N0" localSheetId="9">#REF!</definedName>
    <definedName name="CQEF_BM078_N0">#REF!</definedName>
    <definedName name="CQEF_BM079_N0" localSheetId="4">#REF!</definedName>
    <definedName name="CQEF_BM079_N0" localSheetId="9">#REF!</definedName>
    <definedName name="CQEF_BM079_N0">#REF!</definedName>
    <definedName name="CQEF_BM081" localSheetId="4">#REF!</definedName>
    <definedName name="CQEF_BM081" localSheetId="9">#REF!</definedName>
    <definedName name="CQEF_BM081">#REF!</definedName>
    <definedName name="CQEF_BM0810_N0" localSheetId="4">#REF!</definedName>
    <definedName name="CQEF_BM0810_N0" localSheetId="9">#REF!</definedName>
    <definedName name="CQEF_BM0810_N0">#REF!</definedName>
    <definedName name="CQEF_BM0811_N0" localSheetId="4">#REF!</definedName>
    <definedName name="CQEF_BM0811_N0" localSheetId="9">#REF!</definedName>
    <definedName name="CQEF_BM0811_N0">#REF!</definedName>
    <definedName name="CQEF_BM0812_N0" localSheetId="4">#REF!</definedName>
    <definedName name="CQEF_BM0812_N0" localSheetId="9">#REF!</definedName>
    <definedName name="CQEF_BM0812_N0">#REF!</definedName>
    <definedName name="CQEF_BM0813_N0" localSheetId="4">#REF!</definedName>
    <definedName name="CQEF_BM0813_N0" localSheetId="9">#REF!</definedName>
    <definedName name="CQEF_BM0813_N0">#REF!</definedName>
    <definedName name="CQEF_BM0814_N0" localSheetId="4">#REF!</definedName>
    <definedName name="CQEF_BM0814_N0" localSheetId="9">#REF!</definedName>
    <definedName name="CQEF_BM0814_N0">#REF!</definedName>
    <definedName name="CQEF_BM0815_N0" localSheetId="4">#REF!</definedName>
    <definedName name="CQEF_BM0815_N0" localSheetId="9">#REF!</definedName>
    <definedName name="CQEF_BM0815_N0">#REF!</definedName>
    <definedName name="CQEF_BM0815A_N0" localSheetId="4">#REF!</definedName>
    <definedName name="CQEF_BM0815A_N0" localSheetId="9">#REF!</definedName>
    <definedName name="CQEF_BM0815A_N0">#REF!</definedName>
    <definedName name="CQEF_BM0815B_N0" localSheetId="4">#REF!</definedName>
    <definedName name="CQEF_BM0815B_N0" localSheetId="9">#REF!</definedName>
    <definedName name="CQEF_BM0815B_N0">#REF!</definedName>
    <definedName name="CQEF_BM0815C_N0" localSheetId="4">#REF!</definedName>
    <definedName name="CQEF_BM0815C_N0" localSheetId="9">#REF!</definedName>
    <definedName name="CQEF_BM0815C_N0">#REF!</definedName>
    <definedName name="CQEF_BM0816_N0" localSheetId="4">#REF!</definedName>
    <definedName name="CQEF_BM0816_N0" localSheetId="9">#REF!</definedName>
    <definedName name="CQEF_BM0816_N0">#REF!</definedName>
    <definedName name="CQEF_BM0817_N0" localSheetId="4">#REF!</definedName>
    <definedName name="CQEF_BM0817_N0" localSheetId="9">#REF!</definedName>
    <definedName name="CQEF_BM0817_N0">#REF!</definedName>
    <definedName name="CQEF_BM0818_N2" localSheetId="4">#REF!</definedName>
    <definedName name="CQEF_BM0818_N2" localSheetId="9">#REF!</definedName>
    <definedName name="CQEF_BM0818_N2">#REF!</definedName>
    <definedName name="CQEF_BM0819" localSheetId="4">#REF!</definedName>
    <definedName name="CQEF_BM0819" localSheetId="9">#REF!</definedName>
    <definedName name="CQEF_BM0819">#REF!</definedName>
    <definedName name="CQEF_BM082_N0" localSheetId="4">#REF!</definedName>
    <definedName name="CQEF_BM082_N0" localSheetId="9">#REF!</definedName>
    <definedName name="CQEF_BM082_N0">#REF!</definedName>
    <definedName name="CQEF_BM0820" localSheetId="4">#REF!</definedName>
    <definedName name="CQEF_BM0820" localSheetId="9">#REF!</definedName>
    <definedName name="CQEF_BM0820">#REF!</definedName>
    <definedName name="CQEF_BM0821" localSheetId="4">#REF!</definedName>
    <definedName name="CQEF_BM0821" localSheetId="9">#REF!</definedName>
    <definedName name="CQEF_BM0821">#REF!</definedName>
    <definedName name="CQEF_BM0822" localSheetId="4">#REF!</definedName>
    <definedName name="CQEF_BM0822" localSheetId="9">#REF!</definedName>
    <definedName name="CQEF_BM0822">#REF!</definedName>
    <definedName name="CQEF_BM0823" localSheetId="4">#REF!</definedName>
    <definedName name="CQEF_BM0823" localSheetId="9">#REF!</definedName>
    <definedName name="CQEF_BM0823">#REF!</definedName>
    <definedName name="CQEF_BM0824" localSheetId="4">#REF!</definedName>
    <definedName name="CQEF_BM0824" localSheetId="9">#REF!</definedName>
    <definedName name="CQEF_BM0824">#REF!</definedName>
    <definedName name="CQEF_BM0825" localSheetId="4">#REF!</definedName>
    <definedName name="CQEF_BM0825" localSheetId="9">#REF!</definedName>
    <definedName name="CQEF_BM0825">#REF!</definedName>
    <definedName name="CQEF_BM0826" localSheetId="4">#REF!</definedName>
    <definedName name="CQEF_BM0826" localSheetId="9">#REF!</definedName>
    <definedName name="CQEF_BM0826">#REF!</definedName>
    <definedName name="CQEF_BM0829_P0" localSheetId="4">#REF!</definedName>
    <definedName name="CQEF_BM0829_P0" localSheetId="9">#REF!</definedName>
    <definedName name="CQEF_BM0829_P0">#REF!</definedName>
    <definedName name="CQEF_BM083_N0" localSheetId="4">#REF!</definedName>
    <definedName name="CQEF_BM083_N0" localSheetId="9">#REF!</definedName>
    <definedName name="CQEF_BM083_N0">#REF!</definedName>
    <definedName name="CQEF_BM0830_P0" localSheetId="4">#REF!</definedName>
    <definedName name="CQEF_BM0830_P0" localSheetId="9">#REF!</definedName>
    <definedName name="CQEF_BM0830_P0">#REF!</definedName>
    <definedName name="CQEF_BM0831_P0" localSheetId="4">#REF!</definedName>
    <definedName name="CQEF_BM0831_P0" localSheetId="9">#REF!</definedName>
    <definedName name="CQEF_BM0831_P0">#REF!</definedName>
    <definedName name="CQEF_BM0832_P0" localSheetId="4">#REF!</definedName>
    <definedName name="CQEF_BM0832_P0" localSheetId="9">#REF!</definedName>
    <definedName name="CQEF_BM0832_P0">#REF!</definedName>
    <definedName name="CQEF_BM0833" localSheetId="4">#REF!</definedName>
    <definedName name="CQEF_BM0833" localSheetId="9">#REF!</definedName>
    <definedName name="CQEF_BM0833">#REF!</definedName>
    <definedName name="CQEF_BM0834_P0" localSheetId="4">#REF!</definedName>
    <definedName name="CQEF_BM0834_P0" localSheetId="9">#REF!</definedName>
    <definedName name="CQEF_BM0834_P0">#REF!</definedName>
    <definedName name="CQEF_BM0835_P0" localSheetId="4">#REF!</definedName>
    <definedName name="CQEF_BM0835_P0" localSheetId="9">#REF!</definedName>
    <definedName name="CQEF_BM0835_P0">#REF!</definedName>
    <definedName name="CQEF_BM0836_P0" localSheetId="4">#REF!</definedName>
    <definedName name="CQEF_BM0836_P0" localSheetId="9">#REF!</definedName>
    <definedName name="CQEF_BM0836_P0">#REF!</definedName>
    <definedName name="CQEF_BM0837_P0" localSheetId="4">#REF!</definedName>
    <definedName name="CQEF_BM0837_P0" localSheetId="9">#REF!</definedName>
    <definedName name="CQEF_BM0837_P0">#REF!</definedName>
    <definedName name="CQEF_BM0838_P0" localSheetId="4">#REF!</definedName>
    <definedName name="CQEF_BM0838_P0" localSheetId="9">#REF!</definedName>
    <definedName name="CQEF_BM0838_P0">#REF!</definedName>
    <definedName name="CQEF_BM0839" localSheetId="4">#REF!</definedName>
    <definedName name="CQEF_BM0839" localSheetId="9">#REF!</definedName>
    <definedName name="CQEF_BM0839">#REF!</definedName>
    <definedName name="CQEF_BM084_N0" localSheetId="4">#REF!</definedName>
    <definedName name="CQEF_BM084_N0" localSheetId="9">#REF!</definedName>
    <definedName name="CQEF_BM084_N0">#REF!</definedName>
    <definedName name="CQEF_BM0840_P0" localSheetId="4">#REF!</definedName>
    <definedName name="CQEF_BM0840_P0" localSheetId="9">#REF!</definedName>
    <definedName name="CQEF_BM0840_P0">#REF!</definedName>
    <definedName name="CQEF_BM0841_P0" localSheetId="4">#REF!</definedName>
    <definedName name="CQEF_BM0841_P0" localSheetId="9">#REF!</definedName>
    <definedName name="CQEF_BM0841_P0">#REF!</definedName>
    <definedName name="CQEF_BM0842_P0" localSheetId="4">#REF!</definedName>
    <definedName name="CQEF_BM0842_P0" localSheetId="9">#REF!</definedName>
    <definedName name="CQEF_BM0842_P0">#REF!</definedName>
    <definedName name="CQEF_BM0843_P0" localSheetId="4">#REF!</definedName>
    <definedName name="CQEF_BM0843_P0" localSheetId="9">#REF!</definedName>
    <definedName name="CQEF_BM0843_P0">#REF!</definedName>
    <definedName name="CQEF_BM085_N0" localSheetId="4">#REF!</definedName>
    <definedName name="CQEF_BM085_N0" localSheetId="9">#REF!</definedName>
    <definedName name="CQEF_BM085_N0">#REF!</definedName>
    <definedName name="CQEF_BM086_N0" localSheetId="4">#REF!</definedName>
    <definedName name="CQEF_BM086_N0" localSheetId="9">#REF!</definedName>
    <definedName name="CQEF_BM086_N0">#REF!</definedName>
    <definedName name="CQEF_BM087_N0" localSheetId="4">#REF!</definedName>
    <definedName name="CQEF_BM087_N0" localSheetId="9">#REF!</definedName>
    <definedName name="CQEF_BM087_N0">#REF!</definedName>
    <definedName name="CQEF_BM088_N0" localSheetId="4">#REF!</definedName>
    <definedName name="CQEF_BM088_N0" localSheetId="9">#REF!</definedName>
    <definedName name="CQEF_BM088_N0">#REF!</definedName>
    <definedName name="CQEF_BM089_N0" localSheetId="4">#REF!</definedName>
    <definedName name="CQEF_BM089_N0" localSheetId="9">#REF!</definedName>
    <definedName name="CQEF_BM089_N0">#REF!</definedName>
    <definedName name="CQEF_BM091" localSheetId="4">#REF!</definedName>
    <definedName name="CQEF_BM091" localSheetId="9">#REF!</definedName>
    <definedName name="CQEF_BM091">#REF!</definedName>
    <definedName name="CQEF_BM0910_N0" localSheetId="4">#REF!</definedName>
    <definedName name="CQEF_BM0910_N0" localSheetId="9">#REF!</definedName>
    <definedName name="CQEF_BM0910_N0">#REF!</definedName>
    <definedName name="CQEF_BM0911_N0" localSheetId="4">#REF!</definedName>
    <definedName name="CQEF_BM0911_N0" localSheetId="9">#REF!</definedName>
    <definedName name="CQEF_BM0911_N0">#REF!</definedName>
    <definedName name="CQEF_BM0912_N0" localSheetId="4">#REF!</definedName>
    <definedName name="CQEF_BM0912_N0" localSheetId="9">#REF!</definedName>
    <definedName name="CQEF_BM0912_N0">#REF!</definedName>
    <definedName name="CQEF_BM0913_N0" localSheetId="4">#REF!</definedName>
    <definedName name="CQEF_BM0913_N0" localSheetId="9">#REF!</definedName>
    <definedName name="CQEF_BM0913_N0">#REF!</definedName>
    <definedName name="CQEF_BM0914_N0" localSheetId="4">#REF!</definedName>
    <definedName name="CQEF_BM0914_N0" localSheetId="9">#REF!</definedName>
    <definedName name="CQEF_BM0914_N0">#REF!</definedName>
    <definedName name="CQEF_BM0915_N0" localSheetId="4">#REF!</definedName>
    <definedName name="CQEF_BM0915_N0" localSheetId="9">#REF!</definedName>
    <definedName name="CQEF_BM0915_N0">#REF!</definedName>
    <definedName name="CQEF_BM0915A_N0" localSheetId="4">#REF!</definedName>
    <definedName name="CQEF_BM0915A_N0" localSheetId="9">#REF!</definedName>
    <definedName name="CQEF_BM0915A_N0">#REF!</definedName>
    <definedName name="CQEF_BM0915B_N0" localSheetId="4">#REF!</definedName>
    <definedName name="CQEF_BM0915B_N0" localSheetId="9">#REF!</definedName>
    <definedName name="CQEF_BM0915B_N0">#REF!</definedName>
    <definedName name="CQEF_BM0915C_N0" localSheetId="4">#REF!</definedName>
    <definedName name="CQEF_BM0915C_N0" localSheetId="9">#REF!</definedName>
    <definedName name="CQEF_BM0915C_N0">#REF!</definedName>
    <definedName name="CQEF_BM0916_N0" localSheetId="4">#REF!</definedName>
    <definedName name="CQEF_BM0916_N0" localSheetId="9">#REF!</definedName>
    <definedName name="CQEF_BM0916_N0">#REF!</definedName>
    <definedName name="CQEF_BM0917_N0" localSheetId="4">#REF!</definedName>
    <definedName name="CQEF_BM0917_N0" localSheetId="9">#REF!</definedName>
    <definedName name="CQEF_BM0917_N0">#REF!</definedName>
    <definedName name="CQEF_BM0918_N2" localSheetId="4">#REF!</definedName>
    <definedName name="CQEF_BM0918_N2" localSheetId="9">#REF!</definedName>
    <definedName name="CQEF_BM0918_N2">#REF!</definedName>
    <definedName name="CQEF_BM0919" localSheetId="4">#REF!</definedName>
    <definedName name="CQEF_BM0919" localSheetId="9">#REF!</definedName>
    <definedName name="CQEF_BM0919">#REF!</definedName>
    <definedName name="CQEF_BM092_N0" localSheetId="4">#REF!</definedName>
    <definedName name="CQEF_BM092_N0" localSheetId="9">#REF!</definedName>
    <definedName name="CQEF_BM092_N0">#REF!</definedName>
    <definedName name="CQEF_BM0920" localSheetId="4">#REF!</definedName>
    <definedName name="CQEF_BM0920" localSheetId="9">#REF!</definedName>
    <definedName name="CQEF_BM0920">#REF!</definedName>
    <definedName name="CQEF_BM0921" localSheetId="4">#REF!</definedName>
    <definedName name="CQEF_BM0921" localSheetId="9">#REF!</definedName>
    <definedName name="CQEF_BM0921">#REF!</definedName>
    <definedName name="CQEF_BM0922" localSheetId="4">#REF!</definedName>
    <definedName name="CQEF_BM0922" localSheetId="9">#REF!</definedName>
    <definedName name="CQEF_BM0922">#REF!</definedName>
    <definedName name="CQEF_BM0923" localSheetId="4">#REF!</definedName>
    <definedName name="CQEF_BM0923" localSheetId="9">#REF!</definedName>
    <definedName name="CQEF_BM0923">#REF!</definedName>
    <definedName name="CQEF_BM0924" localSheetId="4">#REF!</definedName>
    <definedName name="CQEF_BM0924" localSheetId="9">#REF!</definedName>
    <definedName name="CQEF_BM0924">#REF!</definedName>
    <definedName name="CQEF_BM0925" localSheetId="4">#REF!</definedName>
    <definedName name="CQEF_BM0925" localSheetId="9">#REF!</definedName>
    <definedName name="CQEF_BM0925">#REF!</definedName>
    <definedName name="CQEF_BM0926" localSheetId="4">#REF!</definedName>
    <definedName name="CQEF_BM0926" localSheetId="9">#REF!</definedName>
    <definedName name="CQEF_BM0926">#REF!</definedName>
    <definedName name="CQEF_BM0929_P0" localSheetId="4">#REF!</definedName>
    <definedName name="CQEF_BM0929_P0" localSheetId="9">#REF!</definedName>
    <definedName name="CQEF_BM0929_P0">#REF!</definedName>
    <definedName name="CQEF_BM093_N0" localSheetId="4">#REF!</definedName>
    <definedName name="CQEF_BM093_N0" localSheetId="9">#REF!</definedName>
    <definedName name="CQEF_BM093_N0">#REF!</definedName>
    <definedName name="CQEF_BM0930_P0" localSheetId="4">#REF!</definedName>
    <definedName name="CQEF_BM0930_P0" localSheetId="9">#REF!</definedName>
    <definedName name="CQEF_BM0930_P0">#REF!</definedName>
    <definedName name="CQEF_BM0931_P0" localSheetId="4">#REF!</definedName>
    <definedName name="CQEF_BM0931_P0" localSheetId="9">#REF!</definedName>
    <definedName name="CQEF_BM0931_P0">#REF!</definedName>
    <definedName name="CQEF_BM0932_P0" localSheetId="4">#REF!</definedName>
    <definedName name="CQEF_BM0932_P0" localSheetId="9">#REF!</definedName>
    <definedName name="CQEF_BM0932_P0">#REF!</definedName>
    <definedName name="CQEF_BM0933" localSheetId="4">#REF!</definedName>
    <definedName name="CQEF_BM0933" localSheetId="9">#REF!</definedName>
    <definedName name="CQEF_BM0933">#REF!</definedName>
    <definedName name="CQEF_BM0934_P0" localSheetId="4">#REF!</definedName>
    <definedName name="CQEF_BM0934_P0" localSheetId="9">#REF!</definedName>
    <definedName name="CQEF_BM0934_P0">#REF!</definedName>
    <definedName name="CQEF_BM0935_P0" localSheetId="4">#REF!</definedName>
    <definedName name="CQEF_BM0935_P0" localSheetId="9">#REF!</definedName>
    <definedName name="CQEF_BM0935_P0">#REF!</definedName>
    <definedName name="CQEF_BM0936_P0" localSheetId="4">#REF!</definedName>
    <definedName name="CQEF_BM0936_P0" localSheetId="9">#REF!</definedName>
    <definedName name="CQEF_BM0936_P0">#REF!</definedName>
    <definedName name="CQEF_BM0937_P0" localSheetId="4">#REF!</definedName>
    <definedName name="CQEF_BM0937_P0" localSheetId="9">#REF!</definedName>
    <definedName name="CQEF_BM0937_P0">#REF!</definedName>
    <definedName name="CQEF_BM0938_P0" localSheetId="4">#REF!</definedName>
    <definedName name="CQEF_BM0938_P0" localSheetId="9">#REF!</definedName>
    <definedName name="CQEF_BM0938_P0">#REF!</definedName>
    <definedName name="CQEF_BM0939" localSheetId="4">#REF!</definedName>
    <definedName name="CQEF_BM0939" localSheetId="9">#REF!</definedName>
    <definedName name="CQEF_BM0939">#REF!</definedName>
    <definedName name="CQEF_BM094_N0" localSheetId="4">#REF!</definedName>
    <definedName name="CQEF_BM094_N0" localSheetId="9">#REF!</definedName>
    <definedName name="CQEF_BM094_N0">#REF!</definedName>
    <definedName name="CQEF_BM0940_P0" localSheetId="4">#REF!</definedName>
    <definedName name="CQEF_BM0940_P0" localSheetId="9">#REF!</definedName>
    <definedName name="CQEF_BM0940_P0">#REF!</definedName>
    <definedName name="CQEF_BM0941_P0" localSheetId="4">#REF!</definedName>
    <definedName name="CQEF_BM0941_P0" localSheetId="9">#REF!</definedName>
    <definedName name="CQEF_BM0941_P0">#REF!</definedName>
    <definedName name="CQEF_BM0942_P0" localSheetId="4">#REF!</definedName>
    <definedName name="CQEF_BM0942_P0" localSheetId="9">#REF!</definedName>
    <definedName name="CQEF_BM0942_P0">#REF!</definedName>
    <definedName name="CQEF_BM0943_P0" localSheetId="4">#REF!</definedName>
    <definedName name="CQEF_BM0943_P0" localSheetId="9">#REF!</definedName>
    <definedName name="CQEF_BM0943_P0">#REF!</definedName>
    <definedName name="CQEF_BM095_N0" localSheetId="4">#REF!</definedName>
    <definedName name="CQEF_BM095_N0" localSheetId="9">#REF!</definedName>
    <definedName name="CQEF_BM095_N0">#REF!</definedName>
    <definedName name="CQEF_BM096_N0" localSheetId="4">#REF!</definedName>
    <definedName name="CQEF_BM096_N0" localSheetId="9">#REF!</definedName>
    <definedName name="CQEF_BM096_N0">#REF!</definedName>
    <definedName name="CQEF_BM097_N0" localSheetId="4">#REF!</definedName>
    <definedName name="CQEF_BM097_N0" localSheetId="9">#REF!</definedName>
    <definedName name="CQEF_BM097_N0">#REF!</definedName>
    <definedName name="CQEF_BM098_N0" localSheetId="4">#REF!</definedName>
    <definedName name="CQEF_BM098_N0" localSheetId="9">#REF!</definedName>
    <definedName name="CQEF_BM098_N0">#REF!</definedName>
    <definedName name="CQEF_BM099_N0" localSheetId="4">#REF!</definedName>
    <definedName name="CQEF_BM099_N0" localSheetId="9">#REF!</definedName>
    <definedName name="CQEF_BM099_N0">#REF!</definedName>
    <definedName name="CQEF_BM101" localSheetId="4">#REF!</definedName>
    <definedName name="CQEF_BM101" localSheetId="9">#REF!</definedName>
    <definedName name="CQEF_BM101">#REF!</definedName>
    <definedName name="CQEF_BM1010_N0" localSheetId="4">#REF!</definedName>
    <definedName name="CQEF_BM1010_N0" localSheetId="9">#REF!</definedName>
    <definedName name="CQEF_BM1010_N0">#REF!</definedName>
    <definedName name="CQEF_BM1011_N0" localSheetId="4">#REF!</definedName>
    <definedName name="CQEF_BM1011_N0" localSheetId="9">#REF!</definedName>
    <definedName name="CQEF_BM1011_N0">#REF!</definedName>
    <definedName name="CQEF_BM1012_N0" localSheetId="4">#REF!</definedName>
    <definedName name="CQEF_BM1012_N0" localSheetId="9">#REF!</definedName>
    <definedName name="CQEF_BM1012_N0">#REF!</definedName>
    <definedName name="CQEF_BM1013_N0" localSheetId="4">#REF!</definedName>
    <definedName name="CQEF_BM1013_N0" localSheetId="9">#REF!</definedName>
    <definedName name="CQEF_BM1013_N0">#REF!</definedName>
    <definedName name="CQEF_BM1014_N0" localSheetId="4">#REF!</definedName>
    <definedName name="CQEF_BM1014_N0" localSheetId="9">#REF!</definedName>
    <definedName name="CQEF_BM1014_N0">#REF!</definedName>
    <definedName name="CQEF_BM1015_N0" localSheetId="4">#REF!</definedName>
    <definedName name="CQEF_BM1015_N0" localSheetId="9">#REF!</definedName>
    <definedName name="CQEF_BM1015_N0">#REF!</definedName>
    <definedName name="CQEF_BM1015A_N0" localSheetId="4">#REF!</definedName>
    <definedName name="CQEF_BM1015A_N0" localSheetId="9">#REF!</definedName>
    <definedName name="CQEF_BM1015A_N0">#REF!</definedName>
    <definedName name="CQEF_BM1015B_N0" localSheetId="4">#REF!</definedName>
    <definedName name="CQEF_BM1015B_N0" localSheetId="9">#REF!</definedName>
    <definedName name="CQEF_BM1015B_N0">#REF!</definedName>
    <definedName name="CQEF_BM1015C_N0" localSheetId="4">#REF!</definedName>
    <definedName name="CQEF_BM1015C_N0" localSheetId="9">#REF!</definedName>
    <definedName name="CQEF_BM1015C_N0">#REF!</definedName>
    <definedName name="CQEF_BM1016_N0" localSheetId="4">#REF!</definedName>
    <definedName name="CQEF_BM1016_N0" localSheetId="9">#REF!</definedName>
    <definedName name="CQEF_BM1016_N0">#REF!</definedName>
    <definedName name="CQEF_BM1017_N0" localSheetId="4">#REF!</definedName>
    <definedName name="CQEF_BM1017_N0" localSheetId="9">#REF!</definedName>
    <definedName name="CQEF_BM1017_N0">#REF!</definedName>
    <definedName name="CQEF_BM1018_N2" localSheetId="4">#REF!</definedName>
    <definedName name="CQEF_BM1018_N2" localSheetId="9">#REF!</definedName>
    <definedName name="CQEF_BM1018_N2">#REF!</definedName>
    <definedName name="CQEF_BM1019" localSheetId="4">#REF!</definedName>
    <definedName name="CQEF_BM1019" localSheetId="9">#REF!</definedName>
    <definedName name="CQEF_BM1019">#REF!</definedName>
    <definedName name="CQEF_BM102_N0" localSheetId="4">#REF!</definedName>
    <definedName name="CQEF_BM102_N0" localSheetId="9">#REF!</definedName>
    <definedName name="CQEF_BM102_N0">#REF!</definedName>
    <definedName name="CQEF_BM1020" localSheetId="4">#REF!</definedName>
    <definedName name="CQEF_BM1020" localSheetId="9">#REF!</definedName>
    <definedName name="CQEF_BM1020">#REF!</definedName>
    <definedName name="CQEF_BM1021" localSheetId="4">#REF!</definedName>
    <definedName name="CQEF_BM1021" localSheetId="9">#REF!</definedName>
    <definedName name="CQEF_BM1021">#REF!</definedName>
    <definedName name="CQEF_BM1022" localSheetId="4">#REF!</definedName>
    <definedName name="CQEF_BM1022" localSheetId="9">#REF!</definedName>
    <definedName name="CQEF_BM1022">#REF!</definedName>
    <definedName name="CQEF_BM1023" localSheetId="4">#REF!</definedName>
    <definedName name="CQEF_BM1023" localSheetId="9">#REF!</definedName>
    <definedName name="CQEF_BM1023">#REF!</definedName>
    <definedName name="CQEF_BM1024" localSheetId="4">#REF!</definedName>
    <definedName name="CQEF_BM1024" localSheetId="9">#REF!</definedName>
    <definedName name="CQEF_BM1024">#REF!</definedName>
    <definedName name="CQEF_BM1025" localSheetId="4">#REF!</definedName>
    <definedName name="CQEF_BM1025" localSheetId="9">#REF!</definedName>
    <definedName name="CQEF_BM1025">#REF!</definedName>
    <definedName name="CQEF_BM1026" localSheetId="4">#REF!</definedName>
    <definedName name="CQEF_BM1026" localSheetId="9">#REF!</definedName>
    <definedName name="CQEF_BM1026">#REF!</definedName>
    <definedName name="CQEF_BM1029_P0" localSheetId="4">#REF!</definedName>
    <definedName name="CQEF_BM1029_P0" localSheetId="9">#REF!</definedName>
    <definedName name="CQEF_BM1029_P0">#REF!</definedName>
    <definedName name="CQEF_BM103_N0" localSheetId="4">#REF!</definedName>
    <definedName name="CQEF_BM103_N0" localSheetId="9">#REF!</definedName>
    <definedName name="CQEF_BM103_N0">#REF!</definedName>
    <definedName name="CQEF_BM1030_P0" localSheetId="4">#REF!</definedName>
    <definedName name="CQEF_BM1030_P0" localSheetId="9">#REF!</definedName>
    <definedName name="CQEF_BM1030_P0">#REF!</definedName>
    <definedName name="CQEF_BM1031_P0" localSheetId="4">#REF!</definedName>
    <definedName name="CQEF_BM1031_P0" localSheetId="9">#REF!</definedName>
    <definedName name="CQEF_BM1031_P0">#REF!</definedName>
    <definedName name="CQEF_BM1032_P0" localSheetId="4">#REF!</definedName>
    <definedName name="CQEF_BM1032_P0" localSheetId="9">#REF!</definedName>
    <definedName name="CQEF_BM1032_P0">#REF!</definedName>
    <definedName name="CQEF_BM1033" localSheetId="4">#REF!</definedName>
    <definedName name="CQEF_BM1033" localSheetId="9">#REF!</definedName>
    <definedName name="CQEF_BM1033">#REF!</definedName>
    <definedName name="CQEF_BM1034_P0" localSheetId="4">#REF!</definedName>
    <definedName name="CQEF_BM1034_P0" localSheetId="9">#REF!</definedName>
    <definedName name="CQEF_BM1034_P0">#REF!</definedName>
    <definedName name="CQEF_BM1035_P0" localSheetId="4">#REF!</definedName>
    <definedName name="CQEF_BM1035_P0" localSheetId="9">#REF!</definedName>
    <definedName name="CQEF_BM1035_P0">#REF!</definedName>
    <definedName name="CQEF_BM1036_P0" localSheetId="4">#REF!</definedName>
    <definedName name="CQEF_BM1036_P0" localSheetId="9">#REF!</definedName>
    <definedName name="CQEF_BM1036_P0">#REF!</definedName>
    <definedName name="CQEF_BM1037_P0" localSheetId="4">#REF!</definedName>
    <definedName name="CQEF_BM1037_P0" localSheetId="9">#REF!</definedName>
    <definedName name="CQEF_BM1037_P0">#REF!</definedName>
    <definedName name="CQEF_BM1038_P0" localSheetId="4">#REF!</definedName>
    <definedName name="CQEF_BM1038_P0" localSheetId="9">#REF!</definedName>
    <definedName name="CQEF_BM1038_P0">#REF!</definedName>
    <definedName name="CQEF_BM1039" localSheetId="4">#REF!</definedName>
    <definedName name="CQEF_BM1039" localSheetId="9">#REF!</definedName>
    <definedName name="CQEF_BM1039">#REF!</definedName>
    <definedName name="CQEF_BM104_N0" localSheetId="4">#REF!</definedName>
    <definedName name="CQEF_BM104_N0" localSheetId="9">#REF!</definedName>
    <definedName name="CQEF_BM104_N0">#REF!</definedName>
    <definedName name="CQEF_BM1040_P0" localSheetId="4">#REF!</definedName>
    <definedName name="CQEF_BM1040_P0" localSheetId="9">#REF!</definedName>
    <definedName name="CQEF_BM1040_P0">#REF!</definedName>
    <definedName name="CQEF_BM1041_P0" localSheetId="4">#REF!</definedName>
    <definedName name="CQEF_BM1041_P0" localSheetId="9">#REF!</definedName>
    <definedName name="CQEF_BM1041_P0">#REF!</definedName>
    <definedName name="CQEF_BM1042_P0" localSheetId="4">#REF!</definedName>
    <definedName name="CQEF_BM1042_P0" localSheetId="9">#REF!</definedName>
    <definedName name="CQEF_BM1042_P0">#REF!</definedName>
    <definedName name="CQEF_BM1043_P0" localSheetId="4">#REF!</definedName>
    <definedName name="CQEF_BM1043_P0" localSheetId="9">#REF!</definedName>
    <definedName name="CQEF_BM1043_P0">#REF!</definedName>
    <definedName name="CQEF_BM105_N0" localSheetId="4">#REF!</definedName>
    <definedName name="CQEF_BM105_N0" localSheetId="9">#REF!</definedName>
    <definedName name="CQEF_BM105_N0">#REF!</definedName>
    <definedName name="CQEF_BM106_N0" localSheetId="4">#REF!</definedName>
    <definedName name="CQEF_BM106_N0" localSheetId="9">#REF!</definedName>
    <definedName name="CQEF_BM106_N0">#REF!</definedName>
    <definedName name="CQEF_BM107_N0" localSheetId="4">#REF!</definedName>
    <definedName name="CQEF_BM107_N0" localSheetId="9">#REF!</definedName>
    <definedName name="CQEF_BM107_N0">#REF!</definedName>
    <definedName name="CQEF_BM108_N0" localSheetId="4">#REF!</definedName>
    <definedName name="CQEF_BM108_N0" localSheetId="9">#REF!</definedName>
    <definedName name="CQEF_BM108_N0">#REF!</definedName>
    <definedName name="CQEF_BM109_N0" localSheetId="4">#REF!</definedName>
    <definedName name="CQEF_BM109_N0" localSheetId="9">#REF!</definedName>
    <definedName name="CQEF_BM109_N0">#REF!</definedName>
    <definedName name="CQEF_BM111" localSheetId="4">#REF!</definedName>
    <definedName name="CQEF_BM111" localSheetId="9">#REF!</definedName>
    <definedName name="CQEF_BM111">#REF!</definedName>
    <definedName name="CQEF_BM1110_N0" localSheetId="4">#REF!</definedName>
    <definedName name="CQEF_BM1110_N0" localSheetId="9">#REF!</definedName>
    <definedName name="CQEF_BM1110_N0">#REF!</definedName>
    <definedName name="CQEF_BM1111_N0" localSheetId="4">#REF!</definedName>
    <definedName name="CQEF_BM1111_N0" localSheetId="9">#REF!</definedName>
    <definedName name="CQEF_BM1111_N0">#REF!</definedName>
    <definedName name="CQEF_BM1112_N0" localSheetId="4">#REF!</definedName>
    <definedName name="CQEF_BM1112_N0" localSheetId="9">#REF!</definedName>
    <definedName name="CQEF_BM1112_N0">#REF!</definedName>
    <definedName name="CQEF_BM1113_N0" localSheetId="4">#REF!</definedName>
    <definedName name="CQEF_BM1113_N0" localSheetId="9">#REF!</definedName>
    <definedName name="CQEF_BM1113_N0">#REF!</definedName>
    <definedName name="CQEF_BM1114_N0" localSheetId="4">#REF!</definedName>
    <definedName name="CQEF_BM1114_N0" localSheetId="9">#REF!</definedName>
    <definedName name="CQEF_BM1114_N0">#REF!</definedName>
    <definedName name="CQEF_BM1115_N0" localSheetId="4">#REF!</definedName>
    <definedName name="CQEF_BM1115_N0" localSheetId="9">#REF!</definedName>
    <definedName name="CQEF_BM1115_N0">#REF!</definedName>
    <definedName name="CQEF_BM1115A_N0" localSheetId="4">#REF!</definedName>
    <definedName name="CQEF_BM1115A_N0" localSheetId="9">#REF!</definedName>
    <definedName name="CQEF_BM1115A_N0">#REF!</definedName>
    <definedName name="CQEF_BM1115B_N0" localSheetId="4">#REF!</definedName>
    <definedName name="CQEF_BM1115B_N0" localSheetId="9">#REF!</definedName>
    <definedName name="CQEF_BM1115B_N0">#REF!</definedName>
    <definedName name="CQEF_BM1115C_N0" localSheetId="4">#REF!</definedName>
    <definedName name="CQEF_BM1115C_N0" localSheetId="9">#REF!</definedName>
    <definedName name="CQEF_BM1115C_N0">#REF!</definedName>
    <definedName name="CQEF_BM1116_N0" localSheetId="4">#REF!</definedName>
    <definedName name="CQEF_BM1116_N0" localSheetId="9">#REF!</definedName>
    <definedName name="CQEF_BM1116_N0">#REF!</definedName>
    <definedName name="CQEF_BM1117_N0" localSheetId="4">#REF!</definedName>
    <definedName name="CQEF_BM1117_N0" localSheetId="9">#REF!</definedName>
    <definedName name="CQEF_BM1117_N0">#REF!</definedName>
    <definedName name="CQEF_BM1118_N2" localSheetId="4">#REF!</definedName>
    <definedName name="CQEF_BM1118_N2" localSheetId="9">#REF!</definedName>
    <definedName name="CQEF_BM1118_N2">#REF!</definedName>
    <definedName name="CQEF_BM1119" localSheetId="4">#REF!</definedName>
    <definedName name="CQEF_BM1119" localSheetId="9">#REF!</definedName>
    <definedName name="CQEF_BM1119">#REF!</definedName>
    <definedName name="CQEF_BM112_N0" localSheetId="4">#REF!</definedName>
    <definedName name="CQEF_BM112_N0" localSheetId="9">#REF!</definedName>
    <definedName name="CQEF_BM112_N0">#REF!</definedName>
    <definedName name="CQEF_BM1120" localSheetId="4">#REF!</definedName>
    <definedName name="CQEF_BM1120" localSheetId="9">#REF!</definedName>
    <definedName name="CQEF_BM1120">#REF!</definedName>
    <definedName name="CQEF_BM1121" localSheetId="4">#REF!</definedName>
    <definedName name="CQEF_BM1121" localSheetId="9">#REF!</definedName>
    <definedName name="CQEF_BM1121">#REF!</definedName>
    <definedName name="CQEF_BM1122" localSheetId="4">#REF!</definedName>
    <definedName name="CQEF_BM1122" localSheetId="9">#REF!</definedName>
    <definedName name="CQEF_BM1122">#REF!</definedName>
    <definedName name="CQEF_BM1123" localSheetId="4">#REF!</definedName>
    <definedName name="CQEF_BM1123" localSheetId="9">#REF!</definedName>
    <definedName name="CQEF_BM1123">#REF!</definedName>
    <definedName name="CQEF_BM1124" localSheetId="4">#REF!</definedName>
    <definedName name="CQEF_BM1124" localSheetId="9">#REF!</definedName>
    <definedName name="CQEF_BM1124">#REF!</definedName>
    <definedName name="CQEF_BM1125" localSheetId="4">#REF!</definedName>
    <definedName name="CQEF_BM1125" localSheetId="9">#REF!</definedName>
    <definedName name="CQEF_BM1125">#REF!</definedName>
    <definedName name="CQEF_BM1126" localSheetId="4">#REF!</definedName>
    <definedName name="CQEF_BM1126" localSheetId="9">#REF!</definedName>
    <definedName name="CQEF_BM1126">#REF!</definedName>
    <definedName name="CQEF_BM1129_P0" localSheetId="4">#REF!</definedName>
    <definedName name="CQEF_BM1129_P0" localSheetId="9">#REF!</definedName>
    <definedName name="CQEF_BM1129_P0">#REF!</definedName>
    <definedName name="CQEF_BM113_N0" localSheetId="4">#REF!</definedName>
    <definedName name="CQEF_BM113_N0" localSheetId="9">#REF!</definedName>
    <definedName name="CQEF_BM113_N0">#REF!</definedName>
    <definedName name="CQEF_BM1130_P0" localSheetId="4">#REF!</definedName>
    <definedName name="CQEF_BM1130_P0" localSheetId="9">#REF!</definedName>
    <definedName name="CQEF_BM1130_P0">#REF!</definedName>
    <definedName name="CQEF_BM1131_P0" localSheetId="4">#REF!</definedName>
    <definedName name="CQEF_BM1131_P0" localSheetId="9">#REF!</definedName>
    <definedName name="CQEF_BM1131_P0">#REF!</definedName>
    <definedName name="CQEF_BM1132_P0" localSheetId="4">#REF!</definedName>
    <definedName name="CQEF_BM1132_P0" localSheetId="9">#REF!</definedName>
    <definedName name="CQEF_BM1132_P0">#REF!</definedName>
    <definedName name="CQEF_BM1133" localSheetId="4">#REF!</definedName>
    <definedName name="CQEF_BM1133" localSheetId="9">#REF!</definedName>
    <definedName name="CQEF_BM1133">#REF!</definedName>
    <definedName name="CQEF_BM1134_P0" localSheetId="4">#REF!</definedName>
    <definedName name="CQEF_BM1134_P0" localSheetId="9">#REF!</definedName>
    <definedName name="CQEF_BM1134_P0">#REF!</definedName>
    <definedName name="CQEF_BM1135_P0" localSheetId="4">#REF!</definedName>
    <definedName name="CQEF_BM1135_P0" localSheetId="9">#REF!</definedName>
    <definedName name="CQEF_BM1135_P0">#REF!</definedName>
    <definedName name="CQEF_BM1136_P0" localSheetId="4">#REF!</definedName>
    <definedName name="CQEF_BM1136_P0" localSheetId="9">#REF!</definedName>
    <definedName name="CQEF_BM1136_P0">#REF!</definedName>
    <definedName name="CQEF_BM1137_P0" localSheetId="4">#REF!</definedName>
    <definedName name="CQEF_BM1137_P0" localSheetId="9">#REF!</definedName>
    <definedName name="CQEF_BM1137_P0">#REF!</definedName>
    <definedName name="CQEF_BM1138_P0" localSheetId="4">#REF!</definedName>
    <definedName name="CQEF_BM1138_P0" localSheetId="9">#REF!</definedName>
    <definedName name="CQEF_BM1138_P0">#REF!</definedName>
    <definedName name="CQEF_BM1139" localSheetId="4">#REF!</definedName>
    <definedName name="CQEF_BM1139" localSheetId="9">#REF!</definedName>
    <definedName name="CQEF_BM1139">#REF!</definedName>
    <definedName name="CQEF_BM114_N0" localSheetId="4">#REF!</definedName>
    <definedName name="CQEF_BM114_N0" localSheetId="9">#REF!</definedName>
    <definedName name="CQEF_BM114_N0">#REF!</definedName>
    <definedName name="CQEF_BM1140_P0" localSheetId="4">#REF!</definedName>
    <definedName name="CQEF_BM1140_P0" localSheetId="9">#REF!</definedName>
    <definedName name="CQEF_BM1140_P0">#REF!</definedName>
    <definedName name="CQEF_BM1141_P0" localSheetId="4">#REF!</definedName>
    <definedName name="CQEF_BM1141_P0" localSheetId="9">#REF!</definedName>
    <definedName name="CQEF_BM1141_P0">#REF!</definedName>
    <definedName name="CQEF_BM1142_P0" localSheetId="4">#REF!</definedName>
    <definedName name="CQEF_BM1142_P0" localSheetId="9">#REF!</definedName>
    <definedName name="CQEF_BM1142_P0">#REF!</definedName>
    <definedName name="CQEF_BM1143_P0" localSheetId="4">#REF!</definedName>
    <definedName name="CQEF_BM1143_P0" localSheetId="9">#REF!</definedName>
    <definedName name="CQEF_BM1143_P0">#REF!</definedName>
    <definedName name="CQEF_BM115_N0" localSheetId="4">#REF!</definedName>
    <definedName name="CQEF_BM115_N0" localSheetId="9">#REF!</definedName>
    <definedName name="CQEF_BM115_N0">#REF!</definedName>
    <definedName name="CQEF_BM116_N0" localSheetId="4">#REF!</definedName>
    <definedName name="CQEF_BM116_N0" localSheetId="9">#REF!</definedName>
    <definedName name="CQEF_BM116_N0">#REF!</definedName>
    <definedName name="CQEF_BM117_N0" localSheetId="4">#REF!</definedName>
    <definedName name="CQEF_BM117_N0" localSheetId="9">#REF!</definedName>
    <definedName name="CQEF_BM117_N0">#REF!</definedName>
    <definedName name="CQEF_BM118_N0" localSheetId="4">#REF!</definedName>
    <definedName name="CQEF_BM118_N0" localSheetId="9">#REF!</definedName>
    <definedName name="CQEF_BM118_N0">#REF!</definedName>
    <definedName name="CQEF_BM119_N0" localSheetId="4">#REF!</definedName>
    <definedName name="CQEF_BM119_N0" localSheetId="9">#REF!</definedName>
    <definedName name="CQEF_BM119_N0">#REF!</definedName>
    <definedName name="CQEF_BM121" localSheetId="4">#REF!</definedName>
    <definedName name="CQEF_BM121" localSheetId="9">#REF!</definedName>
    <definedName name="CQEF_BM121">#REF!</definedName>
    <definedName name="CQEF_BM1210_N0" localSheetId="4">#REF!</definedName>
    <definedName name="CQEF_BM1210_N0" localSheetId="9">#REF!</definedName>
    <definedName name="CQEF_BM1210_N0">#REF!</definedName>
    <definedName name="CQEF_BM1211_N0" localSheetId="4">#REF!</definedName>
    <definedName name="CQEF_BM1211_N0" localSheetId="9">#REF!</definedName>
    <definedName name="CQEF_BM1211_N0">#REF!</definedName>
    <definedName name="CQEF_BM1212_N0" localSheetId="4">#REF!</definedName>
    <definedName name="CQEF_BM1212_N0" localSheetId="9">#REF!</definedName>
    <definedName name="CQEF_BM1212_N0">#REF!</definedName>
    <definedName name="CQEF_BM1213_N0" localSheetId="4">#REF!</definedName>
    <definedName name="CQEF_BM1213_N0" localSheetId="9">#REF!</definedName>
    <definedName name="CQEF_BM1213_N0">#REF!</definedName>
    <definedName name="CQEF_BM1214_N0" localSheetId="4">#REF!</definedName>
    <definedName name="CQEF_BM1214_N0" localSheetId="9">#REF!</definedName>
    <definedName name="CQEF_BM1214_N0">#REF!</definedName>
    <definedName name="CQEF_BM1215_N0" localSheetId="4">#REF!</definedName>
    <definedName name="CQEF_BM1215_N0" localSheetId="9">#REF!</definedName>
    <definedName name="CQEF_BM1215_N0">#REF!</definedName>
    <definedName name="CQEF_BM1215A_N0" localSheetId="4">#REF!</definedName>
    <definedName name="CQEF_BM1215A_N0" localSheetId="9">#REF!</definedName>
    <definedName name="CQEF_BM1215A_N0">#REF!</definedName>
    <definedName name="CQEF_BM1215B_N0" localSheetId="4">#REF!</definedName>
    <definedName name="CQEF_BM1215B_N0" localSheetId="9">#REF!</definedName>
    <definedName name="CQEF_BM1215B_N0">#REF!</definedName>
    <definedName name="CQEF_BM1215C_N0" localSheetId="4">#REF!</definedName>
    <definedName name="CQEF_BM1215C_N0" localSheetId="9">#REF!</definedName>
    <definedName name="CQEF_BM1215C_N0">#REF!</definedName>
    <definedName name="CQEF_BM1216_N0" localSheetId="4">#REF!</definedName>
    <definedName name="CQEF_BM1216_N0" localSheetId="9">#REF!</definedName>
    <definedName name="CQEF_BM1216_N0">#REF!</definedName>
    <definedName name="CQEF_BM1217_N0" localSheetId="4">#REF!</definedName>
    <definedName name="CQEF_BM1217_N0" localSheetId="9">#REF!</definedName>
    <definedName name="CQEF_BM1217_N0">#REF!</definedName>
    <definedName name="CQEF_BM1218_N2" localSheetId="4">#REF!</definedName>
    <definedName name="CQEF_BM1218_N2" localSheetId="9">#REF!</definedName>
    <definedName name="CQEF_BM1218_N2">#REF!</definedName>
    <definedName name="CQEF_BM1219" localSheetId="4">#REF!</definedName>
    <definedName name="CQEF_BM1219" localSheetId="9">#REF!</definedName>
    <definedName name="CQEF_BM1219">#REF!</definedName>
    <definedName name="CQEF_BM122_N0" localSheetId="4">#REF!</definedName>
    <definedName name="CQEF_BM122_N0" localSheetId="9">#REF!</definedName>
    <definedName name="CQEF_BM122_N0">#REF!</definedName>
    <definedName name="CQEF_BM1220" localSheetId="4">#REF!</definedName>
    <definedName name="CQEF_BM1220" localSheetId="9">#REF!</definedName>
    <definedName name="CQEF_BM1220">#REF!</definedName>
    <definedName name="CQEF_BM1221" localSheetId="4">#REF!</definedName>
    <definedName name="CQEF_BM1221" localSheetId="9">#REF!</definedName>
    <definedName name="CQEF_BM1221">#REF!</definedName>
    <definedName name="CQEF_BM1222" localSheetId="4">#REF!</definedName>
    <definedName name="CQEF_BM1222" localSheetId="9">#REF!</definedName>
    <definedName name="CQEF_BM1222">#REF!</definedName>
    <definedName name="CQEF_BM1223" localSheetId="4">#REF!</definedName>
    <definedName name="CQEF_BM1223" localSheetId="9">#REF!</definedName>
    <definedName name="CQEF_BM1223">#REF!</definedName>
    <definedName name="CQEF_BM1224" localSheetId="4">#REF!</definedName>
    <definedName name="CQEF_BM1224" localSheetId="9">#REF!</definedName>
    <definedName name="CQEF_BM1224">#REF!</definedName>
    <definedName name="CQEF_BM1225" localSheetId="4">#REF!</definedName>
    <definedName name="CQEF_BM1225" localSheetId="9">#REF!</definedName>
    <definedName name="CQEF_BM1225">#REF!</definedName>
    <definedName name="CQEF_BM1226" localSheetId="4">#REF!</definedName>
    <definedName name="CQEF_BM1226" localSheetId="9">#REF!</definedName>
    <definedName name="CQEF_BM1226">#REF!</definedName>
    <definedName name="CQEF_BM1229_P0" localSheetId="4">#REF!</definedName>
    <definedName name="CQEF_BM1229_P0" localSheetId="9">#REF!</definedName>
    <definedName name="CQEF_BM1229_P0">#REF!</definedName>
    <definedName name="CQEF_BM123_N0" localSheetId="4">#REF!</definedName>
    <definedName name="CQEF_BM123_N0" localSheetId="9">#REF!</definedName>
    <definedName name="CQEF_BM123_N0">#REF!</definedName>
    <definedName name="CQEF_BM1230_P0" localSheetId="4">#REF!</definedName>
    <definedName name="CQEF_BM1230_P0" localSheetId="9">#REF!</definedName>
    <definedName name="CQEF_BM1230_P0">#REF!</definedName>
    <definedName name="CQEF_BM1231_P0" localSheetId="4">#REF!</definedName>
    <definedName name="CQEF_BM1231_P0" localSheetId="9">#REF!</definedName>
    <definedName name="CQEF_BM1231_P0">#REF!</definedName>
    <definedName name="CQEF_BM1232_P0" localSheetId="4">#REF!</definedName>
    <definedName name="CQEF_BM1232_P0" localSheetId="9">#REF!</definedName>
    <definedName name="CQEF_BM1232_P0">#REF!</definedName>
    <definedName name="CQEF_BM1233" localSheetId="4">#REF!</definedName>
    <definedName name="CQEF_BM1233" localSheetId="9">#REF!</definedName>
    <definedName name="CQEF_BM1233">#REF!</definedName>
    <definedName name="CQEF_BM1234_P0" localSheetId="4">#REF!</definedName>
    <definedName name="CQEF_BM1234_P0" localSheetId="9">#REF!</definedName>
    <definedName name="CQEF_BM1234_P0">#REF!</definedName>
    <definedName name="CQEF_BM1235_P0" localSheetId="4">#REF!</definedName>
    <definedName name="CQEF_BM1235_P0" localSheetId="9">#REF!</definedName>
    <definedName name="CQEF_BM1235_P0">#REF!</definedName>
    <definedName name="CQEF_BM1236_P0" localSheetId="4">#REF!</definedName>
    <definedName name="CQEF_BM1236_P0" localSheetId="9">#REF!</definedName>
    <definedName name="CQEF_BM1236_P0">#REF!</definedName>
    <definedName name="CQEF_BM1237_P0" localSheetId="4">#REF!</definedName>
    <definedName name="CQEF_BM1237_P0" localSheetId="9">#REF!</definedName>
    <definedName name="CQEF_BM1237_P0">#REF!</definedName>
    <definedName name="CQEF_BM1238_P0" localSheetId="4">#REF!</definedName>
    <definedName name="CQEF_BM1238_P0" localSheetId="9">#REF!</definedName>
    <definedName name="CQEF_BM1238_P0">#REF!</definedName>
    <definedName name="CQEF_BM1239" localSheetId="4">#REF!</definedName>
    <definedName name="CQEF_BM1239" localSheetId="9">#REF!</definedName>
    <definedName name="CQEF_BM1239">#REF!</definedName>
    <definedName name="CQEF_BM124_N0" localSheetId="4">#REF!</definedName>
    <definedName name="CQEF_BM124_N0" localSheetId="9">#REF!</definedName>
    <definedName name="CQEF_BM124_N0">#REF!</definedName>
    <definedName name="CQEF_BM1240_P0" localSheetId="4">#REF!</definedName>
    <definedName name="CQEF_BM1240_P0" localSheetId="9">#REF!</definedName>
    <definedName name="CQEF_BM1240_P0">#REF!</definedName>
    <definedName name="CQEF_BM1241_P0" localSheetId="4">#REF!</definedName>
    <definedName name="CQEF_BM1241_P0" localSheetId="9">#REF!</definedName>
    <definedName name="CQEF_BM1241_P0">#REF!</definedName>
    <definedName name="CQEF_BM1242_P0" localSheetId="4">#REF!</definedName>
    <definedName name="CQEF_BM1242_P0" localSheetId="9">#REF!</definedName>
    <definedName name="CQEF_BM1242_P0">#REF!</definedName>
    <definedName name="CQEF_BM1243_P0" localSheetId="4">#REF!</definedName>
    <definedName name="CQEF_BM1243_P0" localSheetId="9">#REF!</definedName>
    <definedName name="CQEF_BM1243_P0">#REF!</definedName>
    <definedName name="CQEF_BM125_N0" localSheetId="4">#REF!</definedName>
    <definedName name="CQEF_BM125_N0" localSheetId="9">#REF!</definedName>
    <definedName name="CQEF_BM125_N0">#REF!</definedName>
    <definedName name="CQEF_BM126_N0" localSheetId="4">#REF!</definedName>
    <definedName name="CQEF_BM126_N0" localSheetId="9">#REF!</definedName>
    <definedName name="CQEF_BM126_N0">#REF!</definedName>
    <definedName name="CQEF_BM127_N0" localSheetId="4">#REF!</definedName>
    <definedName name="CQEF_BM127_N0" localSheetId="9">#REF!</definedName>
    <definedName name="CQEF_BM127_N0">#REF!</definedName>
    <definedName name="CQEF_BM128_N0" localSheetId="4">#REF!</definedName>
    <definedName name="CQEF_BM128_N0" localSheetId="9">#REF!</definedName>
    <definedName name="CQEF_BM128_N0">#REF!</definedName>
    <definedName name="CQEF_BM129_N0" localSheetId="4">#REF!</definedName>
    <definedName name="CQEF_BM129_N0" localSheetId="9">#REF!</definedName>
    <definedName name="CQEF_BM129_N0">#REF!</definedName>
    <definedName name="CQEF_BM131" localSheetId="4">#REF!</definedName>
    <definedName name="CQEF_BM131" localSheetId="9">#REF!</definedName>
    <definedName name="CQEF_BM131">#REF!</definedName>
    <definedName name="CQEF_BM1310_N0" localSheetId="4">#REF!</definedName>
    <definedName name="CQEF_BM1310_N0" localSheetId="9">#REF!</definedName>
    <definedName name="CQEF_BM1310_N0">#REF!</definedName>
    <definedName name="CQEF_BM1311_N0" localSheetId="4">#REF!</definedName>
    <definedName name="CQEF_BM1311_N0" localSheetId="9">#REF!</definedName>
    <definedName name="CQEF_BM1311_N0">#REF!</definedName>
    <definedName name="CQEF_BM1312_N0" localSheetId="4">#REF!</definedName>
    <definedName name="CQEF_BM1312_N0" localSheetId="9">#REF!</definedName>
    <definedName name="CQEF_BM1312_N0">#REF!</definedName>
    <definedName name="CQEF_BM1313_N0" localSheetId="4">#REF!</definedName>
    <definedName name="CQEF_BM1313_N0" localSheetId="9">#REF!</definedName>
    <definedName name="CQEF_BM1313_N0">#REF!</definedName>
    <definedName name="CQEF_BM1314_N0" localSheetId="4">#REF!</definedName>
    <definedName name="CQEF_BM1314_N0" localSheetId="9">#REF!</definedName>
    <definedName name="CQEF_BM1314_N0">#REF!</definedName>
    <definedName name="CQEF_BM1315_N0" localSheetId="4">#REF!</definedName>
    <definedName name="CQEF_BM1315_N0" localSheetId="9">#REF!</definedName>
    <definedName name="CQEF_BM1315_N0">#REF!</definedName>
    <definedName name="CQEF_BM1315A_N0" localSheetId="4">#REF!</definedName>
    <definedName name="CQEF_BM1315A_N0" localSheetId="9">#REF!</definedName>
    <definedName name="CQEF_BM1315A_N0">#REF!</definedName>
    <definedName name="CQEF_BM1315B_N0" localSheetId="4">#REF!</definedName>
    <definedName name="CQEF_BM1315B_N0" localSheetId="9">#REF!</definedName>
    <definedName name="CQEF_BM1315B_N0">#REF!</definedName>
    <definedName name="CQEF_BM1315C_N0" localSheetId="4">#REF!</definedName>
    <definedName name="CQEF_BM1315C_N0" localSheetId="9">#REF!</definedName>
    <definedName name="CQEF_BM1315C_N0">#REF!</definedName>
    <definedName name="CQEF_BM1316_N0" localSheetId="4">#REF!</definedName>
    <definedName name="CQEF_BM1316_N0" localSheetId="9">#REF!</definedName>
    <definedName name="CQEF_BM1316_N0">#REF!</definedName>
    <definedName name="CQEF_BM1317_N0" localSheetId="4">#REF!</definedName>
    <definedName name="CQEF_BM1317_N0" localSheetId="9">#REF!</definedName>
    <definedName name="CQEF_BM1317_N0">#REF!</definedName>
    <definedName name="CQEF_BM1318_N2" localSheetId="4">#REF!</definedName>
    <definedName name="CQEF_BM1318_N2" localSheetId="9">#REF!</definedName>
    <definedName name="CQEF_BM1318_N2">#REF!</definedName>
    <definedName name="CQEF_BM1319" localSheetId="4">#REF!</definedName>
    <definedName name="CQEF_BM1319" localSheetId="9">#REF!</definedName>
    <definedName name="CQEF_BM1319">#REF!</definedName>
    <definedName name="CQEF_BM132_N0" localSheetId="4">#REF!</definedName>
    <definedName name="CQEF_BM132_N0" localSheetId="9">#REF!</definedName>
    <definedName name="CQEF_BM132_N0">#REF!</definedName>
    <definedName name="CQEF_BM1320" localSheetId="4">#REF!</definedName>
    <definedName name="CQEF_BM1320" localSheetId="9">#REF!</definedName>
    <definedName name="CQEF_BM1320">#REF!</definedName>
    <definedName name="CQEF_BM1321" localSheetId="4">#REF!</definedName>
    <definedName name="CQEF_BM1321" localSheetId="9">#REF!</definedName>
    <definedName name="CQEF_BM1321">#REF!</definedName>
    <definedName name="CQEF_BM1322" localSheetId="4">#REF!</definedName>
    <definedName name="CQEF_BM1322" localSheetId="9">#REF!</definedName>
    <definedName name="CQEF_BM1322">#REF!</definedName>
    <definedName name="CQEF_BM1323" localSheetId="4">#REF!</definedName>
    <definedName name="CQEF_BM1323" localSheetId="9">#REF!</definedName>
    <definedName name="CQEF_BM1323">#REF!</definedName>
    <definedName name="CQEF_BM1324" localSheetId="4">#REF!</definedName>
    <definedName name="CQEF_BM1324" localSheetId="9">#REF!</definedName>
    <definedName name="CQEF_BM1324">#REF!</definedName>
    <definedName name="CQEF_BM1325" localSheetId="4">#REF!</definedName>
    <definedName name="CQEF_BM1325" localSheetId="9">#REF!</definedName>
    <definedName name="CQEF_BM1325">#REF!</definedName>
    <definedName name="CQEF_BM1326" localSheetId="4">#REF!</definedName>
    <definedName name="CQEF_BM1326" localSheetId="9">#REF!</definedName>
    <definedName name="CQEF_BM1326">#REF!</definedName>
    <definedName name="CQEF_BM1329_P0" localSheetId="4">#REF!</definedName>
    <definedName name="CQEF_BM1329_P0" localSheetId="9">#REF!</definedName>
    <definedName name="CQEF_BM1329_P0">#REF!</definedName>
    <definedName name="CQEF_BM133_N0" localSheetId="4">#REF!</definedName>
    <definedName name="CQEF_BM133_N0" localSheetId="9">#REF!</definedName>
    <definedName name="CQEF_BM133_N0">#REF!</definedName>
    <definedName name="CQEF_BM1330_P0" localSheetId="4">#REF!</definedName>
    <definedName name="CQEF_BM1330_P0" localSheetId="9">#REF!</definedName>
    <definedName name="CQEF_BM1330_P0">#REF!</definedName>
    <definedName name="CQEF_BM1331_P0" localSheetId="4">#REF!</definedName>
    <definedName name="CQEF_BM1331_P0" localSheetId="9">#REF!</definedName>
    <definedName name="CQEF_BM1331_P0">#REF!</definedName>
    <definedName name="CQEF_BM1332_P0" localSheetId="4">#REF!</definedName>
    <definedName name="CQEF_BM1332_P0" localSheetId="9">#REF!</definedName>
    <definedName name="CQEF_BM1332_P0">#REF!</definedName>
    <definedName name="CQEF_BM1333" localSheetId="4">#REF!</definedName>
    <definedName name="CQEF_BM1333" localSheetId="9">#REF!</definedName>
    <definedName name="CQEF_BM1333">#REF!</definedName>
    <definedName name="CQEF_BM1334_P0" localSheetId="4">#REF!</definedName>
    <definedName name="CQEF_BM1334_P0" localSheetId="9">#REF!</definedName>
    <definedName name="CQEF_BM1334_P0">#REF!</definedName>
    <definedName name="CQEF_BM1335_P0" localSheetId="4">#REF!</definedName>
    <definedName name="CQEF_BM1335_P0" localSheetId="9">#REF!</definedName>
    <definedName name="CQEF_BM1335_P0">#REF!</definedName>
    <definedName name="CQEF_BM1336_P0" localSheetId="4">#REF!</definedName>
    <definedName name="CQEF_BM1336_P0" localSheetId="9">#REF!</definedName>
    <definedName name="CQEF_BM1336_P0">#REF!</definedName>
    <definedName name="CQEF_BM1337_P0" localSheetId="4">#REF!</definedName>
    <definedName name="CQEF_BM1337_P0" localSheetId="9">#REF!</definedName>
    <definedName name="CQEF_BM1337_P0">#REF!</definedName>
    <definedName name="CQEF_BM1338_P0" localSheetId="4">#REF!</definedName>
    <definedName name="CQEF_BM1338_P0" localSheetId="9">#REF!</definedName>
    <definedName name="CQEF_BM1338_P0">#REF!</definedName>
    <definedName name="CQEF_BM1339" localSheetId="4">#REF!</definedName>
    <definedName name="CQEF_BM1339" localSheetId="9">#REF!</definedName>
    <definedName name="CQEF_BM1339">#REF!</definedName>
    <definedName name="CQEF_BM134_N0" localSheetId="4">#REF!</definedName>
    <definedName name="CQEF_BM134_N0" localSheetId="9">#REF!</definedName>
    <definedName name="CQEF_BM134_N0">#REF!</definedName>
    <definedName name="CQEF_BM1340_P0" localSheetId="4">#REF!</definedName>
    <definedName name="CQEF_BM1340_P0" localSheetId="9">#REF!</definedName>
    <definedName name="CQEF_BM1340_P0">#REF!</definedName>
    <definedName name="CQEF_BM1341_P0" localSheetId="4">#REF!</definedName>
    <definedName name="CQEF_BM1341_P0" localSheetId="9">#REF!</definedName>
    <definedName name="CQEF_BM1341_P0">#REF!</definedName>
    <definedName name="CQEF_BM1342_P0" localSheetId="4">#REF!</definedName>
    <definedName name="CQEF_BM1342_P0" localSheetId="9">#REF!</definedName>
    <definedName name="CQEF_BM1342_P0">#REF!</definedName>
    <definedName name="CQEF_BM1343_P0" localSheetId="4">#REF!</definedName>
    <definedName name="CQEF_BM1343_P0" localSheetId="9">#REF!</definedName>
    <definedName name="CQEF_BM1343_P0">#REF!</definedName>
    <definedName name="CQEF_BM135_N0" localSheetId="4">#REF!</definedName>
    <definedName name="CQEF_BM135_N0" localSheetId="9">#REF!</definedName>
    <definedName name="CQEF_BM135_N0">#REF!</definedName>
    <definedName name="CQEF_BM136_N0" localSheetId="4">#REF!</definedName>
    <definedName name="CQEF_BM136_N0" localSheetId="9">#REF!</definedName>
    <definedName name="CQEF_BM136_N0">#REF!</definedName>
    <definedName name="CQEF_BM137_N0" localSheetId="4">#REF!</definedName>
    <definedName name="CQEF_BM137_N0" localSheetId="9">#REF!</definedName>
    <definedName name="CQEF_BM137_N0">#REF!</definedName>
    <definedName name="CQEF_BM138_N0" localSheetId="4">#REF!</definedName>
    <definedName name="CQEF_BM138_N0" localSheetId="9">#REF!</definedName>
    <definedName name="CQEF_BM138_N0">#REF!</definedName>
    <definedName name="CQEF_BM139_N0" localSheetId="4">#REF!</definedName>
    <definedName name="CQEF_BM139_N0" localSheetId="9">#REF!</definedName>
    <definedName name="CQEF_BM139_N0">#REF!</definedName>
    <definedName name="CQEF_BM141" localSheetId="4">#REF!</definedName>
    <definedName name="CQEF_BM141" localSheetId="9">#REF!</definedName>
    <definedName name="CQEF_BM141">#REF!</definedName>
    <definedName name="CQEF_BM1410_N0" localSheetId="4">#REF!</definedName>
    <definedName name="CQEF_BM1410_N0" localSheetId="9">#REF!</definedName>
    <definedName name="CQEF_BM1410_N0">#REF!</definedName>
    <definedName name="CQEF_BM1411_N0" localSheetId="4">#REF!</definedName>
    <definedName name="CQEF_BM1411_N0" localSheetId="9">#REF!</definedName>
    <definedName name="CQEF_BM1411_N0">#REF!</definedName>
    <definedName name="CQEF_BM1412_N0" localSheetId="4">#REF!</definedName>
    <definedName name="CQEF_BM1412_N0" localSheetId="9">#REF!</definedName>
    <definedName name="CQEF_BM1412_N0">#REF!</definedName>
    <definedName name="CQEF_BM1413_N0" localSheetId="4">#REF!</definedName>
    <definedName name="CQEF_BM1413_N0" localSheetId="9">#REF!</definedName>
    <definedName name="CQEF_BM1413_N0">#REF!</definedName>
    <definedName name="CQEF_BM1414_N0" localSheetId="4">#REF!</definedName>
    <definedName name="CQEF_BM1414_N0" localSheetId="9">#REF!</definedName>
    <definedName name="CQEF_BM1414_N0">#REF!</definedName>
    <definedName name="CQEF_BM1415_N0" localSheetId="4">#REF!</definedName>
    <definedName name="CQEF_BM1415_N0" localSheetId="9">#REF!</definedName>
    <definedName name="CQEF_BM1415_N0">#REF!</definedName>
    <definedName name="CQEF_BM1415A_N0" localSheetId="4">#REF!</definedName>
    <definedName name="CQEF_BM1415A_N0" localSheetId="9">#REF!</definedName>
    <definedName name="CQEF_BM1415A_N0">#REF!</definedName>
    <definedName name="CQEF_BM1415B_N0" localSheetId="4">#REF!</definedName>
    <definedName name="CQEF_BM1415B_N0" localSheetId="9">#REF!</definedName>
    <definedName name="CQEF_BM1415B_N0">#REF!</definedName>
    <definedName name="CQEF_BM1415C_N0" localSheetId="4">#REF!</definedName>
    <definedName name="CQEF_BM1415C_N0" localSheetId="9">#REF!</definedName>
    <definedName name="CQEF_BM1415C_N0">#REF!</definedName>
    <definedName name="CQEF_BM1416_N0" localSheetId="4">#REF!</definedName>
    <definedName name="CQEF_BM1416_N0" localSheetId="9">#REF!</definedName>
    <definedName name="CQEF_BM1416_N0">#REF!</definedName>
    <definedName name="CQEF_BM1417_N0" localSheetId="4">#REF!</definedName>
    <definedName name="CQEF_BM1417_N0" localSheetId="9">#REF!</definedName>
    <definedName name="CQEF_BM1417_N0">#REF!</definedName>
    <definedName name="CQEF_BM1418_N2" localSheetId="4">#REF!</definedName>
    <definedName name="CQEF_BM1418_N2" localSheetId="9">#REF!</definedName>
    <definedName name="CQEF_BM1418_N2">#REF!</definedName>
    <definedName name="CQEF_BM1419" localSheetId="4">#REF!</definedName>
    <definedName name="CQEF_BM1419" localSheetId="9">#REF!</definedName>
    <definedName name="CQEF_BM1419">#REF!</definedName>
    <definedName name="CQEF_BM142_N0" localSheetId="4">#REF!</definedName>
    <definedName name="CQEF_BM142_N0" localSheetId="9">#REF!</definedName>
    <definedName name="CQEF_BM142_N0">#REF!</definedName>
    <definedName name="CQEF_BM1420" localSheetId="4">#REF!</definedName>
    <definedName name="CQEF_BM1420" localSheetId="9">#REF!</definedName>
    <definedName name="CQEF_BM1420">#REF!</definedName>
    <definedName name="CQEF_BM1421" localSheetId="4">#REF!</definedName>
    <definedName name="CQEF_BM1421" localSheetId="9">#REF!</definedName>
    <definedName name="CQEF_BM1421">#REF!</definedName>
    <definedName name="CQEF_BM1422" localSheetId="4">#REF!</definedName>
    <definedName name="CQEF_BM1422" localSheetId="9">#REF!</definedName>
    <definedName name="CQEF_BM1422">#REF!</definedName>
    <definedName name="CQEF_BM1423" localSheetId="4">#REF!</definedName>
    <definedName name="CQEF_BM1423" localSheetId="9">#REF!</definedName>
    <definedName name="CQEF_BM1423">#REF!</definedName>
    <definedName name="CQEF_BM1424" localSheetId="4">#REF!</definedName>
    <definedName name="CQEF_BM1424" localSheetId="9">#REF!</definedName>
    <definedName name="CQEF_BM1424">#REF!</definedName>
    <definedName name="CQEF_BM1425" localSheetId="4">#REF!</definedName>
    <definedName name="CQEF_BM1425" localSheetId="9">#REF!</definedName>
    <definedName name="CQEF_BM1425">#REF!</definedName>
    <definedName name="CQEF_BM1426" localSheetId="4">#REF!</definedName>
    <definedName name="CQEF_BM1426" localSheetId="9">#REF!</definedName>
    <definedName name="CQEF_BM1426">#REF!</definedName>
    <definedName name="CQEF_BM1429_P0" localSheetId="4">#REF!</definedName>
    <definedName name="CQEF_BM1429_P0" localSheetId="9">#REF!</definedName>
    <definedName name="CQEF_BM1429_P0">#REF!</definedName>
    <definedName name="CQEF_BM143_N0" localSheetId="4">#REF!</definedName>
    <definedName name="CQEF_BM143_N0" localSheetId="9">#REF!</definedName>
    <definedName name="CQEF_BM143_N0">#REF!</definedName>
    <definedName name="CQEF_BM1430_P0" localSheetId="4">#REF!</definedName>
    <definedName name="CQEF_BM1430_P0" localSheetId="9">#REF!</definedName>
    <definedName name="CQEF_BM1430_P0">#REF!</definedName>
    <definedName name="CQEF_BM1431_P0" localSheetId="4">#REF!</definedName>
    <definedName name="CQEF_BM1431_P0" localSheetId="9">#REF!</definedName>
    <definedName name="CQEF_BM1431_P0">#REF!</definedName>
    <definedName name="CQEF_BM1432_P0" localSheetId="4">#REF!</definedName>
    <definedName name="CQEF_BM1432_P0" localSheetId="9">#REF!</definedName>
    <definedName name="CQEF_BM1432_P0">#REF!</definedName>
    <definedName name="CQEF_BM1433" localSheetId="4">#REF!</definedName>
    <definedName name="CQEF_BM1433" localSheetId="9">#REF!</definedName>
    <definedName name="CQEF_BM1433">#REF!</definedName>
    <definedName name="CQEF_BM1434_P0" localSheetId="4">#REF!</definedName>
    <definedName name="CQEF_BM1434_P0" localSheetId="9">#REF!</definedName>
    <definedName name="CQEF_BM1434_P0">#REF!</definedName>
    <definedName name="CQEF_BM1435_P0" localSheetId="4">#REF!</definedName>
    <definedName name="CQEF_BM1435_P0" localSheetId="9">#REF!</definedName>
    <definedName name="CQEF_BM1435_P0">#REF!</definedName>
    <definedName name="CQEF_BM1436_P0" localSheetId="4">#REF!</definedName>
    <definedName name="CQEF_BM1436_P0" localSheetId="9">#REF!</definedName>
    <definedName name="CQEF_BM1436_P0">#REF!</definedName>
    <definedName name="CQEF_BM1437_P0" localSheetId="4">#REF!</definedName>
    <definedName name="CQEF_BM1437_P0" localSheetId="9">#REF!</definedName>
    <definedName name="CQEF_BM1437_P0">#REF!</definedName>
    <definedName name="CQEF_BM1438_P0" localSheetId="4">#REF!</definedName>
    <definedName name="CQEF_BM1438_P0" localSheetId="9">#REF!</definedName>
    <definedName name="CQEF_BM1438_P0">#REF!</definedName>
    <definedName name="CQEF_BM1439" localSheetId="4">#REF!</definedName>
    <definedName name="CQEF_BM1439" localSheetId="9">#REF!</definedName>
    <definedName name="CQEF_BM1439">#REF!</definedName>
    <definedName name="CQEF_BM144_N0" localSheetId="4">#REF!</definedName>
    <definedName name="CQEF_BM144_N0" localSheetId="9">#REF!</definedName>
    <definedName name="CQEF_BM144_N0">#REF!</definedName>
    <definedName name="CQEF_BM1440_P0" localSheetId="4">#REF!</definedName>
    <definedName name="CQEF_BM1440_P0" localSheetId="9">#REF!</definedName>
    <definedName name="CQEF_BM1440_P0">#REF!</definedName>
    <definedName name="CQEF_BM1441_P0" localSheetId="4">#REF!</definedName>
    <definedName name="CQEF_BM1441_P0" localSheetId="9">#REF!</definedName>
    <definedName name="CQEF_BM1441_P0">#REF!</definedName>
    <definedName name="CQEF_BM1442_P0" localSheetId="4">#REF!</definedName>
    <definedName name="CQEF_BM1442_P0" localSheetId="9">#REF!</definedName>
    <definedName name="CQEF_BM1442_P0">#REF!</definedName>
    <definedName name="CQEF_BM1443_P0" localSheetId="4">#REF!</definedName>
    <definedName name="CQEF_BM1443_P0" localSheetId="9">#REF!</definedName>
    <definedName name="CQEF_BM1443_P0">#REF!</definedName>
    <definedName name="CQEF_BM145_N0" localSheetId="4">#REF!</definedName>
    <definedName name="CQEF_BM145_N0" localSheetId="9">#REF!</definedName>
    <definedName name="CQEF_BM145_N0">#REF!</definedName>
    <definedName name="CQEF_BM146_N0" localSheetId="4">#REF!</definedName>
    <definedName name="CQEF_BM146_N0" localSheetId="9">#REF!</definedName>
    <definedName name="CQEF_BM146_N0">#REF!</definedName>
    <definedName name="CQEF_BM147_N0" localSheetId="4">#REF!</definedName>
    <definedName name="CQEF_BM147_N0" localSheetId="9">#REF!</definedName>
    <definedName name="CQEF_BM147_N0">#REF!</definedName>
    <definedName name="CQEF_BM148_N0" localSheetId="4">#REF!</definedName>
    <definedName name="CQEF_BM148_N0" localSheetId="9">#REF!</definedName>
    <definedName name="CQEF_BM148_N0">#REF!</definedName>
    <definedName name="CQEF_BM149_N0" localSheetId="4">#REF!</definedName>
    <definedName name="CQEF_BM149_N0" localSheetId="9">#REF!</definedName>
    <definedName name="CQEF_BM149_N0">#REF!</definedName>
    <definedName name="CQEF_BM151" localSheetId="4">#REF!</definedName>
    <definedName name="CQEF_BM151" localSheetId="9">#REF!</definedName>
    <definedName name="CQEF_BM151">#REF!</definedName>
    <definedName name="CQEF_BM1510_N0" localSheetId="4">#REF!</definedName>
    <definedName name="CQEF_BM1510_N0" localSheetId="9">#REF!</definedName>
    <definedName name="CQEF_BM1510_N0">#REF!</definedName>
    <definedName name="CQEF_BM1511_N0" localSheetId="4">#REF!</definedName>
    <definedName name="CQEF_BM1511_N0" localSheetId="9">#REF!</definedName>
    <definedName name="CQEF_BM1511_N0">#REF!</definedName>
    <definedName name="CQEF_BM1512_N0" localSheetId="4">#REF!</definedName>
    <definedName name="CQEF_BM1512_N0" localSheetId="9">#REF!</definedName>
    <definedName name="CQEF_BM1512_N0">#REF!</definedName>
    <definedName name="CQEF_BM1513_N0" localSheetId="4">#REF!</definedName>
    <definedName name="CQEF_BM1513_N0" localSheetId="9">#REF!</definedName>
    <definedName name="CQEF_BM1513_N0">#REF!</definedName>
    <definedName name="CQEF_BM1514_N0" localSheetId="4">#REF!</definedName>
    <definedName name="CQEF_BM1514_N0" localSheetId="9">#REF!</definedName>
    <definedName name="CQEF_BM1514_N0">#REF!</definedName>
    <definedName name="CQEF_BM1515_N0" localSheetId="4">#REF!</definedName>
    <definedName name="CQEF_BM1515_N0" localSheetId="9">#REF!</definedName>
    <definedName name="CQEF_BM1515_N0">#REF!</definedName>
    <definedName name="CQEF_BM1515A_N0" localSheetId="4">#REF!</definedName>
    <definedName name="CQEF_BM1515A_N0" localSheetId="9">#REF!</definedName>
    <definedName name="CQEF_BM1515A_N0">#REF!</definedName>
    <definedName name="CQEF_BM1515B_N0" localSheetId="4">#REF!</definedName>
    <definedName name="CQEF_BM1515B_N0" localSheetId="9">#REF!</definedName>
    <definedName name="CQEF_BM1515B_N0">#REF!</definedName>
    <definedName name="CQEF_BM1515C_N0" localSheetId="4">#REF!</definedName>
    <definedName name="CQEF_BM1515C_N0" localSheetId="9">#REF!</definedName>
    <definedName name="CQEF_BM1515C_N0">#REF!</definedName>
    <definedName name="CQEF_BM1516_N0" localSheetId="4">#REF!</definedName>
    <definedName name="CQEF_BM1516_N0" localSheetId="9">#REF!</definedName>
    <definedName name="CQEF_BM1516_N0">#REF!</definedName>
    <definedName name="CQEF_BM1517_N0" localSheetId="4">#REF!</definedName>
    <definedName name="CQEF_BM1517_N0" localSheetId="9">#REF!</definedName>
    <definedName name="CQEF_BM1517_N0">#REF!</definedName>
    <definedName name="CQEF_BM1518_N2" localSheetId="4">#REF!</definedName>
    <definedName name="CQEF_BM1518_N2" localSheetId="9">#REF!</definedName>
    <definedName name="CQEF_BM1518_N2">#REF!</definedName>
    <definedName name="CQEF_BM1519" localSheetId="4">#REF!</definedName>
    <definedName name="CQEF_BM1519" localSheetId="9">#REF!</definedName>
    <definedName name="CQEF_BM1519">#REF!</definedName>
    <definedName name="CQEF_BM152_N0" localSheetId="4">#REF!</definedName>
    <definedName name="CQEF_BM152_N0" localSheetId="9">#REF!</definedName>
    <definedName name="CQEF_BM152_N0">#REF!</definedName>
    <definedName name="CQEF_BM1520" localSheetId="4">#REF!</definedName>
    <definedName name="CQEF_BM1520" localSheetId="9">#REF!</definedName>
    <definedName name="CQEF_BM1520">#REF!</definedName>
    <definedName name="CQEF_BM1521" localSheetId="4">#REF!</definedName>
    <definedName name="CQEF_BM1521" localSheetId="9">#REF!</definedName>
    <definedName name="CQEF_BM1521">#REF!</definedName>
    <definedName name="CQEF_BM1522" localSheetId="4">#REF!</definedName>
    <definedName name="CQEF_BM1522" localSheetId="9">#REF!</definedName>
    <definedName name="CQEF_BM1522">#REF!</definedName>
    <definedName name="CQEF_BM1523" localSheetId="4">#REF!</definedName>
    <definedName name="CQEF_BM1523" localSheetId="9">#REF!</definedName>
    <definedName name="CQEF_BM1523">#REF!</definedName>
    <definedName name="CQEF_BM1524" localSheetId="4">#REF!</definedName>
    <definedName name="CQEF_BM1524" localSheetId="9">#REF!</definedName>
    <definedName name="CQEF_BM1524">#REF!</definedName>
    <definedName name="CQEF_BM1525" localSheetId="4">#REF!</definedName>
    <definedName name="CQEF_BM1525" localSheetId="9">#REF!</definedName>
    <definedName name="CQEF_BM1525">#REF!</definedName>
    <definedName name="CQEF_BM1526" localSheetId="4">#REF!</definedName>
    <definedName name="CQEF_BM1526" localSheetId="9">#REF!</definedName>
    <definedName name="CQEF_BM1526">#REF!</definedName>
    <definedName name="CQEF_BM1529_P0" localSheetId="4">#REF!</definedName>
    <definedName name="CQEF_BM1529_P0" localSheetId="9">#REF!</definedName>
    <definedName name="CQEF_BM1529_P0">#REF!</definedName>
    <definedName name="CQEF_BM153_N0" localSheetId="4">#REF!</definedName>
    <definedName name="CQEF_BM153_N0" localSheetId="9">#REF!</definedName>
    <definedName name="CQEF_BM153_N0">#REF!</definedName>
    <definedName name="CQEF_BM1530_P0" localSheetId="4">#REF!</definedName>
    <definedName name="CQEF_BM1530_P0" localSheetId="9">#REF!</definedName>
    <definedName name="CQEF_BM1530_P0">#REF!</definedName>
    <definedName name="CQEF_BM1531_P0" localSheetId="4">#REF!</definedName>
    <definedName name="CQEF_BM1531_P0" localSheetId="9">#REF!</definedName>
    <definedName name="CQEF_BM1531_P0">#REF!</definedName>
    <definedName name="CQEF_BM1532_P0" localSheetId="4">#REF!</definedName>
    <definedName name="CQEF_BM1532_P0" localSheetId="9">#REF!</definedName>
    <definedName name="CQEF_BM1532_P0">#REF!</definedName>
    <definedName name="CQEF_BM1533" localSheetId="4">#REF!</definedName>
    <definedName name="CQEF_BM1533" localSheetId="9">#REF!</definedName>
    <definedName name="CQEF_BM1533">#REF!</definedName>
    <definedName name="CQEF_BM1534_P0" localSheetId="4">#REF!</definedName>
    <definedName name="CQEF_BM1534_P0" localSheetId="9">#REF!</definedName>
    <definedName name="CQEF_BM1534_P0">#REF!</definedName>
    <definedName name="CQEF_BM1535_P0" localSheetId="4">#REF!</definedName>
    <definedName name="CQEF_BM1535_P0" localSheetId="9">#REF!</definedName>
    <definedName name="CQEF_BM1535_P0">#REF!</definedName>
    <definedName name="CQEF_BM1536_P0" localSheetId="4">#REF!</definedName>
    <definedName name="CQEF_BM1536_P0" localSheetId="9">#REF!</definedName>
    <definedName name="CQEF_BM1536_P0">#REF!</definedName>
    <definedName name="CQEF_BM1537_P0" localSheetId="4">#REF!</definedName>
    <definedName name="CQEF_BM1537_P0" localSheetId="9">#REF!</definedName>
    <definedName name="CQEF_BM1537_P0">#REF!</definedName>
    <definedName name="CQEF_BM1538_P0" localSheetId="4">#REF!</definedName>
    <definedName name="CQEF_BM1538_P0" localSheetId="9">#REF!</definedName>
    <definedName name="CQEF_BM1538_P0">#REF!</definedName>
    <definedName name="CQEF_BM1539" localSheetId="4">#REF!</definedName>
    <definedName name="CQEF_BM1539" localSheetId="9">#REF!</definedName>
    <definedName name="CQEF_BM1539">#REF!</definedName>
    <definedName name="CQEF_BM154_N0" localSheetId="4">#REF!</definedName>
    <definedName name="CQEF_BM154_N0" localSheetId="9">#REF!</definedName>
    <definedName name="CQEF_BM154_N0">#REF!</definedName>
    <definedName name="CQEF_BM1540_P0" localSheetId="4">#REF!</definedName>
    <definedName name="CQEF_BM1540_P0" localSheetId="9">#REF!</definedName>
    <definedName name="CQEF_BM1540_P0">#REF!</definedName>
    <definedName name="CQEF_BM1541_P0" localSheetId="4">#REF!</definedName>
    <definedName name="CQEF_BM1541_P0" localSheetId="9">#REF!</definedName>
    <definedName name="CQEF_BM1541_P0">#REF!</definedName>
    <definedName name="CQEF_BM1542_P0" localSheetId="4">#REF!</definedName>
    <definedName name="CQEF_BM1542_P0" localSheetId="9">#REF!</definedName>
    <definedName name="CQEF_BM1542_P0">#REF!</definedName>
    <definedName name="CQEF_BM1543_P0" localSheetId="4">#REF!</definedName>
    <definedName name="CQEF_BM1543_P0" localSheetId="9">#REF!</definedName>
    <definedName name="CQEF_BM1543_P0">#REF!</definedName>
    <definedName name="CQEF_BM155_N0" localSheetId="4">#REF!</definedName>
    <definedName name="CQEF_BM155_N0" localSheetId="9">#REF!</definedName>
    <definedName name="CQEF_BM155_N0">#REF!</definedName>
    <definedName name="CQEF_BM156_N0" localSheetId="4">#REF!</definedName>
    <definedName name="CQEF_BM156_N0" localSheetId="9">#REF!</definedName>
    <definedName name="CQEF_BM156_N0">#REF!</definedName>
    <definedName name="CQEF_BM157_N0" localSheetId="4">#REF!</definedName>
    <definedName name="CQEF_BM157_N0" localSheetId="9">#REF!</definedName>
    <definedName name="CQEF_BM157_N0">#REF!</definedName>
    <definedName name="CQEF_BM158_N0" localSheetId="4">#REF!</definedName>
    <definedName name="CQEF_BM158_N0" localSheetId="9">#REF!</definedName>
    <definedName name="CQEF_BM158_N0">#REF!</definedName>
    <definedName name="CQEF_BM159_N0" localSheetId="4">#REF!</definedName>
    <definedName name="CQEF_BM159_N0" localSheetId="9">#REF!</definedName>
    <definedName name="CQEF_BM159_N0">#REF!</definedName>
    <definedName name="CQEF_BM161" localSheetId="4">#REF!</definedName>
    <definedName name="CQEF_BM161" localSheetId="9">#REF!</definedName>
    <definedName name="CQEF_BM161">#REF!</definedName>
    <definedName name="CQEF_BM1610_N0" localSheetId="4">#REF!</definedName>
    <definedName name="CQEF_BM1610_N0" localSheetId="9">#REF!</definedName>
    <definedName name="CQEF_BM1610_N0">#REF!</definedName>
    <definedName name="CQEF_BM1611_N0" localSheetId="4">#REF!</definedName>
    <definedName name="CQEF_BM1611_N0" localSheetId="9">#REF!</definedName>
    <definedName name="CQEF_BM1611_N0">#REF!</definedName>
    <definedName name="CQEF_BM1612_N0" localSheetId="4">#REF!</definedName>
    <definedName name="CQEF_BM1612_N0" localSheetId="9">#REF!</definedName>
    <definedName name="CQEF_BM1612_N0">#REF!</definedName>
    <definedName name="CQEF_BM1613_N0" localSheetId="4">#REF!</definedName>
    <definedName name="CQEF_BM1613_N0" localSheetId="9">#REF!</definedName>
    <definedName name="CQEF_BM1613_N0">#REF!</definedName>
    <definedName name="CQEF_BM1614_N0" localSheetId="4">#REF!</definedName>
    <definedName name="CQEF_BM1614_N0" localSheetId="9">#REF!</definedName>
    <definedName name="CQEF_BM1614_N0">#REF!</definedName>
    <definedName name="CQEF_BM1615_N0" localSheetId="4">#REF!</definedName>
    <definedName name="CQEF_BM1615_N0" localSheetId="9">#REF!</definedName>
    <definedName name="CQEF_BM1615_N0">#REF!</definedName>
    <definedName name="CQEF_BM1615A_N0" localSheetId="4">#REF!</definedName>
    <definedName name="CQEF_BM1615A_N0" localSheetId="9">#REF!</definedName>
    <definedName name="CQEF_BM1615A_N0">#REF!</definedName>
    <definedName name="CQEF_BM1615B_N0" localSheetId="4">#REF!</definedName>
    <definedName name="CQEF_BM1615B_N0" localSheetId="9">#REF!</definedName>
    <definedName name="CQEF_BM1615B_N0">#REF!</definedName>
    <definedName name="CQEF_BM1615C_N0" localSheetId="4">#REF!</definedName>
    <definedName name="CQEF_BM1615C_N0" localSheetId="9">#REF!</definedName>
    <definedName name="CQEF_BM1615C_N0">#REF!</definedName>
    <definedName name="CQEF_BM1616_N0" localSheetId="4">#REF!</definedName>
    <definedName name="CQEF_BM1616_N0" localSheetId="9">#REF!</definedName>
    <definedName name="CQEF_BM1616_N0">#REF!</definedName>
    <definedName name="CQEF_BM1617_N0" localSheetId="4">#REF!</definedName>
    <definedName name="CQEF_BM1617_N0" localSheetId="9">#REF!</definedName>
    <definedName name="CQEF_BM1617_N0">#REF!</definedName>
    <definedName name="CQEF_BM1618_N2" localSheetId="4">#REF!</definedName>
    <definedName name="CQEF_BM1618_N2" localSheetId="9">#REF!</definedName>
    <definedName name="CQEF_BM1618_N2">#REF!</definedName>
    <definedName name="CQEF_BM1619" localSheetId="4">#REF!</definedName>
    <definedName name="CQEF_BM1619" localSheetId="9">#REF!</definedName>
    <definedName name="CQEF_BM1619">#REF!</definedName>
    <definedName name="CQEF_BM162_N0" localSheetId="4">#REF!</definedName>
    <definedName name="CQEF_BM162_N0" localSheetId="9">#REF!</definedName>
    <definedName name="CQEF_BM162_N0">#REF!</definedName>
    <definedName name="CQEF_BM1620" localSheetId="4">#REF!</definedName>
    <definedName name="CQEF_BM1620" localSheetId="9">#REF!</definedName>
    <definedName name="CQEF_BM1620">#REF!</definedName>
    <definedName name="CQEF_BM1621" localSheetId="4">#REF!</definedName>
    <definedName name="CQEF_BM1621" localSheetId="9">#REF!</definedName>
    <definedName name="CQEF_BM1621">#REF!</definedName>
    <definedName name="CQEF_BM1622" localSheetId="4">#REF!</definedName>
    <definedName name="CQEF_BM1622" localSheetId="9">#REF!</definedName>
    <definedName name="CQEF_BM1622">#REF!</definedName>
    <definedName name="CQEF_BM1623" localSheetId="4">#REF!</definedName>
    <definedName name="CQEF_BM1623" localSheetId="9">#REF!</definedName>
    <definedName name="CQEF_BM1623">#REF!</definedName>
    <definedName name="CQEF_BM1624" localSheetId="4">#REF!</definedName>
    <definedName name="CQEF_BM1624" localSheetId="9">#REF!</definedName>
    <definedName name="CQEF_BM1624">#REF!</definedName>
    <definedName name="CQEF_BM1625" localSheetId="4">#REF!</definedName>
    <definedName name="CQEF_BM1625" localSheetId="9">#REF!</definedName>
    <definedName name="CQEF_BM1625">#REF!</definedName>
    <definedName name="CQEF_BM1626" localSheetId="4">#REF!</definedName>
    <definedName name="CQEF_BM1626" localSheetId="9">#REF!</definedName>
    <definedName name="CQEF_BM1626">#REF!</definedName>
    <definedName name="CQEF_BM1629_P0" localSheetId="4">#REF!</definedName>
    <definedName name="CQEF_BM1629_P0" localSheetId="9">#REF!</definedName>
    <definedName name="CQEF_BM1629_P0">#REF!</definedName>
    <definedName name="CQEF_BM163_N0" localSheetId="4">#REF!</definedName>
    <definedName name="CQEF_BM163_N0" localSheetId="9">#REF!</definedName>
    <definedName name="CQEF_BM163_N0">#REF!</definedName>
    <definedName name="CQEF_BM1630_P0" localSheetId="4">#REF!</definedName>
    <definedName name="CQEF_BM1630_P0" localSheetId="9">#REF!</definedName>
    <definedName name="CQEF_BM1630_P0">#REF!</definedName>
    <definedName name="CQEF_BM1631_P0" localSheetId="4">#REF!</definedName>
    <definedName name="CQEF_BM1631_P0" localSheetId="9">#REF!</definedName>
    <definedName name="CQEF_BM1631_P0">#REF!</definedName>
    <definedName name="CQEF_BM1632_P0" localSheetId="4">#REF!</definedName>
    <definedName name="CQEF_BM1632_P0" localSheetId="9">#REF!</definedName>
    <definedName name="CQEF_BM1632_P0">#REF!</definedName>
    <definedName name="CQEF_BM1633" localSheetId="4">#REF!</definedName>
    <definedName name="CQEF_BM1633" localSheetId="9">#REF!</definedName>
    <definedName name="CQEF_BM1633">#REF!</definedName>
    <definedName name="CQEF_BM1634_P0" localSheetId="4">#REF!</definedName>
    <definedName name="CQEF_BM1634_P0" localSheetId="9">#REF!</definedName>
    <definedName name="CQEF_BM1634_P0">#REF!</definedName>
    <definedName name="CQEF_BM1635_P0" localSheetId="4">#REF!</definedName>
    <definedName name="CQEF_BM1635_P0" localSheetId="9">#REF!</definedName>
    <definedName name="CQEF_BM1635_P0">#REF!</definedName>
    <definedName name="CQEF_BM1636_P0" localSheetId="4">#REF!</definedName>
    <definedName name="CQEF_BM1636_P0" localSheetId="9">#REF!</definedName>
    <definedName name="CQEF_BM1636_P0">#REF!</definedName>
    <definedName name="CQEF_BM1637_P0" localSheetId="4">#REF!</definedName>
    <definedName name="CQEF_BM1637_P0" localSheetId="9">#REF!</definedName>
    <definedName name="CQEF_BM1637_P0">#REF!</definedName>
    <definedName name="CQEF_BM1638_P0" localSheetId="4">#REF!</definedName>
    <definedName name="CQEF_BM1638_P0" localSheetId="9">#REF!</definedName>
    <definedName name="CQEF_BM1638_P0">#REF!</definedName>
    <definedName name="CQEF_BM1639" localSheetId="4">#REF!</definedName>
    <definedName name="CQEF_BM1639" localSheetId="9">#REF!</definedName>
    <definedName name="CQEF_BM1639">#REF!</definedName>
    <definedName name="CQEF_BM164_N0" localSheetId="4">#REF!</definedName>
    <definedName name="CQEF_BM164_N0" localSheetId="9">#REF!</definedName>
    <definedName name="CQEF_BM164_N0">#REF!</definedName>
    <definedName name="CQEF_BM1640_P0" localSheetId="4">#REF!</definedName>
    <definedName name="CQEF_BM1640_P0" localSheetId="9">#REF!</definedName>
    <definedName name="CQEF_BM1640_P0">#REF!</definedName>
    <definedName name="CQEF_BM1641_P0" localSheetId="4">#REF!</definedName>
    <definedName name="CQEF_BM1641_P0" localSheetId="9">#REF!</definedName>
    <definedName name="CQEF_BM1641_P0">#REF!</definedName>
    <definedName name="CQEF_BM1642_P0" localSheetId="4">#REF!</definedName>
    <definedName name="CQEF_BM1642_P0" localSheetId="9">#REF!</definedName>
    <definedName name="CQEF_BM1642_P0">#REF!</definedName>
    <definedName name="CQEF_BM1643_P0" localSheetId="4">#REF!</definedName>
    <definedName name="CQEF_BM1643_P0" localSheetId="9">#REF!</definedName>
    <definedName name="CQEF_BM1643_P0">#REF!</definedName>
    <definedName name="CQEF_BM165_N0" localSheetId="4">#REF!</definedName>
    <definedName name="CQEF_BM165_N0" localSheetId="9">#REF!</definedName>
    <definedName name="CQEF_BM165_N0">#REF!</definedName>
    <definedName name="CQEF_BM166_N0" localSheetId="4">#REF!</definedName>
    <definedName name="CQEF_BM166_N0" localSheetId="9">#REF!</definedName>
    <definedName name="CQEF_BM166_N0">#REF!</definedName>
    <definedName name="CQEF_BM167_N0" localSheetId="4">#REF!</definedName>
    <definedName name="CQEF_BM167_N0" localSheetId="9">#REF!</definedName>
    <definedName name="CQEF_BM167_N0">#REF!</definedName>
    <definedName name="CQEF_BM168_N0" localSheetId="4">#REF!</definedName>
    <definedName name="CQEF_BM168_N0" localSheetId="9">#REF!</definedName>
    <definedName name="CQEF_BM168_N0">#REF!</definedName>
    <definedName name="CQEF_BM169_N0" localSheetId="4">#REF!</definedName>
    <definedName name="CQEF_BM169_N0" localSheetId="9">#REF!</definedName>
    <definedName name="CQEF_BM169_N0">#REF!</definedName>
    <definedName name="CQEF_BM171" localSheetId="4">#REF!</definedName>
    <definedName name="CQEF_BM171" localSheetId="9">#REF!</definedName>
    <definedName name="CQEF_BM171">#REF!</definedName>
    <definedName name="CQEF_BM1710_N0" localSheetId="4">#REF!</definedName>
    <definedName name="CQEF_BM1710_N0" localSheetId="9">#REF!</definedName>
    <definedName name="CQEF_BM1710_N0">#REF!</definedName>
    <definedName name="CQEF_BM1711_N0" localSheetId="4">#REF!</definedName>
    <definedName name="CQEF_BM1711_N0" localSheetId="9">#REF!</definedName>
    <definedName name="CQEF_BM1711_N0">#REF!</definedName>
    <definedName name="CQEF_BM1712_N0" localSheetId="4">#REF!</definedName>
    <definedName name="CQEF_BM1712_N0" localSheetId="9">#REF!</definedName>
    <definedName name="CQEF_BM1712_N0">#REF!</definedName>
    <definedName name="CQEF_BM1713_N0" localSheetId="4">#REF!</definedName>
    <definedName name="CQEF_BM1713_N0" localSheetId="9">#REF!</definedName>
    <definedName name="CQEF_BM1713_N0">#REF!</definedName>
    <definedName name="CQEF_BM1714_N0" localSheetId="4">#REF!</definedName>
    <definedName name="CQEF_BM1714_N0" localSheetId="9">#REF!</definedName>
    <definedName name="CQEF_BM1714_N0">#REF!</definedName>
    <definedName name="CQEF_BM1715_N0" localSheetId="4">#REF!</definedName>
    <definedName name="CQEF_BM1715_N0" localSheetId="9">#REF!</definedName>
    <definedName name="CQEF_BM1715_N0">#REF!</definedName>
    <definedName name="CQEF_BM1715A_N0" localSheetId="4">#REF!</definedName>
    <definedName name="CQEF_BM1715A_N0" localSheetId="9">#REF!</definedName>
    <definedName name="CQEF_BM1715A_N0">#REF!</definedName>
    <definedName name="CQEF_BM1715B_N0" localSheetId="4">#REF!</definedName>
    <definedName name="CQEF_BM1715B_N0" localSheetId="9">#REF!</definedName>
    <definedName name="CQEF_BM1715B_N0">#REF!</definedName>
    <definedName name="CQEF_BM1715C_N0" localSheetId="4">#REF!</definedName>
    <definedName name="CQEF_BM1715C_N0" localSheetId="9">#REF!</definedName>
    <definedName name="CQEF_BM1715C_N0">#REF!</definedName>
    <definedName name="CQEF_BM1716_N0" localSheetId="4">#REF!</definedName>
    <definedName name="CQEF_BM1716_N0" localSheetId="9">#REF!</definedName>
    <definedName name="CQEF_BM1716_N0">#REF!</definedName>
    <definedName name="CQEF_BM1717_N0" localSheetId="4">#REF!</definedName>
    <definedName name="CQEF_BM1717_N0" localSheetId="9">#REF!</definedName>
    <definedName name="CQEF_BM1717_N0">#REF!</definedName>
    <definedName name="CQEF_BM1718_N2" localSheetId="4">#REF!</definedName>
    <definedName name="CQEF_BM1718_N2" localSheetId="9">#REF!</definedName>
    <definedName name="CQEF_BM1718_N2">#REF!</definedName>
    <definedName name="CQEF_BM1719" localSheetId="4">#REF!</definedName>
    <definedName name="CQEF_BM1719" localSheetId="9">#REF!</definedName>
    <definedName name="CQEF_BM1719">#REF!</definedName>
    <definedName name="CQEF_BM172_N0" localSheetId="4">#REF!</definedName>
    <definedName name="CQEF_BM172_N0" localSheetId="9">#REF!</definedName>
    <definedName name="CQEF_BM172_N0">#REF!</definedName>
    <definedName name="CQEF_BM1720" localSheetId="4">#REF!</definedName>
    <definedName name="CQEF_BM1720" localSheetId="9">#REF!</definedName>
    <definedName name="CQEF_BM1720">#REF!</definedName>
    <definedName name="CQEF_BM1721" localSheetId="4">#REF!</definedName>
    <definedName name="CQEF_BM1721" localSheetId="9">#REF!</definedName>
    <definedName name="CQEF_BM1721">#REF!</definedName>
    <definedName name="CQEF_BM1722" localSheetId="4">#REF!</definedName>
    <definedName name="CQEF_BM1722" localSheetId="9">#REF!</definedName>
    <definedName name="CQEF_BM1722">#REF!</definedName>
    <definedName name="CQEF_BM1723" localSheetId="4">#REF!</definedName>
    <definedName name="CQEF_BM1723" localSheetId="9">#REF!</definedName>
    <definedName name="CQEF_BM1723">#REF!</definedName>
    <definedName name="CQEF_BM1724" localSheetId="4">#REF!</definedName>
    <definedName name="CQEF_BM1724" localSheetId="9">#REF!</definedName>
    <definedName name="CQEF_BM1724">#REF!</definedName>
    <definedName name="CQEF_BM1725" localSheetId="4">#REF!</definedName>
    <definedName name="CQEF_BM1725" localSheetId="9">#REF!</definedName>
    <definedName name="CQEF_BM1725">#REF!</definedName>
    <definedName name="CQEF_BM1726" localSheetId="4">#REF!</definedName>
    <definedName name="CQEF_BM1726" localSheetId="9">#REF!</definedName>
    <definedName name="CQEF_BM1726">#REF!</definedName>
    <definedName name="CQEF_BM1729_P0" localSheetId="4">#REF!</definedName>
    <definedName name="CQEF_BM1729_P0" localSheetId="9">#REF!</definedName>
    <definedName name="CQEF_BM1729_P0">#REF!</definedName>
    <definedName name="CQEF_BM173_N0" localSheetId="4">#REF!</definedName>
    <definedName name="CQEF_BM173_N0" localSheetId="9">#REF!</definedName>
    <definedName name="CQEF_BM173_N0">#REF!</definedName>
    <definedName name="CQEF_BM1730_P0" localSheetId="4">#REF!</definedName>
    <definedName name="CQEF_BM1730_P0" localSheetId="9">#REF!</definedName>
    <definedName name="CQEF_BM1730_P0">#REF!</definedName>
    <definedName name="CQEF_BM1731_P0" localSheetId="4">#REF!</definedName>
    <definedName name="CQEF_BM1731_P0" localSheetId="9">#REF!</definedName>
    <definedName name="CQEF_BM1731_P0">#REF!</definedName>
    <definedName name="CQEF_BM1732_P0" localSheetId="4">#REF!</definedName>
    <definedName name="CQEF_BM1732_P0" localSheetId="9">#REF!</definedName>
    <definedName name="CQEF_BM1732_P0">#REF!</definedName>
    <definedName name="CQEF_BM1733" localSheetId="4">#REF!</definedName>
    <definedName name="CQEF_BM1733" localSheetId="9">#REF!</definedName>
    <definedName name="CQEF_BM1733">#REF!</definedName>
    <definedName name="CQEF_BM1734_P0" localSheetId="4">#REF!</definedName>
    <definedName name="CQEF_BM1734_P0" localSheetId="9">#REF!</definedName>
    <definedName name="CQEF_BM1734_P0">#REF!</definedName>
    <definedName name="CQEF_BM1735_P0" localSheetId="4">#REF!</definedName>
    <definedName name="CQEF_BM1735_P0" localSheetId="9">#REF!</definedName>
    <definedName name="CQEF_BM1735_P0">#REF!</definedName>
    <definedName name="CQEF_BM1736_P0" localSheetId="4">#REF!</definedName>
    <definedName name="CQEF_BM1736_P0" localSheetId="9">#REF!</definedName>
    <definedName name="CQEF_BM1736_P0">#REF!</definedName>
    <definedName name="CQEF_BM1737_P0" localSheetId="4">#REF!</definedName>
    <definedName name="CQEF_BM1737_P0" localSheetId="9">#REF!</definedName>
    <definedName name="CQEF_BM1737_P0">#REF!</definedName>
    <definedName name="CQEF_BM1738_P0" localSheetId="4">#REF!</definedName>
    <definedName name="CQEF_BM1738_P0" localSheetId="9">#REF!</definedName>
    <definedName name="CQEF_BM1738_P0">#REF!</definedName>
    <definedName name="CQEF_BM1739" localSheetId="4">#REF!</definedName>
    <definedName name="CQEF_BM1739" localSheetId="9">#REF!</definedName>
    <definedName name="CQEF_BM1739">#REF!</definedName>
    <definedName name="CQEF_BM174_N0" localSheetId="4">#REF!</definedName>
    <definedName name="CQEF_BM174_N0" localSheetId="9">#REF!</definedName>
    <definedName name="CQEF_BM174_N0">#REF!</definedName>
    <definedName name="CQEF_BM1740_P0" localSheetId="4">#REF!</definedName>
    <definedName name="CQEF_BM1740_P0" localSheetId="9">#REF!</definedName>
    <definedName name="CQEF_BM1740_P0">#REF!</definedName>
    <definedName name="CQEF_BM1741_P0" localSheetId="4">#REF!</definedName>
    <definedName name="CQEF_BM1741_P0" localSheetId="9">#REF!</definedName>
    <definedName name="CQEF_BM1741_P0">#REF!</definedName>
    <definedName name="CQEF_BM1742_P0" localSheetId="4">#REF!</definedName>
    <definedName name="CQEF_BM1742_P0" localSheetId="9">#REF!</definedName>
    <definedName name="CQEF_BM1742_P0">#REF!</definedName>
    <definedName name="CQEF_BM1743_P0" localSheetId="4">#REF!</definedName>
    <definedName name="CQEF_BM1743_P0" localSheetId="9">#REF!</definedName>
    <definedName name="CQEF_BM1743_P0">#REF!</definedName>
    <definedName name="CQEF_BM175_N0" localSheetId="4">#REF!</definedName>
    <definedName name="CQEF_BM175_N0" localSheetId="9">#REF!</definedName>
    <definedName name="CQEF_BM175_N0">#REF!</definedName>
    <definedName name="CQEF_BM176_N0" localSheetId="4">#REF!</definedName>
    <definedName name="CQEF_BM176_N0" localSheetId="9">#REF!</definedName>
    <definedName name="CQEF_BM176_N0">#REF!</definedName>
    <definedName name="CQEF_BM177_N0" localSheetId="4">#REF!</definedName>
    <definedName name="CQEF_BM177_N0" localSheetId="9">#REF!</definedName>
    <definedName name="CQEF_BM177_N0">#REF!</definedName>
    <definedName name="CQEF_BM178_N0" localSheetId="4">#REF!</definedName>
    <definedName name="CQEF_BM178_N0" localSheetId="9">#REF!</definedName>
    <definedName name="CQEF_BM178_N0">#REF!</definedName>
    <definedName name="CQEF_BM179_N0" localSheetId="4">#REF!</definedName>
    <definedName name="CQEF_BM179_N0" localSheetId="9">#REF!</definedName>
    <definedName name="CQEF_BM179_N0">#REF!</definedName>
    <definedName name="CreCost12" localSheetId="4">#REF!</definedName>
    <definedName name="CreCost12" localSheetId="9">#REF!</definedName>
    <definedName name="CreCost12">#REF!</definedName>
    <definedName name="CreCost13" localSheetId="4">#REF!</definedName>
    <definedName name="CreCost13" localSheetId="9">#REF!</definedName>
    <definedName name="CreCost13">#REF!</definedName>
    <definedName name="Credit_balances_in_Current_Accounts_with_Banks">#REF!</definedName>
    <definedName name="creditors">#REF!</definedName>
    <definedName name="creditors_A">#REF!</definedName>
    <definedName name="Creditors_RawMaterials" localSheetId="4">#REF!</definedName>
    <definedName name="Creditors_RawMaterials" localSheetId="9">#REF!</definedName>
    <definedName name="Creditors_RawMaterials">#REF!</definedName>
    <definedName name="csbs" localSheetId="4">#REF!</definedName>
    <definedName name="csbs" localSheetId="5">#REF!</definedName>
    <definedName name="csbs" localSheetId="15">#REF!</definedName>
    <definedName name="csbs" localSheetId="19">#REF!</definedName>
    <definedName name="csbs" localSheetId="18">#REF!</definedName>
    <definedName name="csbs" localSheetId="14">#REF!</definedName>
    <definedName name="csbs" localSheetId="12">#REF!</definedName>
    <definedName name="csbs" localSheetId="24">#REF!</definedName>
    <definedName name="csbs" localSheetId="7">#REF!</definedName>
    <definedName name="csbs" localSheetId="20">#REF!</definedName>
    <definedName name="csbs" localSheetId="21">#REF!</definedName>
    <definedName name="csbs" localSheetId="11">#REF!</definedName>
    <definedName name="csbs" localSheetId="17">#REF!</definedName>
    <definedName name="csbs" localSheetId="16">#REF!</definedName>
    <definedName name="csbs" localSheetId="22">#REF!</definedName>
    <definedName name="csbs" localSheetId="9">#REF!</definedName>
    <definedName name="csbs" localSheetId="13">#REF!</definedName>
    <definedName name="csbs" localSheetId="23">#REF!</definedName>
    <definedName name="csbs">#REF!</definedName>
    <definedName name="cscf" localSheetId="4">#REF!</definedName>
    <definedName name="cscf" localSheetId="5">#REF!</definedName>
    <definedName name="cscf" localSheetId="15">#REF!</definedName>
    <definedName name="cscf" localSheetId="19">#REF!</definedName>
    <definedName name="cscf" localSheetId="18">#REF!</definedName>
    <definedName name="cscf" localSheetId="14">#REF!</definedName>
    <definedName name="cscf" localSheetId="12">#REF!</definedName>
    <definedName name="cscf" localSheetId="24">#REF!</definedName>
    <definedName name="cscf" localSheetId="7">#REF!</definedName>
    <definedName name="cscf" localSheetId="20">#REF!</definedName>
    <definedName name="cscf" localSheetId="21">#REF!</definedName>
    <definedName name="cscf" localSheetId="11">#REF!</definedName>
    <definedName name="cscf" localSheetId="17">#REF!</definedName>
    <definedName name="cscf" localSheetId="16">#REF!</definedName>
    <definedName name="cscf" localSheetId="22">#REF!</definedName>
    <definedName name="cscf" localSheetId="9">#REF!</definedName>
    <definedName name="cscf" localSheetId="13">#REF!</definedName>
    <definedName name="cscf" localSheetId="23">#REF!</definedName>
    <definedName name="cscf">#REF!</definedName>
    <definedName name="csi" localSheetId="4">#REF!</definedName>
    <definedName name="csi" localSheetId="5">#REF!</definedName>
    <definedName name="csi" localSheetId="15">#REF!</definedName>
    <definedName name="csi" localSheetId="19">#REF!</definedName>
    <definedName name="csi" localSheetId="18">#REF!</definedName>
    <definedName name="csi" localSheetId="14">#REF!</definedName>
    <definedName name="csi" localSheetId="12">#REF!</definedName>
    <definedName name="csi" localSheetId="24">#REF!</definedName>
    <definedName name="csi" localSheetId="7">#REF!</definedName>
    <definedName name="csi" localSheetId="20">#REF!</definedName>
    <definedName name="csi" localSheetId="21">#REF!</definedName>
    <definedName name="csi" localSheetId="11">#REF!</definedName>
    <definedName name="csi" localSheetId="17">#REF!</definedName>
    <definedName name="csi" localSheetId="16">#REF!</definedName>
    <definedName name="csi" localSheetId="22">#REF!</definedName>
    <definedName name="csi" localSheetId="9">#REF!</definedName>
    <definedName name="csi" localSheetId="13">#REF!</definedName>
    <definedName name="csi" localSheetId="23">#REF!</definedName>
    <definedName name="csi">#REF!</definedName>
    <definedName name="cspl" localSheetId="4">#REF!</definedName>
    <definedName name="cspl" localSheetId="9">#REF!</definedName>
    <definedName name="cspl">#REF!</definedName>
    <definedName name="cta" localSheetId="4">#REF!</definedName>
    <definedName name="cta" localSheetId="9">#REF!</definedName>
    <definedName name="cta">#REF!</definedName>
    <definedName name="ctcwgt">#REF!</definedName>
    <definedName name="cu102.ShareScalingFactor" hidden="1">1000000</definedName>
    <definedName name="cu103.EmployeeScalingFactor" hidden="1">1000</definedName>
    <definedName name="cu107.DPSSymbol" hidden="1">"Rs"</definedName>
    <definedName name="cu107.EPSSymbol" hidden="1">"Rs"</definedName>
    <definedName name="cu71.ScalingFactor" hidden="1">1000000</definedName>
    <definedName name="Cumulative_PV_of_EVA" localSheetId="4">#REF!</definedName>
    <definedName name="Cumulative_PV_of_EVA" localSheetId="9">#REF!</definedName>
    <definedName name="Cumulative_PV_of_EVA">#REF!</definedName>
    <definedName name="Cumulative_PV_of_FCF" localSheetId="4">#REF!</definedName>
    <definedName name="Cumulative_PV_of_FCF" localSheetId="9">#REF!</definedName>
    <definedName name="Cumulative_PV_of_FCF">#REF!</definedName>
    <definedName name="CURR" localSheetId="4">#REF!</definedName>
    <definedName name="CURR" localSheetId="5">#REF!</definedName>
    <definedName name="CURR" localSheetId="15">#REF!</definedName>
    <definedName name="CURR" localSheetId="19">#REF!</definedName>
    <definedName name="CURR" localSheetId="18">#REF!</definedName>
    <definedName name="CURR" localSheetId="14">#REF!</definedName>
    <definedName name="CURR" localSheetId="12">#REF!</definedName>
    <definedName name="CURR" localSheetId="24">#REF!</definedName>
    <definedName name="CURR" localSheetId="7">#REF!</definedName>
    <definedName name="CURR" localSheetId="20">#REF!</definedName>
    <definedName name="CURR" localSheetId="21">#REF!</definedName>
    <definedName name="CURR" localSheetId="11">#REF!</definedName>
    <definedName name="CURR" localSheetId="17">#REF!</definedName>
    <definedName name="CURR" localSheetId="16">#REF!</definedName>
    <definedName name="CURR" localSheetId="22">#REF!</definedName>
    <definedName name="CURR" localSheetId="9">#REF!</definedName>
    <definedName name="CURR" localSheetId="13">#REF!</definedName>
    <definedName name="CURR" localSheetId="23">#REF!</definedName>
    <definedName name="CURR">#REF!</definedName>
    <definedName name="curr_year_sales" localSheetId="4">#REF!</definedName>
    <definedName name="curr_year_sales" localSheetId="5">#REF!</definedName>
    <definedName name="curr_year_sales" localSheetId="15">#REF!</definedName>
    <definedName name="curr_year_sales" localSheetId="19">#REF!</definedName>
    <definedName name="curr_year_sales" localSheetId="18">#REF!</definedName>
    <definedName name="curr_year_sales" localSheetId="14">#REF!</definedName>
    <definedName name="curr_year_sales" localSheetId="12">#REF!</definedName>
    <definedName name="curr_year_sales" localSheetId="24">#REF!</definedName>
    <definedName name="curr_year_sales" localSheetId="7">#REF!</definedName>
    <definedName name="curr_year_sales" localSheetId="20">#REF!</definedName>
    <definedName name="curr_year_sales" localSheetId="21">#REF!</definedName>
    <definedName name="curr_year_sales" localSheetId="11">#REF!</definedName>
    <definedName name="curr_year_sales" localSheetId="17">#REF!</definedName>
    <definedName name="curr_year_sales" localSheetId="16">#REF!</definedName>
    <definedName name="curr_year_sales" localSheetId="22">#REF!</definedName>
    <definedName name="curr_year_sales" localSheetId="9">#REF!</definedName>
    <definedName name="curr_year_sales" localSheetId="13">#REF!</definedName>
    <definedName name="curr_year_sales" localSheetId="23">#REF!</definedName>
    <definedName name="curr_year_sales">#REF!</definedName>
    <definedName name="Currency">#REF!</definedName>
    <definedName name="Current_assets" localSheetId="4">#REF!</definedName>
    <definedName name="Current_assets" localSheetId="9">#REF!</definedName>
    <definedName name="Current_assets">#REF!</definedName>
    <definedName name="Current_Assets__Loans_and_Advances_total">#REF!</definedName>
    <definedName name="Current_Assets_Loans_and_Advances_total">#REF!</definedName>
    <definedName name="Current_Assets_Q" localSheetId="4">#REF!</definedName>
    <definedName name="Current_Assets_Q" localSheetId="5">#REF!</definedName>
    <definedName name="Current_Assets_Q" localSheetId="15">#REF!</definedName>
    <definedName name="Current_Assets_Q" localSheetId="19">#REF!</definedName>
    <definedName name="Current_Assets_Q" localSheetId="18">#REF!</definedName>
    <definedName name="Current_Assets_Q" localSheetId="14">#REF!</definedName>
    <definedName name="Current_Assets_Q" localSheetId="12">#REF!</definedName>
    <definedName name="Current_Assets_Q" localSheetId="24">#REF!</definedName>
    <definedName name="Current_Assets_Q" localSheetId="7">#REF!</definedName>
    <definedName name="Current_Assets_Q" localSheetId="20">#REF!</definedName>
    <definedName name="Current_Assets_Q" localSheetId="21">#REF!</definedName>
    <definedName name="Current_Assets_Q" localSheetId="11">#REF!</definedName>
    <definedName name="Current_Assets_Q" localSheetId="17">#REF!</definedName>
    <definedName name="Current_Assets_Q" localSheetId="16">#REF!</definedName>
    <definedName name="Current_Assets_Q" localSheetId="22">#REF!</definedName>
    <definedName name="Current_Assets_Q" localSheetId="9">#REF!</definedName>
    <definedName name="Current_Assets_Q" localSheetId="13">#REF!</definedName>
    <definedName name="Current_Assets_Q" localSheetId="23">#REF!</definedName>
    <definedName name="Current_Assets_Q">#REF!</definedName>
    <definedName name="Current_Assets_Total">#REF!</definedName>
    <definedName name="Current_assets6">#REF!</definedName>
    <definedName name="Current_deposits">#REF!</definedName>
    <definedName name="current_deposits_Q">#REF!</definedName>
    <definedName name="current_liabilities">#REF!</definedName>
    <definedName name="Current_liabilities_and_provisions_total">#REF!</definedName>
    <definedName name="Current_Liabilities_Provisions_Q" localSheetId="4">#REF!</definedName>
    <definedName name="Current_Liabilities_Provisions_Q" localSheetId="5">#REF!</definedName>
    <definedName name="Current_Liabilities_Provisions_Q" localSheetId="15">#REF!</definedName>
    <definedName name="Current_Liabilities_Provisions_Q" localSheetId="19">#REF!</definedName>
    <definedName name="Current_Liabilities_Provisions_Q" localSheetId="18">#REF!</definedName>
    <definedName name="Current_Liabilities_Provisions_Q" localSheetId="14">#REF!</definedName>
    <definedName name="Current_Liabilities_Provisions_Q" localSheetId="12">#REF!</definedName>
    <definedName name="Current_Liabilities_Provisions_Q" localSheetId="24">#REF!</definedName>
    <definedName name="Current_Liabilities_Provisions_Q" localSheetId="7">#REF!</definedName>
    <definedName name="Current_Liabilities_Provisions_Q" localSheetId="20">#REF!</definedName>
    <definedName name="Current_Liabilities_Provisions_Q" localSheetId="21">#REF!</definedName>
    <definedName name="Current_Liabilities_Provisions_Q" localSheetId="11">#REF!</definedName>
    <definedName name="Current_Liabilities_Provisions_Q" localSheetId="17">#REF!</definedName>
    <definedName name="Current_Liabilities_Provisions_Q" localSheetId="16">#REF!</definedName>
    <definedName name="Current_Liabilities_Provisions_Q" localSheetId="22">#REF!</definedName>
    <definedName name="Current_Liabilities_Provisions_Q" localSheetId="9">#REF!</definedName>
    <definedName name="Current_Liabilities_Provisions_Q" localSheetId="13">#REF!</definedName>
    <definedName name="Current_Liabilities_Provisions_Q" localSheetId="23">#REF!</definedName>
    <definedName name="Current_Liabilities_Provisions_Q">#REF!</definedName>
    <definedName name="Current_liabilities_total">#REF!</definedName>
    <definedName name="Current_liabilities6">#REF!</definedName>
    <definedName name="current_market_Cap" localSheetId="4">#REF!</definedName>
    <definedName name="current_market_Cap" localSheetId="5">#REF!</definedName>
    <definedName name="current_market_Cap" localSheetId="15">#REF!</definedName>
    <definedName name="current_market_Cap" localSheetId="19">#REF!</definedName>
    <definedName name="current_market_Cap" localSheetId="18">#REF!</definedName>
    <definedName name="current_market_Cap" localSheetId="14">#REF!</definedName>
    <definedName name="current_market_Cap" localSheetId="12">#REF!</definedName>
    <definedName name="current_market_Cap" localSheetId="24">#REF!</definedName>
    <definedName name="current_market_Cap" localSheetId="7">#REF!</definedName>
    <definedName name="current_market_Cap" localSheetId="20">#REF!</definedName>
    <definedName name="current_market_Cap" localSheetId="21">#REF!</definedName>
    <definedName name="current_market_Cap" localSheetId="11">#REF!</definedName>
    <definedName name="current_market_Cap" localSheetId="17">#REF!</definedName>
    <definedName name="current_market_Cap" localSheetId="16">#REF!</definedName>
    <definedName name="current_market_Cap" localSheetId="22">#REF!</definedName>
    <definedName name="current_market_Cap" localSheetId="9">#REF!</definedName>
    <definedName name="current_market_Cap" localSheetId="13">#REF!</definedName>
    <definedName name="current_market_Cap" localSheetId="23">#REF!</definedName>
    <definedName name="current_market_Cap">#REF!</definedName>
    <definedName name="Current_market_price_Rs">#REF!</definedName>
    <definedName name="Current_no_of_shares" localSheetId="4">#REF!</definedName>
    <definedName name="Current_no_of_shares" localSheetId="5">#REF!</definedName>
    <definedName name="Current_no_of_shares" localSheetId="15">#REF!</definedName>
    <definedName name="Current_no_of_shares" localSheetId="19">#REF!</definedName>
    <definedName name="Current_no_of_shares" localSheetId="18">#REF!</definedName>
    <definedName name="Current_no_of_shares" localSheetId="14">#REF!</definedName>
    <definedName name="Current_no_of_shares" localSheetId="12">#REF!</definedName>
    <definedName name="Current_no_of_shares" localSheetId="24">#REF!</definedName>
    <definedName name="Current_no_of_shares" localSheetId="7">#REF!</definedName>
    <definedName name="Current_no_of_shares" localSheetId="20">#REF!</definedName>
    <definedName name="Current_no_of_shares" localSheetId="21">#REF!</definedName>
    <definedName name="Current_no_of_shares" localSheetId="11">#REF!</definedName>
    <definedName name="Current_no_of_shares" localSheetId="17">#REF!</definedName>
    <definedName name="Current_no_of_shares" localSheetId="16">#REF!</definedName>
    <definedName name="Current_no_of_shares" localSheetId="22">#REF!</definedName>
    <definedName name="Current_no_of_shares" localSheetId="9">#REF!</definedName>
    <definedName name="Current_no_of_shares" localSheetId="13">#REF!</definedName>
    <definedName name="Current_no_of_shares" localSheetId="23">#REF!</definedName>
    <definedName name="Current_no_of_shares">#REF!</definedName>
    <definedName name="current_price" localSheetId="4">#REF!</definedName>
    <definedName name="current_price" localSheetId="5">#REF!</definedName>
    <definedName name="current_price" localSheetId="15">#REF!</definedName>
    <definedName name="current_price" localSheetId="19">#REF!</definedName>
    <definedName name="current_price" localSheetId="18">#REF!</definedName>
    <definedName name="current_price" localSheetId="14">#REF!</definedName>
    <definedName name="current_price" localSheetId="12">#REF!</definedName>
    <definedName name="current_price" localSheetId="24">#REF!</definedName>
    <definedName name="current_price" localSheetId="7">#REF!</definedName>
    <definedName name="current_price" localSheetId="20">#REF!</definedName>
    <definedName name="current_price" localSheetId="21">#REF!</definedName>
    <definedName name="current_price" localSheetId="11">#REF!</definedName>
    <definedName name="current_price" localSheetId="17">#REF!</definedName>
    <definedName name="current_price" localSheetId="16">#REF!</definedName>
    <definedName name="current_price" localSheetId="22">#REF!</definedName>
    <definedName name="current_price" localSheetId="9">#REF!</definedName>
    <definedName name="current_price" localSheetId="13">#REF!</definedName>
    <definedName name="current_price" localSheetId="23">#REF!</definedName>
    <definedName name="current_price">#REF!</definedName>
    <definedName name="current_ratio" localSheetId="4">#REF!</definedName>
    <definedName name="current_ratio" localSheetId="5">#REF!</definedName>
    <definedName name="current_ratio" localSheetId="15">#REF!</definedName>
    <definedName name="current_ratio" localSheetId="19">#REF!</definedName>
    <definedName name="current_ratio" localSheetId="18">#REF!</definedName>
    <definedName name="current_ratio" localSheetId="14">#REF!</definedName>
    <definedName name="current_ratio" localSheetId="12">#REF!</definedName>
    <definedName name="current_ratio" localSheetId="24">#REF!</definedName>
    <definedName name="current_ratio" localSheetId="7">#REF!</definedName>
    <definedName name="current_ratio" localSheetId="20">#REF!</definedName>
    <definedName name="current_ratio" localSheetId="21">#REF!</definedName>
    <definedName name="current_ratio" localSheetId="11">#REF!</definedName>
    <definedName name="current_ratio" localSheetId="17">#REF!</definedName>
    <definedName name="current_ratio" localSheetId="16">#REF!</definedName>
    <definedName name="current_ratio" localSheetId="22">#REF!</definedName>
    <definedName name="current_ratio" localSheetId="9">#REF!</definedName>
    <definedName name="current_ratio" localSheetId="13">#REF!</definedName>
    <definedName name="current_ratio" localSheetId="23">#REF!</definedName>
    <definedName name="current_ratio">#REF!</definedName>
    <definedName name="current_tax_A">#REF!</definedName>
    <definedName name="current_tax_Q">#REF!</definedName>
    <definedName name="CurrentAssets" localSheetId="4">#REF!</definedName>
    <definedName name="CurrentAssets" localSheetId="9">#REF!</definedName>
    <definedName name="CurrentAssets">#REF!</definedName>
    <definedName name="CurrentLiab" localSheetId="4">#REF!</definedName>
    <definedName name="CurrentLiab" localSheetId="5">#REF!</definedName>
    <definedName name="CurrentLiab" localSheetId="15">#REF!</definedName>
    <definedName name="CurrentLiab" localSheetId="19">#REF!</definedName>
    <definedName name="CurrentLiab" localSheetId="18">#REF!</definedName>
    <definedName name="CurrentLiab" localSheetId="14">#REF!</definedName>
    <definedName name="CurrentLiab" localSheetId="12">#REF!</definedName>
    <definedName name="CurrentLiab" localSheetId="24">#REF!</definedName>
    <definedName name="CurrentLiab" localSheetId="7">#REF!</definedName>
    <definedName name="CurrentLiab" localSheetId="20">#REF!</definedName>
    <definedName name="CurrentLiab" localSheetId="21">#REF!</definedName>
    <definedName name="CurrentLiab" localSheetId="11">#REF!</definedName>
    <definedName name="CurrentLiab" localSheetId="17">#REF!</definedName>
    <definedName name="CurrentLiab" localSheetId="16">#REF!</definedName>
    <definedName name="CurrentLiab" localSheetId="22">#REF!</definedName>
    <definedName name="CurrentLiab" localSheetId="9">#REF!</definedName>
    <definedName name="CurrentLiab" localSheetId="13">#REF!</definedName>
    <definedName name="CurrentLiab" localSheetId="23">#REF!</definedName>
    <definedName name="CurrentLiab">#REF!</definedName>
    <definedName name="CurrentLiabilities" localSheetId="4">#REF!</definedName>
    <definedName name="CurrentLiabilities" localSheetId="9">#REF!</definedName>
    <definedName name="CurrentLiabilities">#REF!</definedName>
    <definedName name="CurrentPortion" localSheetId="4">#REF!</definedName>
    <definedName name="CurrentPortion" localSheetId="5">#REF!</definedName>
    <definedName name="CurrentPortion" localSheetId="15">#REF!</definedName>
    <definedName name="CurrentPortion" localSheetId="19">#REF!</definedName>
    <definedName name="CurrentPortion" localSheetId="18">#REF!</definedName>
    <definedName name="CurrentPortion" localSheetId="14">#REF!</definedName>
    <definedName name="CurrentPortion" localSheetId="12">#REF!</definedName>
    <definedName name="CurrentPortion" localSheetId="24">#REF!</definedName>
    <definedName name="CurrentPortion" localSheetId="7">#REF!</definedName>
    <definedName name="CurrentPortion" localSheetId="20">#REF!</definedName>
    <definedName name="CurrentPortion" localSheetId="21">#REF!</definedName>
    <definedName name="CurrentPortion" localSheetId="11">#REF!</definedName>
    <definedName name="CurrentPortion" localSheetId="17">#REF!</definedName>
    <definedName name="CurrentPortion" localSheetId="16">#REF!</definedName>
    <definedName name="CurrentPortion" localSheetId="22">#REF!</definedName>
    <definedName name="CurrentPortion" localSheetId="9">#REF!</definedName>
    <definedName name="CurrentPortion" localSheetId="13">#REF!</definedName>
    <definedName name="CurrentPortion" localSheetId="23">#REF!</definedName>
    <definedName name="CurrentPortion">#REF!</definedName>
    <definedName name="CurrentRatio" localSheetId="4">#REF!</definedName>
    <definedName name="CurrentRatio" localSheetId="5">#REF!</definedName>
    <definedName name="CurrentRatio" localSheetId="15">#REF!</definedName>
    <definedName name="CurrentRatio" localSheetId="19">#REF!</definedName>
    <definedName name="CurrentRatio" localSheetId="18">#REF!</definedName>
    <definedName name="CurrentRatio" localSheetId="14">#REF!</definedName>
    <definedName name="CurrentRatio" localSheetId="12">#REF!</definedName>
    <definedName name="CurrentRatio" localSheetId="24">#REF!</definedName>
    <definedName name="CurrentRatio" localSheetId="7">#REF!</definedName>
    <definedName name="CurrentRatio" localSheetId="20">#REF!</definedName>
    <definedName name="CurrentRatio" localSheetId="21">#REF!</definedName>
    <definedName name="CurrentRatio" localSheetId="11">#REF!</definedName>
    <definedName name="CurrentRatio" localSheetId="17">#REF!</definedName>
    <definedName name="CurrentRatio" localSheetId="16">#REF!</definedName>
    <definedName name="CurrentRatio" localSheetId="22">#REF!</definedName>
    <definedName name="CurrentRatio" localSheetId="9">#REF!</definedName>
    <definedName name="CurrentRatio" localSheetId="13">#REF!</definedName>
    <definedName name="CurrentRatio" localSheetId="23">#REF!</definedName>
    <definedName name="CurrentRatio">#REF!</definedName>
    <definedName name="Customer_deposits" localSheetId="4">#REF!</definedName>
    <definedName name="Customer_deposits" localSheetId="9">#REF!</definedName>
    <definedName name="Customer_deposits">#REF!</definedName>
    <definedName name="customer_deposits_avg">#REF!</definedName>
    <definedName name="Customer_deposits_growth_fore" localSheetId="4">#REF!</definedName>
    <definedName name="Customer_deposits_growth_fore" localSheetId="5">#REF!</definedName>
    <definedName name="Customer_deposits_growth_fore" localSheetId="15">#REF!</definedName>
    <definedName name="Customer_deposits_growth_fore" localSheetId="19">#REF!</definedName>
    <definedName name="Customer_deposits_growth_fore" localSheetId="18">#REF!</definedName>
    <definedName name="Customer_deposits_growth_fore" localSheetId="14">#REF!</definedName>
    <definedName name="Customer_deposits_growth_fore" localSheetId="12">#REF!</definedName>
    <definedName name="Customer_deposits_growth_fore" localSheetId="24">#REF!</definedName>
    <definedName name="Customer_deposits_growth_fore" localSheetId="7">#REF!</definedName>
    <definedName name="Customer_deposits_growth_fore" localSheetId="20">#REF!</definedName>
    <definedName name="Customer_deposits_growth_fore" localSheetId="21">#REF!</definedName>
    <definedName name="Customer_deposits_growth_fore" localSheetId="11">#REF!</definedName>
    <definedName name="Customer_deposits_growth_fore" localSheetId="17">#REF!</definedName>
    <definedName name="Customer_deposits_growth_fore" localSheetId="16">#REF!</definedName>
    <definedName name="Customer_deposits_growth_fore" localSheetId="22">#REF!</definedName>
    <definedName name="Customer_deposits_growth_fore" localSheetId="9">#REF!</definedName>
    <definedName name="Customer_deposits_growth_fore" localSheetId="13">#REF!</definedName>
    <definedName name="Customer_deposits_growth_fore" localSheetId="23">#REF!</definedName>
    <definedName name="Customer_deposits_growth_fore">#REF!</definedName>
    <definedName name="CV" hidden="1">#NAME?</definedName>
    <definedName name="CV_BM00" localSheetId="4">#REF!</definedName>
    <definedName name="CV_BM00" localSheetId="5">#REF!</definedName>
    <definedName name="CV_BM00" localSheetId="15">#REF!</definedName>
    <definedName name="CV_BM00" localSheetId="19">#REF!</definedName>
    <definedName name="CV_BM00" localSheetId="18">#REF!</definedName>
    <definedName name="CV_BM00" localSheetId="14">#REF!</definedName>
    <definedName name="CV_BM00" localSheetId="12">#REF!</definedName>
    <definedName name="CV_BM00" localSheetId="24">#REF!</definedName>
    <definedName name="CV_BM00" localSheetId="7">#REF!</definedName>
    <definedName name="CV_BM00" localSheetId="20">#REF!</definedName>
    <definedName name="CV_BM00" localSheetId="21">#REF!</definedName>
    <definedName name="CV_BM00" localSheetId="11">#REF!</definedName>
    <definedName name="CV_BM00" localSheetId="17">#REF!</definedName>
    <definedName name="CV_BM00" localSheetId="16">#REF!</definedName>
    <definedName name="CV_BM00" localSheetId="22">#REF!</definedName>
    <definedName name="CV_BM00" localSheetId="9">#REF!</definedName>
    <definedName name="CV_BM00" localSheetId="13">#REF!</definedName>
    <definedName name="CV_BM00" localSheetId="23">#REF!</definedName>
    <definedName name="CV_BM00">#REF!</definedName>
    <definedName name="CV_BM01" localSheetId="4">#REF!</definedName>
    <definedName name="CV_BM01" localSheetId="5">#REF!</definedName>
    <definedName name="CV_BM01" localSheetId="15">#REF!</definedName>
    <definedName name="CV_BM01" localSheetId="19">#REF!</definedName>
    <definedName name="CV_BM01" localSheetId="18">#REF!</definedName>
    <definedName name="CV_BM01" localSheetId="14">#REF!</definedName>
    <definedName name="CV_BM01" localSheetId="12">#REF!</definedName>
    <definedName name="CV_BM01" localSheetId="24">#REF!</definedName>
    <definedName name="CV_BM01" localSheetId="7">#REF!</definedName>
    <definedName name="CV_BM01" localSheetId="20">#REF!</definedName>
    <definedName name="CV_BM01" localSheetId="21">#REF!</definedName>
    <definedName name="CV_BM01" localSheetId="11">#REF!</definedName>
    <definedName name="CV_BM01" localSheetId="17">#REF!</definedName>
    <definedName name="CV_BM01" localSheetId="16">#REF!</definedName>
    <definedName name="CV_BM01" localSheetId="22">#REF!</definedName>
    <definedName name="CV_BM01" localSheetId="9">#REF!</definedName>
    <definedName name="CV_BM01" localSheetId="13">#REF!</definedName>
    <definedName name="CV_BM01" localSheetId="23">#REF!</definedName>
    <definedName name="CV_BM01">#REF!</definedName>
    <definedName name="CV_BM011" localSheetId="4">#REF!</definedName>
    <definedName name="CV_BM011" localSheetId="9">#REF!</definedName>
    <definedName name="CV_BM011">#REF!</definedName>
    <definedName name="CV_BM0110" localSheetId="4">#REF!</definedName>
    <definedName name="CV_BM0110" localSheetId="9">#REF!</definedName>
    <definedName name="CV_BM0110">#REF!</definedName>
    <definedName name="CV_BM0111" localSheetId="4">#REF!</definedName>
    <definedName name="CV_BM0111" localSheetId="9">#REF!</definedName>
    <definedName name="CV_BM0111">#REF!</definedName>
    <definedName name="CV_BM0112" localSheetId="4">#REF!</definedName>
    <definedName name="CV_BM0112" localSheetId="9">#REF!</definedName>
    <definedName name="CV_BM0112">#REF!</definedName>
    <definedName name="CV_BM0113" localSheetId="4">#REF!</definedName>
    <definedName name="CV_BM0113" localSheetId="9">#REF!</definedName>
    <definedName name="CV_BM0113">#REF!</definedName>
    <definedName name="CV_BM0114" localSheetId="4">#REF!</definedName>
    <definedName name="CV_BM0114" localSheetId="9">#REF!</definedName>
    <definedName name="CV_BM0114">#REF!</definedName>
    <definedName name="CV_BM0115" localSheetId="4">#REF!</definedName>
    <definedName name="CV_BM0115" localSheetId="9">#REF!</definedName>
    <definedName name="CV_BM0115">#REF!</definedName>
    <definedName name="CV_BM0116" localSheetId="4">#REF!</definedName>
    <definedName name="CV_BM0116" localSheetId="9">#REF!</definedName>
    <definedName name="CV_BM0116">#REF!</definedName>
    <definedName name="CV_BM012" localSheetId="4">#REF!</definedName>
    <definedName name="CV_BM012" localSheetId="9">#REF!</definedName>
    <definedName name="CV_BM012">#REF!</definedName>
    <definedName name="CV_BM013" localSheetId="4">#REF!</definedName>
    <definedName name="CV_BM013" localSheetId="9">#REF!</definedName>
    <definedName name="CV_BM013">#REF!</definedName>
    <definedName name="CV_BM014" localSheetId="4">#REF!</definedName>
    <definedName name="CV_BM014" localSheetId="9">#REF!</definedName>
    <definedName name="CV_BM014">#REF!</definedName>
    <definedName name="CV_BM015" localSheetId="4">#REF!</definedName>
    <definedName name="CV_BM015" localSheetId="9">#REF!</definedName>
    <definedName name="CV_BM015">#REF!</definedName>
    <definedName name="CV_BM016" localSheetId="4">#REF!</definedName>
    <definedName name="CV_BM016" localSheetId="9">#REF!</definedName>
    <definedName name="CV_BM016">#REF!</definedName>
    <definedName name="CV_BM017" localSheetId="4">#REF!</definedName>
    <definedName name="CV_BM017" localSheetId="9">#REF!</definedName>
    <definedName name="CV_BM017">#REF!</definedName>
    <definedName name="CV_BM018" localSheetId="4">#REF!</definedName>
    <definedName name="CV_BM018" localSheetId="9">#REF!</definedName>
    <definedName name="CV_BM018">#REF!</definedName>
    <definedName name="CV_BM019" localSheetId="4">#REF!</definedName>
    <definedName name="CV_BM019" localSheetId="9">#REF!</definedName>
    <definedName name="CV_BM019">#REF!</definedName>
    <definedName name="CV_BM02" localSheetId="4">#REF!</definedName>
    <definedName name="CV_BM02" localSheetId="9">#REF!</definedName>
    <definedName name="CV_BM02">#REF!</definedName>
    <definedName name="CV_BM03" localSheetId="4">#REF!</definedName>
    <definedName name="CV_BM03" localSheetId="9">#REF!</definedName>
    <definedName name="CV_BM03">#REF!</definedName>
    <definedName name="CV_BM04" localSheetId="4">#REF!</definedName>
    <definedName name="CV_BM04" localSheetId="9">#REF!</definedName>
    <definedName name="CV_BM04">#REF!</definedName>
    <definedName name="CV_BM05" localSheetId="4">#REF!</definedName>
    <definedName name="CV_BM05" localSheetId="9">#REF!</definedName>
    <definedName name="CV_BM05">#REF!</definedName>
    <definedName name="CV_BM06" localSheetId="4">#REF!</definedName>
    <definedName name="CV_BM06" localSheetId="9">#REF!</definedName>
    <definedName name="CV_BM06">#REF!</definedName>
    <definedName name="CV_BM07" localSheetId="4">#REF!</definedName>
    <definedName name="CV_BM07" localSheetId="9">#REF!</definedName>
    <definedName name="CV_BM07">#REF!</definedName>
    <definedName name="CV_BM08" localSheetId="4">#REF!</definedName>
    <definedName name="CV_BM08" localSheetId="9">#REF!</definedName>
    <definedName name="CV_BM08">#REF!</definedName>
    <definedName name="CV_BM09" localSheetId="4">#REF!</definedName>
    <definedName name="CV_BM09" localSheetId="9">#REF!</definedName>
    <definedName name="CV_BM09">#REF!</definedName>
    <definedName name="CV_BM101_N1" localSheetId="4">#REF!</definedName>
    <definedName name="CV_BM101_N1" localSheetId="9">#REF!</definedName>
    <definedName name="CV_BM101_N1">#REF!</definedName>
    <definedName name="CV_BM102_N1" localSheetId="4">#REF!</definedName>
    <definedName name="CV_BM102_N1" localSheetId="9">#REF!</definedName>
    <definedName name="CV_BM102_N1">#REF!</definedName>
    <definedName name="CV_BM103_N1" localSheetId="4">#REF!</definedName>
    <definedName name="CV_BM103_N1" localSheetId="9">#REF!</definedName>
    <definedName name="CV_BM103_N1">#REF!</definedName>
    <definedName name="CV_BM11" localSheetId="4">#REF!</definedName>
    <definedName name="CV_BM11" localSheetId="9">#REF!</definedName>
    <definedName name="CV_BM11">#REF!</definedName>
    <definedName name="CV_BM111_N1" localSheetId="4">#REF!</definedName>
    <definedName name="CV_BM111_N1" localSheetId="9">#REF!</definedName>
    <definedName name="CV_BM111_N1">#REF!</definedName>
    <definedName name="CV_BM112_N1" localSheetId="4">#REF!</definedName>
    <definedName name="CV_BM112_N1" localSheetId="9">#REF!</definedName>
    <definedName name="CV_BM112_N1">#REF!</definedName>
    <definedName name="CV_BM113_N1" localSheetId="4">#REF!</definedName>
    <definedName name="CV_BM113_N1" localSheetId="9">#REF!</definedName>
    <definedName name="CV_BM113_N1">#REF!</definedName>
    <definedName name="CV_BM12" localSheetId="4">#REF!</definedName>
    <definedName name="CV_BM12" localSheetId="9">#REF!</definedName>
    <definedName name="CV_BM12">#REF!</definedName>
    <definedName name="CV_BM121_N1" localSheetId="4">#REF!</definedName>
    <definedName name="CV_BM121_N1" localSheetId="9">#REF!</definedName>
    <definedName name="CV_BM121_N1">#REF!</definedName>
    <definedName name="CV_BM122_N1" localSheetId="4">#REF!</definedName>
    <definedName name="CV_BM122_N1" localSheetId="9">#REF!</definedName>
    <definedName name="CV_BM122_N1">#REF!</definedName>
    <definedName name="CV_BM123_N1" localSheetId="4">#REF!</definedName>
    <definedName name="CV_BM123_N1" localSheetId="9">#REF!</definedName>
    <definedName name="CV_BM123_N1">#REF!</definedName>
    <definedName name="CV_BM13" localSheetId="4">#REF!</definedName>
    <definedName name="CV_BM13" localSheetId="9">#REF!</definedName>
    <definedName name="CV_BM13">#REF!</definedName>
    <definedName name="CV_BM131_N1" localSheetId="4">#REF!</definedName>
    <definedName name="CV_BM131_N1" localSheetId="9">#REF!</definedName>
    <definedName name="CV_BM131_N1">#REF!</definedName>
    <definedName name="CV_BM132_N1" localSheetId="4">#REF!</definedName>
    <definedName name="CV_BM132_N1" localSheetId="9">#REF!</definedName>
    <definedName name="CV_BM132_N1">#REF!</definedName>
    <definedName name="CV_BM133_N1" localSheetId="4">#REF!</definedName>
    <definedName name="CV_BM133_N1" localSheetId="9">#REF!</definedName>
    <definedName name="CV_BM133_N1">#REF!</definedName>
    <definedName name="CV_BM141_N1" localSheetId="4">#REF!</definedName>
    <definedName name="CV_BM141_N1" localSheetId="9">#REF!</definedName>
    <definedName name="CV_BM141_N1">#REF!</definedName>
    <definedName name="CV_BM142_N1" localSheetId="4">#REF!</definedName>
    <definedName name="CV_BM142_N1" localSheetId="9">#REF!</definedName>
    <definedName name="CV_BM142_N1">#REF!</definedName>
    <definedName name="CV_BM143_N1" localSheetId="4">#REF!</definedName>
    <definedName name="CV_BM143_N1" localSheetId="9">#REF!</definedName>
    <definedName name="CV_BM143_N1">#REF!</definedName>
    <definedName name="CV_BM151_P0" localSheetId="4">#REF!</definedName>
    <definedName name="CV_BM151_P0" localSheetId="9">#REF!</definedName>
    <definedName name="CV_BM151_P0">#REF!</definedName>
    <definedName name="CV_BM152_P0" localSheetId="4">#REF!</definedName>
    <definedName name="CV_BM152_P0" localSheetId="9">#REF!</definedName>
    <definedName name="CV_BM152_P0">#REF!</definedName>
    <definedName name="CV_BM153_P0" localSheetId="4">#REF!</definedName>
    <definedName name="CV_BM153_P0" localSheetId="9">#REF!</definedName>
    <definedName name="CV_BM153_P0">#REF!</definedName>
    <definedName name="CV_BM161_P0" localSheetId="4">#REF!</definedName>
    <definedName name="CV_BM161_P0" localSheetId="9">#REF!</definedName>
    <definedName name="CV_BM161_P0">#REF!</definedName>
    <definedName name="CV_BM162_P0" localSheetId="4">#REF!</definedName>
    <definedName name="CV_BM162_P0" localSheetId="9">#REF!</definedName>
    <definedName name="CV_BM162_P0">#REF!</definedName>
    <definedName name="CV_BM163_P0" localSheetId="4">#REF!</definedName>
    <definedName name="CV_BM163_P0" localSheetId="9">#REF!</definedName>
    <definedName name="CV_BM163_P0">#REF!</definedName>
    <definedName name="CV_BM171_P0" localSheetId="4">#REF!</definedName>
    <definedName name="CV_BM171_P0" localSheetId="9">#REF!</definedName>
    <definedName name="CV_BM171_P0">#REF!</definedName>
    <definedName name="CV_BM172_P0" localSheetId="4">#REF!</definedName>
    <definedName name="CV_BM172_P0" localSheetId="9">#REF!</definedName>
    <definedName name="CV_BM172_P0">#REF!</definedName>
    <definedName name="CV_BM173_P0" localSheetId="4">#REF!</definedName>
    <definedName name="CV_BM173_P0" localSheetId="9">#REF!</definedName>
    <definedName name="CV_BM173_P0">#REF!</definedName>
    <definedName name="CV_BM181_P1" localSheetId="4">#REF!</definedName>
    <definedName name="CV_BM181_P1" localSheetId="9">#REF!</definedName>
    <definedName name="CV_BM181_P1">#REF!</definedName>
    <definedName name="CV_BM182_P1" localSheetId="4">#REF!</definedName>
    <definedName name="CV_BM182_P1" localSheetId="9">#REF!</definedName>
    <definedName name="CV_BM182_P1">#REF!</definedName>
    <definedName name="CV_BM183_P1" localSheetId="4">#REF!</definedName>
    <definedName name="CV_BM183_P1" localSheetId="9">#REF!</definedName>
    <definedName name="CV_BM183_P1">#REF!</definedName>
    <definedName name="CV_BM191_P1" localSheetId="4">#REF!</definedName>
    <definedName name="CV_BM191_P1" localSheetId="9">#REF!</definedName>
    <definedName name="CV_BM191_P1">#REF!</definedName>
    <definedName name="CV_BM192_P1" localSheetId="4">#REF!</definedName>
    <definedName name="CV_BM192_P1" localSheetId="9">#REF!</definedName>
    <definedName name="CV_BM192_P1">#REF!</definedName>
    <definedName name="CV_BM193_P1" localSheetId="4">#REF!</definedName>
    <definedName name="CV_BM193_P1" localSheetId="9">#REF!</definedName>
    <definedName name="CV_BM193_P1">#REF!</definedName>
    <definedName name="CV_BM21" localSheetId="4">#REF!</definedName>
    <definedName name="CV_BM21" localSheetId="9">#REF!</definedName>
    <definedName name="CV_BM21">#REF!</definedName>
    <definedName name="CV_BM22" localSheetId="4">#REF!</definedName>
    <definedName name="CV_BM22" localSheetId="9">#REF!</definedName>
    <definedName name="CV_BM22">#REF!</definedName>
    <definedName name="CV_BM23" localSheetId="4">#REF!</definedName>
    <definedName name="CV_BM23" localSheetId="9">#REF!</definedName>
    <definedName name="CV_BM23">#REF!</definedName>
    <definedName name="CV_BM31_N0" localSheetId="4">#REF!</definedName>
    <definedName name="CV_BM31_N0" localSheetId="9">#REF!</definedName>
    <definedName name="CV_BM31_N0">#REF!</definedName>
    <definedName name="CV_BM32_N0" localSheetId="4">#REF!</definedName>
    <definedName name="CV_BM32_N0" localSheetId="9">#REF!</definedName>
    <definedName name="CV_BM32_N0">#REF!</definedName>
    <definedName name="CV_BM33_N0" localSheetId="4">#REF!</definedName>
    <definedName name="CV_BM33_N0" localSheetId="9">#REF!</definedName>
    <definedName name="CV_BM33_N0">#REF!</definedName>
    <definedName name="CV_BM41_N0" localSheetId="4">#REF!</definedName>
    <definedName name="CV_BM41_N0" localSheetId="9">#REF!</definedName>
    <definedName name="CV_BM41_N0">#REF!</definedName>
    <definedName name="CV_BM42_N0" localSheetId="4">#REF!</definedName>
    <definedName name="CV_BM42_N0" localSheetId="9">#REF!</definedName>
    <definedName name="CV_BM42_N0">#REF!</definedName>
    <definedName name="CV_BM43_N0" localSheetId="4">#REF!</definedName>
    <definedName name="CV_BM43_N0" localSheetId="9">#REF!</definedName>
    <definedName name="CV_BM43_N0">#REF!</definedName>
    <definedName name="CV_BM51_N0" localSheetId="4">#REF!</definedName>
    <definedName name="CV_BM51_N0" localSheetId="9">#REF!</definedName>
    <definedName name="CV_BM51_N0">#REF!</definedName>
    <definedName name="CV_BM52_N0" localSheetId="4">#REF!</definedName>
    <definedName name="CV_BM52_N0" localSheetId="9">#REF!</definedName>
    <definedName name="CV_BM52_N0">#REF!</definedName>
    <definedName name="CV_BM53_N0" localSheetId="4">#REF!</definedName>
    <definedName name="CV_BM53_N0" localSheetId="9">#REF!</definedName>
    <definedName name="CV_BM53_N0">#REF!</definedName>
    <definedName name="CV_BM61" localSheetId="4">#REF!</definedName>
    <definedName name="CV_BM61" localSheetId="9">#REF!</definedName>
    <definedName name="CV_BM61">#REF!</definedName>
    <definedName name="CV_BM62" localSheetId="4">#REF!</definedName>
    <definedName name="CV_BM62" localSheetId="9">#REF!</definedName>
    <definedName name="CV_BM62">#REF!</definedName>
    <definedName name="CV_BM63" localSheetId="4">#REF!</definedName>
    <definedName name="CV_BM63" localSheetId="9">#REF!</definedName>
    <definedName name="CV_BM63">#REF!</definedName>
    <definedName name="CV_BM71_N1" localSheetId="4">#REF!</definedName>
    <definedName name="CV_BM71_N1" localSheetId="9">#REF!</definedName>
    <definedName name="CV_BM71_N1">#REF!</definedName>
    <definedName name="CV_BM72_N1" localSheetId="4">#REF!</definedName>
    <definedName name="CV_BM72_N1" localSheetId="9">#REF!</definedName>
    <definedName name="CV_BM72_N1">#REF!</definedName>
    <definedName name="CV_BM73_N1" localSheetId="4">#REF!</definedName>
    <definedName name="CV_BM73_N1" localSheetId="9">#REF!</definedName>
    <definedName name="CV_BM73_N1">#REF!</definedName>
    <definedName name="CV_BM81_N1" localSheetId="4">#REF!</definedName>
    <definedName name="CV_BM81_N1" localSheetId="9">#REF!</definedName>
    <definedName name="CV_BM81_N1">#REF!</definedName>
    <definedName name="CV_BM82_N1" localSheetId="4">#REF!</definedName>
    <definedName name="CV_BM82_N1" localSheetId="9">#REF!</definedName>
    <definedName name="CV_BM82_N1">#REF!</definedName>
    <definedName name="CV_BM83_N1" localSheetId="4">#REF!</definedName>
    <definedName name="CV_BM83_N1" localSheetId="9">#REF!</definedName>
    <definedName name="CV_BM83_N1">#REF!</definedName>
    <definedName name="CV_BM91_N1" localSheetId="4">#REF!</definedName>
    <definedName name="CV_BM91_N1" localSheetId="9">#REF!</definedName>
    <definedName name="CV_BM91_N1">#REF!</definedName>
    <definedName name="CV_BM92_N1" localSheetId="4">#REF!</definedName>
    <definedName name="CV_BM92_N1" localSheetId="9">#REF!</definedName>
    <definedName name="CV_BM92_N1">#REF!</definedName>
    <definedName name="CV_BM93_N1" localSheetId="4">#REF!</definedName>
    <definedName name="CV_BM93_N1" localSheetId="9">#REF!</definedName>
    <definedName name="CV_BM93_N1">#REF!</definedName>
    <definedName name="CWIP">#REF!</definedName>
    <definedName name="CWIPChg">#REF!</definedName>
    <definedName name="cwo" localSheetId="4">#REF!</definedName>
    <definedName name="cwo" localSheetId="5">#REF!</definedName>
    <definedName name="cwo" localSheetId="15">#REF!</definedName>
    <definedName name="cwo" localSheetId="19">#REF!</definedName>
    <definedName name="cwo" localSheetId="18">#REF!</definedName>
    <definedName name="cwo" localSheetId="14">#REF!</definedName>
    <definedName name="cwo" localSheetId="12">#REF!</definedName>
    <definedName name="cwo" localSheetId="24">#REF!</definedName>
    <definedName name="cwo" localSheetId="7">#REF!</definedName>
    <definedName name="cwo" localSheetId="20">#REF!</definedName>
    <definedName name="cwo" localSheetId="21">#REF!</definedName>
    <definedName name="cwo" localSheetId="11">#REF!</definedName>
    <definedName name="cwo" localSheetId="17">#REF!</definedName>
    <definedName name="cwo" localSheetId="16">#REF!</definedName>
    <definedName name="cwo" localSheetId="22">#REF!</definedName>
    <definedName name="cwo" localSheetId="9">#REF!</definedName>
    <definedName name="cwo" localSheetId="13">#REF!</definedName>
    <definedName name="cwo" localSheetId="23">#REF!</definedName>
    <definedName name="cwo">#REF!</definedName>
    <definedName name="cwt" localSheetId="4">#REF!</definedName>
    <definedName name="cwt" localSheetId="5">#REF!</definedName>
    <definedName name="cwt" localSheetId="15">#REF!</definedName>
    <definedName name="cwt" localSheetId="19">#REF!</definedName>
    <definedName name="cwt" localSheetId="18">#REF!</definedName>
    <definedName name="cwt" localSheetId="14">#REF!</definedName>
    <definedName name="cwt" localSheetId="12">#REF!</definedName>
    <definedName name="cwt" localSheetId="24">#REF!</definedName>
    <definedName name="cwt" localSheetId="7">#REF!</definedName>
    <definedName name="cwt" localSheetId="20">#REF!</definedName>
    <definedName name="cwt" localSheetId="21">#REF!</definedName>
    <definedName name="cwt" localSheetId="11">#REF!</definedName>
    <definedName name="cwt" localSheetId="17">#REF!</definedName>
    <definedName name="cwt" localSheetId="16">#REF!</definedName>
    <definedName name="cwt" localSheetId="22">#REF!</definedName>
    <definedName name="cwt" localSheetId="9">#REF!</definedName>
    <definedName name="cwt" localSheetId="13">#REF!</definedName>
    <definedName name="cwt" localSheetId="23">#REF!</definedName>
    <definedName name="cwt">#REF!</definedName>
    <definedName name="d" localSheetId="4" hidden="1">{#N/A,#N/A,FALSE,"Status of Projects";#N/A,#N/A,FALSE,"CEA-TEC";#N/A,#N/A,FALSE,"U-Constr.";#N/A,#N/A,FALSE,"summary";#N/A,#N/A,FALSE,"PPP-3 yrs"}</definedName>
    <definedName name="D" localSheetId="5">#REF!</definedName>
    <definedName name="D" localSheetId="15">#REF!</definedName>
    <definedName name="D" localSheetId="19">#REF!</definedName>
    <definedName name="D" localSheetId="18">#REF!</definedName>
    <definedName name="D" localSheetId="14">#REF!</definedName>
    <definedName name="D" localSheetId="12">#REF!</definedName>
    <definedName name="D" localSheetId="24">#REF!</definedName>
    <definedName name="D" localSheetId="7">#REF!</definedName>
    <definedName name="D" localSheetId="20">#REF!</definedName>
    <definedName name="D" localSheetId="21">#REF!</definedName>
    <definedName name="D" localSheetId="11">#REF!</definedName>
    <definedName name="D" localSheetId="17">#REF!</definedName>
    <definedName name="D" localSheetId="16">#REF!</definedName>
    <definedName name="D" localSheetId="22">#REF!</definedName>
    <definedName name="d" localSheetId="9" hidden="1">{#N/A,#N/A,FALSE,"Status of Projects";#N/A,#N/A,FALSE,"CEA-TEC";#N/A,#N/A,FALSE,"U-Constr.";#N/A,#N/A,FALSE,"summary";#N/A,#N/A,FALSE,"PPP-3 yrs"}</definedName>
    <definedName name="D" localSheetId="13">#REF!</definedName>
    <definedName name="D" localSheetId="23">#REF!</definedName>
    <definedName name="D">#REF!</definedName>
    <definedName name="daf" localSheetId="4">#REF!</definedName>
    <definedName name="daf" localSheetId="5">#REF!</definedName>
    <definedName name="daf" localSheetId="15">#REF!</definedName>
    <definedName name="daf" localSheetId="19">#REF!</definedName>
    <definedName name="daf" localSheetId="18">#REF!</definedName>
    <definedName name="daf" localSheetId="14">#REF!</definedName>
    <definedName name="daf" localSheetId="12">#REF!</definedName>
    <definedName name="daf" localSheetId="24">#REF!</definedName>
    <definedName name="daf" localSheetId="7">#REF!</definedName>
    <definedName name="daf" localSheetId="20">#REF!</definedName>
    <definedName name="daf" localSheetId="21">#REF!</definedName>
    <definedName name="daf" localSheetId="11">#REF!</definedName>
    <definedName name="daf" localSheetId="17">#REF!</definedName>
    <definedName name="daf" localSheetId="16">#REF!</definedName>
    <definedName name="daf" localSheetId="22">#REF!</definedName>
    <definedName name="daf" localSheetId="9">#REF!</definedName>
    <definedName name="daf" localSheetId="13">#REF!</definedName>
    <definedName name="daf" localSheetId="23">#REF!</definedName>
    <definedName name="daf">#REF!</definedName>
    <definedName name="dai" localSheetId="4">#REF!</definedName>
    <definedName name="dai" localSheetId="5">#REF!</definedName>
    <definedName name="dai" localSheetId="15">#REF!</definedName>
    <definedName name="dai" localSheetId="19">#REF!</definedName>
    <definedName name="dai" localSheetId="18">#REF!</definedName>
    <definedName name="dai" localSheetId="14">#REF!</definedName>
    <definedName name="dai" localSheetId="12">#REF!</definedName>
    <definedName name="dai" localSheetId="24">#REF!</definedName>
    <definedName name="dai" localSheetId="7">#REF!</definedName>
    <definedName name="dai" localSheetId="20">#REF!</definedName>
    <definedName name="dai" localSheetId="21">#REF!</definedName>
    <definedName name="dai" localSheetId="11">#REF!</definedName>
    <definedName name="dai" localSheetId="17">#REF!</definedName>
    <definedName name="dai" localSheetId="16">#REF!</definedName>
    <definedName name="dai" localSheetId="22">#REF!</definedName>
    <definedName name="dai" localSheetId="9">#REF!</definedName>
    <definedName name="dai" localSheetId="13">#REF!</definedName>
    <definedName name="dai" localSheetId="23">#REF!</definedName>
    <definedName name="dai">#REF!</definedName>
    <definedName name="danamonwgt">#REF!</definedName>
    <definedName name="das" localSheetId="4">#REF!</definedName>
    <definedName name="das" localSheetId="5">#REF!</definedName>
    <definedName name="das" localSheetId="15">#REF!</definedName>
    <definedName name="das" localSheetId="19">#REF!</definedName>
    <definedName name="das" localSheetId="18">#REF!</definedName>
    <definedName name="das" localSheetId="14">#REF!</definedName>
    <definedName name="das" localSheetId="12">#REF!</definedName>
    <definedName name="das" localSheetId="24">#REF!</definedName>
    <definedName name="das" localSheetId="7">#REF!</definedName>
    <definedName name="das" localSheetId="20">#REF!</definedName>
    <definedName name="das" localSheetId="21">#REF!</definedName>
    <definedName name="das" localSheetId="11">#REF!</definedName>
    <definedName name="das" localSheetId="17">#REF!</definedName>
    <definedName name="das" localSheetId="16">#REF!</definedName>
    <definedName name="das" localSheetId="22">#REF!</definedName>
    <definedName name="das" localSheetId="9">#REF!</definedName>
    <definedName name="das" localSheetId="13">#REF!</definedName>
    <definedName name="das" localSheetId="23">#REF!</definedName>
    <definedName name="das">#REF!</definedName>
    <definedName name="DATA1">#REF!</definedName>
    <definedName name="data2"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1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18"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2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2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2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2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localSheetId="2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Database">#REF!</definedName>
    <definedName name="DataStart" localSheetId="4">#REF!</definedName>
    <definedName name="DataStart" localSheetId="5">#REF!</definedName>
    <definedName name="DataStart" localSheetId="15">#REF!</definedName>
    <definedName name="DataStart" localSheetId="19">#REF!</definedName>
    <definedName name="DataStart" localSheetId="18">#REF!</definedName>
    <definedName name="DataStart" localSheetId="14">#REF!</definedName>
    <definedName name="DataStart" localSheetId="12">#REF!</definedName>
    <definedName name="DataStart" localSheetId="24">#REF!</definedName>
    <definedName name="DataStart" localSheetId="7">#REF!</definedName>
    <definedName name="DataStart" localSheetId="20">#REF!</definedName>
    <definedName name="DataStart" localSheetId="21">#REF!</definedName>
    <definedName name="DataStart" localSheetId="11">#REF!</definedName>
    <definedName name="DataStart" localSheetId="17">#REF!</definedName>
    <definedName name="DataStart" localSheetId="16">#REF!</definedName>
    <definedName name="DataStart" localSheetId="22">#REF!</definedName>
    <definedName name="DataStart" localSheetId="9">#REF!</definedName>
    <definedName name="DataStart" localSheetId="13">#REF!</definedName>
    <definedName name="DataStart" localSheetId="23">#REF!</definedName>
    <definedName name="DataStart">#REF!</definedName>
    <definedName name="DateCFGs" localSheetId="4">#REF!</definedName>
    <definedName name="DateCFGs" localSheetId="5">#REF!</definedName>
    <definedName name="DateCFGs" localSheetId="15">#REF!</definedName>
    <definedName name="DateCFGs" localSheetId="19">#REF!</definedName>
    <definedName name="DateCFGs" localSheetId="18">#REF!</definedName>
    <definedName name="DateCFGs" localSheetId="14">#REF!</definedName>
    <definedName name="DateCFGs" localSheetId="12">#REF!</definedName>
    <definedName name="DateCFGs" localSheetId="24">#REF!</definedName>
    <definedName name="DateCFGs" localSheetId="7">#REF!</definedName>
    <definedName name="DateCFGs" localSheetId="20">#REF!</definedName>
    <definedName name="DateCFGs" localSheetId="21">#REF!</definedName>
    <definedName name="DateCFGs" localSheetId="11">#REF!</definedName>
    <definedName name="DateCFGs" localSheetId="17">#REF!</definedName>
    <definedName name="DateCFGs" localSheetId="16">#REF!</definedName>
    <definedName name="DateCFGs" localSheetId="22">#REF!</definedName>
    <definedName name="DateCFGs" localSheetId="9">#REF!</definedName>
    <definedName name="DateCFGs" localSheetId="13">#REF!</definedName>
    <definedName name="DateCFGs" localSheetId="23">#REF!</definedName>
    <definedName name="DateCFGs">#REF!</definedName>
    <definedName name="DateCFJ1" localSheetId="4">#REF!</definedName>
    <definedName name="DateCFJ1" localSheetId="5">#REF!</definedName>
    <definedName name="DateCFJ1" localSheetId="15">#REF!</definedName>
    <definedName name="DateCFJ1" localSheetId="19">#REF!</definedName>
    <definedName name="DateCFJ1" localSheetId="18">#REF!</definedName>
    <definedName name="DateCFJ1" localSheetId="14">#REF!</definedName>
    <definedName name="DateCFJ1" localSheetId="12">#REF!</definedName>
    <definedName name="DateCFJ1" localSheetId="24">#REF!</definedName>
    <definedName name="DateCFJ1" localSheetId="7">#REF!</definedName>
    <definedName name="DateCFJ1" localSheetId="20">#REF!</definedName>
    <definedName name="DateCFJ1" localSheetId="21">#REF!</definedName>
    <definedName name="DateCFJ1" localSheetId="11">#REF!</definedName>
    <definedName name="DateCFJ1" localSheetId="17">#REF!</definedName>
    <definedName name="DateCFJ1" localSheetId="16">#REF!</definedName>
    <definedName name="DateCFJ1" localSheetId="22">#REF!</definedName>
    <definedName name="DateCFJ1" localSheetId="9">#REF!</definedName>
    <definedName name="DateCFJ1" localSheetId="13">#REF!</definedName>
    <definedName name="DateCFJ1" localSheetId="23">#REF!</definedName>
    <definedName name="DateCFJ1">#REF!</definedName>
    <definedName name="DateRange" localSheetId="4">OFFSET(#REF!,1,0,COUNTA(#REF!)-1)</definedName>
    <definedName name="DateRange" localSheetId="5">OFFSET(#REF!,1,0,COUNTA(#REF!)-1)</definedName>
    <definedName name="DateRange" localSheetId="15">OFFSET(#REF!,1,0,COUNTA(#REF!)-1)</definedName>
    <definedName name="DateRange" localSheetId="19">OFFSET(#REF!,1,0,COUNTA(#REF!)-1)</definedName>
    <definedName name="DateRange" localSheetId="18">OFFSET(#REF!,1,0,COUNTA(#REF!)-1)</definedName>
    <definedName name="DateRange" localSheetId="14">OFFSET(#REF!,1,0,COUNTA(#REF!)-1)</definedName>
    <definedName name="DateRange" localSheetId="12">OFFSET(#REF!,1,0,COUNTA(#REF!)-1)</definedName>
    <definedName name="DateRange" localSheetId="24">OFFSET(#REF!,1,0,COUNTA(#REF!)-1)</definedName>
    <definedName name="DateRange" localSheetId="7">OFFSET(#REF!,1,0,COUNTA(#REF!)-1)</definedName>
    <definedName name="DateRange" localSheetId="20">OFFSET(#REF!,1,0,COUNTA(#REF!)-1)</definedName>
    <definedName name="DateRange" localSheetId="21">OFFSET(#REF!,1,0,COUNTA(#REF!)-1)</definedName>
    <definedName name="DateRange" localSheetId="11">OFFSET(#REF!,1,0,COUNTA(#REF!)-1)</definedName>
    <definedName name="DateRange" localSheetId="17">OFFSET(#REF!,1,0,COUNTA(#REF!)-1)</definedName>
    <definedName name="DateRange" localSheetId="16">OFFSET(#REF!,1,0,COUNTA(#REF!)-1)</definedName>
    <definedName name="DateRange" localSheetId="22">OFFSET(#REF!,1,0,COUNTA(#REF!)-1)</definedName>
    <definedName name="DateRange" localSheetId="9">OFFSET(#REF!,1,0,COUNTA(#REF!)-1)</definedName>
    <definedName name="DateRange" localSheetId="13">OFFSET(#REF!,1,0,COUNTA(#REF!)-1)</definedName>
    <definedName name="DateRange" localSheetId="23">OFFSET(#REF!,1,0,COUNTA(#REF!)-1)</definedName>
    <definedName name="DateRange">OFFSET(#REF!,1,0,COUNTA(#REF!)-1)</definedName>
    <definedName name="db" localSheetId="4">#REF!</definedName>
    <definedName name="db" localSheetId="9">#REF!</definedName>
    <definedName name="db">"WIREHKPROD"</definedName>
    <definedName name="dbswgt">#REF!</definedName>
    <definedName name="dcbwgt">#REF!</definedName>
    <definedName name="DCF_1995" localSheetId="4">#REF!</definedName>
    <definedName name="DCF_1995" localSheetId="9">#REF!</definedName>
    <definedName name="DCF_1995">#REF!</definedName>
    <definedName name="DCF_1996" localSheetId="4">#REF!</definedName>
    <definedName name="DCF_1996" localSheetId="9">#REF!</definedName>
    <definedName name="DCF_1996">#REF!</definedName>
    <definedName name="DCF_1997" localSheetId="4">#REF!</definedName>
    <definedName name="DCF_1997" localSheetId="9">#REF!</definedName>
    <definedName name="DCF_1997">#REF!</definedName>
    <definedName name="DCF_1998" localSheetId="4">#REF!</definedName>
    <definedName name="DCF_1998" localSheetId="9">#REF!</definedName>
    <definedName name="DCF_1998">#REF!</definedName>
    <definedName name="DCF_1999" localSheetId="4">#REF!</definedName>
    <definedName name="DCF_1999" localSheetId="9">#REF!</definedName>
    <definedName name="DCF_1999">#REF!</definedName>
    <definedName name="DCF_2000" localSheetId="4">#REF!</definedName>
    <definedName name="DCF_2000" localSheetId="9">#REF!</definedName>
    <definedName name="DCF_2000">#REF!</definedName>
    <definedName name="DCF_2001" localSheetId="4">#REF!</definedName>
    <definedName name="DCF_2001" localSheetId="9">#REF!</definedName>
    <definedName name="DCF_2001">#REF!</definedName>
    <definedName name="DCF_2002" localSheetId="4">#REF!</definedName>
    <definedName name="DCF_2002" localSheetId="9">#REF!</definedName>
    <definedName name="DCF_2002">#REF!</definedName>
    <definedName name="DCF_2003" localSheetId="4">#REF!</definedName>
    <definedName name="DCF_2003" localSheetId="9">#REF!</definedName>
    <definedName name="DCF_2003">#REF!</definedName>
    <definedName name="DCF_2004" localSheetId="4">#REF!</definedName>
    <definedName name="DCF_2004" localSheetId="9">#REF!</definedName>
    <definedName name="DCF_2004">#REF!</definedName>
    <definedName name="DCF_2005" localSheetId="4">#REF!</definedName>
    <definedName name="DCF_2005" localSheetId="9">#REF!</definedName>
    <definedName name="DCF_2005">#REF!</definedName>
    <definedName name="DCF_2006" localSheetId="4">#REF!</definedName>
    <definedName name="DCF_2006" localSheetId="9">#REF!</definedName>
    <definedName name="DCF_2006">#REF!</definedName>
    <definedName name="DCF_2007" localSheetId="4">#REF!</definedName>
    <definedName name="DCF_2007" localSheetId="9">#REF!</definedName>
    <definedName name="DCF_2007">#REF!</definedName>
    <definedName name="DCF_2008" localSheetId="4">#REF!</definedName>
    <definedName name="DCF_2008" localSheetId="9">#REF!</definedName>
    <definedName name="DCF_2008">#REF!</definedName>
    <definedName name="DCF_2009" localSheetId="4">#REF!</definedName>
    <definedName name="DCF_2009" localSheetId="9">#REF!</definedName>
    <definedName name="DCF_2009">#REF!</definedName>
    <definedName name="DCF_2010" localSheetId="4">#REF!</definedName>
    <definedName name="DCF_2010" localSheetId="9">#REF!</definedName>
    <definedName name="DCF_2010">#REF!</definedName>
    <definedName name="DCF_2011" localSheetId="4">#REF!</definedName>
    <definedName name="DCF_2011" localSheetId="9">#REF!</definedName>
    <definedName name="DCF_2011">#REF!</definedName>
    <definedName name="DCF_2012" localSheetId="4">#REF!</definedName>
    <definedName name="DCF_2012" localSheetId="9">#REF!</definedName>
    <definedName name="DCF_2012">#REF!</definedName>
    <definedName name="DCF_2013" localSheetId="4">#REF!</definedName>
    <definedName name="DCF_2013" localSheetId="9">#REF!</definedName>
    <definedName name="DCF_2013">#REF!</definedName>
    <definedName name="DCF_2014" localSheetId="4">#REF!</definedName>
    <definedName name="DCF_2014" localSheetId="9">#REF!</definedName>
    <definedName name="DCF_2014">#REF!</definedName>
    <definedName name="DCF_2015" localSheetId="4">#REF!</definedName>
    <definedName name="DCF_2015" localSheetId="9">#REF!</definedName>
    <definedName name="DCF_2015">#REF!</definedName>
    <definedName name="DCF_2016" localSheetId="4">#REF!</definedName>
    <definedName name="DCF_2016" localSheetId="9">#REF!</definedName>
    <definedName name="DCF_2016">#REF!</definedName>
    <definedName name="DCF_2017" localSheetId="4">#REF!</definedName>
    <definedName name="DCF_2017" localSheetId="9">#REF!</definedName>
    <definedName name="DCF_2017">#REF!</definedName>
    <definedName name="DCF_2018" localSheetId="4">#REF!</definedName>
    <definedName name="DCF_2018" localSheetId="9">#REF!</definedName>
    <definedName name="DCF_2018">#REF!</definedName>
    <definedName name="DCF_2019" localSheetId="4">#REF!</definedName>
    <definedName name="DCF_2019" localSheetId="9">#REF!</definedName>
    <definedName name="DCF_2019">#REF!</definedName>
    <definedName name="DCF_2020" localSheetId="4">#REF!</definedName>
    <definedName name="DCF_2020" localSheetId="9">#REF!</definedName>
    <definedName name="DCF_2020">#REF!</definedName>
    <definedName name="DCF_DDM_DiscountRate1" localSheetId="4">#REF!</definedName>
    <definedName name="DCF_DDM_DiscountRate1" localSheetId="5">#REF!</definedName>
    <definedName name="DCF_DDM_DiscountRate1" localSheetId="15">#REF!</definedName>
    <definedName name="DCF_DDM_DiscountRate1" localSheetId="19">#REF!</definedName>
    <definedName name="DCF_DDM_DiscountRate1" localSheetId="18">#REF!</definedName>
    <definedName name="DCF_DDM_DiscountRate1" localSheetId="14">#REF!</definedName>
    <definedName name="DCF_DDM_DiscountRate1" localSheetId="12">#REF!</definedName>
    <definedName name="DCF_DDM_DiscountRate1" localSheetId="24">#REF!</definedName>
    <definedName name="DCF_DDM_DiscountRate1" localSheetId="7">#REF!</definedName>
    <definedName name="DCF_DDM_DiscountRate1" localSheetId="20">#REF!</definedName>
    <definedName name="DCF_DDM_DiscountRate1" localSheetId="21">#REF!</definedName>
    <definedName name="DCF_DDM_DiscountRate1" localSheetId="11">#REF!</definedName>
    <definedName name="DCF_DDM_DiscountRate1" localSheetId="17">#REF!</definedName>
    <definedName name="DCF_DDM_DiscountRate1" localSheetId="16">#REF!</definedName>
    <definedName name="DCF_DDM_DiscountRate1" localSheetId="22">#REF!</definedName>
    <definedName name="DCF_DDM_DiscountRate1" localSheetId="9">#REF!</definedName>
    <definedName name="DCF_DDM_DiscountRate1" localSheetId="13">#REF!</definedName>
    <definedName name="DCF_DDM_DiscountRate1" localSheetId="23">#REF!</definedName>
    <definedName name="DCF_DDM_DiscountRate1">#REF!</definedName>
    <definedName name="DCF_DDM_DiscountRate2" localSheetId="4">#REF!</definedName>
    <definedName name="DCF_DDM_DiscountRate2" localSheetId="5">#REF!</definedName>
    <definedName name="DCF_DDM_DiscountRate2" localSheetId="15">#REF!</definedName>
    <definedName name="DCF_DDM_DiscountRate2" localSheetId="19">#REF!</definedName>
    <definedName name="DCF_DDM_DiscountRate2" localSheetId="18">#REF!</definedName>
    <definedName name="DCF_DDM_DiscountRate2" localSheetId="14">#REF!</definedName>
    <definedName name="DCF_DDM_DiscountRate2" localSheetId="12">#REF!</definedName>
    <definedName name="DCF_DDM_DiscountRate2" localSheetId="24">#REF!</definedName>
    <definedName name="DCF_DDM_DiscountRate2" localSheetId="7">#REF!</definedName>
    <definedName name="DCF_DDM_DiscountRate2" localSheetId="20">#REF!</definedName>
    <definedName name="DCF_DDM_DiscountRate2" localSheetId="21">#REF!</definedName>
    <definedName name="DCF_DDM_DiscountRate2" localSheetId="11">#REF!</definedName>
    <definedName name="DCF_DDM_DiscountRate2" localSheetId="17">#REF!</definedName>
    <definedName name="DCF_DDM_DiscountRate2" localSheetId="16">#REF!</definedName>
    <definedName name="DCF_DDM_DiscountRate2" localSheetId="22">#REF!</definedName>
    <definedName name="DCF_DDM_DiscountRate2" localSheetId="9">#REF!</definedName>
    <definedName name="DCF_DDM_DiscountRate2" localSheetId="13">#REF!</definedName>
    <definedName name="DCF_DDM_DiscountRate2" localSheetId="23">#REF!</definedName>
    <definedName name="DCF_DDM_DiscountRate2">#REF!</definedName>
    <definedName name="DCF_DDM_DiscountRate3" localSheetId="4">#REF!</definedName>
    <definedName name="DCF_DDM_DiscountRate3" localSheetId="5">#REF!</definedName>
    <definedName name="DCF_DDM_DiscountRate3" localSheetId="15">#REF!</definedName>
    <definedName name="DCF_DDM_DiscountRate3" localSheetId="19">#REF!</definedName>
    <definedName name="DCF_DDM_DiscountRate3" localSheetId="18">#REF!</definedName>
    <definedName name="DCF_DDM_DiscountRate3" localSheetId="14">#REF!</definedName>
    <definedName name="DCF_DDM_DiscountRate3" localSheetId="12">#REF!</definedName>
    <definedName name="DCF_DDM_DiscountRate3" localSheetId="24">#REF!</definedName>
    <definedName name="DCF_DDM_DiscountRate3" localSheetId="7">#REF!</definedName>
    <definedName name="DCF_DDM_DiscountRate3" localSheetId="20">#REF!</definedName>
    <definedName name="DCF_DDM_DiscountRate3" localSheetId="21">#REF!</definedName>
    <definedName name="DCF_DDM_DiscountRate3" localSheetId="11">#REF!</definedName>
    <definedName name="DCF_DDM_DiscountRate3" localSheetId="17">#REF!</definedName>
    <definedName name="DCF_DDM_DiscountRate3" localSheetId="16">#REF!</definedName>
    <definedName name="DCF_DDM_DiscountRate3" localSheetId="22">#REF!</definedName>
    <definedName name="DCF_DDM_DiscountRate3" localSheetId="9">#REF!</definedName>
    <definedName name="DCF_DDM_DiscountRate3" localSheetId="13">#REF!</definedName>
    <definedName name="DCF_DDM_DiscountRate3" localSheetId="23">#REF!</definedName>
    <definedName name="DCF_DDM_DiscountRate3">#REF!</definedName>
    <definedName name="DCF_DDM_DiscountRate4" localSheetId="4">#REF!</definedName>
    <definedName name="DCF_DDM_DiscountRate4" localSheetId="9">#REF!</definedName>
    <definedName name="DCF_DDM_DiscountRate4">#REF!</definedName>
    <definedName name="DCF_DDM_DPS" localSheetId="4">#REF!</definedName>
    <definedName name="DCF_DDM_DPS" localSheetId="9">#REF!</definedName>
    <definedName name="DCF_DDM_DPS">#REF!</definedName>
    <definedName name="DCF_DDM_DPSManual" localSheetId="4">#REF!</definedName>
    <definedName name="DCF_DDM_DPSManual" localSheetId="9">#REF!</definedName>
    <definedName name="DCF_DDM_DPSManual">#REF!</definedName>
    <definedName name="DCF_DDM_GrowthRate" localSheetId="4">#REF!</definedName>
    <definedName name="DCF_DDM_GrowthRate" localSheetId="9">#REF!</definedName>
    <definedName name="DCF_DDM_GrowthRate">#REF!</definedName>
    <definedName name="DCF_DDM_GrowthRateHigh" localSheetId="4">#REF!</definedName>
    <definedName name="DCF_DDM_GrowthRateHigh" localSheetId="9">#REF!</definedName>
    <definedName name="DCF_DDM_GrowthRateHigh">#REF!</definedName>
    <definedName name="DCF_DDM_GrowthRateLongRun" localSheetId="4">#REF!</definedName>
    <definedName name="DCF_DDM_GrowthRateLongRun" localSheetId="9">#REF!</definedName>
    <definedName name="DCF_DDM_GrowthRateLongRun">#REF!</definedName>
    <definedName name="DCF_DDM_HalfLife" localSheetId="4">#REF!</definedName>
    <definedName name="DCF_DDM_HalfLife" localSheetId="9">#REF!</definedName>
    <definedName name="DCF_DDM_HalfLife">#REF!</definedName>
    <definedName name="DCF_DDM_MultiDecelerationYears" localSheetId="4">#REF!</definedName>
    <definedName name="DCF_DDM_MultiDecelerationYears" localSheetId="9">#REF!</definedName>
    <definedName name="DCF_DDM_MultiDecelerationYears">#REF!</definedName>
    <definedName name="DCF_DDM_MultiHighGrowthRate" localSheetId="4">#REF!</definedName>
    <definedName name="DCF_DDM_MultiHighGrowthRate" localSheetId="9">#REF!</definedName>
    <definedName name="DCF_DDM_MultiHighGrowthRate">#REF!</definedName>
    <definedName name="DCF_DDM_MultiHighYears" localSheetId="4">#REF!</definedName>
    <definedName name="DCF_DDM_MultiHighYears" localSheetId="9">#REF!</definedName>
    <definedName name="DCF_DDM_MultiHighYears">#REF!</definedName>
    <definedName name="DCF_DDM_MultiMatureGrowthRate" localSheetId="4">#REF!</definedName>
    <definedName name="DCF_DDM_MultiMatureGrowthRate" localSheetId="9">#REF!</definedName>
    <definedName name="DCF_DDM_MultiMatureGrowthRate">#REF!</definedName>
    <definedName name="DCF_DDM_MultiMatureYears" localSheetId="4">#REF!</definedName>
    <definedName name="DCF_DDM_MultiMatureYears" localSheetId="9">#REF!</definedName>
    <definedName name="DCF_DDM_MultiMatureYears">#REF!</definedName>
    <definedName name="DCF_DDM_PriceConstantGrowth" localSheetId="4">#REF!</definedName>
    <definedName name="DCF_DDM_PriceConstantGrowth" localSheetId="9">#REF!</definedName>
    <definedName name="DCF_DDM_PriceConstantGrowth">#REF!</definedName>
    <definedName name="DCF_DDM_PriceHModel" localSheetId="4">#REF!</definedName>
    <definedName name="DCF_DDM_PriceHModel" localSheetId="9">#REF!</definedName>
    <definedName name="DCF_DDM_PriceHModel">#REF!</definedName>
    <definedName name="DCF_DDM_PriceMultiStageModel" localSheetId="4">#REF!</definedName>
    <definedName name="DCF_DDM_PriceMultiStageModel" localSheetId="9">#REF!</definedName>
    <definedName name="DCF_DDM_PriceMultiStageModel">#REF!</definedName>
    <definedName name="DCF_DDM_PriceZeroGrowth" localSheetId="4">#REF!</definedName>
    <definedName name="DCF_DDM_PriceZeroGrowth" localSheetId="9">#REF!</definedName>
    <definedName name="DCF_DDM_PriceZeroGrowth">#REF!</definedName>
    <definedName name="DCF_EY1" localSheetId="4">#REF!</definedName>
    <definedName name="DCF_EY1" localSheetId="9">#REF!</definedName>
    <definedName name="DCF_EY1">#REF!</definedName>
    <definedName name="DCF_EY10" localSheetId="4">#REF!</definedName>
    <definedName name="DCF_EY10" localSheetId="9">#REF!</definedName>
    <definedName name="DCF_EY10">#REF!</definedName>
    <definedName name="DCF_EY11" localSheetId="4">#REF!</definedName>
    <definedName name="DCF_EY11" localSheetId="9">#REF!</definedName>
    <definedName name="DCF_EY11">#REF!</definedName>
    <definedName name="DCF_EY12" localSheetId="4">#REF!</definedName>
    <definedName name="DCF_EY12" localSheetId="9">#REF!</definedName>
    <definedName name="DCF_EY12">#REF!</definedName>
    <definedName name="DCF_EY13" localSheetId="4">#REF!</definedName>
    <definedName name="DCF_EY13" localSheetId="9">#REF!</definedName>
    <definedName name="DCF_EY13">#REF!</definedName>
    <definedName name="DCF_EY14" localSheetId="4">#REF!</definedName>
    <definedName name="DCF_EY14" localSheetId="9">#REF!</definedName>
    <definedName name="DCF_EY14">#REF!</definedName>
    <definedName name="DCF_EY15" localSheetId="4">#REF!</definedName>
    <definedName name="DCF_EY15" localSheetId="9">#REF!</definedName>
    <definedName name="DCF_EY15">#REF!</definedName>
    <definedName name="DCF_EY16" localSheetId="4">#REF!</definedName>
    <definedName name="DCF_EY16" localSheetId="9">#REF!</definedName>
    <definedName name="DCF_EY16">#REF!</definedName>
    <definedName name="DCF_EY17" localSheetId="4">#REF!</definedName>
    <definedName name="DCF_EY17" localSheetId="9">#REF!</definedName>
    <definedName name="DCF_EY17">#REF!</definedName>
    <definedName name="DCF_EY18" localSheetId="4">#REF!</definedName>
    <definedName name="DCF_EY18" localSheetId="9">#REF!</definedName>
    <definedName name="DCF_EY18">#REF!</definedName>
    <definedName name="DCF_EY19" localSheetId="4">#REF!</definedName>
    <definedName name="DCF_EY19" localSheetId="9">#REF!</definedName>
    <definedName name="DCF_EY19">#REF!</definedName>
    <definedName name="DCF_EY2" localSheetId="4">#REF!</definedName>
    <definedName name="DCF_EY2" localSheetId="9">#REF!</definedName>
    <definedName name="DCF_EY2">#REF!</definedName>
    <definedName name="DCF_EY20" localSheetId="4">#REF!</definedName>
    <definedName name="DCF_EY20" localSheetId="9">#REF!</definedName>
    <definedName name="DCF_EY20">#REF!</definedName>
    <definedName name="DCF_EY21" localSheetId="4">#REF!</definedName>
    <definedName name="DCF_EY21" localSheetId="9">#REF!</definedName>
    <definedName name="DCF_EY21">#REF!</definedName>
    <definedName name="DCF_EY22" localSheetId="4">#REF!</definedName>
    <definedName name="DCF_EY22" localSheetId="9">#REF!</definedName>
    <definedName name="DCF_EY22">#REF!</definedName>
    <definedName name="DCF_EY23" localSheetId="4">#REF!</definedName>
    <definedName name="DCF_EY23" localSheetId="9">#REF!</definedName>
    <definedName name="DCF_EY23">#REF!</definedName>
    <definedName name="DCF_EY24" localSheetId="4">#REF!</definedName>
    <definedName name="DCF_EY24" localSheetId="9">#REF!</definedName>
    <definedName name="DCF_EY24">#REF!</definedName>
    <definedName name="DCF_EY25" localSheetId="4">#REF!</definedName>
    <definedName name="DCF_EY25" localSheetId="9">#REF!</definedName>
    <definedName name="DCF_EY25">#REF!</definedName>
    <definedName name="DCF_EY26" localSheetId="4">#REF!</definedName>
    <definedName name="DCF_EY26" localSheetId="9">#REF!</definedName>
    <definedName name="DCF_EY26">#REF!</definedName>
    <definedName name="DCF_EY3" localSheetId="4">#REF!</definedName>
    <definedName name="DCF_EY3" localSheetId="9">#REF!</definedName>
    <definedName name="DCF_EY3">#REF!</definedName>
    <definedName name="DCF_EY4" localSheetId="4">#REF!</definedName>
    <definedName name="DCF_EY4" localSheetId="9">#REF!</definedName>
    <definedName name="DCF_EY4">#REF!</definedName>
    <definedName name="DCF_EY5" localSheetId="4">#REF!</definedName>
    <definedName name="DCF_EY5" localSheetId="9">#REF!</definedName>
    <definedName name="DCF_EY5">#REF!</definedName>
    <definedName name="DCF_EY6" localSheetId="4">#REF!</definedName>
    <definedName name="DCF_EY6" localSheetId="9">#REF!</definedName>
    <definedName name="DCF_EY6">#REF!</definedName>
    <definedName name="DCF_EY7" localSheetId="4">#REF!</definedName>
    <definedName name="DCF_EY7" localSheetId="9">#REF!</definedName>
    <definedName name="DCF_EY7">#REF!</definedName>
    <definedName name="DCF_EY8" localSheetId="4">#REF!</definedName>
    <definedName name="DCF_EY8" localSheetId="9">#REF!</definedName>
    <definedName name="DCF_EY8">#REF!</definedName>
    <definedName name="DCF_EY9" localSheetId="4">#REF!</definedName>
    <definedName name="DCF_EY9" localSheetId="9">#REF!</definedName>
    <definedName name="DCF_EY9">#REF!</definedName>
    <definedName name="DCF_FCF_AdjustmentsToEnterpriseValue" localSheetId="4">#REF!</definedName>
    <definedName name="DCF_FCF_AdjustmentsToEnterpriseValue" localSheetId="5">#REF!</definedName>
    <definedName name="DCF_FCF_AdjustmentsToEnterpriseValue" localSheetId="15">#REF!</definedName>
    <definedName name="DCF_FCF_AdjustmentsToEnterpriseValue" localSheetId="19">#REF!</definedName>
    <definedName name="DCF_FCF_AdjustmentsToEnterpriseValue" localSheetId="18">#REF!</definedName>
    <definedName name="DCF_FCF_AdjustmentsToEnterpriseValue" localSheetId="14">#REF!</definedName>
    <definedName name="DCF_FCF_AdjustmentsToEnterpriseValue" localSheetId="12">#REF!</definedName>
    <definedName name="DCF_FCF_AdjustmentsToEnterpriseValue" localSheetId="24">#REF!</definedName>
    <definedName name="DCF_FCF_AdjustmentsToEnterpriseValue" localSheetId="7">#REF!</definedName>
    <definedName name="DCF_FCF_AdjustmentsToEnterpriseValue" localSheetId="20">#REF!</definedName>
    <definedName name="DCF_FCF_AdjustmentsToEnterpriseValue" localSheetId="21">#REF!</definedName>
    <definedName name="DCF_FCF_AdjustmentsToEnterpriseValue" localSheetId="11">#REF!</definedName>
    <definedName name="DCF_FCF_AdjustmentsToEnterpriseValue" localSheetId="17">#REF!</definedName>
    <definedName name="DCF_FCF_AdjustmentsToEnterpriseValue" localSheetId="16">#REF!</definedName>
    <definedName name="DCF_FCF_AdjustmentsToEnterpriseValue" localSheetId="22">#REF!</definedName>
    <definedName name="DCF_FCF_AdjustmentsToEnterpriseValue" localSheetId="9">#REF!</definedName>
    <definedName name="DCF_FCF_AdjustmentsToEnterpriseValue" localSheetId="13">#REF!</definedName>
    <definedName name="DCF_FCF_AdjustmentsToEnterpriseValue" localSheetId="23">#REF!</definedName>
    <definedName name="DCF_FCF_AdjustmentsToEnterpriseValue">#REF!</definedName>
    <definedName name="DCF_FCF_Beta" localSheetId="4">#REF!</definedName>
    <definedName name="DCF_FCF_Beta" localSheetId="5">#REF!</definedName>
    <definedName name="DCF_FCF_Beta" localSheetId="15">#REF!</definedName>
    <definedName name="DCF_FCF_Beta" localSheetId="19">#REF!</definedName>
    <definedName name="DCF_FCF_Beta" localSheetId="18">#REF!</definedName>
    <definedName name="DCF_FCF_Beta" localSheetId="14">#REF!</definedName>
    <definedName name="DCF_FCF_Beta" localSheetId="12">#REF!</definedName>
    <definedName name="DCF_FCF_Beta" localSheetId="24">#REF!</definedName>
    <definedName name="DCF_FCF_Beta" localSheetId="7">#REF!</definedName>
    <definedName name="DCF_FCF_Beta" localSheetId="20">#REF!</definedName>
    <definedName name="DCF_FCF_Beta" localSheetId="21">#REF!</definedName>
    <definedName name="DCF_FCF_Beta" localSheetId="11">#REF!</definedName>
    <definedName name="DCF_FCF_Beta" localSheetId="17">#REF!</definedName>
    <definedName name="DCF_FCF_Beta" localSheetId="16">#REF!</definedName>
    <definedName name="DCF_FCF_Beta" localSheetId="22">#REF!</definedName>
    <definedName name="DCF_FCF_Beta" localSheetId="9">#REF!</definedName>
    <definedName name="DCF_FCF_Beta" localSheetId="13">#REF!</definedName>
    <definedName name="DCF_FCF_Beta" localSheetId="23">#REF!</definedName>
    <definedName name="DCF_FCF_Beta">#REF!</definedName>
    <definedName name="DCF_FCF_CostofDebt" localSheetId="4">#REF!</definedName>
    <definedName name="DCF_FCF_CostofDebt" localSheetId="5">#REF!</definedName>
    <definedName name="DCF_FCF_CostofDebt" localSheetId="15">#REF!</definedName>
    <definedName name="DCF_FCF_CostofDebt" localSheetId="19">#REF!</definedName>
    <definedName name="DCF_FCF_CostofDebt" localSheetId="18">#REF!</definedName>
    <definedName name="DCF_FCF_CostofDebt" localSheetId="14">#REF!</definedName>
    <definedName name="DCF_FCF_CostofDebt" localSheetId="12">#REF!</definedName>
    <definedName name="DCF_FCF_CostofDebt" localSheetId="24">#REF!</definedName>
    <definedName name="DCF_FCF_CostofDebt" localSheetId="7">#REF!</definedName>
    <definedName name="DCF_FCF_CostofDebt" localSheetId="20">#REF!</definedName>
    <definedName name="DCF_FCF_CostofDebt" localSheetId="21">#REF!</definedName>
    <definedName name="DCF_FCF_CostofDebt" localSheetId="11">#REF!</definedName>
    <definedName name="DCF_FCF_CostofDebt" localSheetId="17">#REF!</definedName>
    <definedName name="DCF_FCF_CostofDebt" localSheetId="16">#REF!</definedName>
    <definedName name="DCF_FCF_CostofDebt" localSheetId="22">#REF!</definedName>
    <definedName name="DCF_FCF_CostofDebt" localSheetId="9">#REF!</definedName>
    <definedName name="DCF_FCF_CostofDebt" localSheetId="13">#REF!</definedName>
    <definedName name="DCF_FCF_CostofDebt" localSheetId="23">#REF!</definedName>
    <definedName name="DCF_FCF_CostofDebt">#REF!</definedName>
    <definedName name="DCF_FCF_CostofDebtMan" localSheetId="4">#REF!</definedName>
    <definedName name="DCF_FCF_CostofDebtMan" localSheetId="9">#REF!</definedName>
    <definedName name="DCF_FCF_CostofDebtMan">#REF!</definedName>
    <definedName name="DCF_FCF_CostofEquity" localSheetId="4">#REF!</definedName>
    <definedName name="DCF_FCF_CostofEquity" localSheetId="9">#REF!</definedName>
    <definedName name="DCF_FCF_CostofEquity">#REF!</definedName>
    <definedName name="DCF_FCF_CostofPreferredEquity" localSheetId="4">#REF!</definedName>
    <definedName name="DCF_FCF_CostofPreferredEquity" localSheetId="9">#REF!</definedName>
    <definedName name="DCF_FCF_CostofPreferredEquity">#REF!</definedName>
    <definedName name="DCF_FCF_CostofSTDebt" localSheetId="4">#REF!</definedName>
    <definedName name="DCF_FCF_CostofSTDebt" localSheetId="9">#REF!</definedName>
    <definedName name="DCF_FCF_CostofSTDebt">#REF!</definedName>
    <definedName name="DCF_FCF_CostofSTDebtMan" localSheetId="4">#REF!</definedName>
    <definedName name="DCF_FCF_CostofSTDebtMan" localSheetId="9">#REF!</definedName>
    <definedName name="DCF_FCF_CostofSTDebtMan">#REF!</definedName>
    <definedName name="DCF_FCF_EnterpriseValue" localSheetId="4">#REF!</definedName>
    <definedName name="DCF_FCF_EnterpriseValue" localSheetId="9">#REF!</definedName>
    <definedName name="DCF_FCF_EnterpriseValue">#REF!</definedName>
    <definedName name="DCF_FCF_EnterpriseValueConstantGrowth" localSheetId="4">#REF!</definedName>
    <definedName name="DCF_FCF_EnterpriseValueConstantGrowth" localSheetId="9">#REF!</definedName>
    <definedName name="DCF_FCF_EnterpriseValueConstantGrowth">#REF!</definedName>
    <definedName name="DCF_FCF_EnterpriseValueEBIT" localSheetId="4">#REF!</definedName>
    <definedName name="DCF_FCF_EnterpriseValueEBIT" localSheetId="9">#REF!</definedName>
    <definedName name="DCF_FCF_EnterpriseValueEBIT">#REF!</definedName>
    <definedName name="DCF_FCF_EnterpriseValueEBITD" localSheetId="4">#REF!</definedName>
    <definedName name="DCF_FCF_EnterpriseValueEBITD" localSheetId="9">#REF!</definedName>
    <definedName name="DCF_FCF_EnterpriseValueEBITD">#REF!</definedName>
    <definedName name="DCF_FCF_EnterpriseValueEBITDA" localSheetId="4">#REF!</definedName>
    <definedName name="DCF_FCF_EnterpriseValueEBITDA" localSheetId="9">#REF!</definedName>
    <definedName name="DCF_FCF_EnterpriseValueEBITDA">#REF!</definedName>
    <definedName name="DCF_FCF_EnterpriseValueMan" localSheetId="4">#REF!</definedName>
    <definedName name="DCF_FCF_EnterpriseValueMan" localSheetId="9">#REF!</definedName>
    <definedName name="DCF_FCF_EnterpriseValueMan">#REF!</definedName>
    <definedName name="DCF_FCF_EnterpriseValuePerShareConstantGrowth" localSheetId="4">#REF!</definedName>
    <definedName name="DCF_FCF_EnterpriseValuePerShareConstantGrowth" localSheetId="9">#REF!</definedName>
    <definedName name="DCF_FCF_EnterpriseValuePerShareConstantGrowth">#REF!</definedName>
    <definedName name="DCF_FCF_EnterpriseValuePerShareTimeSeries" localSheetId="4">#REF!</definedName>
    <definedName name="DCF_FCF_EnterpriseValuePerShareTimeSeries" localSheetId="9">#REF!</definedName>
    <definedName name="DCF_FCF_EnterpriseValuePerShareTimeSeries">#REF!</definedName>
    <definedName name="DCF_FCF_EnterpriseValueRevenue" localSheetId="4">#REF!</definedName>
    <definedName name="DCF_FCF_EnterpriseValueRevenue" localSheetId="9">#REF!</definedName>
    <definedName name="DCF_FCF_EnterpriseValueRevenue">#REF!</definedName>
    <definedName name="DCF_FCF_EnterpriseValueTimeSeries" localSheetId="4">#REF!</definedName>
    <definedName name="DCF_FCF_EnterpriseValueTimeSeries" localSheetId="9">#REF!</definedName>
    <definedName name="DCF_FCF_EnterpriseValueTimeSeries">#REF!</definedName>
    <definedName name="DCF_FCF_EquityRiskPremium" localSheetId="4">#REF!</definedName>
    <definedName name="DCF_FCF_EquityRiskPremium" localSheetId="9">#REF!</definedName>
    <definedName name="DCF_FCF_EquityRiskPremium">#REF!</definedName>
    <definedName name="DCF_FCF_FullyDilutedShares" localSheetId="4">#REF!</definedName>
    <definedName name="DCF_FCF_FullyDilutedShares" localSheetId="9">#REF!</definedName>
    <definedName name="DCF_FCF_FullyDilutedShares">#REF!</definedName>
    <definedName name="DCF_FCF_InterestTaxShield" localSheetId="4">#REF!</definedName>
    <definedName name="DCF_FCF_InterestTaxShield" localSheetId="9">#REF!</definedName>
    <definedName name="DCF_FCF_InterestTaxShield">#REF!</definedName>
    <definedName name="DCF_FCF_leveragedCashFlow" localSheetId="4">#REF!</definedName>
    <definedName name="DCF_FCF_leveragedCashFlow" localSheetId="9">#REF!</definedName>
    <definedName name="DCF_FCF_leveragedCashFlow">#REF!</definedName>
    <definedName name="DCF_FCF_LongTermGrowthRate" localSheetId="4">#REF!</definedName>
    <definedName name="DCF_FCF_LongTermGrowthRate" localSheetId="9">#REF!</definedName>
    <definedName name="DCF_FCF_LongTermGrowthRate">#REF!</definedName>
    <definedName name="DCF_FCF_OffBSLiabilitiesManual" localSheetId="4">#REF!</definedName>
    <definedName name="DCF_FCF_OffBSLiabilitiesManual" localSheetId="9">#REF!</definedName>
    <definedName name="DCF_FCF_OffBSLiabilitiesManual">#REF!</definedName>
    <definedName name="DCF_FCF_PerpetuityPremiumDiscount" localSheetId="4">#REF!</definedName>
    <definedName name="DCF_FCF_PerpetuityPremiumDiscount" localSheetId="9">#REF!</definedName>
    <definedName name="DCF_FCF_PerpetuityPremiumDiscount">#REF!</definedName>
    <definedName name="DCF_FCF_PreferredEquityRiskPremium" localSheetId="4">#REF!</definedName>
    <definedName name="DCF_FCF_PreferredEquityRiskPremium" localSheetId="9">#REF!</definedName>
    <definedName name="DCF_FCF_PreferredEquityRiskPremium">#REF!</definedName>
    <definedName name="DCF_FCF_PresentValueConstantGrowth" localSheetId="4">#REF!</definedName>
    <definedName name="DCF_FCF_PresentValueConstantGrowth" localSheetId="9">#REF!</definedName>
    <definedName name="DCF_FCF_PresentValueConstantGrowth">#REF!</definedName>
    <definedName name="DCF_FCF_PresentValueofEquity" localSheetId="4">#REF!</definedName>
    <definedName name="DCF_FCF_PresentValueofEquity" localSheetId="9">#REF!</definedName>
    <definedName name="DCF_FCF_PresentValueofEquity">#REF!</definedName>
    <definedName name="DCF_FCF_PresentValueTimeSeries" localSheetId="4">#REF!</definedName>
    <definedName name="DCF_FCF_PresentValueTimeSeries" localSheetId="9">#REF!</definedName>
    <definedName name="DCF_FCF_PresentValueTimeSeries">#REF!</definedName>
    <definedName name="DCF_FCF_QualityBondYield" localSheetId="4">#REF!</definedName>
    <definedName name="DCF_FCF_QualityBondYield" localSheetId="9">#REF!</definedName>
    <definedName name="DCF_FCF_QualityBondYield">#REF!</definedName>
    <definedName name="DCF_FCF_RangeDiscountCashFlows" localSheetId="4">#REF!</definedName>
    <definedName name="DCF_FCF_RangeDiscountCashFlows" localSheetId="9">#REF!</definedName>
    <definedName name="DCF_FCF_RangeDiscountCashFlows">#REF!</definedName>
    <definedName name="DCF_FCF_RiskFreeRate" localSheetId="4">#REF!</definedName>
    <definedName name="DCF_FCF_RiskFreeRate" localSheetId="9">#REF!</definedName>
    <definedName name="DCF_FCF_RiskFreeRate">#REF!</definedName>
    <definedName name="DCF_FCF_SharePrice" localSheetId="4">#REF!</definedName>
    <definedName name="DCF_FCF_SharePrice" localSheetId="9">#REF!</definedName>
    <definedName name="DCF_FCF_SharePrice">#REF!</definedName>
    <definedName name="DCF_FCF_SharePriceManual" localSheetId="4">#REF!</definedName>
    <definedName name="DCF_FCF_SharePriceManual" localSheetId="9">#REF!</definedName>
    <definedName name="DCF_FCF_SharePriceManual">#REF!</definedName>
    <definedName name="DCF_FCF_STDebtTaxRateMan" localSheetId="4">#REF!</definedName>
    <definedName name="DCF_FCF_STDebtTaxRateMan" localSheetId="9">#REF!</definedName>
    <definedName name="DCF_FCF_STDebtTaxRateMan">#REF!</definedName>
    <definedName name="DCF_FCF_TaxRate" localSheetId="4">#REF!</definedName>
    <definedName name="DCF_FCF_TaxRate" localSheetId="9">#REF!</definedName>
    <definedName name="DCF_FCF_TaxRate">#REF!</definedName>
    <definedName name="DCF_FCF_TaxRateMan" localSheetId="4">#REF!</definedName>
    <definedName name="DCF_FCF_TaxRateMan" localSheetId="9">#REF!</definedName>
    <definedName name="DCF_FCF_TaxRateMan">#REF!</definedName>
    <definedName name="DCF_FCF_TerminalValuesForTimeSeries" localSheetId="4">#REF!</definedName>
    <definedName name="DCF_FCF_TerminalValuesForTimeSeries" localSheetId="9">#REF!</definedName>
    <definedName name="DCF_FCF_TerminalValuesForTimeSeries">#REF!</definedName>
    <definedName name="DCF_FCF_TerminalValuesForTimeSeriesTest" localSheetId="4">#REF!</definedName>
    <definedName name="DCF_FCF_TerminalValuesForTimeSeriesTest" localSheetId="9">#REF!</definedName>
    <definedName name="DCF_FCF_TerminalValuesForTimeSeriesTest">#REF!</definedName>
    <definedName name="DCF_FCF_TimeSeriesPremiumDiscount" localSheetId="4">#REF!</definedName>
    <definedName name="DCF_FCF_TimeSeriesPremiumDiscount" localSheetId="9">#REF!</definedName>
    <definedName name="DCF_FCF_TimeSeriesPremiumDiscount">#REF!</definedName>
    <definedName name="DCF_FCF_TotalEquityBV" localSheetId="4">#REF!</definedName>
    <definedName name="DCF_FCF_TotalEquityBV" localSheetId="9">#REF!</definedName>
    <definedName name="DCF_FCF_TotalEquityBV">#REF!</definedName>
    <definedName name="DCF_FCF_TotalEquityBVMan" localSheetId="4">#REF!</definedName>
    <definedName name="DCF_FCF_TotalEquityBVMan" localSheetId="9">#REF!</definedName>
    <definedName name="DCF_FCF_TotalEquityBVMan">#REF!</definedName>
    <definedName name="DCF_FCF_TotalEquityMV" localSheetId="4">#REF!</definedName>
    <definedName name="DCF_FCF_TotalEquityMV" localSheetId="9">#REF!</definedName>
    <definedName name="DCF_FCF_TotalEquityMV">#REF!</definedName>
    <definedName name="DCF_FCF_TotalEquityMVMan" localSheetId="4">#REF!</definedName>
    <definedName name="DCF_FCF_TotalEquityMVMan" localSheetId="9">#REF!</definedName>
    <definedName name="DCF_FCF_TotalEquityMVMan">#REF!</definedName>
    <definedName name="DCF_FCF_TotalLTDebtBV" localSheetId="4">#REF!</definedName>
    <definedName name="DCF_FCF_TotalLTDebtBV" localSheetId="9">#REF!</definedName>
    <definedName name="DCF_FCF_TotalLTDebtBV">#REF!</definedName>
    <definedName name="DCF_FCF_TotalLTDebtBVMan" localSheetId="4">#REF!</definedName>
    <definedName name="DCF_FCF_TotalLTDebtBVMan" localSheetId="9">#REF!</definedName>
    <definedName name="DCF_FCF_TotalLTDebtBVMan">#REF!</definedName>
    <definedName name="DCF_FCF_TotalLTDebtMV" localSheetId="4">#REF!</definedName>
    <definedName name="DCF_FCF_TotalLTDebtMV" localSheetId="9">#REF!</definedName>
    <definedName name="DCF_FCF_TotalLTDebtMV">#REF!</definedName>
    <definedName name="DCF_FCF_TotalLTDebtMVMan" localSheetId="4">#REF!</definedName>
    <definedName name="DCF_FCF_TotalLTDebtMVMan" localSheetId="9">#REF!</definedName>
    <definedName name="DCF_FCF_TotalLTDebtMVMan">#REF!</definedName>
    <definedName name="DCF_FCF_TotalPreferredEquityBV" localSheetId="4">#REF!</definedName>
    <definedName name="DCF_FCF_TotalPreferredEquityBV" localSheetId="9">#REF!</definedName>
    <definedName name="DCF_FCF_TotalPreferredEquityBV">#REF!</definedName>
    <definedName name="DCF_FCF_TotalPreferredEquityBVMan" localSheetId="4">#REF!</definedName>
    <definedName name="DCF_FCF_TotalPreferredEquityBVMan" localSheetId="9">#REF!</definedName>
    <definedName name="DCF_FCF_TotalPreferredEquityBVMan">#REF!</definedName>
    <definedName name="DCF_FCF_TotalPreferredEquityMV" localSheetId="4">#REF!</definedName>
    <definedName name="DCF_FCF_TotalPreferredEquityMV" localSheetId="9">#REF!</definedName>
    <definedName name="DCF_FCF_TotalPreferredEquityMV">#REF!</definedName>
    <definedName name="DCF_FCF_TotalPreferredEquityMVMan" localSheetId="4">#REF!</definedName>
    <definedName name="DCF_FCF_TotalPreferredEquityMVMan" localSheetId="9">#REF!</definedName>
    <definedName name="DCF_FCF_TotalPreferredEquityMVMan">#REF!</definedName>
    <definedName name="DCF_FCF_TotalSTDebtBV" localSheetId="4">#REF!</definedName>
    <definedName name="DCF_FCF_TotalSTDebtBV" localSheetId="9">#REF!</definedName>
    <definedName name="DCF_FCF_TotalSTDebtBV">#REF!</definedName>
    <definedName name="DCF_FCF_TotalSTDebtBVMan" localSheetId="4">#REF!</definedName>
    <definedName name="DCF_FCF_TotalSTDebtBVMan" localSheetId="9">#REF!</definedName>
    <definedName name="DCF_FCF_TotalSTDebtBVMan">#REF!</definedName>
    <definedName name="DCF_FCF_TotalSTDebtMV" localSheetId="4">#REF!</definedName>
    <definedName name="DCF_FCF_TotalSTDebtMV" localSheetId="9">#REF!</definedName>
    <definedName name="DCF_FCF_TotalSTDebtMV">#REF!</definedName>
    <definedName name="DCF_FCF_TotalSTDebtMVMan" localSheetId="4">#REF!</definedName>
    <definedName name="DCF_FCF_TotalSTDebtMVMan" localSheetId="9">#REF!</definedName>
    <definedName name="DCF_FCF_TotalSTDebtMVMan">#REF!</definedName>
    <definedName name="DCF_FCF_UnleveragedCashFlow" localSheetId="4">#REF!</definedName>
    <definedName name="DCF_FCF_UnleveragedCashFlow" localSheetId="9">#REF!</definedName>
    <definedName name="DCF_FCF_UnleveragedCashFlow">#REF!</definedName>
    <definedName name="DCF_FCF_UnleveragedCashFlowCalc" localSheetId="4">#REF!</definedName>
    <definedName name="DCF_FCF_UnleveragedCashFlowCalc" localSheetId="9">#REF!</definedName>
    <definedName name="DCF_FCF_UnleveragedCashFlowCalc">#REF!</definedName>
    <definedName name="DCF_FCF_UnleveragedCashFlowMan" localSheetId="4">#REF!</definedName>
    <definedName name="DCF_FCF_UnleveragedCashFlowMan" localSheetId="9">#REF!</definedName>
    <definedName name="DCF_FCF_UnleveragedCashFlowMan">#REF!</definedName>
    <definedName name="DCF_FCF_WACC" localSheetId="4">#REF!</definedName>
    <definedName name="DCF_FCF_WACC" localSheetId="9">#REF!</definedName>
    <definedName name="DCF_FCF_WACC">#REF!</definedName>
    <definedName name="DCF_GL_SwitchAmortization" localSheetId="4">#REF!</definedName>
    <definedName name="DCF_GL_SwitchAmortization" localSheetId="9">#REF!</definedName>
    <definedName name="DCF_GL_SwitchAmortization">#REF!</definedName>
    <definedName name="DCF_P" localSheetId="4">#REF!</definedName>
    <definedName name="DCF_P" localSheetId="9">#REF!</definedName>
    <definedName name="DCF_P">#REF!</definedName>
    <definedName name="dcf_sensit" localSheetId="4">#REF!</definedName>
    <definedName name="dcf_sensit" localSheetId="5">#REF!</definedName>
    <definedName name="dcf_sensit" localSheetId="15">#REF!</definedName>
    <definedName name="dcf_sensit" localSheetId="19">#REF!</definedName>
    <definedName name="dcf_sensit" localSheetId="18">#REF!</definedName>
    <definedName name="dcf_sensit" localSheetId="14">#REF!</definedName>
    <definedName name="dcf_sensit" localSheetId="12">#REF!</definedName>
    <definedName name="dcf_sensit" localSheetId="24">#REF!</definedName>
    <definedName name="dcf_sensit" localSheetId="7">#REF!</definedName>
    <definedName name="dcf_sensit" localSheetId="20">#REF!</definedName>
    <definedName name="dcf_sensit" localSheetId="21">#REF!</definedName>
    <definedName name="dcf_sensit" localSheetId="11">#REF!</definedName>
    <definedName name="dcf_sensit" localSheetId="17">#REF!</definedName>
    <definedName name="dcf_sensit" localSheetId="16">#REF!</definedName>
    <definedName name="dcf_sensit" localSheetId="22">#REF!</definedName>
    <definedName name="dcf_sensit" localSheetId="9">#REF!</definedName>
    <definedName name="dcf_sensit" localSheetId="13">#REF!</definedName>
    <definedName name="dcf_sensit" localSheetId="23">#REF!</definedName>
    <definedName name="dcf_sensit">#REF!</definedName>
    <definedName name="DCFautoaxle" localSheetId="4">#REF!</definedName>
    <definedName name="DCFautoaxle" localSheetId="5">#REF!</definedName>
    <definedName name="DCFautoaxle" localSheetId="15">#REF!</definedName>
    <definedName name="DCFautoaxle" localSheetId="19">#REF!</definedName>
    <definedName name="DCFautoaxle" localSheetId="18">#REF!</definedName>
    <definedName name="DCFautoaxle" localSheetId="14">#REF!</definedName>
    <definedName name="DCFautoaxle" localSheetId="12">#REF!</definedName>
    <definedName name="DCFautoaxle" localSheetId="24">#REF!</definedName>
    <definedName name="DCFautoaxle" localSheetId="7">#REF!</definedName>
    <definedName name="DCFautoaxle" localSheetId="20">#REF!</definedName>
    <definedName name="DCFautoaxle" localSheetId="21">#REF!</definedName>
    <definedName name="DCFautoaxle" localSheetId="11">#REF!</definedName>
    <definedName name="DCFautoaxle" localSheetId="17">#REF!</definedName>
    <definedName name="DCFautoaxle" localSheetId="16">#REF!</definedName>
    <definedName name="DCFautoaxle" localSheetId="22">#REF!</definedName>
    <definedName name="DCFautoaxle" localSheetId="9">#REF!</definedName>
    <definedName name="DCFautoaxle" localSheetId="13">#REF!</definedName>
    <definedName name="DCFautoaxle" localSheetId="23">#REF!</definedName>
    <definedName name="DCFautoaxle">#REF!</definedName>
    <definedName name="DCFVA_1_BM11" localSheetId="4">#REF!</definedName>
    <definedName name="DCFVA_1_BM11" localSheetId="5">#REF!</definedName>
    <definedName name="DCFVA_1_BM11" localSheetId="15">#REF!</definedName>
    <definedName name="DCFVA_1_BM11" localSheetId="19">#REF!</definedName>
    <definedName name="DCFVA_1_BM11" localSheetId="18">#REF!</definedName>
    <definedName name="DCFVA_1_BM11" localSheetId="14">#REF!</definedName>
    <definedName name="DCFVA_1_BM11" localSheetId="12">#REF!</definedName>
    <definedName name="DCFVA_1_BM11" localSheetId="24">#REF!</definedName>
    <definedName name="DCFVA_1_BM11" localSheetId="7">#REF!</definedName>
    <definedName name="DCFVA_1_BM11" localSheetId="20">#REF!</definedName>
    <definedName name="DCFVA_1_BM11" localSheetId="21">#REF!</definedName>
    <definedName name="DCFVA_1_BM11" localSheetId="11">#REF!</definedName>
    <definedName name="DCFVA_1_BM11" localSheetId="17">#REF!</definedName>
    <definedName name="DCFVA_1_BM11" localSheetId="16">#REF!</definedName>
    <definedName name="DCFVA_1_BM11" localSheetId="22">#REF!</definedName>
    <definedName name="DCFVA_1_BM11" localSheetId="9">#REF!</definedName>
    <definedName name="DCFVA_1_BM11" localSheetId="13">#REF!</definedName>
    <definedName name="DCFVA_1_BM11" localSheetId="23">#REF!</definedName>
    <definedName name="DCFVA_1_BM11">#REF!</definedName>
    <definedName name="DCFVA_1_BM12" localSheetId="4">#REF!</definedName>
    <definedName name="DCFVA_1_BM12" localSheetId="5">#REF!</definedName>
    <definedName name="DCFVA_1_BM12" localSheetId="15">#REF!</definedName>
    <definedName name="DCFVA_1_BM12" localSheetId="19">#REF!</definedName>
    <definedName name="DCFVA_1_BM12" localSheetId="18">#REF!</definedName>
    <definedName name="DCFVA_1_BM12" localSheetId="14">#REF!</definedName>
    <definedName name="DCFVA_1_BM12" localSheetId="12">#REF!</definedName>
    <definedName name="DCFVA_1_BM12" localSheetId="24">#REF!</definedName>
    <definedName name="DCFVA_1_BM12" localSheetId="7">#REF!</definedName>
    <definedName name="DCFVA_1_BM12" localSheetId="20">#REF!</definedName>
    <definedName name="DCFVA_1_BM12" localSheetId="21">#REF!</definedName>
    <definedName name="DCFVA_1_BM12" localSheetId="11">#REF!</definedName>
    <definedName name="DCFVA_1_BM12" localSheetId="17">#REF!</definedName>
    <definedName name="DCFVA_1_BM12" localSheetId="16">#REF!</definedName>
    <definedName name="DCFVA_1_BM12" localSheetId="22">#REF!</definedName>
    <definedName name="DCFVA_1_BM12" localSheetId="9">#REF!</definedName>
    <definedName name="DCFVA_1_BM12" localSheetId="13">#REF!</definedName>
    <definedName name="DCFVA_1_BM12" localSheetId="23">#REF!</definedName>
    <definedName name="DCFVA_1_BM12">#REF!</definedName>
    <definedName name="DCFVA_1_BM13" localSheetId="4">#REF!</definedName>
    <definedName name="DCFVA_1_BM13" localSheetId="5">#REF!</definedName>
    <definedName name="DCFVA_1_BM13" localSheetId="15">#REF!</definedName>
    <definedName name="DCFVA_1_BM13" localSheetId="19">#REF!</definedName>
    <definedName name="DCFVA_1_BM13" localSheetId="18">#REF!</definedName>
    <definedName name="DCFVA_1_BM13" localSheetId="14">#REF!</definedName>
    <definedName name="DCFVA_1_BM13" localSheetId="12">#REF!</definedName>
    <definedName name="DCFVA_1_BM13" localSheetId="24">#REF!</definedName>
    <definedName name="DCFVA_1_BM13" localSheetId="7">#REF!</definedName>
    <definedName name="DCFVA_1_BM13" localSheetId="20">#REF!</definedName>
    <definedName name="DCFVA_1_BM13" localSheetId="21">#REF!</definedName>
    <definedName name="DCFVA_1_BM13" localSheetId="11">#REF!</definedName>
    <definedName name="DCFVA_1_BM13" localSheetId="17">#REF!</definedName>
    <definedName name="DCFVA_1_BM13" localSheetId="16">#REF!</definedName>
    <definedName name="DCFVA_1_BM13" localSheetId="22">#REF!</definedName>
    <definedName name="DCFVA_1_BM13" localSheetId="9">#REF!</definedName>
    <definedName name="DCFVA_1_BM13" localSheetId="13">#REF!</definedName>
    <definedName name="DCFVA_1_BM13" localSheetId="23">#REF!</definedName>
    <definedName name="DCFVA_1_BM13">#REF!</definedName>
    <definedName name="DCFVA_1_BM14" localSheetId="4">#REF!</definedName>
    <definedName name="DCFVA_1_BM14" localSheetId="9">#REF!</definedName>
    <definedName name="DCFVA_1_BM14">#REF!</definedName>
    <definedName name="DCFVA_1_BM15" localSheetId="4">#REF!</definedName>
    <definedName name="DCFVA_1_BM15" localSheetId="9">#REF!</definedName>
    <definedName name="DCFVA_1_BM15">#REF!</definedName>
    <definedName name="DCFVA_1_BM17" localSheetId="4">#REF!</definedName>
    <definedName name="DCFVA_1_BM17" localSheetId="9">#REF!</definedName>
    <definedName name="DCFVA_1_BM17">#REF!</definedName>
    <definedName name="DCFVA_1_BM18" localSheetId="4">#REF!</definedName>
    <definedName name="DCFVA_1_BM18" localSheetId="9">#REF!</definedName>
    <definedName name="DCFVA_1_BM18">#REF!</definedName>
    <definedName name="DCFVA_1_BM19" localSheetId="4">#REF!</definedName>
    <definedName name="DCFVA_1_BM19" localSheetId="9">#REF!</definedName>
    <definedName name="DCFVA_1_BM19">#REF!</definedName>
    <definedName name="DCFVA_1_BM21" localSheetId="4">#REF!</definedName>
    <definedName name="DCFVA_1_BM21" localSheetId="9">#REF!</definedName>
    <definedName name="DCFVA_1_BM21">#REF!</definedName>
    <definedName name="DCFVA_1_BM22_P0" localSheetId="4">#REF!</definedName>
    <definedName name="DCFVA_1_BM22_P0" localSheetId="9">#REF!</definedName>
    <definedName name="DCFVA_1_BM22_P0">#REF!</definedName>
    <definedName name="DCFVA_1_BM23_P0" localSheetId="4">#REF!</definedName>
    <definedName name="DCFVA_1_BM23_P0" localSheetId="9">#REF!</definedName>
    <definedName name="DCFVA_1_BM23_P0">#REF!</definedName>
    <definedName name="DCFVA_1_BM24_N2" localSheetId="4">#REF!</definedName>
    <definedName name="DCFVA_1_BM24_N2" localSheetId="9">#REF!</definedName>
    <definedName name="DCFVA_1_BM24_N2">#REF!</definedName>
    <definedName name="DCFVA_1_BM25_P1" localSheetId="4">#REF!</definedName>
    <definedName name="DCFVA_1_BM25_P1" localSheetId="9">#REF!</definedName>
    <definedName name="DCFVA_1_BM25_P1">#REF!</definedName>
    <definedName name="DCFVA_1_BM27" localSheetId="4">#REF!</definedName>
    <definedName name="DCFVA_1_BM27" localSheetId="9">#REF!</definedName>
    <definedName name="DCFVA_1_BM27">#REF!</definedName>
    <definedName name="DCFVA_1_BM28_N0" localSheetId="4">#REF!</definedName>
    <definedName name="DCFVA_1_BM28_N0" localSheetId="9">#REF!</definedName>
    <definedName name="DCFVA_1_BM28_N0">#REF!</definedName>
    <definedName name="DCFVA_1_BM29_N0" localSheetId="4">#REF!</definedName>
    <definedName name="DCFVA_1_BM29_N0" localSheetId="9">#REF!</definedName>
    <definedName name="DCFVA_1_BM29_N0">#REF!</definedName>
    <definedName name="DCFVA_1_BM31" localSheetId="4">#REF!</definedName>
    <definedName name="DCFVA_1_BM31" localSheetId="9">#REF!</definedName>
    <definedName name="DCFVA_1_BM31">#REF!</definedName>
    <definedName name="DCFVA_1_BM32_P0" localSheetId="4">#REF!</definedName>
    <definedName name="DCFVA_1_BM32_P0" localSheetId="9">#REF!</definedName>
    <definedName name="DCFVA_1_BM32_P0">#REF!</definedName>
    <definedName name="DCFVA_1_BM33_P0" localSheetId="4">#REF!</definedName>
    <definedName name="DCFVA_1_BM33_P0" localSheetId="9">#REF!</definedName>
    <definedName name="DCFVA_1_BM33_P0">#REF!</definedName>
    <definedName name="DCFVA_1_BM34_N2" localSheetId="4">#REF!</definedName>
    <definedName name="DCFVA_1_BM34_N2" localSheetId="9">#REF!</definedName>
    <definedName name="DCFVA_1_BM34_N2">#REF!</definedName>
    <definedName name="DCFVA_1_BM35_P1" localSheetId="4">#REF!</definedName>
    <definedName name="DCFVA_1_BM35_P1" localSheetId="9">#REF!</definedName>
    <definedName name="DCFVA_1_BM35_P1">#REF!</definedName>
    <definedName name="DCFVA_1_BM37" localSheetId="4">#REF!</definedName>
    <definedName name="DCFVA_1_BM37" localSheetId="9">#REF!</definedName>
    <definedName name="DCFVA_1_BM37">#REF!</definedName>
    <definedName name="DCFVA_1_BM38_N0" localSheetId="4">#REF!</definedName>
    <definedName name="DCFVA_1_BM38_N0" localSheetId="9">#REF!</definedName>
    <definedName name="DCFVA_1_BM38_N0">#REF!</definedName>
    <definedName name="DCFVA_1_BM39_P0" localSheetId="4">#REF!</definedName>
    <definedName name="DCFVA_1_BM39_P0" localSheetId="9">#REF!</definedName>
    <definedName name="DCFVA_1_BM39_P0">#REF!</definedName>
    <definedName name="DCFVA_1_BM41" localSheetId="4">#REF!</definedName>
    <definedName name="DCFVA_1_BM41" localSheetId="9">#REF!</definedName>
    <definedName name="DCFVA_1_BM41">#REF!</definedName>
    <definedName name="DCFVA_1_BM42_P0" localSheetId="4">#REF!</definedName>
    <definedName name="DCFVA_1_BM42_P0" localSheetId="9">#REF!</definedName>
    <definedName name="DCFVA_1_BM42_P0">#REF!</definedName>
    <definedName name="DCFVA_1_BM43_P0" localSheetId="4">#REF!</definedName>
    <definedName name="DCFVA_1_BM43_P0" localSheetId="9">#REF!</definedName>
    <definedName name="DCFVA_1_BM43_P0">#REF!</definedName>
    <definedName name="DCFVA_1_BM44_N2" localSheetId="4">#REF!</definedName>
    <definedName name="DCFVA_1_BM44_N2" localSheetId="9">#REF!</definedName>
    <definedName name="DCFVA_1_BM44_N2">#REF!</definedName>
    <definedName name="DCFVA_1_BM45_P1" localSheetId="4">#REF!</definedName>
    <definedName name="DCFVA_1_BM45_P1" localSheetId="9">#REF!</definedName>
    <definedName name="DCFVA_1_BM45_P1">#REF!</definedName>
    <definedName name="DCFVA_1_BM47" localSheetId="4">#REF!</definedName>
    <definedName name="DCFVA_1_BM47" localSheetId="9">#REF!</definedName>
    <definedName name="DCFVA_1_BM47">#REF!</definedName>
    <definedName name="DCFVA_1_BM48_N0" localSheetId="4">#REF!</definedName>
    <definedName name="DCFVA_1_BM48_N0" localSheetId="9">#REF!</definedName>
    <definedName name="DCFVA_1_BM48_N0">#REF!</definedName>
    <definedName name="DCFVA_1_BM49_N0" localSheetId="4">#REF!</definedName>
    <definedName name="DCFVA_1_BM49_N0" localSheetId="9">#REF!</definedName>
    <definedName name="DCFVA_1_BM49_N0">#REF!</definedName>
    <definedName name="DCFVA_1_BM51" localSheetId="4">#REF!</definedName>
    <definedName name="DCFVA_1_BM51" localSheetId="9">#REF!</definedName>
    <definedName name="DCFVA_1_BM51">#REF!</definedName>
    <definedName name="DCFVA_1_BM52_P0" localSheetId="4">#REF!</definedName>
    <definedName name="DCFVA_1_BM52_P0" localSheetId="9">#REF!</definedName>
    <definedName name="DCFVA_1_BM52_P0">#REF!</definedName>
    <definedName name="DCFVA_1_BM53_P0" localSheetId="4">#REF!</definedName>
    <definedName name="DCFVA_1_BM53_P0" localSheetId="9">#REF!</definedName>
    <definedName name="DCFVA_1_BM53_P0">#REF!</definedName>
    <definedName name="DCFVA_1_BM54_N2" localSheetId="4">#REF!</definedName>
    <definedName name="DCFVA_1_BM54_N2" localSheetId="9">#REF!</definedName>
    <definedName name="DCFVA_1_BM54_N2">#REF!</definedName>
    <definedName name="DCFVA_1_BM55_P1" localSheetId="4">#REF!</definedName>
    <definedName name="DCFVA_1_BM55_P1" localSheetId="9">#REF!</definedName>
    <definedName name="DCFVA_1_BM55_P1">#REF!</definedName>
    <definedName name="DCFVA_1_BM57" localSheetId="4">#REF!</definedName>
    <definedName name="DCFVA_1_BM57" localSheetId="9">#REF!</definedName>
    <definedName name="DCFVA_1_BM57">#REF!</definedName>
    <definedName name="DCFVA_1_BM58_N0" localSheetId="4">#REF!</definedName>
    <definedName name="DCFVA_1_BM58_N0" localSheetId="9">#REF!</definedName>
    <definedName name="DCFVA_1_BM58_N0">#REF!</definedName>
    <definedName name="DCFVA_1_BM59_N0" localSheetId="4">#REF!</definedName>
    <definedName name="DCFVA_1_BM59_N0" localSheetId="9">#REF!</definedName>
    <definedName name="DCFVA_1_BM59_N0">#REF!</definedName>
    <definedName name="DCFVA_1_BM61" localSheetId="4">#REF!</definedName>
    <definedName name="DCFVA_1_BM61" localSheetId="9">#REF!</definedName>
    <definedName name="DCFVA_1_BM61">#REF!</definedName>
    <definedName name="DCFVA_1_BM62_P0" localSheetId="4">#REF!</definedName>
    <definedName name="DCFVA_1_BM62_P0" localSheetId="9">#REF!</definedName>
    <definedName name="DCFVA_1_BM62_P0">#REF!</definedName>
    <definedName name="DCFVA_1_BM63_P0" localSheetId="4">#REF!</definedName>
    <definedName name="DCFVA_1_BM63_P0" localSheetId="9">#REF!</definedName>
    <definedName name="DCFVA_1_BM63_P0">#REF!</definedName>
    <definedName name="DCFVA_1_BM64_N2" localSheetId="4">#REF!</definedName>
    <definedName name="DCFVA_1_BM64_N2" localSheetId="9">#REF!</definedName>
    <definedName name="DCFVA_1_BM64_N2">#REF!</definedName>
    <definedName name="DCFVA_1_BM65_P1" localSheetId="4">#REF!</definedName>
    <definedName name="DCFVA_1_BM65_P1" localSheetId="9">#REF!</definedName>
    <definedName name="DCFVA_1_BM65_P1">#REF!</definedName>
    <definedName name="DCFVA_1_BM67" localSheetId="4">#REF!</definedName>
    <definedName name="DCFVA_1_BM67" localSheetId="9">#REF!</definedName>
    <definedName name="DCFVA_1_BM67">#REF!</definedName>
    <definedName name="DCFVA_1_BM68_N0" localSheetId="4">#REF!</definedName>
    <definedName name="DCFVA_1_BM68_N0" localSheetId="9">#REF!</definedName>
    <definedName name="DCFVA_1_BM68_N0">#REF!</definedName>
    <definedName name="DCFVA_1_BM69_N0" localSheetId="4">#REF!</definedName>
    <definedName name="DCFVA_1_BM69_N0" localSheetId="9">#REF!</definedName>
    <definedName name="DCFVA_1_BM69_N0">#REF!</definedName>
    <definedName name="DCFVA_BM11" localSheetId="4">#REF!</definedName>
    <definedName name="DCFVA_BM11" localSheetId="9">#REF!</definedName>
    <definedName name="DCFVA_BM11">#REF!</definedName>
    <definedName name="DCFVA_BM12_P1" localSheetId="4">#REF!</definedName>
    <definedName name="DCFVA_BM12_P1" localSheetId="9">#REF!</definedName>
    <definedName name="DCFVA_BM12_P1">#REF!</definedName>
    <definedName name="DCFVA_BM21" localSheetId="4">#REF!</definedName>
    <definedName name="DCFVA_BM21" localSheetId="9">#REF!</definedName>
    <definedName name="DCFVA_BM21">#REF!</definedName>
    <definedName name="DCFVA_BM22_N1" localSheetId="4">#REF!</definedName>
    <definedName name="DCFVA_BM22_N1" localSheetId="9">#REF!</definedName>
    <definedName name="DCFVA_BM22_N1">#REF!</definedName>
    <definedName name="DCFVA_BM31" localSheetId="4">#REF!</definedName>
    <definedName name="DCFVA_BM31" localSheetId="9">#REF!</definedName>
    <definedName name="DCFVA_BM31">#REF!</definedName>
    <definedName name="DCFVA_BM32_P1" localSheetId="4">#REF!</definedName>
    <definedName name="DCFVA_BM32_P1" localSheetId="9">#REF!</definedName>
    <definedName name="DCFVA_BM32_P1">#REF!</definedName>
    <definedName name="DCFVA_BM41" localSheetId="4">#REF!</definedName>
    <definedName name="DCFVA_BM41" localSheetId="9">#REF!</definedName>
    <definedName name="DCFVA_BM41">#REF!</definedName>
    <definedName name="DCFVA_BM42_P1" localSheetId="4">#REF!</definedName>
    <definedName name="DCFVA_BM42_P1" localSheetId="9">#REF!</definedName>
    <definedName name="DCFVA_BM42_P1">#REF!</definedName>
    <definedName name="DCFVA_BM51" localSheetId="4">#REF!</definedName>
    <definedName name="DCFVA_BM51" localSheetId="9">#REF!</definedName>
    <definedName name="DCFVA_BM51">#REF!</definedName>
    <definedName name="DCFVA_BM52_P1" localSheetId="4">#REF!</definedName>
    <definedName name="DCFVA_BM52_P1" localSheetId="9">#REF!</definedName>
    <definedName name="DCFVA_BM52_P1">#REF!</definedName>
    <definedName name="dd">#REF!</definedName>
    <definedName name="ddf" localSheetId="4" hidden="1">{"'PS-SOTM'!$A$1","'PS-SOTM'!$A$2:$M$30","'PS-SOTM'!$A$31:$A$38"}</definedName>
    <definedName name="ddf" localSheetId="9" hidden="1">{"'PS-SOTM'!$A$1","'PS-SOTM'!$A$2:$M$30","'PS-SOTM'!$A$31:$A$38"}</definedName>
    <definedName name="ddf" hidden="1">{"'PS-SOTM'!$A$1","'PS-SOTM'!$A$2:$M$30","'PS-SOTM'!$A$31:$A$38"}</definedName>
    <definedName name="DDT">#REF!</definedName>
    <definedName name="Debenture_Redemption_Reserve">#REF!</definedName>
    <definedName name="debentures">#REF!</definedName>
    <definedName name="Debentures_total">#REF!</definedName>
    <definedName name="Debt" localSheetId="4">#REF!</definedName>
    <definedName name="Debt" localSheetId="9">#REF!</definedName>
    <definedName name="Debt">#REF!</definedName>
    <definedName name="debt_at_mv">#REF!</definedName>
    <definedName name="DEBT_CAP" localSheetId="4">#REF!</definedName>
    <definedName name="DEBT_CAP" localSheetId="5">#REF!</definedName>
    <definedName name="DEBT_CAP" localSheetId="15">#REF!</definedName>
    <definedName name="DEBT_CAP" localSheetId="19">#REF!</definedName>
    <definedName name="DEBT_CAP" localSheetId="18">#REF!</definedName>
    <definedName name="DEBT_CAP" localSheetId="14">#REF!</definedName>
    <definedName name="DEBT_CAP" localSheetId="12">#REF!</definedName>
    <definedName name="DEBT_CAP" localSheetId="24">#REF!</definedName>
    <definedName name="DEBT_CAP" localSheetId="7">#REF!</definedName>
    <definedName name="DEBT_CAP" localSheetId="20">#REF!</definedName>
    <definedName name="DEBT_CAP" localSheetId="21">#REF!</definedName>
    <definedName name="DEBT_CAP" localSheetId="11">#REF!</definedName>
    <definedName name="DEBT_CAP" localSheetId="17">#REF!</definedName>
    <definedName name="DEBT_CAP" localSheetId="16">#REF!</definedName>
    <definedName name="DEBT_CAP" localSheetId="22">#REF!</definedName>
    <definedName name="DEBT_CAP" localSheetId="9">#REF!</definedName>
    <definedName name="DEBT_CAP" localSheetId="13">#REF!</definedName>
    <definedName name="DEBT_CAP" localSheetId="23">#REF!</definedName>
    <definedName name="DEBT_CAP">#REF!</definedName>
    <definedName name="DEBT_EBITDA" localSheetId="4">#REF!</definedName>
    <definedName name="DEBT_EBITDA" localSheetId="5">#REF!</definedName>
    <definedName name="DEBT_EBITDA" localSheetId="15">#REF!</definedName>
    <definedName name="DEBT_EBITDA" localSheetId="19">#REF!</definedName>
    <definedName name="DEBT_EBITDA" localSheetId="18">#REF!</definedName>
    <definedName name="DEBT_EBITDA" localSheetId="14">#REF!</definedName>
    <definedName name="DEBT_EBITDA" localSheetId="12">#REF!</definedName>
    <definedName name="DEBT_EBITDA" localSheetId="24">#REF!</definedName>
    <definedName name="DEBT_EBITDA" localSheetId="7">#REF!</definedName>
    <definedName name="DEBT_EBITDA" localSheetId="20">#REF!</definedName>
    <definedName name="DEBT_EBITDA" localSheetId="21">#REF!</definedName>
    <definedName name="DEBT_EBITDA" localSheetId="11">#REF!</definedName>
    <definedName name="DEBT_EBITDA" localSheetId="17">#REF!</definedName>
    <definedName name="DEBT_EBITDA" localSheetId="16">#REF!</definedName>
    <definedName name="DEBT_EBITDA" localSheetId="22">#REF!</definedName>
    <definedName name="DEBT_EBITDA" localSheetId="9">#REF!</definedName>
    <definedName name="DEBT_EBITDA" localSheetId="13">#REF!</definedName>
    <definedName name="DEBT_EBITDA" localSheetId="23">#REF!</definedName>
    <definedName name="DEBT_EBITDA">#REF!</definedName>
    <definedName name="Debt_Equity" localSheetId="4">#REF!</definedName>
    <definedName name="Debt_Equity" localSheetId="9">#REF!</definedName>
    <definedName name="Debt_Equity">#REF!</definedName>
    <definedName name="Debt_growth" localSheetId="4">#REF!</definedName>
    <definedName name="Debt_growth" localSheetId="9">#REF!</definedName>
    <definedName name="Debt_growth">#REF!</definedName>
    <definedName name="Debt_Market_Cap_Ratio" localSheetId="4">#REF!</definedName>
    <definedName name="Debt_Market_Cap_Ratio" localSheetId="5">#REF!</definedName>
    <definedName name="Debt_Market_Cap_Ratio" localSheetId="15">#REF!</definedName>
    <definedName name="Debt_Market_Cap_Ratio" localSheetId="19">#REF!</definedName>
    <definedName name="Debt_Market_Cap_Ratio" localSheetId="18">#REF!</definedName>
    <definedName name="Debt_Market_Cap_Ratio" localSheetId="14">#REF!</definedName>
    <definedName name="Debt_Market_Cap_Ratio" localSheetId="12">#REF!</definedName>
    <definedName name="Debt_Market_Cap_Ratio" localSheetId="24">#REF!</definedName>
    <definedName name="Debt_Market_Cap_Ratio" localSheetId="7">#REF!</definedName>
    <definedName name="Debt_Market_Cap_Ratio" localSheetId="20">#REF!</definedName>
    <definedName name="Debt_Market_Cap_Ratio" localSheetId="21">#REF!</definedName>
    <definedName name="Debt_Market_Cap_Ratio" localSheetId="11">#REF!</definedName>
    <definedName name="Debt_Market_Cap_Ratio" localSheetId="17">#REF!</definedName>
    <definedName name="Debt_Market_Cap_Ratio" localSheetId="16">#REF!</definedName>
    <definedName name="Debt_Market_Cap_Ratio" localSheetId="22">#REF!</definedName>
    <definedName name="Debt_Market_Cap_Ratio" localSheetId="9">#REF!</definedName>
    <definedName name="Debt_Market_Cap_Ratio" localSheetId="13">#REF!</definedName>
    <definedName name="Debt_Market_Cap_Ratio" localSheetId="23">#REF!</definedName>
    <definedName name="Debt_Market_Cap_Ratio">#REF!</definedName>
    <definedName name="debt_raised_repaid" localSheetId="4">#REF!</definedName>
    <definedName name="debt_raised_repaid" localSheetId="5">#REF!</definedName>
    <definedName name="debt_raised_repaid" localSheetId="15">#REF!</definedName>
    <definedName name="debt_raised_repaid" localSheetId="19">#REF!</definedName>
    <definedName name="debt_raised_repaid" localSheetId="18">#REF!</definedName>
    <definedName name="debt_raised_repaid" localSheetId="14">#REF!</definedName>
    <definedName name="debt_raised_repaid" localSheetId="12">#REF!</definedName>
    <definedName name="debt_raised_repaid" localSheetId="24">#REF!</definedName>
    <definedName name="debt_raised_repaid" localSheetId="7">#REF!</definedName>
    <definedName name="debt_raised_repaid" localSheetId="20">#REF!</definedName>
    <definedName name="debt_raised_repaid" localSheetId="21">#REF!</definedName>
    <definedName name="debt_raised_repaid" localSheetId="11">#REF!</definedName>
    <definedName name="debt_raised_repaid" localSheetId="17">#REF!</definedName>
    <definedName name="debt_raised_repaid" localSheetId="16">#REF!</definedName>
    <definedName name="debt_raised_repaid" localSheetId="22">#REF!</definedName>
    <definedName name="debt_raised_repaid" localSheetId="9">#REF!</definedName>
    <definedName name="debt_raised_repaid" localSheetId="13">#REF!</definedName>
    <definedName name="debt_raised_repaid" localSheetId="23">#REF!</definedName>
    <definedName name="debt_raised_repaid">#REF!</definedName>
    <definedName name="debtors">#REF!</definedName>
    <definedName name="debtors_A">#REF!</definedName>
    <definedName name="DebtRpytCopy" localSheetId="4">#REF!</definedName>
    <definedName name="DebtRpytCopy" localSheetId="5">#REF!</definedName>
    <definedName name="DebtRpytCopy" localSheetId="15">#REF!</definedName>
    <definedName name="DebtRpytCopy" localSheetId="19">#REF!</definedName>
    <definedName name="DebtRpytCopy" localSheetId="18">#REF!</definedName>
    <definedName name="DebtRpytCopy" localSheetId="14">#REF!</definedName>
    <definedName name="DebtRpytCopy" localSheetId="12">#REF!</definedName>
    <definedName name="DebtRpytCopy" localSheetId="24">#REF!</definedName>
    <definedName name="DebtRpytCopy" localSheetId="7">#REF!</definedName>
    <definedName name="DebtRpytCopy" localSheetId="20">#REF!</definedName>
    <definedName name="DebtRpytCopy" localSheetId="21">#REF!</definedName>
    <definedName name="DebtRpytCopy" localSheetId="11">#REF!</definedName>
    <definedName name="DebtRpytCopy" localSheetId="17">#REF!</definedName>
    <definedName name="DebtRpytCopy" localSheetId="16">#REF!</definedName>
    <definedName name="DebtRpytCopy" localSheetId="22">#REF!</definedName>
    <definedName name="DebtRpytCopy" localSheetId="9">#REF!</definedName>
    <definedName name="DebtRpytCopy" localSheetId="13">#REF!</definedName>
    <definedName name="DebtRpytCopy" localSheetId="23">#REF!</definedName>
    <definedName name="DebtRpytCopy">#REF!</definedName>
    <definedName name="DebtRpytCopySum" localSheetId="4">#REF!</definedName>
    <definedName name="DebtRpytCopySum" localSheetId="5">#REF!</definedName>
    <definedName name="DebtRpytCopySum" localSheetId="15">#REF!</definedName>
    <definedName name="DebtRpytCopySum" localSheetId="19">#REF!</definedName>
    <definedName name="DebtRpytCopySum" localSheetId="18">#REF!</definedName>
    <definedName name="DebtRpytCopySum" localSheetId="14">#REF!</definedName>
    <definedName name="DebtRpytCopySum" localSheetId="12">#REF!</definedName>
    <definedName name="DebtRpytCopySum" localSheetId="24">#REF!</definedName>
    <definedName name="DebtRpytCopySum" localSheetId="7">#REF!</definedName>
    <definedName name="DebtRpytCopySum" localSheetId="20">#REF!</definedName>
    <definedName name="DebtRpytCopySum" localSheetId="21">#REF!</definedName>
    <definedName name="DebtRpytCopySum" localSheetId="11">#REF!</definedName>
    <definedName name="DebtRpytCopySum" localSheetId="17">#REF!</definedName>
    <definedName name="DebtRpytCopySum" localSheetId="16">#REF!</definedName>
    <definedName name="DebtRpytCopySum" localSheetId="22">#REF!</definedName>
    <definedName name="DebtRpytCopySum" localSheetId="9">#REF!</definedName>
    <definedName name="DebtRpytCopySum" localSheetId="13">#REF!</definedName>
    <definedName name="DebtRpytCopySum" localSheetId="23">#REF!</definedName>
    <definedName name="DebtRpytCopySum">#REF!</definedName>
    <definedName name="DebtRpytOrig" localSheetId="4">#REF!</definedName>
    <definedName name="DebtRpytOrig" localSheetId="5">#REF!</definedName>
    <definedName name="DebtRpytOrig" localSheetId="15">#REF!</definedName>
    <definedName name="DebtRpytOrig" localSheetId="19">#REF!</definedName>
    <definedName name="DebtRpytOrig" localSheetId="18">#REF!</definedName>
    <definedName name="DebtRpytOrig" localSheetId="14">#REF!</definedName>
    <definedName name="DebtRpytOrig" localSheetId="12">#REF!</definedName>
    <definedName name="DebtRpytOrig" localSheetId="24">#REF!</definedName>
    <definedName name="DebtRpytOrig" localSheetId="7">#REF!</definedName>
    <definedName name="DebtRpytOrig" localSheetId="20">#REF!</definedName>
    <definedName name="DebtRpytOrig" localSheetId="21">#REF!</definedName>
    <definedName name="DebtRpytOrig" localSheetId="11">#REF!</definedName>
    <definedName name="DebtRpytOrig" localSheetId="17">#REF!</definedName>
    <definedName name="DebtRpytOrig" localSheetId="16">#REF!</definedName>
    <definedName name="DebtRpytOrig" localSheetId="22">#REF!</definedName>
    <definedName name="DebtRpytOrig" localSheetId="9">#REF!</definedName>
    <definedName name="DebtRpytOrig" localSheetId="13">#REF!</definedName>
    <definedName name="DebtRpytOrig" localSheetId="23">#REF!</definedName>
    <definedName name="DebtRpytOrig">#REF!</definedName>
    <definedName name="DebtRpytOrigSum" localSheetId="4">#REF!</definedName>
    <definedName name="DebtRpytOrigSum" localSheetId="9">#REF!</definedName>
    <definedName name="DebtRpytOrigSum">#REF!</definedName>
    <definedName name="DEBTS" localSheetId="4">#REF!</definedName>
    <definedName name="DEBTS" localSheetId="9">#REF!</definedName>
    <definedName name="DEBTS">#REF!</definedName>
    <definedName name="DecInvoice">#REF!</definedName>
    <definedName name="decrease_increase_in_stocks">#REF!</definedName>
    <definedName name="Deduction_Orig" localSheetId="4">#REF!</definedName>
    <definedName name="Deduction_Orig" localSheetId="5">#REF!</definedName>
    <definedName name="Deduction_Orig" localSheetId="15">#REF!</definedName>
    <definedName name="Deduction_Orig" localSheetId="19">#REF!</definedName>
    <definedName name="Deduction_Orig" localSheetId="18">#REF!</definedName>
    <definedName name="Deduction_Orig" localSheetId="14">#REF!</definedName>
    <definedName name="Deduction_Orig" localSheetId="12">#REF!</definedName>
    <definedName name="Deduction_Orig" localSheetId="24">#REF!</definedName>
    <definedName name="Deduction_Orig" localSheetId="7">#REF!</definedName>
    <definedName name="Deduction_Orig" localSheetId="20">#REF!</definedName>
    <definedName name="Deduction_Orig" localSheetId="21">#REF!</definedName>
    <definedName name="Deduction_Orig" localSheetId="11">#REF!</definedName>
    <definedName name="Deduction_Orig" localSheetId="17">#REF!</definedName>
    <definedName name="Deduction_Orig" localSheetId="16">#REF!</definedName>
    <definedName name="Deduction_Orig" localSheetId="22">#REF!</definedName>
    <definedName name="Deduction_Orig" localSheetId="9">#REF!</definedName>
    <definedName name="Deduction_Orig" localSheetId="13">#REF!</definedName>
    <definedName name="Deduction_Orig" localSheetId="23">#REF!</definedName>
    <definedName name="Deduction_Orig">#REF!</definedName>
    <definedName name="Deduction_Orig_Sum" localSheetId="4">#REF!</definedName>
    <definedName name="Deduction_Orig_Sum" localSheetId="5">#REF!</definedName>
    <definedName name="Deduction_Orig_Sum" localSheetId="15">#REF!</definedName>
    <definedName name="Deduction_Orig_Sum" localSheetId="19">#REF!</definedName>
    <definedName name="Deduction_Orig_Sum" localSheetId="18">#REF!</definedName>
    <definedName name="Deduction_Orig_Sum" localSheetId="14">#REF!</definedName>
    <definedName name="Deduction_Orig_Sum" localSheetId="12">#REF!</definedName>
    <definedName name="Deduction_Orig_Sum" localSheetId="24">#REF!</definedName>
    <definedName name="Deduction_Orig_Sum" localSheetId="7">#REF!</definedName>
    <definedName name="Deduction_Orig_Sum" localSheetId="20">#REF!</definedName>
    <definedName name="Deduction_Orig_Sum" localSheetId="21">#REF!</definedName>
    <definedName name="Deduction_Orig_Sum" localSheetId="11">#REF!</definedName>
    <definedName name="Deduction_Orig_Sum" localSheetId="17">#REF!</definedName>
    <definedName name="Deduction_Orig_Sum" localSheetId="16">#REF!</definedName>
    <definedName name="Deduction_Orig_Sum" localSheetId="22">#REF!</definedName>
    <definedName name="Deduction_Orig_Sum" localSheetId="9">#REF!</definedName>
    <definedName name="Deduction_Orig_Sum" localSheetId="13">#REF!</definedName>
    <definedName name="Deduction_Orig_Sum" localSheetId="23">#REF!</definedName>
    <definedName name="Deduction_Orig_Sum">#REF!</definedName>
    <definedName name="deferred_tax">#REF!</definedName>
    <definedName name="deferred_tax_A">#REF!</definedName>
    <definedName name="Deferred_tax_asset" localSheetId="4">#REF!</definedName>
    <definedName name="Deferred_tax_asset" localSheetId="9">#REF!</definedName>
    <definedName name="Deferred_tax_asset">#REF!</definedName>
    <definedName name="Deferred_tax_asset_growth_fore" localSheetId="4">#REF!</definedName>
    <definedName name="Deferred_tax_asset_growth_fore" localSheetId="5">#REF!</definedName>
    <definedName name="Deferred_tax_asset_growth_fore" localSheetId="15">#REF!</definedName>
    <definedName name="Deferred_tax_asset_growth_fore" localSheetId="19">#REF!</definedName>
    <definedName name="Deferred_tax_asset_growth_fore" localSheetId="18">#REF!</definedName>
    <definedName name="Deferred_tax_asset_growth_fore" localSheetId="14">#REF!</definedName>
    <definedName name="Deferred_tax_asset_growth_fore" localSheetId="12">#REF!</definedName>
    <definedName name="Deferred_tax_asset_growth_fore" localSheetId="24">#REF!</definedName>
    <definedName name="Deferred_tax_asset_growth_fore" localSheetId="7">#REF!</definedName>
    <definedName name="Deferred_tax_asset_growth_fore" localSheetId="20">#REF!</definedName>
    <definedName name="Deferred_tax_asset_growth_fore" localSheetId="21">#REF!</definedName>
    <definedName name="Deferred_tax_asset_growth_fore" localSheetId="11">#REF!</definedName>
    <definedName name="Deferred_tax_asset_growth_fore" localSheetId="17">#REF!</definedName>
    <definedName name="Deferred_tax_asset_growth_fore" localSheetId="16">#REF!</definedName>
    <definedName name="Deferred_tax_asset_growth_fore" localSheetId="22">#REF!</definedName>
    <definedName name="Deferred_tax_asset_growth_fore" localSheetId="9">#REF!</definedName>
    <definedName name="Deferred_tax_asset_growth_fore" localSheetId="13">#REF!</definedName>
    <definedName name="Deferred_tax_asset_growth_fore" localSheetId="23">#REF!</definedName>
    <definedName name="Deferred_tax_asset_growth_fore">#REF!</definedName>
    <definedName name="deferred_tax_assets">#REF!</definedName>
    <definedName name="deferred_tax_assets_A">#REF!</definedName>
    <definedName name="Deferred_Tax_for_Current_Year">#REF!</definedName>
    <definedName name="deferred_tax_liabilities">#REF!</definedName>
    <definedName name="deferred_tax_liabilities_A">#REF!</definedName>
    <definedName name="Deferred_tax_liability" localSheetId="4">#REF!</definedName>
    <definedName name="Deferred_tax_liability" localSheetId="9">#REF!</definedName>
    <definedName name="Deferred_tax_liability">#REF!</definedName>
    <definedName name="Deferred_tax_liability_BS">#REF!</definedName>
    <definedName name="Deferred_tax_liability_growth_fore" localSheetId="4">#REF!</definedName>
    <definedName name="Deferred_tax_liability_growth_fore" localSheetId="5">#REF!</definedName>
    <definedName name="Deferred_tax_liability_growth_fore" localSheetId="15">#REF!</definedName>
    <definedName name="Deferred_tax_liability_growth_fore" localSheetId="19">#REF!</definedName>
    <definedName name="Deferred_tax_liability_growth_fore" localSheetId="18">#REF!</definedName>
    <definedName name="Deferred_tax_liability_growth_fore" localSheetId="14">#REF!</definedName>
    <definedName name="Deferred_tax_liability_growth_fore" localSheetId="12">#REF!</definedName>
    <definedName name="Deferred_tax_liability_growth_fore" localSheetId="24">#REF!</definedName>
    <definedName name="Deferred_tax_liability_growth_fore" localSheetId="7">#REF!</definedName>
    <definedName name="Deferred_tax_liability_growth_fore" localSheetId="20">#REF!</definedName>
    <definedName name="Deferred_tax_liability_growth_fore" localSheetId="21">#REF!</definedName>
    <definedName name="Deferred_tax_liability_growth_fore" localSheetId="11">#REF!</definedName>
    <definedName name="Deferred_tax_liability_growth_fore" localSheetId="17">#REF!</definedName>
    <definedName name="Deferred_tax_liability_growth_fore" localSheetId="16">#REF!</definedName>
    <definedName name="Deferred_tax_liability_growth_fore" localSheetId="22">#REF!</definedName>
    <definedName name="Deferred_tax_liability_growth_fore" localSheetId="9">#REF!</definedName>
    <definedName name="Deferred_tax_liability_growth_fore" localSheetId="13">#REF!</definedName>
    <definedName name="Deferred_tax_liability_growth_fore" localSheetId="23">#REF!</definedName>
    <definedName name="Deferred_tax_liability_growth_fore">#REF!</definedName>
    <definedName name="Deferred_Tax_Liability_Q" localSheetId="4">#REF!</definedName>
    <definedName name="Deferred_Tax_Liability_Q" localSheetId="5">#REF!</definedName>
    <definedName name="Deferred_Tax_Liability_Q" localSheetId="15">#REF!</definedName>
    <definedName name="Deferred_Tax_Liability_Q" localSheetId="19">#REF!</definedName>
    <definedName name="Deferred_Tax_Liability_Q" localSheetId="18">#REF!</definedName>
    <definedName name="Deferred_Tax_Liability_Q" localSheetId="14">#REF!</definedName>
    <definedName name="Deferred_Tax_Liability_Q" localSheetId="12">#REF!</definedName>
    <definedName name="Deferred_Tax_Liability_Q" localSheetId="24">#REF!</definedName>
    <definedName name="Deferred_Tax_Liability_Q" localSheetId="7">#REF!</definedName>
    <definedName name="Deferred_Tax_Liability_Q" localSheetId="20">#REF!</definedName>
    <definedName name="Deferred_Tax_Liability_Q" localSheetId="21">#REF!</definedName>
    <definedName name="Deferred_Tax_Liability_Q" localSheetId="11">#REF!</definedName>
    <definedName name="Deferred_Tax_Liability_Q" localSheetId="17">#REF!</definedName>
    <definedName name="Deferred_Tax_Liability_Q" localSheetId="16">#REF!</definedName>
    <definedName name="Deferred_Tax_Liability_Q" localSheetId="22">#REF!</definedName>
    <definedName name="Deferred_Tax_Liability_Q" localSheetId="9">#REF!</definedName>
    <definedName name="Deferred_Tax_Liability_Q" localSheetId="13">#REF!</definedName>
    <definedName name="Deferred_Tax_Liability_Q" localSheetId="23">#REF!</definedName>
    <definedName name="Deferred_Tax_Liability_Q">#REF!</definedName>
    <definedName name="deferred_tax_Q">#REF!</definedName>
    <definedName name="deferred_tax_qtr">#REF!</definedName>
    <definedName name="Deferred_taxes" localSheetId="4">#REF!</definedName>
    <definedName name="Deferred_taxes" localSheetId="9">#REF!</definedName>
    <definedName name="Deferred_taxes">#REF!</definedName>
    <definedName name="DeferredExpenditure" localSheetId="4">#REF!</definedName>
    <definedName name="DeferredExpenditure" localSheetId="9">#REF!</definedName>
    <definedName name="DeferredExpenditure">#REF!</definedName>
    <definedName name="delexp" localSheetId="4">#REF!</definedName>
    <definedName name="delexp" localSheetId="5">#REF!</definedName>
    <definedName name="delexp" localSheetId="15">#REF!</definedName>
    <definedName name="delexp" localSheetId="19">#REF!</definedName>
    <definedName name="delexp" localSheetId="18">#REF!</definedName>
    <definedName name="delexp" localSheetId="14">#REF!</definedName>
    <definedName name="delexp" localSheetId="12">#REF!</definedName>
    <definedName name="delexp" localSheetId="24">#REF!</definedName>
    <definedName name="delexp" localSheetId="7">#REF!</definedName>
    <definedName name="delexp" localSheetId="20">#REF!</definedName>
    <definedName name="delexp" localSheetId="21">#REF!</definedName>
    <definedName name="delexp" localSheetId="11">#REF!</definedName>
    <definedName name="delexp" localSheetId="17">#REF!</definedName>
    <definedName name="delexp" localSheetId="16">#REF!</definedName>
    <definedName name="delexp" localSheetId="22">#REF!</definedName>
    <definedName name="delexp" localSheetId="9">#REF!</definedName>
    <definedName name="delexp" localSheetId="13">#REF!</definedName>
    <definedName name="delexp" localSheetId="23">#REF!</definedName>
    <definedName name="delexp">#REF!</definedName>
    <definedName name="Delivery_Date" localSheetId="4">#REF!</definedName>
    <definedName name="Delivery_Date" localSheetId="5">#REF!</definedName>
    <definedName name="Delivery_Date" localSheetId="15">#REF!</definedName>
    <definedName name="Delivery_Date" localSheetId="19">#REF!</definedName>
    <definedName name="Delivery_Date" localSheetId="18">#REF!</definedName>
    <definedName name="Delivery_Date" localSheetId="14">#REF!</definedName>
    <definedName name="Delivery_Date" localSheetId="12">#REF!</definedName>
    <definedName name="Delivery_Date" localSheetId="24">#REF!</definedName>
    <definedName name="Delivery_Date" localSheetId="7">#REF!</definedName>
    <definedName name="Delivery_Date" localSheetId="20">#REF!</definedName>
    <definedName name="Delivery_Date" localSheetId="21">#REF!</definedName>
    <definedName name="Delivery_Date" localSheetId="11">#REF!</definedName>
    <definedName name="Delivery_Date" localSheetId="17">#REF!</definedName>
    <definedName name="Delivery_Date" localSheetId="16">#REF!</definedName>
    <definedName name="Delivery_Date" localSheetId="22">#REF!</definedName>
    <definedName name="Delivery_Date" localSheetId="9">#REF!</definedName>
    <definedName name="Delivery_Date" localSheetId="13">#REF!</definedName>
    <definedName name="Delivery_Date" localSheetId="23">#REF!</definedName>
    <definedName name="Delivery_Date">#REF!</definedName>
    <definedName name="demand_deposits">#REF!</definedName>
    <definedName name="DEP_AMT_Amortization" localSheetId="4">#REF!</definedName>
    <definedName name="DEP_AMT_Amortization" localSheetId="5">#REF!</definedName>
    <definedName name="DEP_AMT_Amortization" localSheetId="15">#REF!</definedName>
    <definedName name="DEP_AMT_Amortization" localSheetId="19">#REF!</definedName>
    <definedName name="DEP_AMT_Amortization" localSheetId="18">#REF!</definedName>
    <definedName name="DEP_AMT_Amortization" localSheetId="14">#REF!</definedName>
    <definedName name="DEP_AMT_Amortization" localSheetId="12">#REF!</definedName>
    <definedName name="DEP_AMT_Amortization" localSheetId="24">#REF!</definedName>
    <definedName name="DEP_AMT_Amortization" localSheetId="7">#REF!</definedName>
    <definedName name="DEP_AMT_Amortization" localSheetId="20">#REF!</definedName>
    <definedName name="DEP_AMT_Amortization" localSheetId="21">#REF!</definedName>
    <definedName name="DEP_AMT_Amortization" localSheetId="11">#REF!</definedName>
    <definedName name="DEP_AMT_Amortization" localSheetId="17">#REF!</definedName>
    <definedName name="DEP_AMT_Amortization" localSheetId="16">#REF!</definedName>
    <definedName name="DEP_AMT_Amortization" localSheetId="22">#REF!</definedName>
    <definedName name="DEP_AMT_Amortization" localSheetId="9">#REF!</definedName>
    <definedName name="DEP_AMT_Amortization" localSheetId="13">#REF!</definedName>
    <definedName name="DEP_AMT_Amortization" localSheetId="23">#REF!</definedName>
    <definedName name="DEP_AMT_Amortization">#REF!</definedName>
    <definedName name="DEP_AMT_BeginAmortAssets" localSheetId="4">#REF!</definedName>
    <definedName name="DEP_AMT_BeginAmortAssets" localSheetId="5">#REF!</definedName>
    <definedName name="DEP_AMT_BeginAmortAssets" localSheetId="15">#REF!</definedName>
    <definedName name="DEP_AMT_BeginAmortAssets" localSheetId="19">#REF!</definedName>
    <definedName name="DEP_AMT_BeginAmortAssets" localSheetId="18">#REF!</definedName>
    <definedName name="DEP_AMT_BeginAmortAssets" localSheetId="14">#REF!</definedName>
    <definedName name="DEP_AMT_BeginAmortAssets" localSheetId="12">#REF!</definedName>
    <definedName name="DEP_AMT_BeginAmortAssets" localSheetId="24">#REF!</definedName>
    <definedName name="DEP_AMT_BeginAmortAssets" localSheetId="7">#REF!</definedName>
    <definedName name="DEP_AMT_BeginAmortAssets" localSheetId="20">#REF!</definedName>
    <definedName name="DEP_AMT_BeginAmortAssets" localSheetId="21">#REF!</definedName>
    <definedName name="DEP_AMT_BeginAmortAssets" localSheetId="11">#REF!</definedName>
    <definedName name="DEP_AMT_BeginAmortAssets" localSheetId="17">#REF!</definedName>
    <definedName name="DEP_AMT_BeginAmortAssets" localSheetId="16">#REF!</definedName>
    <definedName name="DEP_AMT_BeginAmortAssets" localSheetId="22">#REF!</definedName>
    <definedName name="DEP_AMT_BeginAmortAssets" localSheetId="9">#REF!</definedName>
    <definedName name="DEP_AMT_BeginAmortAssets" localSheetId="13">#REF!</definedName>
    <definedName name="DEP_AMT_BeginAmortAssets" localSheetId="23">#REF!</definedName>
    <definedName name="DEP_AMT_BeginAmortAssets">#REF!</definedName>
    <definedName name="DEP_AMT_CurrentCashASSETS" localSheetId="4">#REF!</definedName>
    <definedName name="DEP_AMT_CurrentCashASSETS" localSheetId="5">#REF!</definedName>
    <definedName name="DEP_AMT_CurrentCashASSETS" localSheetId="15">#REF!</definedName>
    <definedName name="DEP_AMT_CurrentCashASSETS" localSheetId="19">#REF!</definedName>
    <definedName name="DEP_AMT_CurrentCashASSETS" localSheetId="18">#REF!</definedName>
    <definedName name="DEP_AMT_CurrentCashASSETS" localSheetId="14">#REF!</definedName>
    <definedName name="DEP_AMT_CurrentCashASSETS" localSheetId="12">#REF!</definedName>
    <definedName name="DEP_AMT_CurrentCashASSETS" localSheetId="24">#REF!</definedName>
    <definedName name="DEP_AMT_CurrentCashASSETS" localSheetId="7">#REF!</definedName>
    <definedName name="DEP_AMT_CurrentCashASSETS" localSheetId="20">#REF!</definedName>
    <definedName name="DEP_AMT_CurrentCashASSETS" localSheetId="21">#REF!</definedName>
    <definedName name="DEP_AMT_CurrentCashASSETS" localSheetId="11">#REF!</definedName>
    <definedName name="DEP_AMT_CurrentCashASSETS" localSheetId="17">#REF!</definedName>
    <definedName name="DEP_AMT_CurrentCashASSETS" localSheetId="16">#REF!</definedName>
    <definedName name="DEP_AMT_CurrentCashASSETS" localSheetId="22">#REF!</definedName>
    <definedName name="DEP_AMT_CurrentCashASSETS" localSheetId="9">#REF!</definedName>
    <definedName name="DEP_AMT_CurrentCashASSETS" localSheetId="13">#REF!</definedName>
    <definedName name="DEP_AMT_CurrentCashASSETS" localSheetId="23">#REF!</definedName>
    <definedName name="DEP_AMT_CurrentCashASSETS">#REF!</definedName>
    <definedName name="DEP_AMT_EndingAmortAssets" localSheetId="4">#REF!</definedName>
    <definedName name="DEP_AMT_EndingAmortAssets" localSheetId="9">#REF!</definedName>
    <definedName name="DEP_AMT_EndingAmortAssets">#REF!</definedName>
    <definedName name="Dep_and_Amort" localSheetId="4">#REF!</definedName>
    <definedName name="Dep_and_Amort" localSheetId="9">#REF!</definedName>
    <definedName name="Dep_and_Amort">#REF!</definedName>
    <definedName name="DEP_CellNote" localSheetId="4">#REF!</definedName>
    <definedName name="DEP_CellNote" localSheetId="5">#REF!</definedName>
    <definedName name="DEP_CellNote" localSheetId="15">#REF!</definedName>
    <definedName name="DEP_CellNote" localSheetId="19">#REF!</definedName>
    <definedName name="DEP_CellNote" localSheetId="18">#REF!</definedName>
    <definedName name="DEP_CellNote" localSheetId="14">#REF!</definedName>
    <definedName name="DEP_CellNote" localSheetId="12">#REF!</definedName>
    <definedName name="DEP_CellNote" localSheetId="24">#REF!</definedName>
    <definedName name="DEP_CellNote" localSheetId="7">#REF!</definedName>
    <definedName name="DEP_CellNote" localSheetId="20">#REF!</definedName>
    <definedName name="DEP_CellNote" localSheetId="21">#REF!</definedName>
    <definedName name="DEP_CellNote" localSheetId="11">#REF!</definedName>
    <definedName name="DEP_CellNote" localSheetId="17">#REF!</definedName>
    <definedName name="DEP_CellNote" localSheetId="16">#REF!</definedName>
    <definedName name="DEP_CellNote" localSheetId="22">#REF!</definedName>
    <definedName name="DEP_CellNote" localSheetId="9">#REF!</definedName>
    <definedName name="DEP_CellNote" localSheetId="13">#REF!</definedName>
    <definedName name="DEP_CellNote" localSheetId="23">#REF!</definedName>
    <definedName name="DEP_CellNote">#REF!</definedName>
    <definedName name="DEP_DEP_BeginFixedAssets" localSheetId="4">#REF!</definedName>
    <definedName name="DEP_DEP_BeginFixedAssets" localSheetId="5">#REF!</definedName>
    <definedName name="DEP_DEP_BeginFixedAssets" localSheetId="15">#REF!</definedName>
    <definedName name="DEP_DEP_BeginFixedAssets" localSheetId="19">#REF!</definedName>
    <definedName name="DEP_DEP_BeginFixedAssets" localSheetId="18">#REF!</definedName>
    <definedName name="DEP_DEP_BeginFixedAssets" localSheetId="14">#REF!</definedName>
    <definedName name="DEP_DEP_BeginFixedAssets" localSheetId="12">#REF!</definedName>
    <definedName name="DEP_DEP_BeginFixedAssets" localSheetId="24">#REF!</definedName>
    <definedName name="DEP_DEP_BeginFixedAssets" localSheetId="7">#REF!</definedName>
    <definedName name="DEP_DEP_BeginFixedAssets" localSheetId="20">#REF!</definedName>
    <definedName name="DEP_DEP_BeginFixedAssets" localSheetId="21">#REF!</definedName>
    <definedName name="DEP_DEP_BeginFixedAssets" localSheetId="11">#REF!</definedName>
    <definedName name="DEP_DEP_BeginFixedAssets" localSheetId="17">#REF!</definedName>
    <definedName name="DEP_DEP_BeginFixedAssets" localSheetId="16">#REF!</definedName>
    <definedName name="DEP_DEP_BeginFixedAssets" localSheetId="22">#REF!</definedName>
    <definedName name="DEP_DEP_BeginFixedAssets" localSheetId="9">#REF!</definedName>
    <definedName name="DEP_DEP_BeginFixedAssets" localSheetId="13">#REF!</definedName>
    <definedName name="DEP_DEP_BeginFixedAssets" localSheetId="23">#REF!</definedName>
    <definedName name="DEP_DEP_BeginFixedAssets">#REF!</definedName>
    <definedName name="DEP_DEP_CurrentCashCAPEX" localSheetId="4">#REF!</definedName>
    <definedName name="DEP_DEP_CurrentCashCAPEX" localSheetId="5">#REF!</definedName>
    <definedName name="DEP_DEP_CurrentCashCAPEX" localSheetId="15">#REF!</definedName>
    <definedName name="DEP_DEP_CurrentCashCAPEX" localSheetId="19">#REF!</definedName>
    <definedName name="DEP_DEP_CurrentCashCAPEX" localSheetId="18">#REF!</definedName>
    <definedName name="DEP_DEP_CurrentCashCAPEX" localSheetId="14">#REF!</definedName>
    <definedName name="DEP_DEP_CurrentCashCAPEX" localSheetId="12">#REF!</definedName>
    <definedName name="DEP_DEP_CurrentCashCAPEX" localSheetId="24">#REF!</definedName>
    <definedName name="DEP_DEP_CurrentCashCAPEX" localSheetId="7">#REF!</definedName>
    <definedName name="DEP_DEP_CurrentCashCAPEX" localSheetId="20">#REF!</definedName>
    <definedName name="DEP_DEP_CurrentCashCAPEX" localSheetId="21">#REF!</definedName>
    <definedName name="DEP_DEP_CurrentCashCAPEX" localSheetId="11">#REF!</definedName>
    <definedName name="DEP_DEP_CurrentCashCAPEX" localSheetId="17">#REF!</definedName>
    <definedName name="DEP_DEP_CurrentCashCAPEX" localSheetId="16">#REF!</definedName>
    <definedName name="DEP_DEP_CurrentCashCAPEX" localSheetId="22">#REF!</definedName>
    <definedName name="DEP_DEP_CurrentCashCAPEX" localSheetId="9">#REF!</definedName>
    <definedName name="DEP_DEP_CurrentCashCAPEX" localSheetId="13">#REF!</definedName>
    <definedName name="DEP_DEP_CurrentCashCAPEX" localSheetId="23">#REF!</definedName>
    <definedName name="DEP_DEP_CurrentCashCAPEX">#REF!</definedName>
    <definedName name="DEP_DEP_CurrentCashCAPEXAuto" localSheetId="4">#REF!</definedName>
    <definedName name="DEP_DEP_CurrentCashCAPEXAuto" localSheetId="9">#REF!</definedName>
    <definedName name="DEP_DEP_CurrentCashCAPEXAuto">#REF!</definedName>
    <definedName name="DEP_DEP_CurrentDeprCAPEX" localSheetId="4">#REF!</definedName>
    <definedName name="DEP_DEP_CurrentDeprCAPEX" localSheetId="9">#REF!</definedName>
    <definedName name="DEP_DEP_CurrentDeprCAPEX">#REF!</definedName>
    <definedName name="DEP_DEP_CurrentDeprCAPEXAuto" localSheetId="4">#REF!</definedName>
    <definedName name="DEP_DEP_CurrentDeprCAPEXAuto" localSheetId="9">#REF!</definedName>
    <definedName name="DEP_DEP_CurrentDeprCAPEXAuto">#REF!</definedName>
    <definedName name="DEP_DEP_Depreciation" localSheetId="4">#REF!</definedName>
    <definedName name="DEP_DEP_Depreciation" localSheetId="9">#REF!</definedName>
    <definedName name="DEP_DEP_Depreciation">#REF!</definedName>
    <definedName name="DEP_DEP_DepreciationAuto" localSheetId="4">#REF!</definedName>
    <definedName name="DEP_DEP_DepreciationAuto" localSheetId="9">#REF!</definedName>
    <definedName name="DEP_DEP_DepreciationAuto">#REF!</definedName>
    <definedName name="DEP_DEP_EndingFixedAssets" localSheetId="4">#REF!</definedName>
    <definedName name="DEP_DEP_EndingFixedAssets" localSheetId="9">#REF!</definedName>
    <definedName name="DEP_DEP_EndingFixedAssets">#REF!</definedName>
    <definedName name="DEP_DEP_FixedAsset1" localSheetId="4">#REF!</definedName>
    <definedName name="DEP_DEP_FixedAsset1" localSheetId="9">#REF!</definedName>
    <definedName name="DEP_DEP_FixedAsset1">#REF!</definedName>
    <definedName name="DEP_DEP_FixedAsset2" localSheetId="4">#REF!</definedName>
    <definedName name="DEP_DEP_FixedAsset2" localSheetId="9">#REF!</definedName>
    <definedName name="DEP_DEP_FixedAsset2">#REF!</definedName>
    <definedName name="DEP_DEP_FixedAsset3" localSheetId="4">#REF!</definedName>
    <definedName name="DEP_DEP_FixedAsset3" localSheetId="9">#REF!</definedName>
    <definedName name="DEP_DEP_FixedAsset3">#REF!</definedName>
    <definedName name="DEP_DEP_FixedAsset4" localSheetId="4">#REF!</definedName>
    <definedName name="DEP_DEP_FixedAsset4" localSheetId="9">#REF!</definedName>
    <definedName name="DEP_DEP_FixedAsset4">#REF!</definedName>
    <definedName name="DEP_DEP_FixedAsset5" localSheetId="4">#REF!</definedName>
    <definedName name="DEP_DEP_FixedAsset5" localSheetId="9">#REF!</definedName>
    <definedName name="DEP_DEP_FixedAsset5">#REF!</definedName>
    <definedName name="DEP_DEP_FixedAsset6" localSheetId="4">#REF!</definedName>
    <definedName name="DEP_DEP_FixedAsset6" localSheetId="9">#REF!</definedName>
    <definedName name="DEP_DEP_FixedAsset6">#REF!</definedName>
    <definedName name="DEP_DEP_FixedAsset7" localSheetId="4">#REF!</definedName>
    <definedName name="DEP_DEP_FixedAsset7" localSheetId="9">#REF!</definedName>
    <definedName name="DEP_DEP_FixedAsset7">#REF!</definedName>
    <definedName name="DEP_DEP_OtherChangesInFixedAssetsCalc" localSheetId="4">#REF!</definedName>
    <definedName name="DEP_DEP_OtherChangesInFixedAssetsCalc" localSheetId="9">#REF!</definedName>
    <definedName name="DEP_DEP_OtherChangesInFixedAssetsCalc">#REF!</definedName>
    <definedName name="DEP_DEP_OtherChangesInFixedAssetsCalcAuto" localSheetId="4">#REF!</definedName>
    <definedName name="DEP_DEP_OtherChangesInFixedAssetsCalcAuto" localSheetId="9">#REF!</definedName>
    <definedName name="DEP_DEP_OtherChangesInFixedAssetsCalcAuto">#REF!</definedName>
    <definedName name="DEP_GL_SwitchDeprCalc" localSheetId="4">#REF!</definedName>
    <definedName name="DEP_GL_SwitchDeprCalc" localSheetId="9">#REF!</definedName>
    <definedName name="DEP_GL_SwitchDeprCalc">#REF!</definedName>
    <definedName name="DEP_GL_SwitchDepreciation" localSheetId="4">#REF!</definedName>
    <definedName name="DEP_GL_SwitchDepreciation" localSheetId="9">#REF!</definedName>
    <definedName name="DEP_GL_SwitchDepreciation">#REF!</definedName>
    <definedName name="Dep_margin_fore" localSheetId="4">#REF!</definedName>
    <definedName name="Dep_margin_fore" localSheetId="9">#REF!</definedName>
    <definedName name="Dep_margin_fore">#REF!</definedName>
    <definedName name="DepoGrowth12" localSheetId="4">#REF!</definedName>
    <definedName name="DepoGrowth12" localSheetId="9">#REF!</definedName>
    <definedName name="DepoGrowth12">#REF!</definedName>
    <definedName name="DepoGrowth13" localSheetId="4">#REF!</definedName>
    <definedName name="DepoGrowth13" localSheetId="9">#REF!</definedName>
    <definedName name="DepoGrowth13">#REF!</definedName>
    <definedName name="Deposits_Advances_received_against_Loan_agreements">#REF!</definedName>
    <definedName name="Deposits_for_office_premises">#REF!</definedName>
    <definedName name="deposits_from_banks">#REF!</definedName>
    <definedName name="deposits_from_banks_avg">#REF!</definedName>
    <definedName name="deposits_Q">#REF!</definedName>
    <definedName name="DEPR" localSheetId="4">#REF!</definedName>
    <definedName name="DEPR" localSheetId="5">#REF!</definedName>
    <definedName name="DEPR" localSheetId="15">#REF!</definedName>
    <definedName name="DEPR" localSheetId="19">#REF!</definedName>
    <definedName name="DEPR" localSheetId="18">#REF!</definedName>
    <definedName name="DEPR" localSheetId="14">#REF!</definedName>
    <definedName name="DEPR" localSheetId="12">#REF!</definedName>
    <definedName name="DEPR" localSheetId="24">#REF!</definedName>
    <definedName name="DEPR" localSheetId="7">#REF!</definedName>
    <definedName name="DEPR" localSheetId="20">#REF!</definedName>
    <definedName name="DEPR" localSheetId="21">#REF!</definedName>
    <definedName name="DEPR" localSheetId="11">#REF!</definedName>
    <definedName name="DEPR" localSheetId="17">#REF!</definedName>
    <definedName name="DEPR" localSheetId="16">#REF!</definedName>
    <definedName name="DEPR" localSheetId="22">#REF!</definedName>
    <definedName name="DEPR" localSheetId="9">#REF!</definedName>
    <definedName name="DEPR" localSheetId="13">#REF!</definedName>
    <definedName name="DEPR" localSheetId="23">#REF!</definedName>
    <definedName name="DEPR">#REF!</definedName>
    <definedName name="DEPRECIATION" localSheetId="4">#REF!</definedName>
    <definedName name="DEPRECIATION" localSheetId="9">#REF!</definedName>
    <definedName name="DEPRECIATION">#REF!</definedName>
    <definedName name="Depreciation_and_amortisation_total">#REF!</definedName>
    <definedName name="depreciation_bs">#REF!</definedName>
    <definedName name="depreciation_bs_A">#REF!</definedName>
    <definedName name="depreciation_fixed_assets">#REF!</definedName>
    <definedName name="Depreciation_fore" localSheetId="4">#REF!</definedName>
    <definedName name="Depreciation_fore" localSheetId="5">#REF!</definedName>
    <definedName name="Depreciation_fore" localSheetId="15">#REF!</definedName>
    <definedName name="Depreciation_fore" localSheetId="19">#REF!</definedName>
    <definedName name="Depreciation_fore" localSheetId="18">#REF!</definedName>
    <definedName name="Depreciation_fore" localSheetId="14">#REF!</definedName>
    <definedName name="Depreciation_fore" localSheetId="12">#REF!</definedName>
    <definedName name="Depreciation_fore" localSheetId="24">#REF!</definedName>
    <definedName name="Depreciation_fore" localSheetId="7">#REF!</definedName>
    <definedName name="Depreciation_fore" localSheetId="20">#REF!</definedName>
    <definedName name="Depreciation_fore" localSheetId="21">#REF!</definedName>
    <definedName name="Depreciation_fore" localSheetId="11">#REF!</definedName>
    <definedName name="Depreciation_fore" localSheetId="17">#REF!</definedName>
    <definedName name="Depreciation_fore" localSheetId="16">#REF!</definedName>
    <definedName name="Depreciation_fore" localSheetId="22">#REF!</definedName>
    <definedName name="Depreciation_fore" localSheetId="9">#REF!</definedName>
    <definedName name="Depreciation_fore" localSheetId="13">#REF!</definedName>
    <definedName name="Depreciation_fore" localSheetId="23">#REF!</definedName>
    <definedName name="Depreciation_fore">#REF!</definedName>
    <definedName name="Depreciation_margin" localSheetId="4">#REF!</definedName>
    <definedName name="Depreciation_margin" localSheetId="9">#REF!</definedName>
    <definedName name="Depreciation_margin">#REF!</definedName>
    <definedName name="depreciation_other">#REF!</definedName>
    <definedName name="depreciation_Q">#REF!</definedName>
    <definedName name="depreciation_qtr">#REF!</definedName>
    <definedName name="Depreciation_total">#REF!</definedName>
    <definedName name="Depreciation6">#REF!</definedName>
    <definedName name="DepreciationfortheYear">#REF!</definedName>
    <definedName name="DepreciationWrittenBack">#REF!</definedName>
    <definedName name="desktop" localSheetId="4">#REF!</definedName>
    <definedName name="desktop" localSheetId="5">#REF!</definedName>
    <definedName name="desktop" localSheetId="15">#REF!</definedName>
    <definedName name="desktop" localSheetId="19">#REF!</definedName>
    <definedName name="desktop" localSheetId="18">#REF!</definedName>
    <definedName name="desktop" localSheetId="14">#REF!</definedName>
    <definedName name="desktop" localSheetId="12">#REF!</definedName>
    <definedName name="desktop" localSheetId="24">#REF!</definedName>
    <definedName name="desktop" localSheetId="7">#REF!</definedName>
    <definedName name="desktop" localSheetId="20">#REF!</definedName>
    <definedName name="desktop" localSheetId="21">#REF!</definedName>
    <definedName name="desktop" localSheetId="11">#REF!</definedName>
    <definedName name="desktop" localSheetId="17">#REF!</definedName>
    <definedName name="desktop" localSheetId="16">#REF!</definedName>
    <definedName name="desktop" localSheetId="22">#REF!</definedName>
    <definedName name="desktop" localSheetId="9">#REF!</definedName>
    <definedName name="desktop" localSheetId="13">#REF!</definedName>
    <definedName name="desktop" localSheetId="23">#REF!</definedName>
    <definedName name="desktop">#REF!</definedName>
    <definedName name="dfd" localSheetId="4">#REF!</definedName>
    <definedName name="dfd" localSheetId="5">#REF!</definedName>
    <definedName name="dfd" localSheetId="15">#REF!</definedName>
    <definedName name="dfd" localSheetId="19">#REF!</definedName>
    <definedName name="dfd" localSheetId="18">#REF!</definedName>
    <definedName name="dfd" localSheetId="14">#REF!</definedName>
    <definedName name="dfd" localSheetId="12">#REF!</definedName>
    <definedName name="dfd" localSheetId="24">#REF!</definedName>
    <definedName name="dfd" localSheetId="7">#REF!</definedName>
    <definedName name="dfd" localSheetId="20">#REF!</definedName>
    <definedName name="dfd" localSheetId="21">#REF!</definedName>
    <definedName name="dfd" localSheetId="11">#REF!</definedName>
    <definedName name="dfd" localSheetId="17">#REF!</definedName>
    <definedName name="dfd" localSheetId="16">#REF!</definedName>
    <definedName name="dfd" localSheetId="22">#REF!</definedName>
    <definedName name="dfd" localSheetId="9">#REF!</definedName>
    <definedName name="dfd" localSheetId="13">#REF!</definedName>
    <definedName name="dfd" localSheetId="23">#REF!</definedName>
    <definedName name="dfd">#REF!</definedName>
    <definedName name="dfg" localSheetId="4" hidden="1">{#N/A,#N/A,FALSE,"Status of Projects";#N/A,#N/A,FALSE,"CEA-TEC";#N/A,#N/A,FALSE,"U-Constr.";#N/A,#N/A,FALSE,"summary";#N/A,#N/A,FALSE,"PPP-3 yrs"}</definedName>
    <definedName name="dfg" localSheetId="5" hidden="1">{#N/A,#N/A,FALSE,"Status of Projects";#N/A,#N/A,FALSE,"CEA-TEC";#N/A,#N/A,FALSE,"U-Constr.";#N/A,#N/A,FALSE,"summary";#N/A,#N/A,FALSE,"PPP-3 yrs"}</definedName>
    <definedName name="dfg" localSheetId="15" hidden="1">{#N/A,#N/A,FALSE,"Status of Projects";#N/A,#N/A,FALSE,"CEA-TEC";#N/A,#N/A,FALSE,"U-Constr.";#N/A,#N/A,FALSE,"summary";#N/A,#N/A,FALSE,"PPP-3 yrs"}</definedName>
    <definedName name="dfg" localSheetId="19" hidden="1">{#N/A,#N/A,FALSE,"Status of Projects";#N/A,#N/A,FALSE,"CEA-TEC";#N/A,#N/A,FALSE,"U-Constr.";#N/A,#N/A,FALSE,"summary";#N/A,#N/A,FALSE,"PPP-3 yrs"}</definedName>
    <definedName name="dfg" localSheetId="18" hidden="1">{#N/A,#N/A,FALSE,"Status of Projects";#N/A,#N/A,FALSE,"CEA-TEC";#N/A,#N/A,FALSE,"U-Constr.";#N/A,#N/A,FALSE,"summary";#N/A,#N/A,FALSE,"PPP-3 yrs"}</definedName>
    <definedName name="dfg" localSheetId="14" hidden="1">{#N/A,#N/A,FALSE,"Status of Projects";#N/A,#N/A,FALSE,"CEA-TEC";#N/A,#N/A,FALSE,"U-Constr.";#N/A,#N/A,FALSE,"summary";#N/A,#N/A,FALSE,"PPP-3 yrs"}</definedName>
    <definedName name="dfg" localSheetId="12" hidden="1">{#N/A,#N/A,FALSE,"Status of Projects";#N/A,#N/A,FALSE,"CEA-TEC";#N/A,#N/A,FALSE,"U-Constr.";#N/A,#N/A,FALSE,"summary";#N/A,#N/A,FALSE,"PPP-3 yrs"}</definedName>
    <definedName name="dfg" localSheetId="24" hidden="1">{#N/A,#N/A,FALSE,"Status of Projects";#N/A,#N/A,FALSE,"CEA-TEC";#N/A,#N/A,FALSE,"U-Constr.";#N/A,#N/A,FALSE,"summary";#N/A,#N/A,FALSE,"PPP-3 yrs"}</definedName>
    <definedName name="dfg" localSheetId="7" hidden="1">{#N/A,#N/A,FALSE,"Status of Projects";#N/A,#N/A,FALSE,"CEA-TEC";#N/A,#N/A,FALSE,"U-Constr.";#N/A,#N/A,FALSE,"summary";#N/A,#N/A,FALSE,"PPP-3 yrs"}</definedName>
    <definedName name="dfg" localSheetId="20" hidden="1">{#N/A,#N/A,FALSE,"Status of Projects";#N/A,#N/A,FALSE,"CEA-TEC";#N/A,#N/A,FALSE,"U-Constr.";#N/A,#N/A,FALSE,"summary";#N/A,#N/A,FALSE,"PPP-3 yrs"}</definedName>
    <definedName name="dfg" localSheetId="21" hidden="1">{#N/A,#N/A,FALSE,"Status of Projects";#N/A,#N/A,FALSE,"CEA-TEC";#N/A,#N/A,FALSE,"U-Constr.";#N/A,#N/A,FALSE,"summary";#N/A,#N/A,FALSE,"PPP-3 yrs"}</definedName>
    <definedName name="dfg" localSheetId="11" hidden="1">{#N/A,#N/A,FALSE,"Status of Projects";#N/A,#N/A,FALSE,"CEA-TEC";#N/A,#N/A,FALSE,"U-Constr.";#N/A,#N/A,FALSE,"summary";#N/A,#N/A,FALSE,"PPP-3 yrs"}</definedName>
    <definedName name="dfg" localSheetId="17" hidden="1">{#N/A,#N/A,FALSE,"Status of Projects";#N/A,#N/A,FALSE,"CEA-TEC";#N/A,#N/A,FALSE,"U-Constr.";#N/A,#N/A,FALSE,"summary";#N/A,#N/A,FALSE,"PPP-3 yrs"}</definedName>
    <definedName name="dfg" localSheetId="16" hidden="1">{#N/A,#N/A,FALSE,"Status of Projects";#N/A,#N/A,FALSE,"CEA-TEC";#N/A,#N/A,FALSE,"U-Constr.";#N/A,#N/A,FALSE,"summary";#N/A,#N/A,FALSE,"PPP-3 yrs"}</definedName>
    <definedName name="dfg" localSheetId="22" hidden="1">{#N/A,#N/A,FALSE,"Status of Projects";#N/A,#N/A,FALSE,"CEA-TEC";#N/A,#N/A,FALSE,"U-Constr.";#N/A,#N/A,FALSE,"summary";#N/A,#N/A,FALSE,"PPP-3 yrs"}</definedName>
    <definedName name="dfg" localSheetId="9" hidden="1">{#N/A,#N/A,FALSE,"Status of Projects";#N/A,#N/A,FALSE,"CEA-TEC";#N/A,#N/A,FALSE,"U-Constr.";#N/A,#N/A,FALSE,"summary";#N/A,#N/A,FALSE,"PPP-3 yrs"}</definedName>
    <definedName name="dfg" localSheetId="13" hidden="1">{#N/A,#N/A,FALSE,"Status of Projects";#N/A,#N/A,FALSE,"CEA-TEC";#N/A,#N/A,FALSE,"U-Constr.";#N/A,#N/A,FALSE,"summary";#N/A,#N/A,FALSE,"PPP-3 yrs"}</definedName>
    <definedName name="dfg" localSheetId="23" hidden="1">{#N/A,#N/A,FALSE,"Status of Projects";#N/A,#N/A,FALSE,"CEA-TEC";#N/A,#N/A,FALSE,"U-Constr.";#N/A,#N/A,FALSE,"summary";#N/A,#N/A,FALSE,"PPP-3 yrs"}</definedName>
    <definedName name="dfg" hidden="1">{#N/A,#N/A,FALSE,"Status of Projects";#N/A,#N/A,FALSE,"CEA-TEC";#N/A,#N/A,FALSE,"U-Constr.";#N/A,#N/A,FALSE,"summary";#N/A,#N/A,FALSE,"PPP-3 yrs"}</definedName>
    <definedName name="dfgg" hidden="1">#REF!</definedName>
    <definedName name="dfvfgdf" hidden="1">#N/A</definedName>
    <definedName name="dgdasfg" hidden="1">#N/A</definedName>
    <definedName name="dgdfg" localSheetId="4" hidden="1">#REF!</definedName>
    <definedName name="dgdfg" localSheetId="5" hidden="1">#REF!</definedName>
    <definedName name="dgdfg" localSheetId="15" hidden="1">#REF!</definedName>
    <definedName name="dgdfg" localSheetId="19" hidden="1">#REF!</definedName>
    <definedName name="dgdfg" localSheetId="18" hidden="1">#REF!</definedName>
    <definedName name="dgdfg" localSheetId="14" hidden="1">#REF!</definedName>
    <definedName name="dgdfg" localSheetId="12" hidden="1">#REF!</definedName>
    <definedName name="dgdfg" localSheetId="24" hidden="1">#REF!</definedName>
    <definedName name="dgdfg" localSheetId="7" hidden="1">#REF!</definedName>
    <definedName name="dgdfg" localSheetId="20" hidden="1">#REF!</definedName>
    <definedName name="dgdfg" localSheetId="21" hidden="1">#REF!</definedName>
    <definedName name="dgdfg" localSheetId="11" hidden="1">#REF!</definedName>
    <definedName name="dgdfg" localSheetId="17" hidden="1">#REF!</definedName>
    <definedName name="dgdfg" localSheetId="16" hidden="1">#REF!</definedName>
    <definedName name="dgdfg" localSheetId="22" hidden="1">#REF!</definedName>
    <definedName name="dgdfg" localSheetId="9" hidden="1">#REF!</definedName>
    <definedName name="dgdfg" localSheetId="13" hidden="1">#REF!</definedName>
    <definedName name="dgdfg" localSheetId="23" hidden="1">#REF!</definedName>
    <definedName name="dgdfg" hidden="1">#REF!</definedName>
    <definedName name="dgg" localSheetId="4"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5"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15"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19"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18"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14"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12"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24"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7"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20"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21"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11"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17"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16"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22"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9"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13"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localSheetId="23"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gg" hidden="1">{"fdsup://directions/FAT Viewer?action=UPDATE&amp;creator=factset&amp;DYN_ARGS=TRUE&amp;DOC_NAME=FAT:FQL_AUDITING_CLIENT_TEMPLATE.FAT&amp;display_string=Audit&amp;VAR:KEY=HSFCHIZSFO&amp;VAR:QUERY=RkZfUk9FKCdBTk4nLDAp&amp;WINDOW=FIRST_POPUP&amp;HEIGHT=450&amp;WIDTH=450&amp;START_MAXIMIZED=FALSE&amp;VA","R:CALENDAR=FIVEDAY&amp;VAR:SYMBOL=02553710&amp;VAR:INDEX=0"}</definedName>
    <definedName name="dhbgwgt">#REF!</definedName>
    <definedName name="did" localSheetId="4">#REF!</definedName>
    <definedName name="did" localSheetId="5">#REF!</definedName>
    <definedName name="did" localSheetId="15">#REF!</definedName>
    <definedName name="did" localSheetId="19">#REF!</definedName>
    <definedName name="did" localSheetId="18">#REF!</definedName>
    <definedName name="did" localSheetId="14">#REF!</definedName>
    <definedName name="did" localSheetId="12">#REF!</definedName>
    <definedName name="did" localSheetId="24">#REF!</definedName>
    <definedName name="did" localSheetId="7">#REF!</definedName>
    <definedName name="did" localSheetId="20">#REF!</definedName>
    <definedName name="did" localSheetId="21">#REF!</definedName>
    <definedName name="did" localSheetId="11">#REF!</definedName>
    <definedName name="did" localSheetId="17">#REF!</definedName>
    <definedName name="did" localSheetId="16">#REF!</definedName>
    <definedName name="did" localSheetId="22">#REF!</definedName>
    <definedName name="did" localSheetId="9">#REF!</definedName>
    <definedName name="did" localSheetId="13">#REF!</definedName>
    <definedName name="did" localSheetId="23">#REF!</definedName>
    <definedName name="did">#REF!</definedName>
    <definedName name="DilEqSh">#REF!</definedName>
    <definedName name="dilution_factor" localSheetId="4">#REF!</definedName>
    <definedName name="dilution_factor" localSheetId="5">#REF!</definedName>
    <definedName name="dilution_factor" localSheetId="15">#REF!</definedName>
    <definedName name="dilution_factor" localSheetId="19">#REF!</definedName>
    <definedName name="dilution_factor" localSheetId="18">#REF!</definedName>
    <definedName name="dilution_factor" localSheetId="14">#REF!</definedName>
    <definedName name="dilution_factor" localSheetId="12">#REF!</definedName>
    <definedName name="dilution_factor" localSheetId="24">#REF!</definedName>
    <definedName name="dilution_factor" localSheetId="7">#REF!</definedName>
    <definedName name="dilution_factor" localSheetId="20">#REF!</definedName>
    <definedName name="dilution_factor" localSheetId="21">#REF!</definedName>
    <definedName name="dilution_factor" localSheetId="11">#REF!</definedName>
    <definedName name="dilution_factor" localSheetId="17">#REF!</definedName>
    <definedName name="dilution_factor" localSheetId="16">#REF!</definedName>
    <definedName name="dilution_factor" localSheetId="22">#REF!</definedName>
    <definedName name="dilution_factor" localSheetId="9">#REF!</definedName>
    <definedName name="dilution_factor" localSheetId="13">#REF!</definedName>
    <definedName name="dilution_factor" localSheetId="23">#REF!</definedName>
    <definedName name="dilution_factor">#REF!</definedName>
    <definedName name="DirectExpenses">#REF!</definedName>
    <definedName name="Directors_Commission">#REF!</definedName>
    <definedName name="Directors_Fees">#REF!</definedName>
    <definedName name="DIRECTORY" localSheetId="4">#REF!</definedName>
    <definedName name="DIRECTORY" localSheetId="9">#REF!</definedName>
    <definedName name="DIRECTORY">#REF!</definedName>
    <definedName name="DispFmt" hidden="1">#REF!</definedName>
    <definedName name="DIV_PD" localSheetId="4">#REF!</definedName>
    <definedName name="DIV_PD" localSheetId="5">#REF!</definedName>
    <definedName name="DIV_PD" localSheetId="15">#REF!</definedName>
    <definedName name="DIV_PD" localSheetId="19">#REF!</definedName>
    <definedName name="DIV_PD" localSheetId="18">#REF!</definedName>
    <definedName name="DIV_PD" localSheetId="14">#REF!</definedName>
    <definedName name="DIV_PD" localSheetId="12">#REF!</definedName>
    <definedName name="DIV_PD" localSheetId="24">#REF!</definedName>
    <definedName name="DIV_PD" localSheetId="7">#REF!</definedName>
    <definedName name="DIV_PD" localSheetId="20">#REF!</definedName>
    <definedName name="DIV_PD" localSheetId="21">#REF!</definedName>
    <definedName name="DIV_PD" localSheetId="11">#REF!</definedName>
    <definedName name="DIV_PD" localSheetId="17">#REF!</definedName>
    <definedName name="DIV_PD" localSheetId="16">#REF!</definedName>
    <definedName name="DIV_PD" localSheetId="22">#REF!</definedName>
    <definedName name="DIV_PD" localSheetId="9">#REF!</definedName>
    <definedName name="DIV_PD" localSheetId="13">#REF!</definedName>
    <definedName name="DIV_PD" localSheetId="23">#REF!</definedName>
    <definedName name="DIV_PD">#REF!</definedName>
    <definedName name="Div_yield">#REF!</definedName>
    <definedName name="Dividend">#REF!</definedName>
    <definedName name="dividend_cover" localSheetId="4">#REF!</definedName>
    <definedName name="dividend_cover" localSheetId="5">#REF!</definedName>
    <definedName name="dividend_cover" localSheetId="15">#REF!</definedName>
    <definedName name="dividend_cover" localSheetId="19">#REF!</definedName>
    <definedName name="dividend_cover" localSheetId="18">#REF!</definedName>
    <definedName name="dividend_cover" localSheetId="14">#REF!</definedName>
    <definedName name="dividend_cover" localSheetId="12">#REF!</definedName>
    <definedName name="dividend_cover" localSheetId="24">#REF!</definedName>
    <definedName name="dividend_cover" localSheetId="7">#REF!</definedName>
    <definedName name="dividend_cover" localSheetId="20">#REF!</definedName>
    <definedName name="dividend_cover" localSheetId="21">#REF!</definedName>
    <definedName name="dividend_cover" localSheetId="11">#REF!</definedName>
    <definedName name="dividend_cover" localSheetId="17">#REF!</definedName>
    <definedName name="dividend_cover" localSheetId="16">#REF!</definedName>
    <definedName name="dividend_cover" localSheetId="22">#REF!</definedName>
    <definedName name="dividend_cover" localSheetId="9">#REF!</definedName>
    <definedName name="dividend_cover" localSheetId="13">#REF!</definedName>
    <definedName name="dividend_cover" localSheetId="23">#REF!</definedName>
    <definedName name="dividend_cover">#REF!</definedName>
    <definedName name="dividend_incl_tax" localSheetId="4">#REF!</definedName>
    <definedName name="dividend_incl_tax" localSheetId="5">#REF!</definedName>
    <definedName name="dividend_incl_tax" localSheetId="15">#REF!</definedName>
    <definedName name="dividend_incl_tax" localSheetId="19">#REF!</definedName>
    <definedName name="dividend_incl_tax" localSheetId="18">#REF!</definedName>
    <definedName name="dividend_incl_tax" localSheetId="14">#REF!</definedName>
    <definedName name="dividend_incl_tax" localSheetId="12">#REF!</definedName>
    <definedName name="dividend_incl_tax" localSheetId="24">#REF!</definedName>
    <definedName name="dividend_incl_tax" localSheetId="7">#REF!</definedName>
    <definedName name="dividend_incl_tax" localSheetId="20">#REF!</definedName>
    <definedName name="dividend_incl_tax" localSheetId="21">#REF!</definedName>
    <definedName name="dividend_incl_tax" localSheetId="11">#REF!</definedName>
    <definedName name="dividend_incl_tax" localSheetId="17">#REF!</definedName>
    <definedName name="dividend_incl_tax" localSheetId="16">#REF!</definedName>
    <definedName name="dividend_incl_tax" localSheetId="22">#REF!</definedName>
    <definedName name="dividend_incl_tax" localSheetId="9">#REF!</definedName>
    <definedName name="dividend_incl_tax" localSheetId="13">#REF!</definedName>
    <definedName name="dividend_incl_tax" localSheetId="23">#REF!</definedName>
    <definedName name="dividend_incl_tax">#REF!</definedName>
    <definedName name="dividend_income">#REF!</definedName>
    <definedName name="dividend_income_Q">#REF!</definedName>
    <definedName name="dividend_paid">#REF!</definedName>
    <definedName name="dividend_payout" localSheetId="4">#REF!</definedName>
    <definedName name="dividend_payout" localSheetId="5">#REF!</definedName>
    <definedName name="dividend_payout" localSheetId="15">#REF!</definedName>
    <definedName name="dividend_payout" localSheetId="19">#REF!</definedName>
    <definedName name="dividend_payout" localSheetId="18">#REF!</definedName>
    <definedName name="dividend_payout" localSheetId="14">#REF!</definedName>
    <definedName name="dividend_payout" localSheetId="12">#REF!</definedName>
    <definedName name="dividend_payout" localSheetId="24">#REF!</definedName>
    <definedName name="dividend_payout" localSheetId="7">#REF!</definedName>
    <definedName name="dividend_payout" localSheetId="20">#REF!</definedName>
    <definedName name="dividend_payout" localSheetId="21">#REF!</definedName>
    <definedName name="dividend_payout" localSheetId="11">#REF!</definedName>
    <definedName name="dividend_payout" localSheetId="17">#REF!</definedName>
    <definedName name="dividend_payout" localSheetId="16">#REF!</definedName>
    <definedName name="dividend_payout" localSheetId="22">#REF!</definedName>
    <definedName name="dividend_payout" localSheetId="9">#REF!</definedName>
    <definedName name="dividend_payout" localSheetId="13">#REF!</definedName>
    <definedName name="dividend_payout" localSheetId="23">#REF!</definedName>
    <definedName name="dividend_payout">#REF!</definedName>
    <definedName name="Dividend_provided">#REF!</definedName>
    <definedName name="dividend_Q">#REF!</definedName>
    <definedName name="dividend_received">#REF!</definedName>
    <definedName name="Dividend_Received_from_Investments_in_MFs">#REF!</definedName>
    <definedName name="Dividend_Received_from_Subsidiary">#REF!</definedName>
    <definedName name="dividend_yield" localSheetId="4">#REF!</definedName>
    <definedName name="dividend_yield" localSheetId="5">#REF!</definedName>
    <definedName name="dividend_yield" localSheetId="15">#REF!</definedName>
    <definedName name="dividend_yield" localSheetId="19">#REF!</definedName>
    <definedName name="dividend_yield" localSheetId="18">#REF!</definedName>
    <definedName name="dividend_yield" localSheetId="14">#REF!</definedName>
    <definedName name="dividend_yield" localSheetId="12">#REF!</definedName>
    <definedName name="dividend_yield" localSheetId="24">#REF!</definedName>
    <definedName name="dividend_yield" localSheetId="7">#REF!</definedName>
    <definedName name="dividend_yield" localSheetId="20">#REF!</definedName>
    <definedName name="dividend_yield" localSheetId="21">#REF!</definedName>
    <definedName name="dividend_yield" localSheetId="11">#REF!</definedName>
    <definedName name="dividend_yield" localSheetId="17">#REF!</definedName>
    <definedName name="dividend_yield" localSheetId="16">#REF!</definedName>
    <definedName name="dividend_yield" localSheetId="22">#REF!</definedName>
    <definedName name="dividend_yield" localSheetId="9">#REF!</definedName>
    <definedName name="dividend_yield" localSheetId="13">#REF!</definedName>
    <definedName name="dividend_yield" localSheetId="23">#REF!</definedName>
    <definedName name="dividend_yield">#REF!</definedName>
    <definedName name="DividendCoverTimes" localSheetId="4">#REF!</definedName>
    <definedName name="DividendCoverTimes" localSheetId="9">#REF!</definedName>
    <definedName name="DividendCoverTimes">#REF!</definedName>
    <definedName name="DividendPaid" localSheetId="4">#REF!</definedName>
    <definedName name="DividendPaid" localSheetId="9">#REF!</definedName>
    <definedName name="DividendPaid">#REF!</definedName>
    <definedName name="DividendProvision" localSheetId="4">#REF!</definedName>
    <definedName name="DividendProvision" localSheetId="9">#REF!</definedName>
    <definedName name="DividendProvision">#REF!</definedName>
    <definedName name="Dividends" localSheetId="4">#REF!</definedName>
    <definedName name="Dividends" localSheetId="9">#REF!</definedName>
    <definedName name="Dividends">#REF!</definedName>
    <definedName name="dividends_payable">#REF!</definedName>
    <definedName name="divisions">#REF!</definedName>
    <definedName name="DivOut">#REF!</definedName>
    <definedName name="DivTax">#REF!</definedName>
    <definedName name="DLX7.USE">#REF!</definedName>
    <definedName name="DnA_fore" localSheetId="4">#REF!</definedName>
    <definedName name="DnA_fore" localSheetId="5">#REF!</definedName>
    <definedName name="DnA_fore" localSheetId="15">#REF!</definedName>
    <definedName name="DnA_fore" localSheetId="19">#REF!</definedName>
    <definedName name="DnA_fore" localSheetId="18">#REF!</definedName>
    <definedName name="DnA_fore" localSheetId="14">#REF!</definedName>
    <definedName name="DnA_fore" localSheetId="12">#REF!</definedName>
    <definedName name="DnA_fore" localSheetId="24">#REF!</definedName>
    <definedName name="DnA_fore" localSheetId="7">#REF!</definedName>
    <definedName name="DnA_fore" localSheetId="20">#REF!</definedName>
    <definedName name="DnA_fore" localSheetId="21">#REF!</definedName>
    <definedName name="DnA_fore" localSheetId="11">#REF!</definedName>
    <definedName name="DnA_fore" localSheetId="17">#REF!</definedName>
    <definedName name="DnA_fore" localSheetId="16">#REF!</definedName>
    <definedName name="DnA_fore" localSheetId="22">#REF!</definedName>
    <definedName name="DnA_fore" localSheetId="9">#REF!</definedName>
    <definedName name="DnA_fore" localSheetId="13">#REF!</definedName>
    <definedName name="DnA_fore" localSheetId="23">#REF!</definedName>
    <definedName name="DnA_fore">#REF!</definedName>
    <definedName name="DnA_growth_fore" localSheetId="4">#REF!</definedName>
    <definedName name="DnA_growth_fore" localSheetId="5">#REF!</definedName>
    <definedName name="DnA_growth_fore" localSheetId="15">#REF!</definedName>
    <definedName name="DnA_growth_fore" localSheetId="19">#REF!</definedName>
    <definedName name="DnA_growth_fore" localSheetId="18">#REF!</definedName>
    <definedName name="DnA_growth_fore" localSheetId="14">#REF!</definedName>
    <definedName name="DnA_growth_fore" localSheetId="12">#REF!</definedName>
    <definedName name="DnA_growth_fore" localSheetId="24">#REF!</definedName>
    <definedName name="DnA_growth_fore" localSheetId="7">#REF!</definedName>
    <definedName name="DnA_growth_fore" localSheetId="20">#REF!</definedName>
    <definedName name="DnA_growth_fore" localSheetId="21">#REF!</definedName>
    <definedName name="DnA_growth_fore" localSheetId="11">#REF!</definedName>
    <definedName name="DnA_growth_fore" localSheetId="17">#REF!</definedName>
    <definedName name="DnA_growth_fore" localSheetId="16">#REF!</definedName>
    <definedName name="DnA_growth_fore" localSheetId="22">#REF!</definedName>
    <definedName name="DnA_growth_fore" localSheetId="9">#REF!</definedName>
    <definedName name="DnA_growth_fore" localSheetId="13">#REF!</definedName>
    <definedName name="DnA_growth_fore" localSheetId="23">#REF!</definedName>
    <definedName name="DnA_growth_fore">#REF!</definedName>
    <definedName name="docs" localSheetId="4">#REF!</definedName>
    <definedName name="docs" localSheetId="5">#REF!</definedName>
    <definedName name="docs" localSheetId="15">#REF!</definedName>
    <definedName name="docs" localSheetId="19">#REF!</definedName>
    <definedName name="docs" localSheetId="18">#REF!</definedName>
    <definedName name="docs" localSheetId="14">#REF!</definedName>
    <definedName name="docs" localSheetId="12">#REF!</definedName>
    <definedName name="docs" localSheetId="24">#REF!</definedName>
    <definedName name="docs" localSheetId="7">#REF!</definedName>
    <definedName name="docs" localSheetId="20">#REF!</definedName>
    <definedName name="docs" localSheetId="21">#REF!</definedName>
    <definedName name="docs" localSheetId="11">#REF!</definedName>
    <definedName name="docs" localSheetId="17">#REF!</definedName>
    <definedName name="docs" localSheetId="16">#REF!</definedName>
    <definedName name="docs" localSheetId="22">#REF!</definedName>
    <definedName name="docs" localSheetId="9">#REF!</definedName>
    <definedName name="docs" localSheetId="13">#REF!</definedName>
    <definedName name="docs" localSheetId="23">#REF!</definedName>
    <definedName name="docs">#REF!</definedName>
    <definedName name="dogcat" localSheetId="4">#REF!</definedName>
    <definedName name="dogcat" localSheetId="9">#REF!</definedName>
    <definedName name="dogcat">#REF!</definedName>
    <definedName name="dogdry" localSheetId="4">#REF!</definedName>
    <definedName name="dogdry" localSheetId="9">#REF!</definedName>
    <definedName name="dogdry">#REF!</definedName>
    <definedName name="dogmoist" localSheetId="4">#REF!</definedName>
    <definedName name="dogmoist" localSheetId="9">#REF!</definedName>
    <definedName name="dogmoist">#REF!</definedName>
    <definedName name="dogwet" localSheetId="4">#REF!</definedName>
    <definedName name="dogwet" localSheetId="9">#REF!</definedName>
    <definedName name="dogwet">#REF!</definedName>
    <definedName name="DomGrowth" localSheetId="4">#REF!</definedName>
    <definedName name="DomGrowth" localSheetId="9">#REF!</definedName>
    <definedName name="DomGrowth">#REF!</definedName>
    <definedName name="Donation_Copy" localSheetId="4">#REF!</definedName>
    <definedName name="Donation_Copy" localSheetId="5">#REF!</definedName>
    <definedName name="Donation_Copy" localSheetId="15">#REF!</definedName>
    <definedName name="Donation_Copy" localSheetId="19">#REF!</definedName>
    <definedName name="Donation_Copy" localSheetId="18">#REF!</definedName>
    <definedName name="Donation_Copy" localSheetId="14">#REF!</definedName>
    <definedName name="Donation_Copy" localSheetId="12">#REF!</definedName>
    <definedName name="Donation_Copy" localSheetId="24">#REF!</definedName>
    <definedName name="Donation_Copy" localSheetId="7">#REF!</definedName>
    <definedName name="Donation_Copy" localSheetId="20">#REF!</definedName>
    <definedName name="Donation_Copy" localSheetId="21">#REF!</definedName>
    <definedName name="Donation_Copy" localSheetId="11">#REF!</definedName>
    <definedName name="Donation_Copy" localSheetId="17">#REF!</definedName>
    <definedName name="Donation_Copy" localSheetId="16">#REF!</definedName>
    <definedName name="Donation_Copy" localSheetId="22">#REF!</definedName>
    <definedName name="Donation_Copy" localSheetId="9">#REF!</definedName>
    <definedName name="Donation_Copy" localSheetId="13">#REF!</definedName>
    <definedName name="Donation_Copy" localSheetId="23">#REF!</definedName>
    <definedName name="Donation_Copy">#REF!</definedName>
    <definedName name="Donation_Copy_Sum" localSheetId="4">#REF!</definedName>
    <definedName name="Donation_Copy_Sum" localSheetId="5">#REF!</definedName>
    <definedName name="Donation_Copy_Sum" localSheetId="15">#REF!</definedName>
    <definedName name="Donation_Copy_Sum" localSheetId="19">#REF!</definedName>
    <definedName name="Donation_Copy_Sum" localSheetId="18">#REF!</definedName>
    <definedName name="Donation_Copy_Sum" localSheetId="14">#REF!</definedName>
    <definedName name="Donation_Copy_Sum" localSheetId="12">#REF!</definedName>
    <definedName name="Donation_Copy_Sum" localSheetId="24">#REF!</definedName>
    <definedName name="Donation_Copy_Sum" localSheetId="7">#REF!</definedName>
    <definedName name="Donation_Copy_Sum" localSheetId="20">#REF!</definedName>
    <definedName name="Donation_Copy_Sum" localSheetId="21">#REF!</definedName>
    <definedName name="Donation_Copy_Sum" localSheetId="11">#REF!</definedName>
    <definedName name="Donation_Copy_Sum" localSheetId="17">#REF!</definedName>
    <definedName name="Donation_Copy_Sum" localSheetId="16">#REF!</definedName>
    <definedName name="Donation_Copy_Sum" localSheetId="22">#REF!</definedName>
    <definedName name="Donation_Copy_Sum" localSheetId="9">#REF!</definedName>
    <definedName name="Donation_Copy_Sum" localSheetId="13">#REF!</definedName>
    <definedName name="Donation_Copy_Sum" localSheetId="23">#REF!</definedName>
    <definedName name="Donation_Copy_Sum">#REF!</definedName>
    <definedName name="Donation_Orig" localSheetId="4">#REF!</definedName>
    <definedName name="Donation_Orig" localSheetId="9">#REF!</definedName>
    <definedName name="Donation_Orig">#REF!</definedName>
    <definedName name="Donations">#REF!</definedName>
    <definedName name="dp" localSheetId="4">#REF!</definedName>
    <definedName name="dp" localSheetId="5">#REF!</definedName>
    <definedName name="dp" localSheetId="15">#REF!</definedName>
    <definedName name="dp" localSheetId="19">#REF!</definedName>
    <definedName name="dp" localSheetId="18">#REF!</definedName>
    <definedName name="dp" localSheetId="14">#REF!</definedName>
    <definedName name="dp" localSheetId="12">#REF!</definedName>
    <definedName name="dp" localSheetId="24">#REF!</definedName>
    <definedName name="dp" localSheetId="7">#REF!</definedName>
    <definedName name="dp" localSheetId="20">#REF!</definedName>
    <definedName name="dp" localSheetId="21">#REF!</definedName>
    <definedName name="dp" localSheetId="11">#REF!</definedName>
    <definedName name="dp" localSheetId="17">#REF!</definedName>
    <definedName name="dp" localSheetId="16">#REF!</definedName>
    <definedName name="dp" localSheetId="22">#REF!</definedName>
    <definedName name="dp" localSheetId="9">#REF!</definedName>
    <definedName name="dp" localSheetId="13">#REF!</definedName>
    <definedName name="dp" localSheetId="23">#REF!</definedName>
    <definedName name="dp">#REF!</definedName>
    <definedName name="DPS" localSheetId="4">#REF!</definedName>
    <definedName name="DPS" localSheetId="5">#REF!</definedName>
    <definedName name="DPS" localSheetId="15">#REF!</definedName>
    <definedName name="DPS" localSheetId="19">#REF!</definedName>
    <definedName name="DPS" localSheetId="18">#REF!</definedName>
    <definedName name="DPS" localSheetId="14">#REF!</definedName>
    <definedName name="DPS" localSheetId="12">#REF!</definedName>
    <definedName name="DPS" localSheetId="24">#REF!</definedName>
    <definedName name="DPS" localSheetId="7">#REF!</definedName>
    <definedName name="DPS" localSheetId="20">#REF!</definedName>
    <definedName name="DPS" localSheetId="21">#REF!</definedName>
    <definedName name="DPS" localSheetId="11">#REF!</definedName>
    <definedName name="DPS" localSheetId="17">#REF!</definedName>
    <definedName name="DPS" localSheetId="16">#REF!</definedName>
    <definedName name="DPS" localSheetId="22">#REF!</definedName>
    <definedName name="DPS" localSheetId="9">#REF!</definedName>
    <definedName name="DPS" localSheetId="13">#REF!</definedName>
    <definedName name="DPS" localSheetId="23">#REF!</definedName>
    <definedName name="DPS">#REF!</definedName>
    <definedName name="dps_A">#REF!</definedName>
    <definedName name="DPS_Curr_Yr" localSheetId="4">#REF!</definedName>
    <definedName name="DPS_Curr_Yr" localSheetId="5">#REF!</definedName>
    <definedName name="DPS_Curr_Yr" localSheetId="15">#REF!</definedName>
    <definedName name="DPS_Curr_Yr" localSheetId="19">#REF!</definedName>
    <definedName name="DPS_Curr_Yr" localSheetId="18">#REF!</definedName>
    <definedName name="DPS_Curr_Yr" localSheetId="14">#REF!</definedName>
    <definedName name="DPS_Curr_Yr" localSheetId="12">#REF!</definedName>
    <definedName name="DPS_Curr_Yr" localSheetId="24">#REF!</definedName>
    <definedName name="DPS_Curr_Yr" localSheetId="7">#REF!</definedName>
    <definedName name="DPS_Curr_Yr" localSheetId="20">#REF!</definedName>
    <definedName name="DPS_Curr_Yr" localSheetId="21">#REF!</definedName>
    <definedName name="DPS_Curr_Yr" localSheetId="11">#REF!</definedName>
    <definedName name="DPS_Curr_Yr" localSheetId="17">#REF!</definedName>
    <definedName name="DPS_Curr_Yr" localSheetId="16">#REF!</definedName>
    <definedName name="DPS_Curr_Yr" localSheetId="22">#REF!</definedName>
    <definedName name="DPS_Curr_Yr" localSheetId="9">#REF!</definedName>
    <definedName name="DPS_Curr_Yr" localSheetId="13">#REF!</definedName>
    <definedName name="DPS_Curr_Yr" localSheetId="23">#REF!</definedName>
    <definedName name="DPS_Curr_Yr">#REF!</definedName>
    <definedName name="DPS_Lst_Yr" localSheetId="4">#REF!</definedName>
    <definedName name="DPS_Lst_Yr" localSheetId="9">#REF!</definedName>
    <definedName name="DPS_Lst_Yr">#REF!</definedName>
    <definedName name="DPS_Next_Yr" localSheetId="4">#REF!</definedName>
    <definedName name="DPS_Next_Yr" localSheetId="9">#REF!</definedName>
    <definedName name="DPS_Next_Yr">#REF!</definedName>
    <definedName name="Draft">#REF!</definedName>
    <definedName name="Drawdowns" localSheetId="4">#REF!</definedName>
    <definedName name="Drawdowns" localSheetId="5">#REF!</definedName>
    <definedName name="Drawdowns" localSheetId="15">#REF!</definedName>
    <definedName name="Drawdowns" localSheetId="19">#REF!</definedName>
    <definedName name="Drawdowns" localSheetId="18">#REF!</definedName>
    <definedName name="Drawdowns" localSheetId="14">#REF!</definedName>
    <definedName name="Drawdowns" localSheetId="12">#REF!</definedName>
    <definedName name="Drawdowns" localSheetId="24">#REF!</definedName>
    <definedName name="Drawdowns" localSheetId="7">#REF!</definedName>
    <definedName name="Drawdowns" localSheetId="20">#REF!</definedName>
    <definedName name="Drawdowns" localSheetId="21">#REF!</definedName>
    <definedName name="Drawdowns" localSheetId="11">#REF!</definedName>
    <definedName name="Drawdowns" localSheetId="17">#REF!</definedName>
    <definedName name="Drawdowns" localSheetId="16">#REF!</definedName>
    <definedName name="Drawdowns" localSheetId="22">#REF!</definedName>
    <definedName name="Drawdowns" localSheetId="9">#REF!</definedName>
    <definedName name="Drawdowns" localSheetId="13">#REF!</definedName>
    <definedName name="Drawdowns" localSheetId="23">#REF!</definedName>
    <definedName name="Drawdowns">#REF!</definedName>
    <definedName name="DSCR" localSheetId="4">#REF!</definedName>
    <definedName name="DSCR" localSheetId="5">#REF!</definedName>
    <definedName name="DSCR" localSheetId="15">#REF!</definedName>
    <definedName name="DSCR" localSheetId="19">#REF!</definedName>
    <definedName name="DSCR" localSheetId="18">#REF!</definedName>
    <definedName name="DSCR" localSheetId="14">#REF!</definedName>
    <definedName name="DSCR" localSheetId="12">#REF!</definedName>
    <definedName name="DSCR" localSheetId="24">#REF!</definedName>
    <definedName name="DSCR" localSheetId="7">#REF!</definedName>
    <definedName name="DSCR" localSheetId="20">#REF!</definedName>
    <definedName name="DSCR" localSheetId="21">#REF!</definedName>
    <definedName name="DSCR" localSheetId="11">#REF!</definedName>
    <definedName name="DSCR" localSheetId="17">#REF!</definedName>
    <definedName name="DSCR" localSheetId="16">#REF!</definedName>
    <definedName name="DSCR" localSheetId="22">#REF!</definedName>
    <definedName name="DSCR" localSheetId="9">#REF!</definedName>
    <definedName name="DSCR" localSheetId="13">#REF!</definedName>
    <definedName name="DSCR" localSheetId="23">#REF!</definedName>
    <definedName name="DSCR">#REF!</definedName>
    <definedName name="DSCR_DSRA" localSheetId="4">#REF!</definedName>
    <definedName name="DSCR_DSRA" localSheetId="5">#REF!</definedName>
    <definedName name="DSCR_DSRA" localSheetId="15">#REF!</definedName>
    <definedName name="DSCR_DSRA" localSheetId="19">#REF!</definedName>
    <definedName name="DSCR_DSRA" localSheetId="18">#REF!</definedName>
    <definedName name="DSCR_DSRA" localSheetId="14">#REF!</definedName>
    <definedName name="DSCR_DSRA" localSheetId="12">#REF!</definedName>
    <definedName name="DSCR_DSRA" localSheetId="24">#REF!</definedName>
    <definedName name="DSCR_DSRA" localSheetId="7">#REF!</definedName>
    <definedName name="DSCR_DSRA" localSheetId="20">#REF!</definedName>
    <definedName name="DSCR_DSRA" localSheetId="21">#REF!</definedName>
    <definedName name="DSCR_DSRA" localSheetId="11">#REF!</definedName>
    <definedName name="DSCR_DSRA" localSheetId="17">#REF!</definedName>
    <definedName name="DSCR_DSRA" localSheetId="16">#REF!</definedName>
    <definedName name="DSCR_DSRA" localSheetId="22">#REF!</definedName>
    <definedName name="DSCR_DSRA" localSheetId="9">#REF!</definedName>
    <definedName name="DSCR_DSRA" localSheetId="13">#REF!</definedName>
    <definedName name="DSCR_DSRA" localSheetId="23">#REF!</definedName>
    <definedName name="DSCR_DSRA">#REF!</definedName>
    <definedName name="DSCR_RA" localSheetId="4">#REF!</definedName>
    <definedName name="DSCR_RA" localSheetId="9">#REF!</definedName>
    <definedName name="DSCR_RA">#REF!</definedName>
    <definedName name="dsd" localSheetId="4">#REF!</definedName>
    <definedName name="dsd" localSheetId="9">#REF!</definedName>
    <definedName name="dsd">#REF!</definedName>
    <definedName name="dsfwgt">#REF!</definedName>
    <definedName name="DSRA_Copy" localSheetId="4">#REF!</definedName>
    <definedName name="DSRA_Copy" localSheetId="9">#REF!</definedName>
    <definedName name="DSRA_Copy">#REF!</definedName>
    <definedName name="DSRA_Copy_Sum" localSheetId="4">#REF!</definedName>
    <definedName name="DSRA_Copy_Sum" localSheetId="9">#REF!</definedName>
    <definedName name="DSRA_Copy_Sum">#REF!</definedName>
    <definedName name="DSRA_Copy1" localSheetId="4">#REF!</definedName>
    <definedName name="DSRA_Copy1" localSheetId="9">#REF!</definedName>
    <definedName name="DSRA_Copy1">#REF!</definedName>
    <definedName name="DSRA_Copy1_Sum" localSheetId="4">#REF!</definedName>
    <definedName name="DSRA_Copy1_Sum" localSheetId="9">#REF!</definedName>
    <definedName name="DSRA_Copy1_Sum">#REF!</definedName>
    <definedName name="DSRA_Orig" localSheetId="4">#REF!</definedName>
    <definedName name="DSRA_Orig" localSheetId="9">#REF!</definedName>
    <definedName name="DSRA_Orig">#REF!</definedName>
    <definedName name="DSRA_Orig_Sum" localSheetId="4">#REF!</definedName>
    <definedName name="DSRA_Orig_Sum" localSheetId="9">#REF!</definedName>
    <definedName name="DSRA_Orig_Sum">#REF!</definedName>
    <definedName name="DSRA_Orig1" localSheetId="4">#REF!</definedName>
    <definedName name="DSRA_Orig1" localSheetId="9">#REF!</definedName>
    <definedName name="DSRA_Orig1">#REF!</definedName>
    <definedName name="DSRA_Orig1_Sum" localSheetId="4">#REF!</definedName>
    <definedName name="DSRA_Orig1_Sum" localSheetId="9">#REF!</definedName>
    <definedName name="DSRA_Orig1_Sum">#REF!</definedName>
    <definedName name="dtd" localSheetId="4">#REF!</definedName>
    <definedName name="dtd" localSheetId="9">#REF!</definedName>
    <definedName name="dtd">#REF!</definedName>
    <definedName name="Dues_to_Subsidiary_Company">#REF!</definedName>
    <definedName name="dvzxcv" hidden="1">#N/A</definedName>
    <definedName name="dwe"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e" localSheetId="4" hidden="1">{#N/A,#N/A,FALSE,"Status of Projects";#N/A,#N/A,FALSE,"CEA-TEC";#N/A,#N/A,FALSE,"U-Constr.";#N/A,#N/A,FALSE,"summary";#N/A,#N/A,FALSE,"PPP-3 yrs"}</definedName>
    <definedName name="e" localSheetId="9" hidden="1">{#N/A,#N/A,FALSE,"Status of Projects";#N/A,#N/A,FALSE,"CEA-TEC";#N/A,#N/A,FALSE,"U-Constr.";#N/A,#N/A,FALSE,"summary";#N/A,#N/A,FALSE,"PPP-3 yrs"}</definedName>
    <definedName name="e">#REF!</definedName>
    <definedName name="E1E" localSheetId="4">#REF!</definedName>
    <definedName name="E1E" localSheetId="5">#REF!</definedName>
    <definedName name="E1E" localSheetId="15">#REF!</definedName>
    <definedName name="E1E" localSheetId="19">#REF!</definedName>
    <definedName name="E1E" localSheetId="18">#REF!</definedName>
    <definedName name="E1E" localSheetId="14">#REF!</definedName>
    <definedName name="E1E" localSheetId="12">#REF!</definedName>
    <definedName name="E1E" localSheetId="24">#REF!</definedName>
    <definedName name="E1E" localSheetId="7">#REF!</definedName>
    <definedName name="E1E" localSheetId="20">#REF!</definedName>
    <definedName name="E1E" localSheetId="21">#REF!</definedName>
    <definedName name="E1E" localSheetId="11">#REF!</definedName>
    <definedName name="E1E" localSheetId="17">#REF!</definedName>
    <definedName name="E1E" localSheetId="16">#REF!</definedName>
    <definedName name="E1E" localSheetId="22">#REF!</definedName>
    <definedName name="E1E" localSheetId="9">#REF!</definedName>
    <definedName name="E1E" localSheetId="13">#REF!</definedName>
    <definedName name="E1E" localSheetId="23">#REF!</definedName>
    <definedName name="E1E">#REF!</definedName>
    <definedName name="E2E" localSheetId="4">#REF!,#REF!,#REF!</definedName>
    <definedName name="E2E" localSheetId="5">#REF!,#REF!,#REF!</definedName>
    <definedName name="E2E" localSheetId="15">#REF!,#REF!,#REF!</definedName>
    <definedName name="E2E" localSheetId="19">#REF!,#REF!,#REF!</definedName>
    <definedName name="E2E" localSheetId="18">#REF!,#REF!,#REF!</definedName>
    <definedName name="E2E" localSheetId="14">#REF!,#REF!,#REF!</definedName>
    <definedName name="E2E" localSheetId="12">#REF!,#REF!,#REF!</definedName>
    <definedName name="E2E" localSheetId="24">#REF!,#REF!,#REF!</definedName>
    <definedName name="E2E" localSheetId="7">#REF!,#REF!,#REF!</definedName>
    <definedName name="E2E" localSheetId="20">#REF!,#REF!,#REF!</definedName>
    <definedName name="E2E" localSheetId="21">#REF!,#REF!,#REF!</definedName>
    <definedName name="E2E" localSheetId="11">#REF!,#REF!,#REF!</definedName>
    <definedName name="E2E" localSheetId="17">#REF!,#REF!,#REF!</definedName>
    <definedName name="E2E" localSheetId="16">#REF!,#REF!,#REF!</definedName>
    <definedName name="E2E" localSheetId="22">#REF!,#REF!,#REF!</definedName>
    <definedName name="E2E" localSheetId="9">#REF!,#REF!,#REF!</definedName>
    <definedName name="E2E" localSheetId="13">#REF!,#REF!,#REF!</definedName>
    <definedName name="E2E" localSheetId="23">#REF!,#REF!,#REF!</definedName>
    <definedName name="E2E">#REF!,#REF!,#REF!</definedName>
    <definedName name="E3E" localSheetId="4">#REF!,#REF!,#REF!</definedName>
    <definedName name="E3E" localSheetId="5">#REF!,#REF!,#REF!</definedName>
    <definedName name="E3E" localSheetId="15">#REF!,#REF!,#REF!</definedName>
    <definedName name="E3E" localSheetId="19">#REF!,#REF!,#REF!</definedName>
    <definedName name="E3E" localSheetId="18">#REF!,#REF!,#REF!</definedName>
    <definedName name="E3E" localSheetId="14">#REF!,#REF!,#REF!</definedName>
    <definedName name="E3E" localSheetId="12">#REF!,#REF!,#REF!</definedName>
    <definedName name="E3E" localSheetId="24">#REF!,#REF!,#REF!</definedName>
    <definedName name="E3E" localSheetId="7">#REF!,#REF!,#REF!</definedName>
    <definedName name="E3E" localSheetId="20">#REF!,#REF!,#REF!</definedName>
    <definedName name="E3E" localSheetId="21">#REF!,#REF!,#REF!</definedName>
    <definedName name="E3E" localSheetId="11">#REF!,#REF!,#REF!</definedName>
    <definedName name="E3E" localSheetId="17">#REF!,#REF!,#REF!</definedName>
    <definedName name="E3E" localSheetId="16">#REF!,#REF!,#REF!</definedName>
    <definedName name="E3E" localSheetId="22">#REF!,#REF!,#REF!</definedName>
    <definedName name="E3E" localSheetId="9">#REF!,#REF!,#REF!</definedName>
    <definedName name="E3E" localSheetId="13">#REF!,#REF!,#REF!</definedName>
    <definedName name="E3E" localSheetId="23">#REF!,#REF!,#REF!</definedName>
    <definedName name="E3E">#REF!,#REF!,#REF!</definedName>
    <definedName name="e40\" localSheetId="5">#REF!</definedName>
    <definedName name="e40\" localSheetId="15">#REF!</definedName>
    <definedName name="e40\" localSheetId="19">#REF!</definedName>
    <definedName name="e40\" localSheetId="18">#REF!</definedName>
    <definedName name="e40\" localSheetId="14">#REF!</definedName>
    <definedName name="e40\" localSheetId="12">#REF!</definedName>
    <definedName name="e40\" localSheetId="24">#REF!</definedName>
    <definedName name="e40\" localSheetId="7">#REF!</definedName>
    <definedName name="e40\" localSheetId="20">#REF!</definedName>
    <definedName name="e40\" localSheetId="21">#REF!</definedName>
    <definedName name="e40\" localSheetId="11">#REF!</definedName>
    <definedName name="e40\" localSheetId="17">#REF!</definedName>
    <definedName name="e40\" localSheetId="16">#REF!</definedName>
    <definedName name="e40\" localSheetId="22">#REF!</definedName>
    <definedName name="e40\" localSheetId="13">#REF!</definedName>
    <definedName name="e40\" localSheetId="23">#REF!</definedName>
    <definedName name="e40\">#REF!</definedName>
    <definedName name="E4E" localSheetId="4">#REF!,#REF!,#REF!</definedName>
    <definedName name="E4E" localSheetId="5">#REF!,#REF!,#REF!</definedName>
    <definedName name="E4E" localSheetId="15">#REF!,#REF!,#REF!</definedName>
    <definedName name="E4E" localSheetId="19">#REF!,#REF!,#REF!</definedName>
    <definedName name="E4E" localSheetId="18">#REF!,#REF!,#REF!</definedName>
    <definedName name="E4E" localSheetId="14">#REF!,#REF!,#REF!</definedName>
    <definedName name="E4E" localSheetId="12">#REF!,#REF!,#REF!</definedName>
    <definedName name="E4E" localSheetId="24">#REF!,#REF!,#REF!</definedName>
    <definedName name="E4E" localSheetId="7">#REF!,#REF!,#REF!</definedName>
    <definedName name="E4E" localSheetId="20">#REF!,#REF!,#REF!</definedName>
    <definedName name="E4E" localSheetId="21">#REF!,#REF!,#REF!</definedName>
    <definedName name="E4E" localSheetId="11">#REF!,#REF!,#REF!</definedName>
    <definedName name="E4E" localSheetId="17">#REF!,#REF!,#REF!</definedName>
    <definedName name="E4E" localSheetId="16">#REF!,#REF!,#REF!</definedName>
    <definedName name="E4E" localSheetId="22">#REF!,#REF!,#REF!</definedName>
    <definedName name="E4E" localSheetId="9">#REF!,#REF!,#REF!</definedName>
    <definedName name="E4E" localSheetId="13">#REF!,#REF!,#REF!</definedName>
    <definedName name="E4E" localSheetId="23">#REF!,#REF!,#REF!</definedName>
    <definedName name="E4E">#REF!,#REF!,#REF!</definedName>
    <definedName name="E5E" localSheetId="4">#REF!,#REF!,#REF!</definedName>
    <definedName name="E5E" localSheetId="5">#REF!,#REF!,#REF!</definedName>
    <definedName name="E5E" localSheetId="15">#REF!,#REF!,#REF!</definedName>
    <definedName name="E5E" localSheetId="19">#REF!,#REF!,#REF!</definedName>
    <definedName name="E5E" localSheetId="18">#REF!,#REF!,#REF!</definedName>
    <definedName name="E5E" localSheetId="14">#REF!,#REF!,#REF!</definedName>
    <definedName name="E5E" localSheetId="12">#REF!,#REF!,#REF!</definedName>
    <definedName name="E5E" localSheetId="24">#REF!,#REF!,#REF!</definedName>
    <definedName name="E5E" localSheetId="7">#REF!,#REF!,#REF!</definedName>
    <definedName name="E5E" localSheetId="20">#REF!,#REF!,#REF!</definedName>
    <definedName name="E5E" localSheetId="21">#REF!,#REF!,#REF!</definedName>
    <definedName name="E5E" localSheetId="11">#REF!,#REF!,#REF!</definedName>
    <definedName name="E5E" localSheetId="17">#REF!,#REF!,#REF!</definedName>
    <definedName name="E5E" localSheetId="16">#REF!,#REF!,#REF!</definedName>
    <definedName name="E5E" localSheetId="22">#REF!,#REF!,#REF!</definedName>
    <definedName name="E5E" localSheetId="9">#REF!,#REF!,#REF!</definedName>
    <definedName name="E5E" localSheetId="13">#REF!,#REF!,#REF!</definedName>
    <definedName name="E5E" localSheetId="23">#REF!,#REF!,#REF!</definedName>
    <definedName name="E5E">#REF!,#REF!,#REF!</definedName>
    <definedName name="eaa" localSheetId="4">#REF!</definedName>
    <definedName name="eaa" localSheetId="5">#REF!</definedName>
    <definedName name="eaa" localSheetId="15">#REF!</definedName>
    <definedName name="eaa" localSheetId="19">#REF!</definedName>
    <definedName name="eaa" localSheetId="18">#REF!</definedName>
    <definedName name="eaa" localSheetId="14">#REF!</definedName>
    <definedName name="eaa" localSheetId="12">#REF!</definedName>
    <definedName name="eaa" localSheetId="24">#REF!</definedName>
    <definedName name="eaa" localSheetId="7">#REF!</definedName>
    <definedName name="eaa" localSheetId="20">#REF!</definedName>
    <definedName name="eaa" localSheetId="21">#REF!</definedName>
    <definedName name="eaa" localSheetId="11">#REF!</definedName>
    <definedName name="eaa" localSheetId="17">#REF!</definedName>
    <definedName name="eaa" localSheetId="16">#REF!</definedName>
    <definedName name="eaa" localSheetId="22">#REF!</definedName>
    <definedName name="eaa" localSheetId="9">#REF!</definedName>
    <definedName name="eaa" localSheetId="13">#REF!</definedName>
    <definedName name="eaa" localSheetId="23">#REF!</definedName>
    <definedName name="eaa">#REF!</definedName>
    <definedName name="Each_Installment" localSheetId="4">#REF!</definedName>
    <definedName name="Each_Installment" localSheetId="5">#REF!</definedName>
    <definedName name="Each_Installment" localSheetId="15">#REF!</definedName>
    <definedName name="Each_Installment" localSheetId="19">#REF!</definedName>
    <definedName name="Each_Installment" localSheetId="18">#REF!</definedName>
    <definedName name="Each_Installment" localSheetId="14">#REF!</definedName>
    <definedName name="Each_Installment" localSheetId="12">#REF!</definedName>
    <definedName name="Each_Installment" localSheetId="24">#REF!</definedName>
    <definedName name="Each_Installment" localSheetId="7">#REF!</definedName>
    <definedName name="Each_Installment" localSheetId="20">#REF!</definedName>
    <definedName name="Each_Installment" localSheetId="21">#REF!</definedName>
    <definedName name="Each_Installment" localSheetId="11">#REF!</definedName>
    <definedName name="Each_Installment" localSheetId="17">#REF!</definedName>
    <definedName name="Each_Installment" localSheetId="16">#REF!</definedName>
    <definedName name="Each_Installment" localSheetId="22">#REF!</definedName>
    <definedName name="Each_Installment" localSheetId="9">#REF!</definedName>
    <definedName name="Each_Installment" localSheetId="13">#REF!</definedName>
    <definedName name="Each_Installment" localSheetId="23">#REF!</definedName>
    <definedName name="Each_Installment">#REF!</definedName>
    <definedName name="eap" localSheetId="4">#REF!</definedName>
    <definedName name="eap" localSheetId="5">#REF!</definedName>
    <definedName name="eap" localSheetId="15">#REF!</definedName>
    <definedName name="eap" localSheetId="19">#REF!</definedName>
    <definedName name="eap" localSheetId="18">#REF!</definedName>
    <definedName name="eap" localSheetId="14">#REF!</definedName>
    <definedName name="eap" localSheetId="12">#REF!</definedName>
    <definedName name="eap" localSheetId="24">#REF!</definedName>
    <definedName name="eap" localSheetId="7">#REF!</definedName>
    <definedName name="eap" localSheetId="20">#REF!</definedName>
    <definedName name="eap" localSheetId="21">#REF!</definedName>
    <definedName name="eap" localSheetId="11">#REF!</definedName>
    <definedName name="eap" localSheetId="17">#REF!</definedName>
    <definedName name="eap" localSheetId="16">#REF!</definedName>
    <definedName name="eap" localSheetId="22">#REF!</definedName>
    <definedName name="eap" localSheetId="9">#REF!</definedName>
    <definedName name="eap" localSheetId="13">#REF!</definedName>
    <definedName name="eap" localSheetId="23">#REF!</definedName>
    <definedName name="eap">#REF!</definedName>
    <definedName name="EAR_AdminExpenses" localSheetId="4">#REF!</definedName>
    <definedName name="EAR_AdminExpenses" localSheetId="9">#REF!</definedName>
    <definedName name="EAR_AdminExpenses">#REF!</definedName>
    <definedName name="EAR_AdminIncome" localSheetId="4">#REF!</definedName>
    <definedName name="EAR_AdminIncome" localSheetId="9">#REF!</definedName>
    <definedName name="EAR_AdminIncome">#REF!</definedName>
    <definedName name="EAR_Amortization" localSheetId="4">#REF!</definedName>
    <definedName name="EAR_Amortization" localSheetId="9">#REF!</definedName>
    <definedName name="EAR_Amortization">#REF!</definedName>
    <definedName name="EAR_CashDividendsPaid" localSheetId="4">#REF!</definedName>
    <definedName name="EAR_CashDividendsPaid" localSheetId="9">#REF!</definedName>
    <definedName name="EAR_CashDividendsPaid">#REF!</definedName>
    <definedName name="EAR_CGS" localSheetId="4">#REF!</definedName>
    <definedName name="EAR_CGS" localSheetId="9">#REF!</definedName>
    <definedName name="EAR_CGS">#REF!</definedName>
    <definedName name="EAR_CommissionExpense" localSheetId="4">#REF!</definedName>
    <definedName name="EAR_CommissionExpense" localSheetId="9">#REF!</definedName>
    <definedName name="EAR_CommissionExpense">#REF!</definedName>
    <definedName name="EAR_CumulativeAdjustment" localSheetId="4">#REF!</definedName>
    <definedName name="EAR_CumulativeAdjustment" localSheetId="9">#REF!</definedName>
    <definedName name="EAR_CumulativeAdjustment">#REF!</definedName>
    <definedName name="EAR_DeprAmort" localSheetId="4">#REF!</definedName>
    <definedName name="EAR_DeprAmort" localSheetId="9">#REF!</definedName>
    <definedName name="EAR_DeprAmort">#REF!</definedName>
    <definedName name="EAR_Depreciation" localSheetId="4">#REF!</definedName>
    <definedName name="EAR_Depreciation" localSheetId="9">#REF!</definedName>
    <definedName name="EAR_Depreciation">#REF!</definedName>
    <definedName name="EAR_EarningsAfterFinancing" localSheetId="4">#REF!</definedName>
    <definedName name="EAR_EarningsAfterFinancing" localSheetId="9">#REF!</definedName>
    <definedName name="EAR_EarningsAfterFinancing">#REF!</definedName>
    <definedName name="EAR_EBIT" localSheetId="4">#REF!</definedName>
    <definedName name="EAR_EBIT" localSheetId="9">#REF!</definedName>
    <definedName name="EAR_EBIT">#REF!</definedName>
    <definedName name="EAR_EBITDA" localSheetId="4">#REF!</definedName>
    <definedName name="EAR_EBITDA" localSheetId="9">#REF!</definedName>
    <definedName name="EAR_EBITDA">#REF!</definedName>
    <definedName name="EAR_Exceptionals" localSheetId="4">#REF!</definedName>
    <definedName name="EAR_Exceptionals" localSheetId="9">#REF!</definedName>
    <definedName name="EAR_Exceptionals">#REF!</definedName>
    <definedName name="EAR_Extraordinaries" localSheetId="4">#REF!</definedName>
    <definedName name="EAR_Extraordinaries" localSheetId="9">#REF!</definedName>
    <definedName name="EAR_Extraordinaries">#REF!</definedName>
    <definedName name="EAR_GrossProfit" localSheetId="4">#REF!</definedName>
    <definedName name="EAR_GrossProfit" localSheetId="9">#REF!</definedName>
    <definedName name="EAR_GrossProfit">#REF!</definedName>
    <definedName name="EAR_GrossProfitSub1" localSheetId="4">#REF!</definedName>
    <definedName name="EAR_GrossProfitSub1" localSheetId="9">#REF!</definedName>
    <definedName name="EAR_GrossProfitSub1">#REF!</definedName>
    <definedName name="EAR_IncomeFromAssociates" localSheetId="4">#REF!</definedName>
    <definedName name="EAR_IncomeFromAssociates" localSheetId="9">#REF!</definedName>
    <definedName name="EAR_IncomeFromAssociates">#REF!</definedName>
    <definedName name="EAR_IncomeFromAssociatesAfterDividends" localSheetId="4">#REF!</definedName>
    <definedName name="EAR_IncomeFromAssociatesAfterDividends" localSheetId="9">#REF!</definedName>
    <definedName name="EAR_IncomeFromAssociatesAfterDividends">#REF!</definedName>
    <definedName name="EAR_IncomeFromUnConsAffiliates" localSheetId="4">#REF!</definedName>
    <definedName name="EAR_IncomeFromUnConsAffiliates" localSheetId="9">#REF!</definedName>
    <definedName name="EAR_IncomeFromUnConsAffiliates">#REF!</definedName>
    <definedName name="EAR_InterestExpense" localSheetId="4">#REF!</definedName>
    <definedName name="EAR_InterestExpense" localSheetId="9">#REF!</definedName>
    <definedName name="EAR_InterestExpense">#REF!</definedName>
    <definedName name="EAR_InterestIncome" localSheetId="4">#REF!</definedName>
    <definedName name="EAR_InterestIncome" localSheetId="9">#REF!</definedName>
    <definedName name="EAR_InterestIncome">#REF!</definedName>
    <definedName name="EAR_InvestmentIncome" localSheetId="4">#REF!</definedName>
    <definedName name="EAR_InvestmentIncome" localSheetId="9">#REF!</definedName>
    <definedName name="EAR_InvestmentIncome">#REF!</definedName>
    <definedName name="EAR_LoanLossProvision" localSheetId="4">#REF!</definedName>
    <definedName name="EAR_LoanLossProvision" localSheetId="9">#REF!</definedName>
    <definedName name="EAR_LoanLossProvision">#REF!</definedName>
    <definedName name="EAR_LookUpYears" localSheetId="4">#REF!</definedName>
    <definedName name="EAR_LookUpYears" localSheetId="9">#REF!</definedName>
    <definedName name="EAR_LookUpYears">#REF!</definedName>
    <definedName name="EAR_Minorities" localSheetId="4">#REF!</definedName>
    <definedName name="EAR_Minorities" localSheetId="9">#REF!</definedName>
    <definedName name="EAR_Minorities">#REF!</definedName>
    <definedName name="EAR_NetInterestIncomeExpense" localSheetId="4">#REF!</definedName>
    <definedName name="EAR_NetInterestIncomeExpense" localSheetId="9">#REF!</definedName>
    <definedName name="EAR_NetInterestIncomeExpense">#REF!</definedName>
    <definedName name="EAR_NetProfit" localSheetId="4">#REF!</definedName>
    <definedName name="EAR_NetProfit" localSheetId="9">#REF!</definedName>
    <definedName name="EAR_NetProfit">#REF!</definedName>
    <definedName name="EAR_NetProfitAfterDividends" localSheetId="4">#REF!</definedName>
    <definedName name="EAR_NetProfitAfterDividends" localSheetId="9">#REF!</definedName>
    <definedName name="EAR_NetProfitAfterDividends">#REF!</definedName>
    <definedName name="EAR_NetProfitExcExceptionals" localSheetId="4">#REF!</definedName>
    <definedName name="EAR_NetProfitExcExceptionals" localSheetId="9">#REF!</definedName>
    <definedName name="EAR_NetProfitExcExceptionals">#REF!</definedName>
    <definedName name="EAR_OtherAfterTaxIncomeNet" localSheetId="4">#REF!</definedName>
    <definedName name="EAR_OtherAfterTaxIncomeNet" localSheetId="9">#REF!</definedName>
    <definedName name="EAR_OtherAfterTaxIncomeNet">#REF!</definedName>
    <definedName name="EAR_OtherDirectIncomeCosts" localSheetId="4">#REF!</definedName>
    <definedName name="EAR_OtherDirectIncomeCosts" localSheetId="9">#REF!</definedName>
    <definedName name="EAR_OtherDirectIncomeCosts">#REF!</definedName>
    <definedName name="EAR_OtherExpense" localSheetId="4">#REF!</definedName>
    <definedName name="EAR_OtherExpense" localSheetId="9">#REF!</definedName>
    <definedName name="EAR_OtherExpense">#REF!</definedName>
    <definedName name="EAR_OtherIncome" localSheetId="4">#REF!</definedName>
    <definedName name="EAR_OtherIncome" localSheetId="9">#REF!</definedName>
    <definedName name="EAR_OtherIncome">#REF!</definedName>
    <definedName name="EAR_PreferredDividends" localSheetId="4">#REF!</definedName>
    <definedName name="EAR_PreferredDividends" localSheetId="9">#REF!</definedName>
    <definedName name="EAR_PreferredDividends">#REF!</definedName>
    <definedName name="EAR_PretaxProfit" localSheetId="4">#REF!</definedName>
    <definedName name="EAR_PretaxProfit" localSheetId="9">#REF!</definedName>
    <definedName name="EAR_PretaxProfit">#REF!</definedName>
    <definedName name="EAR_ProfitAfterTax" localSheetId="4">#REF!</definedName>
    <definedName name="EAR_ProfitAfterTax" localSheetId="9">#REF!</definedName>
    <definedName name="EAR_ProfitAfterTax">#REF!</definedName>
    <definedName name="EAR_ProfitBeforeMinorities" localSheetId="4">#REF!</definedName>
    <definedName name="EAR_ProfitBeforeMinorities" localSheetId="9">#REF!</definedName>
    <definedName name="EAR_ProfitBeforeMinorities">#REF!</definedName>
    <definedName name="EAR_ProformaAdjustment" localSheetId="4">#REF!</definedName>
    <definedName name="EAR_ProformaAdjustment" localSheetId="9">#REF!</definedName>
    <definedName name="EAR_ProformaAdjustment">#REF!</definedName>
    <definedName name="EAR_Provisions" localSheetId="4">#REF!</definedName>
    <definedName name="EAR_Provisions" localSheetId="9">#REF!</definedName>
    <definedName name="EAR_Provisions">#REF!</definedName>
    <definedName name="EAR_Revenue" localSheetId="4">#REF!</definedName>
    <definedName name="EAR_Revenue" localSheetId="9">#REF!</definedName>
    <definedName name="EAR_Revenue">#REF!</definedName>
    <definedName name="EAR_Tax" localSheetId="4">#REF!</definedName>
    <definedName name="EAR_Tax" localSheetId="9">#REF!</definedName>
    <definedName name="EAR_Tax">#REF!</definedName>
    <definedName name="EAR_TaxRate" localSheetId="4">#REF!</definedName>
    <definedName name="EAR_TaxRate" localSheetId="9">#REF!</definedName>
    <definedName name="EAR_TaxRate">#REF!</definedName>
    <definedName name="EarnChk">#REF!</definedName>
    <definedName name="earning_assets_avg">#REF!</definedName>
    <definedName name="Earnings">#REF!</definedName>
    <definedName name="eat" localSheetId="4">#REF!</definedName>
    <definedName name="eat" localSheetId="5">#REF!</definedName>
    <definedName name="eat" localSheetId="15">#REF!</definedName>
    <definedName name="eat" localSheetId="19">#REF!</definedName>
    <definedName name="eat" localSheetId="18">#REF!</definedName>
    <definedName name="eat" localSheetId="14">#REF!</definedName>
    <definedName name="eat" localSheetId="12">#REF!</definedName>
    <definedName name="eat" localSheetId="24">#REF!</definedName>
    <definedName name="eat" localSheetId="7">#REF!</definedName>
    <definedName name="eat" localSheetId="20">#REF!</definedName>
    <definedName name="eat" localSheetId="21">#REF!</definedName>
    <definedName name="eat" localSheetId="11">#REF!</definedName>
    <definedName name="eat" localSheetId="17">#REF!</definedName>
    <definedName name="eat" localSheetId="16">#REF!</definedName>
    <definedName name="eat" localSheetId="22">#REF!</definedName>
    <definedName name="eat" localSheetId="9">#REF!</definedName>
    <definedName name="eat" localSheetId="13">#REF!</definedName>
    <definedName name="eat" localSheetId="23">#REF!</definedName>
    <definedName name="eat">#REF!</definedName>
    <definedName name="EBDT">#REF!</definedName>
    <definedName name="ebida">#REF!</definedName>
    <definedName name="ebida_core_activity">#REF!</definedName>
    <definedName name="EBIT" localSheetId="4">#REF!</definedName>
    <definedName name="EBIT" localSheetId="5">#REF!</definedName>
    <definedName name="EBIT" localSheetId="15">#REF!</definedName>
    <definedName name="EBIT" localSheetId="19">#REF!</definedName>
    <definedName name="EBIT" localSheetId="18">#REF!</definedName>
    <definedName name="EBIT" localSheetId="14">#REF!</definedName>
    <definedName name="EBIT" localSheetId="12">#REF!</definedName>
    <definedName name="EBIT" localSheetId="24">#REF!</definedName>
    <definedName name="EBIT" localSheetId="7">#REF!</definedName>
    <definedName name="EBIT" localSheetId="20">#REF!</definedName>
    <definedName name="EBIT" localSheetId="21">#REF!</definedName>
    <definedName name="EBIT" localSheetId="11">#REF!</definedName>
    <definedName name="EBIT" localSheetId="17">#REF!</definedName>
    <definedName name="EBIT" localSheetId="16">#REF!</definedName>
    <definedName name="EBIT" localSheetId="22">#REF!</definedName>
    <definedName name="EBIT" localSheetId="9">#REF!</definedName>
    <definedName name="EBIT" localSheetId="13">#REF!</definedName>
    <definedName name="EBIT" localSheetId="23">#REF!</definedName>
    <definedName name="EBIT">#REF!</definedName>
    <definedName name="ebit_A">#REF!</definedName>
    <definedName name="ebit_core_activity">#REF!</definedName>
    <definedName name="EBIT_fore" localSheetId="4">#REF!</definedName>
    <definedName name="EBIT_fore" localSheetId="5">#REF!</definedName>
    <definedName name="EBIT_fore" localSheetId="15">#REF!</definedName>
    <definedName name="EBIT_fore" localSheetId="19">#REF!</definedName>
    <definedName name="EBIT_fore" localSheetId="18">#REF!</definedName>
    <definedName name="EBIT_fore" localSheetId="14">#REF!</definedName>
    <definedName name="EBIT_fore" localSheetId="12">#REF!</definedName>
    <definedName name="EBIT_fore" localSheetId="24">#REF!</definedName>
    <definedName name="EBIT_fore" localSheetId="7">#REF!</definedName>
    <definedName name="EBIT_fore" localSheetId="20">#REF!</definedName>
    <definedName name="EBIT_fore" localSheetId="21">#REF!</definedName>
    <definedName name="EBIT_fore" localSheetId="11">#REF!</definedName>
    <definedName name="EBIT_fore" localSheetId="17">#REF!</definedName>
    <definedName name="EBIT_fore" localSheetId="16">#REF!</definedName>
    <definedName name="EBIT_fore" localSheetId="22">#REF!</definedName>
    <definedName name="EBIT_fore" localSheetId="9">#REF!</definedName>
    <definedName name="EBIT_fore" localSheetId="13">#REF!</definedName>
    <definedName name="EBIT_fore" localSheetId="23">#REF!</definedName>
    <definedName name="EBIT_fore">#REF!</definedName>
    <definedName name="EBIT_growth" localSheetId="4">#REF!</definedName>
    <definedName name="ebit_growth" localSheetId="5">#REF!</definedName>
    <definedName name="ebit_growth" localSheetId="15">#REF!</definedName>
    <definedName name="ebit_growth" localSheetId="19">#REF!</definedName>
    <definedName name="ebit_growth" localSheetId="18">#REF!</definedName>
    <definedName name="ebit_growth" localSheetId="14">#REF!</definedName>
    <definedName name="ebit_growth" localSheetId="12">#REF!</definedName>
    <definedName name="ebit_growth" localSheetId="24">#REF!</definedName>
    <definedName name="ebit_growth" localSheetId="7">#REF!</definedName>
    <definedName name="ebit_growth" localSheetId="20">#REF!</definedName>
    <definedName name="ebit_growth" localSheetId="21">#REF!</definedName>
    <definedName name="ebit_growth" localSheetId="11">#REF!</definedName>
    <definedName name="ebit_growth" localSheetId="17">#REF!</definedName>
    <definedName name="ebit_growth" localSheetId="16">#REF!</definedName>
    <definedName name="ebit_growth" localSheetId="22">#REF!</definedName>
    <definedName name="EBIT_growth" localSheetId="9">#REF!</definedName>
    <definedName name="ebit_growth" localSheetId="13">#REF!</definedName>
    <definedName name="ebit_growth" localSheetId="23">#REF!</definedName>
    <definedName name="ebit_growth">#REF!</definedName>
    <definedName name="EBIT_margin" localSheetId="4">#REF!</definedName>
    <definedName name="ebit_margin" localSheetId="5">#REF!</definedName>
    <definedName name="ebit_margin" localSheetId="15">#REF!</definedName>
    <definedName name="ebit_margin" localSheetId="19">#REF!</definedName>
    <definedName name="ebit_margin" localSheetId="18">#REF!</definedName>
    <definedName name="ebit_margin" localSheetId="14">#REF!</definedName>
    <definedName name="ebit_margin" localSheetId="12">#REF!</definedName>
    <definedName name="ebit_margin" localSheetId="24">#REF!</definedName>
    <definedName name="ebit_margin" localSheetId="7">#REF!</definedName>
    <definedName name="ebit_margin" localSheetId="20">#REF!</definedName>
    <definedName name="ebit_margin" localSheetId="21">#REF!</definedName>
    <definedName name="ebit_margin" localSheetId="11">#REF!</definedName>
    <definedName name="ebit_margin" localSheetId="17">#REF!</definedName>
    <definedName name="ebit_margin" localSheetId="16">#REF!</definedName>
    <definedName name="ebit_margin" localSheetId="22">#REF!</definedName>
    <definedName name="EBIT_margin" localSheetId="9">#REF!</definedName>
    <definedName name="ebit_margin" localSheetId="13">#REF!</definedName>
    <definedName name="ebit_margin" localSheetId="23">#REF!</definedName>
    <definedName name="ebit_margin">#REF!</definedName>
    <definedName name="EBIT_margin_fore" localSheetId="4">#REF!</definedName>
    <definedName name="EBIT_margin_fore" localSheetId="9">#REF!</definedName>
    <definedName name="EBIT_margin_fore">#REF!</definedName>
    <definedName name="ebit_qtr">#REF!</definedName>
    <definedName name="EBIT6">#REF!</definedName>
    <definedName name="EBITA" localSheetId="4">#REF!</definedName>
    <definedName name="EBITA" localSheetId="9">#REF!</definedName>
    <definedName name="EBITA">#REF!</definedName>
    <definedName name="EBITA_fore" localSheetId="4">#REF!</definedName>
    <definedName name="EBITA_fore" localSheetId="5">#REF!</definedName>
    <definedName name="EBITA_fore" localSheetId="15">#REF!</definedName>
    <definedName name="EBITA_fore" localSheetId="19">#REF!</definedName>
    <definedName name="EBITA_fore" localSheetId="18">#REF!</definedName>
    <definedName name="EBITA_fore" localSheetId="14">#REF!</definedName>
    <definedName name="EBITA_fore" localSheetId="12">#REF!</definedName>
    <definedName name="EBITA_fore" localSheetId="24">#REF!</definedName>
    <definedName name="EBITA_fore" localSheetId="7">#REF!</definedName>
    <definedName name="EBITA_fore" localSheetId="20">#REF!</definedName>
    <definedName name="EBITA_fore" localSheetId="21">#REF!</definedName>
    <definedName name="EBITA_fore" localSheetId="11">#REF!</definedName>
    <definedName name="EBITA_fore" localSheetId="17">#REF!</definedName>
    <definedName name="EBITA_fore" localSheetId="16">#REF!</definedName>
    <definedName name="EBITA_fore" localSheetId="22">#REF!</definedName>
    <definedName name="EBITA_fore" localSheetId="9">#REF!</definedName>
    <definedName name="EBITA_fore" localSheetId="13">#REF!</definedName>
    <definedName name="EBITA_fore" localSheetId="23">#REF!</definedName>
    <definedName name="EBITA_fore">#REF!</definedName>
    <definedName name="EBITD" localSheetId="4">#REF!</definedName>
    <definedName name="EBITD" localSheetId="9">#REF!</definedName>
    <definedName name="EBITD">#REF!</definedName>
    <definedName name="EBITDA" localSheetId="4">#REF!</definedName>
    <definedName name="EBITDA" localSheetId="5">#REF!</definedName>
    <definedName name="EBITDA" localSheetId="15">#REF!</definedName>
    <definedName name="EBITDA" localSheetId="19">#REF!</definedName>
    <definedName name="EBITDA" localSheetId="18">#REF!</definedName>
    <definedName name="EBITDA" localSheetId="14">#REF!</definedName>
    <definedName name="EBITDA" localSheetId="12">#REF!</definedName>
    <definedName name="EBITDA" localSheetId="24">#REF!</definedName>
    <definedName name="EBITDA" localSheetId="7">#REF!</definedName>
    <definedName name="EBITDA" localSheetId="20">#REF!</definedName>
    <definedName name="EBITDA" localSheetId="21">#REF!</definedName>
    <definedName name="EBITDA" localSheetId="11">#REF!</definedName>
    <definedName name="EBITDA" localSheetId="17">#REF!</definedName>
    <definedName name="EBITDA" localSheetId="16">#REF!</definedName>
    <definedName name="EBITDA" localSheetId="22">#REF!</definedName>
    <definedName name="EBITDA" localSheetId="9">#REF!</definedName>
    <definedName name="EBITDA" localSheetId="13">#REF!</definedName>
    <definedName name="EBITDA" localSheetId="23">#REF!</definedName>
    <definedName name="EBITDA">#REF!</definedName>
    <definedName name="ebitda_core_activity">#REF!</definedName>
    <definedName name="EBITDA_DCF" localSheetId="4">#REF!</definedName>
    <definedName name="EBITDA_DCF" localSheetId="9">#REF!</definedName>
    <definedName name="EBITDA_DCF">#REF!</definedName>
    <definedName name="EBITDA_fore" localSheetId="4">#REF!</definedName>
    <definedName name="EBITDA_fore" localSheetId="5">#REF!</definedName>
    <definedName name="EBITDA_fore" localSheetId="15">#REF!</definedName>
    <definedName name="EBITDA_fore" localSheetId="19">#REF!</definedName>
    <definedName name="EBITDA_fore" localSheetId="18">#REF!</definedName>
    <definedName name="EBITDA_fore" localSheetId="14">#REF!</definedName>
    <definedName name="EBITDA_fore" localSheetId="12">#REF!</definedName>
    <definedName name="EBITDA_fore" localSheetId="24">#REF!</definedName>
    <definedName name="EBITDA_fore" localSheetId="7">#REF!</definedName>
    <definedName name="EBITDA_fore" localSheetId="20">#REF!</definedName>
    <definedName name="EBITDA_fore" localSheetId="21">#REF!</definedName>
    <definedName name="EBITDA_fore" localSheetId="11">#REF!</definedName>
    <definedName name="EBITDA_fore" localSheetId="17">#REF!</definedName>
    <definedName name="EBITDA_fore" localSheetId="16">#REF!</definedName>
    <definedName name="EBITDA_fore" localSheetId="22">#REF!</definedName>
    <definedName name="EBITDA_fore" localSheetId="9">#REF!</definedName>
    <definedName name="EBITDA_fore" localSheetId="13">#REF!</definedName>
    <definedName name="EBITDA_fore" localSheetId="23">#REF!</definedName>
    <definedName name="EBITDA_fore">#REF!</definedName>
    <definedName name="EBITDA_growth" localSheetId="4">#REF!</definedName>
    <definedName name="ebitda_growth" localSheetId="5">#REF!</definedName>
    <definedName name="ebitda_growth" localSheetId="15">#REF!</definedName>
    <definedName name="ebitda_growth" localSheetId="19">#REF!</definedName>
    <definedName name="ebitda_growth" localSheetId="18">#REF!</definedName>
    <definedName name="ebitda_growth" localSheetId="14">#REF!</definedName>
    <definedName name="ebitda_growth" localSheetId="12">#REF!</definedName>
    <definedName name="ebitda_growth" localSheetId="24">#REF!</definedName>
    <definedName name="ebitda_growth" localSheetId="7">#REF!</definedName>
    <definedName name="ebitda_growth" localSheetId="20">#REF!</definedName>
    <definedName name="ebitda_growth" localSheetId="21">#REF!</definedName>
    <definedName name="ebitda_growth" localSheetId="11">#REF!</definedName>
    <definedName name="ebitda_growth" localSheetId="17">#REF!</definedName>
    <definedName name="ebitda_growth" localSheetId="16">#REF!</definedName>
    <definedName name="ebitda_growth" localSheetId="22">#REF!</definedName>
    <definedName name="EBITDA_growth" localSheetId="9">#REF!</definedName>
    <definedName name="ebitda_growth" localSheetId="13">#REF!</definedName>
    <definedName name="ebitda_growth" localSheetId="23">#REF!</definedName>
    <definedName name="ebitda_growth">#REF!</definedName>
    <definedName name="EBITDA_growth_avg" localSheetId="4">#REF!</definedName>
    <definedName name="EBITDA_growth_avg" localSheetId="5">#REF!</definedName>
    <definedName name="EBITDA_growth_avg" localSheetId="15">#REF!</definedName>
    <definedName name="EBITDA_growth_avg" localSheetId="19">#REF!</definedName>
    <definedName name="EBITDA_growth_avg" localSheetId="18">#REF!</definedName>
    <definedName name="EBITDA_growth_avg" localSheetId="14">#REF!</definedName>
    <definedName name="EBITDA_growth_avg" localSheetId="12">#REF!</definedName>
    <definedName name="EBITDA_growth_avg" localSheetId="24">#REF!</definedName>
    <definedName name="EBITDA_growth_avg" localSheetId="7">#REF!</definedName>
    <definedName name="EBITDA_growth_avg" localSheetId="20">#REF!</definedName>
    <definedName name="EBITDA_growth_avg" localSheetId="21">#REF!</definedName>
    <definedName name="EBITDA_growth_avg" localSheetId="11">#REF!</definedName>
    <definedName name="EBITDA_growth_avg" localSheetId="17">#REF!</definedName>
    <definedName name="EBITDA_growth_avg" localSheetId="16">#REF!</definedName>
    <definedName name="EBITDA_growth_avg" localSheetId="22">#REF!</definedName>
    <definedName name="EBITDA_growth_avg" localSheetId="9">#REF!</definedName>
    <definedName name="EBITDA_growth_avg" localSheetId="13">#REF!</definedName>
    <definedName name="EBITDA_growth_avg" localSheetId="23">#REF!</definedName>
    <definedName name="EBITDA_growth_avg">#REF!</definedName>
    <definedName name="EBITDA_INT" localSheetId="4">#REF!</definedName>
    <definedName name="EBITDA_INT" localSheetId="5">#REF!</definedName>
    <definedName name="EBITDA_INT" localSheetId="15">#REF!</definedName>
    <definedName name="EBITDA_INT" localSheetId="19">#REF!</definedName>
    <definedName name="EBITDA_INT" localSheetId="18">#REF!</definedName>
    <definedName name="EBITDA_INT" localSheetId="14">#REF!</definedName>
    <definedName name="EBITDA_INT" localSheetId="12">#REF!</definedName>
    <definedName name="EBITDA_INT" localSheetId="24">#REF!</definedName>
    <definedName name="EBITDA_INT" localSheetId="7">#REF!</definedName>
    <definedName name="EBITDA_INT" localSheetId="20">#REF!</definedName>
    <definedName name="EBITDA_INT" localSheetId="21">#REF!</definedName>
    <definedName name="EBITDA_INT" localSheetId="11">#REF!</definedName>
    <definedName name="EBITDA_INT" localSheetId="17">#REF!</definedName>
    <definedName name="EBITDA_INT" localSheetId="16">#REF!</definedName>
    <definedName name="EBITDA_INT" localSheetId="22">#REF!</definedName>
    <definedName name="EBITDA_INT" localSheetId="9">#REF!</definedName>
    <definedName name="EBITDA_INT" localSheetId="13">#REF!</definedName>
    <definedName name="EBITDA_INT" localSheetId="23">#REF!</definedName>
    <definedName name="EBITDA_INT">#REF!</definedName>
    <definedName name="EBITDA_MAR" localSheetId="4">#REF!</definedName>
    <definedName name="EBITDA_MAR" localSheetId="5">#REF!</definedName>
    <definedName name="EBITDA_MAR" localSheetId="15">#REF!</definedName>
    <definedName name="EBITDA_MAR" localSheetId="19">#REF!</definedName>
    <definedName name="EBITDA_MAR" localSheetId="18">#REF!</definedName>
    <definedName name="EBITDA_MAR" localSheetId="14">#REF!</definedName>
    <definedName name="EBITDA_MAR" localSheetId="12">#REF!</definedName>
    <definedName name="EBITDA_MAR" localSheetId="24">#REF!</definedName>
    <definedName name="EBITDA_MAR" localSheetId="7">#REF!</definedName>
    <definedName name="EBITDA_MAR" localSheetId="20">#REF!</definedName>
    <definedName name="EBITDA_MAR" localSheetId="21">#REF!</definedName>
    <definedName name="EBITDA_MAR" localSheetId="11">#REF!</definedName>
    <definedName name="EBITDA_MAR" localSheetId="17">#REF!</definedName>
    <definedName name="EBITDA_MAR" localSheetId="16">#REF!</definedName>
    <definedName name="EBITDA_MAR" localSheetId="22">#REF!</definedName>
    <definedName name="EBITDA_MAR" localSheetId="9">#REF!</definedName>
    <definedName name="EBITDA_MAR" localSheetId="13">#REF!</definedName>
    <definedName name="EBITDA_MAR" localSheetId="23">#REF!</definedName>
    <definedName name="EBITDA_MAR">#REF!</definedName>
    <definedName name="EBITDA_margin" localSheetId="4">#REF!</definedName>
    <definedName name="ebitda_margin" localSheetId="5">#REF!</definedName>
    <definedName name="ebitda_margin" localSheetId="15">#REF!</definedName>
    <definedName name="ebitda_margin" localSheetId="19">#REF!</definedName>
    <definedName name="ebitda_margin" localSheetId="18">#REF!</definedName>
    <definedName name="ebitda_margin" localSheetId="14">#REF!</definedName>
    <definedName name="ebitda_margin" localSheetId="12">#REF!</definedName>
    <definedName name="ebitda_margin" localSheetId="24">#REF!</definedName>
    <definedName name="ebitda_margin" localSheetId="7">#REF!</definedName>
    <definedName name="ebitda_margin" localSheetId="20">#REF!</definedName>
    <definedName name="ebitda_margin" localSheetId="21">#REF!</definedName>
    <definedName name="ebitda_margin" localSheetId="11">#REF!</definedName>
    <definedName name="ebitda_margin" localSheetId="17">#REF!</definedName>
    <definedName name="ebitda_margin" localSheetId="16">#REF!</definedName>
    <definedName name="ebitda_margin" localSheetId="22">#REF!</definedName>
    <definedName name="EBITDA_margin" localSheetId="9">#REF!</definedName>
    <definedName name="ebitda_margin" localSheetId="13">#REF!</definedName>
    <definedName name="ebitda_margin" localSheetId="23">#REF!</definedName>
    <definedName name="ebitda_margin">#REF!</definedName>
    <definedName name="ebitda_margin_A">#REF!</definedName>
    <definedName name="EBITDA_margin_fore" localSheetId="4">#REF!</definedName>
    <definedName name="EBITDA_margin_fore" localSheetId="5">#REF!</definedName>
    <definedName name="EBITDA_margin_fore" localSheetId="15">#REF!</definedName>
    <definedName name="EBITDA_margin_fore" localSheetId="19">#REF!</definedName>
    <definedName name="EBITDA_margin_fore" localSheetId="18">#REF!</definedName>
    <definedName name="EBITDA_margin_fore" localSheetId="14">#REF!</definedName>
    <definedName name="EBITDA_margin_fore" localSheetId="12">#REF!</definedName>
    <definedName name="EBITDA_margin_fore" localSheetId="24">#REF!</definedName>
    <definedName name="EBITDA_margin_fore" localSheetId="7">#REF!</definedName>
    <definedName name="EBITDA_margin_fore" localSheetId="20">#REF!</definedName>
    <definedName name="EBITDA_margin_fore" localSheetId="21">#REF!</definedName>
    <definedName name="EBITDA_margin_fore" localSheetId="11">#REF!</definedName>
    <definedName name="EBITDA_margin_fore" localSheetId="17">#REF!</definedName>
    <definedName name="EBITDA_margin_fore" localSheetId="16">#REF!</definedName>
    <definedName name="EBITDA_margin_fore" localSheetId="22">#REF!</definedName>
    <definedName name="EBITDA_margin_fore" localSheetId="9">#REF!</definedName>
    <definedName name="EBITDA_margin_fore" localSheetId="13">#REF!</definedName>
    <definedName name="EBITDA_margin_fore" localSheetId="23">#REF!</definedName>
    <definedName name="EBITDA_margin_fore">#REF!</definedName>
    <definedName name="ebitda_qtr">#REF!</definedName>
    <definedName name="EBITDA_Share">#REF!</definedName>
    <definedName name="EBITDA6">#REF!</definedName>
    <definedName name="EBTS_HW_Cost">#REF!</definedName>
    <definedName name="EBTS_HW_DNUP">#REF!</definedName>
    <definedName name="EBTS_HW_Line_Cost">#REF!</definedName>
    <definedName name="EBTS_HW_Line_Desc">#REF!</definedName>
    <definedName name="EBTS_HW_Line_DNUP">#REF!</definedName>
    <definedName name="EBTS_HW_Line_Qty">#REF!</definedName>
    <definedName name="EBTS_MSW_Cost">#REF!</definedName>
    <definedName name="EBTS_MSW_DNUP">#REF!</definedName>
    <definedName name="EBTS_Price_Level">#REF!</definedName>
    <definedName name="EBTS_SMP_Cost">#REF!</definedName>
    <definedName name="EBTS_SMP_DNUP">#REF!</definedName>
    <definedName name="EBTS_SW_Line_Cost">#REF!</definedName>
    <definedName name="EBTS_SW_Line_Desc">#REF!</definedName>
    <definedName name="EBTS_SW_Line_DNUP">#REF!</definedName>
    <definedName name="EBTS_SW_Line_Qty">#REF!</definedName>
    <definedName name="EBTS_SW_Mfg_Cost">#REF!</definedName>
    <definedName name="EBTS_Warr_Correct_Cost">#REF!</definedName>
    <definedName name="EBTS_Warr_Correct_DNUP">#REF!</definedName>
    <definedName name="EBTS_Warr_Cost">#REF!</definedName>
    <definedName name="EBTS_Warr_DNUP">#REF!</definedName>
    <definedName name="econ_profit" localSheetId="4">#REF!</definedName>
    <definedName name="econ_profit" localSheetId="9">#REF!</definedName>
    <definedName name="econ_profit">#REF!</definedName>
    <definedName name="EconIndex" localSheetId="4">#REF!</definedName>
    <definedName name="EconIndex" localSheetId="5">#REF!</definedName>
    <definedName name="EconIndex" localSheetId="15">#REF!</definedName>
    <definedName name="EconIndex" localSheetId="19">#REF!</definedName>
    <definedName name="EconIndex" localSheetId="18">#REF!</definedName>
    <definedName name="EconIndex" localSheetId="14">#REF!</definedName>
    <definedName name="EconIndex" localSheetId="12">#REF!</definedName>
    <definedName name="EconIndex" localSheetId="24">#REF!</definedName>
    <definedName name="EconIndex" localSheetId="7">#REF!</definedName>
    <definedName name="EconIndex" localSheetId="20">#REF!</definedName>
    <definedName name="EconIndex" localSheetId="21">#REF!</definedName>
    <definedName name="EconIndex" localSheetId="11">#REF!</definedName>
    <definedName name="EconIndex" localSheetId="17">#REF!</definedName>
    <definedName name="EconIndex" localSheetId="16">#REF!</definedName>
    <definedName name="EconIndex" localSheetId="22">#REF!</definedName>
    <definedName name="EconIndex" localSheetId="9">#REF!</definedName>
    <definedName name="EconIndex" localSheetId="13">#REF!</definedName>
    <definedName name="EconIndex" localSheetId="23">#REF!</definedName>
    <definedName name="EconIndex">#REF!</definedName>
    <definedName name="Economic_book_value" localSheetId="4">#REF!</definedName>
    <definedName name="Economic_book_value" localSheetId="9">#REF!</definedName>
    <definedName name="Economic_book_value">#REF!</definedName>
    <definedName name="Economic_profit" localSheetId="4">#REF!</definedName>
    <definedName name="Economic_profit" localSheetId="9">#REF!</definedName>
    <definedName name="Economic_profit">#REF!</definedName>
    <definedName name="Economic_profit_dcf" localSheetId="4">#REF!</definedName>
    <definedName name="Economic_profit_dcf" localSheetId="9">#REF!</definedName>
    <definedName name="Economic_profit_dcf">#REF!</definedName>
    <definedName name="Economic_profit2" localSheetId="4">#REF!</definedName>
    <definedName name="Economic_profit2" localSheetId="9">#REF!</definedName>
    <definedName name="Economic_profit2">#REF!</definedName>
    <definedName name="ED" localSheetId="4" hidden="1">{#N/A,#N/A,FALSE,"Status of Projects";#N/A,#N/A,FALSE,"CEA-TEC";#N/A,#N/A,FALSE,"U-Constr.";#N/A,#N/A,FALSE,"summary";#N/A,#N/A,FALSE,"PPP-3 yrs"}</definedName>
    <definedName name="ED" localSheetId="5" hidden="1">{#N/A,#N/A,FALSE,"Status of Projects";#N/A,#N/A,FALSE,"CEA-TEC";#N/A,#N/A,FALSE,"U-Constr.";#N/A,#N/A,FALSE,"summary";#N/A,#N/A,FALSE,"PPP-3 yrs"}</definedName>
    <definedName name="ED" localSheetId="15" hidden="1">{#N/A,#N/A,FALSE,"Status of Projects";#N/A,#N/A,FALSE,"CEA-TEC";#N/A,#N/A,FALSE,"U-Constr.";#N/A,#N/A,FALSE,"summary";#N/A,#N/A,FALSE,"PPP-3 yrs"}</definedName>
    <definedName name="ED" localSheetId="19" hidden="1">{#N/A,#N/A,FALSE,"Status of Projects";#N/A,#N/A,FALSE,"CEA-TEC";#N/A,#N/A,FALSE,"U-Constr.";#N/A,#N/A,FALSE,"summary";#N/A,#N/A,FALSE,"PPP-3 yrs"}</definedName>
    <definedName name="ED" localSheetId="18" hidden="1">{#N/A,#N/A,FALSE,"Status of Projects";#N/A,#N/A,FALSE,"CEA-TEC";#N/A,#N/A,FALSE,"U-Constr.";#N/A,#N/A,FALSE,"summary";#N/A,#N/A,FALSE,"PPP-3 yrs"}</definedName>
    <definedName name="ED" localSheetId="14" hidden="1">{#N/A,#N/A,FALSE,"Status of Projects";#N/A,#N/A,FALSE,"CEA-TEC";#N/A,#N/A,FALSE,"U-Constr.";#N/A,#N/A,FALSE,"summary";#N/A,#N/A,FALSE,"PPP-3 yrs"}</definedName>
    <definedName name="ED" localSheetId="12" hidden="1">{#N/A,#N/A,FALSE,"Status of Projects";#N/A,#N/A,FALSE,"CEA-TEC";#N/A,#N/A,FALSE,"U-Constr.";#N/A,#N/A,FALSE,"summary";#N/A,#N/A,FALSE,"PPP-3 yrs"}</definedName>
    <definedName name="ED" localSheetId="24" hidden="1">{#N/A,#N/A,FALSE,"Status of Projects";#N/A,#N/A,FALSE,"CEA-TEC";#N/A,#N/A,FALSE,"U-Constr.";#N/A,#N/A,FALSE,"summary";#N/A,#N/A,FALSE,"PPP-3 yrs"}</definedName>
    <definedName name="ED" localSheetId="7" hidden="1">{#N/A,#N/A,FALSE,"Status of Projects";#N/A,#N/A,FALSE,"CEA-TEC";#N/A,#N/A,FALSE,"U-Constr.";#N/A,#N/A,FALSE,"summary";#N/A,#N/A,FALSE,"PPP-3 yrs"}</definedName>
    <definedName name="ED" localSheetId="20" hidden="1">{#N/A,#N/A,FALSE,"Status of Projects";#N/A,#N/A,FALSE,"CEA-TEC";#N/A,#N/A,FALSE,"U-Constr.";#N/A,#N/A,FALSE,"summary";#N/A,#N/A,FALSE,"PPP-3 yrs"}</definedName>
    <definedName name="ED" localSheetId="21" hidden="1">{#N/A,#N/A,FALSE,"Status of Projects";#N/A,#N/A,FALSE,"CEA-TEC";#N/A,#N/A,FALSE,"U-Constr.";#N/A,#N/A,FALSE,"summary";#N/A,#N/A,FALSE,"PPP-3 yrs"}</definedName>
    <definedName name="ED" localSheetId="11" hidden="1">{#N/A,#N/A,FALSE,"Status of Projects";#N/A,#N/A,FALSE,"CEA-TEC";#N/A,#N/A,FALSE,"U-Constr.";#N/A,#N/A,FALSE,"summary";#N/A,#N/A,FALSE,"PPP-3 yrs"}</definedName>
    <definedName name="ED" localSheetId="17" hidden="1">{#N/A,#N/A,FALSE,"Status of Projects";#N/A,#N/A,FALSE,"CEA-TEC";#N/A,#N/A,FALSE,"U-Constr.";#N/A,#N/A,FALSE,"summary";#N/A,#N/A,FALSE,"PPP-3 yrs"}</definedName>
    <definedName name="ED" localSheetId="16" hidden="1">{#N/A,#N/A,FALSE,"Status of Projects";#N/A,#N/A,FALSE,"CEA-TEC";#N/A,#N/A,FALSE,"U-Constr.";#N/A,#N/A,FALSE,"summary";#N/A,#N/A,FALSE,"PPP-3 yrs"}</definedName>
    <definedName name="ED" localSheetId="22" hidden="1">{#N/A,#N/A,FALSE,"Status of Projects";#N/A,#N/A,FALSE,"CEA-TEC";#N/A,#N/A,FALSE,"U-Constr.";#N/A,#N/A,FALSE,"summary";#N/A,#N/A,FALSE,"PPP-3 yrs"}</definedName>
    <definedName name="ED" localSheetId="9" hidden="1">{#N/A,#N/A,FALSE,"Status of Projects";#N/A,#N/A,FALSE,"CEA-TEC";#N/A,#N/A,FALSE,"U-Constr.";#N/A,#N/A,FALSE,"summary";#N/A,#N/A,FALSE,"PPP-3 yrs"}</definedName>
    <definedName name="ED" localSheetId="13" hidden="1">{#N/A,#N/A,FALSE,"Status of Projects";#N/A,#N/A,FALSE,"CEA-TEC";#N/A,#N/A,FALSE,"U-Constr.";#N/A,#N/A,FALSE,"summary";#N/A,#N/A,FALSE,"PPP-3 yrs"}</definedName>
    <definedName name="ED" localSheetId="23" hidden="1">{#N/A,#N/A,FALSE,"Status of Projects";#N/A,#N/A,FALSE,"CEA-TEC";#N/A,#N/A,FALSE,"U-Constr.";#N/A,#N/A,FALSE,"summary";#N/A,#N/A,FALSE,"PPP-3 yrs"}</definedName>
    <definedName name="ED" hidden="1">{#N/A,#N/A,FALSE,"Status of Projects";#N/A,#N/A,FALSE,"CEA-TEC";#N/A,#N/A,FALSE,"U-Constr.";#N/A,#N/A,FALSE,"summary";#N/A,#N/A,FALSE,"PPP-3 yrs"}</definedName>
    <definedName name="EDvTax">#REF!</definedName>
    <definedName name="eee" localSheetId="4" hidden="1">{"PAGE1",#N/A,FALSE,"Consolidation";"PAGE2",#N/A,FALSE,"Consolidation";"PAGE3",#N/A,FALSE,"Consolidation";"PAGE4",#N/A,FALSE,"Consolidation";"PAGE5",#N/A,FALSE,"Consolidation";"PAGE6",#N/A,FALSE,"Consolidation";"PAGE7",#N/A,FALSE,"Consolidation"}</definedName>
    <definedName name="eee" localSheetId="5" hidden="1">{"PAGE1",#N/A,FALSE,"Consolidation";"PAGE2",#N/A,FALSE,"Consolidation";"PAGE3",#N/A,FALSE,"Consolidation";"PAGE4",#N/A,FALSE,"Consolidation";"PAGE5",#N/A,FALSE,"Consolidation";"PAGE6",#N/A,FALSE,"Consolidation";"PAGE7",#N/A,FALSE,"Consolidation"}</definedName>
    <definedName name="eee" localSheetId="15" hidden="1">{"PAGE1",#N/A,FALSE,"Consolidation";"PAGE2",#N/A,FALSE,"Consolidation";"PAGE3",#N/A,FALSE,"Consolidation";"PAGE4",#N/A,FALSE,"Consolidation";"PAGE5",#N/A,FALSE,"Consolidation";"PAGE6",#N/A,FALSE,"Consolidation";"PAGE7",#N/A,FALSE,"Consolidation"}</definedName>
    <definedName name="eee" localSheetId="19" hidden="1">{"PAGE1",#N/A,FALSE,"Consolidation";"PAGE2",#N/A,FALSE,"Consolidation";"PAGE3",#N/A,FALSE,"Consolidation";"PAGE4",#N/A,FALSE,"Consolidation";"PAGE5",#N/A,FALSE,"Consolidation";"PAGE6",#N/A,FALSE,"Consolidation";"PAGE7",#N/A,FALSE,"Consolidation"}</definedName>
    <definedName name="eee" localSheetId="18" hidden="1">{"PAGE1",#N/A,FALSE,"Consolidation";"PAGE2",#N/A,FALSE,"Consolidation";"PAGE3",#N/A,FALSE,"Consolidation";"PAGE4",#N/A,FALSE,"Consolidation";"PAGE5",#N/A,FALSE,"Consolidation";"PAGE6",#N/A,FALSE,"Consolidation";"PAGE7",#N/A,FALSE,"Consolidation"}</definedName>
    <definedName name="eee" localSheetId="14" hidden="1">{"PAGE1",#N/A,FALSE,"Consolidation";"PAGE2",#N/A,FALSE,"Consolidation";"PAGE3",#N/A,FALSE,"Consolidation";"PAGE4",#N/A,FALSE,"Consolidation";"PAGE5",#N/A,FALSE,"Consolidation";"PAGE6",#N/A,FALSE,"Consolidation";"PAGE7",#N/A,FALSE,"Consolidation"}</definedName>
    <definedName name="eee" localSheetId="12" hidden="1">{"PAGE1",#N/A,FALSE,"Consolidation";"PAGE2",#N/A,FALSE,"Consolidation";"PAGE3",#N/A,FALSE,"Consolidation";"PAGE4",#N/A,FALSE,"Consolidation";"PAGE5",#N/A,FALSE,"Consolidation";"PAGE6",#N/A,FALSE,"Consolidation";"PAGE7",#N/A,FALSE,"Consolidation"}</definedName>
    <definedName name="eee" localSheetId="24" hidden="1">{"PAGE1",#N/A,FALSE,"Consolidation";"PAGE2",#N/A,FALSE,"Consolidation";"PAGE3",#N/A,FALSE,"Consolidation";"PAGE4",#N/A,FALSE,"Consolidation";"PAGE5",#N/A,FALSE,"Consolidation";"PAGE6",#N/A,FALSE,"Consolidation";"PAGE7",#N/A,FALSE,"Consolidation"}</definedName>
    <definedName name="eee" localSheetId="7" hidden="1">{"PAGE1",#N/A,FALSE,"Consolidation";"PAGE2",#N/A,FALSE,"Consolidation";"PAGE3",#N/A,FALSE,"Consolidation";"PAGE4",#N/A,FALSE,"Consolidation";"PAGE5",#N/A,FALSE,"Consolidation";"PAGE6",#N/A,FALSE,"Consolidation";"PAGE7",#N/A,FALSE,"Consolidation"}</definedName>
    <definedName name="eee" localSheetId="20" hidden="1">{"PAGE1",#N/A,FALSE,"Consolidation";"PAGE2",#N/A,FALSE,"Consolidation";"PAGE3",#N/A,FALSE,"Consolidation";"PAGE4",#N/A,FALSE,"Consolidation";"PAGE5",#N/A,FALSE,"Consolidation";"PAGE6",#N/A,FALSE,"Consolidation";"PAGE7",#N/A,FALSE,"Consolidation"}</definedName>
    <definedName name="eee" localSheetId="21" hidden="1">{"PAGE1",#N/A,FALSE,"Consolidation";"PAGE2",#N/A,FALSE,"Consolidation";"PAGE3",#N/A,FALSE,"Consolidation";"PAGE4",#N/A,FALSE,"Consolidation";"PAGE5",#N/A,FALSE,"Consolidation";"PAGE6",#N/A,FALSE,"Consolidation";"PAGE7",#N/A,FALSE,"Consolidation"}</definedName>
    <definedName name="eee" localSheetId="11" hidden="1">{"PAGE1",#N/A,FALSE,"Consolidation";"PAGE2",#N/A,FALSE,"Consolidation";"PAGE3",#N/A,FALSE,"Consolidation";"PAGE4",#N/A,FALSE,"Consolidation";"PAGE5",#N/A,FALSE,"Consolidation";"PAGE6",#N/A,FALSE,"Consolidation";"PAGE7",#N/A,FALSE,"Consolidation"}</definedName>
    <definedName name="eee" localSheetId="17" hidden="1">{"PAGE1",#N/A,FALSE,"Consolidation";"PAGE2",#N/A,FALSE,"Consolidation";"PAGE3",#N/A,FALSE,"Consolidation";"PAGE4",#N/A,FALSE,"Consolidation";"PAGE5",#N/A,FALSE,"Consolidation";"PAGE6",#N/A,FALSE,"Consolidation";"PAGE7",#N/A,FALSE,"Consolidation"}</definedName>
    <definedName name="eee" localSheetId="16" hidden="1">{"PAGE1",#N/A,FALSE,"Consolidation";"PAGE2",#N/A,FALSE,"Consolidation";"PAGE3",#N/A,FALSE,"Consolidation";"PAGE4",#N/A,FALSE,"Consolidation";"PAGE5",#N/A,FALSE,"Consolidation";"PAGE6",#N/A,FALSE,"Consolidation";"PAGE7",#N/A,FALSE,"Consolidation"}</definedName>
    <definedName name="eee" localSheetId="22" hidden="1">{"PAGE1",#N/A,FALSE,"Consolidation";"PAGE2",#N/A,FALSE,"Consolidation";"PAGE3",#N/A,FALSE,"Consolidation";"PAGE4",#N/A,FALSE,"Consolidation";"PAGE5",#N/A,FALSE,"Consolidation";"PAGE6",#N/A,FALSE,"Consolidation";"PAGE7",#N/A,FALSE,"Consolidation"}</definedName>
    <definedName name="eee" localSheetId="9" hidden="1">{"PAGE1",#N/A,FALSE,"Consolidation";"PAGE2",#N/A,FALSE,"Consolidation";"PAGE3",#N/A,FALSE,"Consolidation";"PAGE4",#N/A,FALSE,"Consolidation";"PAGE5",#N/A,FALSE,"Consolidation";"PAGE6",#N/A,FALSE,"Consolidation";"PAGE7",#N/A,FALSE,"Consolidation"}</definedName>
    <definedName name="eee" localSheetId="13" hidden="1">{"PAGE1",#N/A,FALSE,"Consolidation";"PAGE2",#N/A,FALSE,"Consolidation";"PAGE3",#N/A,FALSE,"Consolidation";"PAGE4",#N/A,FALSE,"Consolidation";"PAGE5",#N/A,FALSE,"Consolidation";"PAGE6",#N/A,FALSE,"Consolidation";"PAGE7",#N/A,FALSE,"Consolidation"}</definedName>
    <definedName name="eee" localSheetId="23" hidden="1">{"PAGE1",#N/A,FALSE,"Consolidation";"PAGE2",#N/A,FALSE,"Consolidation";"PAGE3",#N/A,FALSE,"Consolidation";"PAGE4",#N/A,FALSE,"Consolidation";"PAGE5",#N/A,FALSE,"Consolidation";"PAGE6",#N/A,FALSE,"Consolidation";"PAGE7",#N/A,FALSE,"Consolidation"}</definedName>
    <definedName name="eee" hidden="1">{"PAGE1",#N/A,FALSE,"Consolidation";"PAGE2",#N/A,FALSE,"Consolidation";"PAGE3",#N/A,FALSE,"Consolidation";"PAGE4",#N/A,FALSE,"Consolidation";"PAGE5",#N/A,FALSE,"Consolidation";"PAGE6",#N/A,FALSE,"Consolidation";"PAGE7",#N/A,FALSE,"Consolidation"}</definedName>
    <definedName name="effd" localSheetId="4" hidden="1">#REF!</definedName>
    <definedName name="effd" localSheetId="9" hidden="1">#REF!</definedName>
    <definedName name="effd" hidden="1">#REF!</definedName>
    <definedName name="Effective_cost" localSheetId="4">#REF!</definedName>
    <definedName name="Effective_cost" localSheetId="5">#REF!</definedName>
    <definedName name="Effective_cost" localSheetId="15">#REF!</definedName>
    <definedName name="Effective_cost" localSheetId="19">#REF!</definedName>
    <definedName name="Effective_cost" localSheetId="18">#REF!</definedName>
    <definedName name="Effective_cost" localSheetId="14">#REF!</definedName>
    <definedName name="Effective_cost" localSheetId="12">#REF!</definedName>
    <definedName name="Effective_cost" localSheetId="24">#REF!</definedName>
    <definedName name="Effective_cost" localSheetId="7">#REF!</definedName>
    <definedName name="Effective_cost" localSheetId="20">#REF!</definedName>
    <definedName name="Effective_cost" localSheetId="21">#REF!</definedName>
    <definedName name="Effective_cost" localSheetId="11">#REF!</definedName>
    <definedName name="Effective_cost" localSheetId="17">#REF!</definedName>
    <definedName name="Effective_cost" localSheetId="16">#REF!</definedName>
    <definedName name="Effective_cost" localSheetId="22">#REF!</definedName>
    <definedName name="Effective_cost" localSheetId="9">#REF!</definedName>
    <definedName name="Effective_cost" localSheetId="13">#REF!</definedName>
    <definedName name="Effective_cost" localSheetId="23">#REF!</definedName>
    <definedName name="Effective_cost">#REF!</definedName>
    <definedName name="Effective_Cost_with_witholding" localSheetId="4">#REF!</definedName>
    <definedName name="Effective_Cost_with_witholding" localSheetId="5">#REF!</definedName>
    <definedName name="Effective_Cost_with_witholding" localSheetId="15">#REF!</definedName>
    <definedName name="Effective_Cost_with_witholding" localSheetId="19">#REF!</definedName>
    <definedName name="Effective_Cost_with_witholding" localSheetId="18">#REF!</definedName>
    <definedName name="Effective_Cost_with_witholding" localSheetId="14">#REF!</definedName>
    <definedName name="Effective_Cost_with_witholding" localSheetId="12">#REF!</definedName>
    <definedName name="Effective_Cost_with_witholding" localSheetId="24">#REF!</definedName>
    <definedName name="Effective_Cost_with_witholding" localSheetId="7">#REF!</definedName>
    <definedName name="Effective_Cost_with_witholding" localSheetId="20">#REF!</definedName>
    <definedName name="Effective_Cost_with_witholding" localSheetId="21">#REF!</definedName>
    <definedName name="Effective_Cost_with_witholding" localSheetId="11">#REF!</definedName>
    <definedName name="Effective_Cost_with_witholding" localSheetId="17">#REF!</definedName>
    <definedName name="Effective_Cost_with_witholding" localSheetId="16">#REF!</definedName>
    <definedName name="Effective_Cost_with_witholding" localSheetId="22">#REF!</definedName>
    <definedName name="Effective_Cost_with_witholding" localSheetId="9">#REF!</definedName>
    <definedName name="Effective_Cost_with_witholding" localSheetId="13">#REF!</definedName>
    <definedName name="Effective_Cost_with_witholding" localSheetId="23">#REF!</definedName>
    <definedName name="Effective_Cost_with_witholding">#REF!</definedName>
    <definedName name="Effective_Spread" localSheetId="4">#REF!</definedName>
    <definedName name="Effective_Spread" localSheetId="9">#REF!</definedName>
    <definedName name="Effective_Spread">#REF!</definedName>
    <definedName name="Effective_Spread_without_witholding" localSheetId="4">#REF!</definedName>
    <definedName name="Effective_Spread_without_witholding" localSheetId="9">#REF!</definedName>
    <definedName name="Effective_Spread_without_witholding">#REF!</definedName>
    <definedName name="Effective_tax_rate" localSheetId="4">#REF!</definedName>
    <definedName name="Effective_tax_rate" localSheetId="9">#REF!</definedName>
    <definedName name="Effective_tax_rate">#REF!</definedName>
    <definedName name="EffEqShAd">#REF!</definedName>
    <definedName name="Effort_util" localSheetId="4">#REF!</definedName>
    <definedName name="Effort_util" localSheetId="5">#REF!</definedName>
    <definedName name="Effort_util" localSheetId="15">#REF!</definedName>
    <definedName name="Effort_util" localSheetId="19">#REF!</definedName>
    <definedName name="Effort_util" localSheetId="18">#REF!</definedName>
    <definedName name="Effort_util" localSheetId="14">#REF!</definedName>
    <definedName name="Effort_util" localSheetId="12">#REF!</definedName>
    <definedName name="Effort_util" localSheetId="24">#REF!</definedName>
    <definedName name="Effort_util" localSheetId="7">#REF!</definedName>
    <definedName name="Effort_util" localSheetId="20">#REF!</definedName>
    <definedName name="Effort_util" localSheetId="21">#REF!</definedName>
    <definedName name="Effort_util" localSheetId="11">#REF!</definedName>
    <definedName name="Effort_util" localSheetId="17">#REF!</definedName>
    <definedName name="Effort_util" localSheetId="16">#REF!</definedName>
    <definedName name="Effort_util" localSheetId="22">#REF!</definedName>
    <definedName name="Effort_util" localSheetId="9">#REF!</definedName>
    <definedName name="Effort_util" localSheetId="13">#REF!</definedName>
    <definedName name="Effort_util" localSheetId="23">#REF!</definedName>
    <definedName name="Effort_util">#REF!</definedName>
    <definedName name="efrf" localSheetId="4" hidden="1">#REF!</definedName>
    <definedName name="efrf" localSheetId="5" hidden="1">#REF!</definedName>
    <definedName name="efrf" localSheetId="15" hidden="1">#REF!</definedName>
    <definedName name="efrf" localSheetId="19" hidden="1">#REF!</definedName>
    <definedName name="efrf" localSheetId="18" hidden="1">#REF!</definedName>
    <definedName name="efrf" localSheetId="14" hidden="1">#REF!</definedName>
    <definedName name="efrf" localSheetId="12" hidden="1">#REF!</definedName>
    <definedName name="efrf" localSheetId="24" hidden="1">#REF!</definedName>
    <definedName name="efrf" localSheetId="7" hidden="1">#REF!</definedName>
    <definedName name="efrf" localSheetId="20" hidden="1">#REF!</definedName>
    <definedName name="efrf" localSheetId="21" hidden="1">#REF!</definedName>
    <definedName name="efrf" localSheetId="11" hidden="1">#REF!</definedName>
    <definedName name="efrf" localSheetId="17" hidden="1">#REF!</definedName>
    <definedName name="efrf" localSheetId="16" hidden="1">#REF!</definedName>
    <definedName name="efrf" localSheetId="22" hidden="1">#REF!</definedName>
    <definedName name="efrf" localSheetId="9" hidden="1">#REF!</definedName>
    <definedName name="efrf" localSheetId="13" hidden="1">#REF!</definedName>
    <definedName name="efrf" localSheetId="23" hidden="1">#REF!</definedName>
    <definedName name="efrf" hidden="1">#REF!</definedName>
    <definedName name="Electricity___Water_charses" localSheetId="4">#REF!</definedName>
    <definedName name="Electricity___Water_charses" localSheetId="5">#REF!</definedName>
    <definedName name="Electricity___Water_charses" localSheetId="15">#REF!</definedName>
    <definedName name="Electricity___Water_charses" localSheetId="19">#REF!</definedName>
    <definedName name="Electricity___Water_charses" localSheetId="18">#REF!</definedName>
    <definedName name="Electricity___Water_charses" localSheetId="14">#REF!</definedName>
    <definedName name="Electricity___Water_charses" localSheetId="12">#REF!</definedName>
    <definedName name="Electricity___Water_charses" localSheetId="24">#REF!</definedName>
    <definedName name="Electricity___Water_charses" localSheetId="7">#REF!</definedName>
    <definedName name="Electricity___Water_charses" localSheetId="20">#REF!</definedName>
    <definedName name="Electricity___Water_charses" localSheetId="21">#REF!</definedName>
    <definedName name="Electricity___Water_charses" localSheetId="11">#REF!</definedName>
    <definedName name="Electricity___Water_charses" localSheetId="17">#REF!</definedName>
    <definedName name="Electricity___Water_charses" localSheetId="16">#REF!</definedName>
    <definedName name="Electricity___Water_charses" localSheetId="22">#REF!</definedName>
    <definedName name="Electricity___Water_charses" localSheetId="9">#REF!</definedName>
    <definedName name="Electricity___Water_charses" localSheetId="13">#REF!</definedName>
    <definedName name="Electricity___Water_charses" localSheetId="23">#REF!</definedName>
    <definedName name="Electricity___Water_charses">#REF!</definedName>
    <definedName name="Electricity_Charges">#REF!</definedName>
    <definedName name="emkay_cash_flow">#REF!</definedName>
    <definedName name="emkay_eps">#REF!</definedName>
    <definedName name="emkay_net_profit">#REF!</definedName>
    <definedName name="emp">#REF!</definedName>
    <definedName name="Emp_Data" localSheetId="4">#REF!</definedName>
    <definedName name="Emp_Data" localSheetId="5">#REF!</definedName>
    <definedName name="Emp_Data" localSheetId="15">#REF!</definedName>
    <definedName name="Emp_Data" localSheetId="19">#REF!</definedName>
    <definedName name="Emp_Data" localSheetId="18">#REF!</definedName>
    <definedName name="Emp_Data" localSheetId="14">#REF!</definedName>
    <definedName name="Emp_Data" localSheetId="12">#REF!</definedName>
    <definedName name="Emp_Data" localSheetId="24">#REF!</definedName>
    <definedName name="Emp_Data" localSheetId="7">#REF!</definedName>
    <definedName name="Emp_Data" localSheetId="20">#REF!</definedName>
    <definedName name="Emp_Data" localSheetId="21">#REF!</definedName>
    <definedName name="Emp_Data" localSheetId="11">#REF!</definedName>
    <definedName name="Emp_Data" localSheetId="17">#REF!</definedName>
    <definedName name="Emp_Data" localSheetId="16">#REF!</definedName>
    <definedName name="Emp_Data" localSheetId="22">#REF!</definedName>
    <definedName name="Emp_Data" localSheetId="9">#REF!</definedName>
    <definedName name="Emp_Data" localSheetId="13">#REF!</definedName>
    <definedName name="Emp_Data" localSheetId="23">#REF!</definedName>
    <definedName name="Emp_Data">#REF!</definedName>
    <definedName name="Employee_Cost" localSheetId="4">#REF!</definedName>
    <definedName name="Employee_Cost" localSheetId="5">#REF!</definedName>
    <definedName name="Employee_Cost" localSheetId="15">#REF!</definedName>
    <definedName name="Employee_Cost" localSheetId="19">#REF!</definedName>
    <definedName name="Employee_Cost" localSheetId="18">#REF!</definedName>
    <definedName name="Employee_Cost" localSheetId="14">#REF!</definedName>
    <definedName name="Employee_Cost" localSheetId="12">#REF!</definedName>
    <definedName name="Employee_Cost" localSheetId="24">#REF!</definedName>
    <definedName name="Employee_Cost" localSheetId="7">#REF!</definedName>
    <definedName name="Employee_Cost" localSheetId="20">#REF!</definedName>
    <definedName name="Employee_Cost" localSheetId="21">#REF!</definedName>
    <definedName name="Employee_Cost" localSheetId="11">#REF!</definedName>
    <definedName name="Employee_Cost" localSheetId="17">#REF!</definedName>
    <definedName name="Employee_Cost" localSheetId="16">#REF!</definedName>
    <definedName name="Employee_Cost" localSheetId="22">#REF!</definedName>
    <definedName name="Employee_Cost" localSheetId="9">#REF!</definedName>
    <definedName name="Employee_Cost" localSheetId="13">#REF!</definedName>
    <definedName name="Employee_Cost" localSheetId="23">#REF!</definedName>
    <definedName name="Employee_Cost">#REF!</definedName>
    <definedName name="Employee_cost_total" localSheetId="4">#REF!</definedName>
    <definedName name="Employee_cost_total" localSheetId="9">#REF!</definedName>
    <definedName name="Employee_cost_total">#REF!</definedName>
    <definedName name="employee_exp_Q">#REF!</definedName>
    <definedName name="employee_expenses">#REF!</definedName>
    <definedName name="employee_expenses_A">#REF!</definedName>
    <definedName name="Employee_Expenses_Q" localSheetId="4">#REF!</definedName>
    <definedName name="Employee_Expenses_Q" localSheetId="5">#REF!</definedName>
    <definedName name="Employee_Expenses_Q" localSheetId="15">#REF!</definedName>
    <definedName name="Employee_Expenses_Q" localSheetId="19">#REF!</definedName>
    <definedName name="Employee_Expenses_Q" localSheetId="18">#REF!</definedName>
    <definedName name="Employee_Expenses_Q" localSheetId="14">#REF!</definedName>
    <definedName name="Employee_Expenses_Q" localSheetId="12">#REF!</definedName>
    <definedName name="Employee_Expenses_Q" localSheetId="24">#REF!</definedName>
    <definedName name="Employee_Expenses_Q" localSheetId="7">#REF!</definedName>
    <definedName name="Employee_Expenses_Q" localSheetId="20">#REF!</definedName>
    <definedName name="Employee_Expenses_Q" localSheetId="21">#REF!</definedName>
    <definedName name="Employee_Expenses_Q" localSheetId="11">#REF!</definedName>
    <definedName name="Employee_Expenses_Q" localSheetId="17">#REF!</definedName>
    <definedName name="Employee_Expenses_Q" localSheetId="16">#REF!</definedName>
    <definedName name="Employee_Expenses_Q" localSheetId="22">#REF!</definedName>
    <definedName name="Employee_Expenses_Q" localSheetId="9">#REF!</definedName>
    <definedName name="Employee_Expenses_Q" localSheetId="13">#REF!</definedName>
    <definedName name="Employee_Expenses_Q" localSheetId="23">#REF!</definedName>
    <definedName name="Employee_Expenses_Q">#REF!</definedName>
    <definedName name="employee_expenses_qtr">#REF!</definedName>
    <definedName name="employees" localSheetId="4">#REF!</definedName>
    <definedName name="employees" localSheetId="5">#REF!</definedName>
    <definedName name="employees" localSheetId="15">#REF!</definedName>
    <definedName name="employees" localSheetId="19">#REF!</definedName>
    <definedName name="employees" localSheetId="18">#REF!</definedName>
    <definedName name="employees" localSheetId="14">#REF!</definedName>
    <definedName name="employees" localSheetId="12">#REF!</definedName>
    <definedName name="employees" localSheetId="24">#REF!</definedName>
    <definedName name="employees" localSheetId="7">#REF!</definedName>
    <definedName name="employees" localSheetId="20">#REF!</definedName>
    <definedName name="employees" localSheetId="21">#REF!</definedName>
    <definedName name="employees" localSheetId="11">#REF!</definedName>
    <definedName name="employees" localSheetId="17">#REF!</definedName>
    <definedName name="employees" localSheetId="16">#REF!</definedName>
    <definedName name="employees" localSheetId="22">#REF!</definedName>
    <definedName name="employees" localSheetId="9">#REF!</definedName>
    <definedName name="employees" localSheetId="13">#REF!</definedName>
    <definedName name="employees" localSheetId="23">#REF!</definedName>
    <definedName name="employees">#REF!</definedName>
    <definedName name="Emps_PeriodEnd" localSheetId="4">#REF!</definedName>
    <definedName name="Emps_PeriodEnd" localSheetId="5">#REF!</definedName>
    <definedName name="Emps_PeriodEnd" localSheetId="15">#REF!</definedName>
    <definedName name="Emps_PeriodEnd" localSheetId="19">#REF!</definedName>
    <definedName name="Emps_PeriodEnd" localSheetId="18">#REF!</definedName>
    <definedName name="Emps_PeriodEnd" localSheetId="14">#REF!</definedName>
    <definedName name="Emps_PeriodEnd" localSheetId="12">#REF!</definedName>
    <definedName name="Emps_PeriodEnd" localSheetId="24">#REF!</definedName>
    <definedName name="Emps_PeriodEnd" localSheetId="7">#REF!</definedName>
    <definedName name="Emps_PeriodEnd" localSheetId="20">#REF!</definedName>
    <definedName name="Emps_PeriodEnd" localSheetId="21">#REF!</definedName>
    <definedName name="Emps_PeriodEnd" localSheetId="11">#REF!</definedName>
    <definedName name="Emps_PeriodEnd" localSheetId="17">#REF!</definedName>
    <definedName name="Emps_PeriodEnd" localSheetId="16">#REF!</definedName>
    <definedName name="Emps_PeriodEnd" localSheetId="22">#REF!</definedName>
    <definedName name="Emps_PeriodEnd" localSheetId="9">#REF!</definedName>
    <definedName name="Emps_PeriodEnd" localSheetId="13">#REF!</definedName>
    <definedName name="Emps_PeriodEnd" localSheetId="23">#REF!</definedName>
    <definedName name="Emps_PeriodEnd">#REF!</definedName>
    <definedName name="EnEsMode" hidden="1">#REF!</definedName>
    <definedName name="enp" localSheetId="4">#REF!</definedName>
    <definedName name="enp" localSheetId="5">#REF!</definedName>
    <definedName name="enp" localSheetId="15">#REF!</definedName>
    <definedName name="enp" localSheetId="19">#REF!</definedName>
    <definedName name="enp" localSheetId="18">#REF!</definedName>
    <definedName name="enp" localSheetId="14">#REF!</definedName>
    <definedName name="enp" localSheetId="12">#REF!</definedName>
    <definedName name="enp" localSheetId="24">#REF!</definedName>
    <definedName name="enp" localSheetId="7">#REF!</definedName>
    <definedName name="enp" localSheetId="20">#REF!</definedName>
    <definedName name="enp" localSheetId="21">#REF!</definedName>
    <definedName name="enp" localSheetId="11">#REF!</definedName>
    <definedName name="enp" localSheetId="17">#REF!</definedName>
    <definedName name="enp" localSheetId="16">#REF!</definedName>
    <definedName name="enp" localSheetId="22">#REF!</definedName>
    <definedName name="enp" localSheetId="9">#REF!</definedName>
    <definedName name="enp" localSheetId="13">#REF!</definedName>
    <definedName name="enp" localSheetId="23">#REF!</definedName>
    <definedName name="enp">#REF!</definedName>
    <definedName name="Enterprise_value" localSheetId="4">#REF!</definedName>
    <definedName name="enterprise_value" localSheetId="5">#REF!</definedName>
    <definedName name="enterprise_value" localSheetId="15">#REF!</definedName>
    <definedName name="enterprise_value" localSheetId="19">#REF!</definedName>
    <definedName name="enterprise_value" localSheetId="18">#REF!</definedName>
    <definedName name="enterprise_value" localSheetId="14">#REF!</definedName>
    <definedName name="enterprise_value" localSheetId="12">#REF!</definedName>
    <definedName name="enterprise_value" localSheetId="24">#REF!</definedName>
    <definedName name="enterprise_value" localSheetId="7">#REF!</definedName>
    <definedName name="enterprise_value" localSheetId="20">#REF!</definedName>
    <definedName name="enterprise_value" localSheetId="21">#REF!</definedName>
    <definedName name="enterprise_value" localSheetId="11">#REF!</definedName>
    <definedName name="enterprise_value" localSheetId="17">#REF!</definedName>
    <definedName name="enterprise_value" localSheetId="16">#REF!</definedName>
    <definedName name="enterprise_value" localSheetId="22">#REF!</definedName>
    <definedName name="Enterprise_value" localSheetId="9">#REF!</definedName>
    <definedName name="enterprise_value" localSheetId="13">#REF!</definedName>
    <definedName name="enterprise_value" localSheetId="23">#REF!</definedName>
    <definedName name="enterprise_value">#REF!</definedName>
    <definedName name="enterprise_value_A">#REF!</definedName>
    <definedName name="enterprise_value_core">#REF!</definedName>
    <definedName name="Enterprise_value6">#REF!</definedName>
    <definedName name="EnYrRng" hidden="1">#REF!</definedName>
    <definedName name="epa" localSheetId="4">#REF!</definedName>
    <definedName name="epa" localSheetId="5">#REF!</definedName>
    <definedName name="epa" localSheetId="15">#REF!</definedName>
    <definedName name="epa" localSheetId="19">#REF!</definedName>
    <definedName name="epa" localSheetId="18">#REF!</definedName>
    <definedName name="epa" localSheetId="14">#REF!</definedName>
    <definedName name="epa" localSheetId="12">#REF!</definedName>
    <definedName name="epa" localSheetId="24">#REF!</definedName>
    <definedName name="epa" localSheetId="7">#REF!</definedName>
    <definedName name="epa" localSheetId="20">#REF!</definedName>
    <definedName name="epa" localSheetId="21">#REF!</definedName>
    <definedName name="epa" localSheetId="11">#REF!</definedName>
    <definedName name="epa" localSheetId="17">#REF!</definedName>
    <definedName name="epa" localSheetId="16">#REF!</definedName>
    <definedName name="epa" localSheetId="22">#REF!</definedName>
    <definedName name="epa" localSheetId="9">#REF!</definedName>
    <definedName name="epa" localSheetId="13">#REF!</definedName>
    <definedName name="epa" localSheetId="23">#REF!</definedName>
    <definedName name="epa">#REF!</definedName>
    <definedName name="epc" localSheetId="4">#REF!</definedName>
    <definedName name="epc" localSheetId="5">#REF!</definedName>
    <definedName name="epc" localSheetId="15">#REF!</definedName>
    <definedName name="epc" localSheetId="19">#REF!</definedName>
    <definedName name="epc" localSheetId="18">#REF!</definedName>
    <definedName name="epc" localSheetId="14">#REF!</definedName>
    <definedName name="epc" localSheetId="12">#REF!</definedName>
    <definedName name="epc" localSheetId="24">#REF!</definedName>
    <definedName name="epc" localSheetId="7">#REF!</definedName>
    <definedName name="epc" localSheetId="20">#REF!</definedName>
    <definedName name="epc" localSheetId="21">#REF!</definedName>
    <definedName name="epc" localSheetId="11">#REF!</definedName>
    <definedName name="epc" localSheetId="17">#REF!</definedName>
    <definedName name="epc" localSheetId="16">#REF!</definedName>
    <definedName name="epc" localSheetId="22">#REF!</definedName>
    <definedName name="epc" localSheetId="9">#REF!</definedName>
    <definedName name="epc" localSheetId="13">#REF!</definedName>
    <definedName name="epc" localSheetId="23">#REF!</definedName>
    <definedName name="epc">#REF!</definedName>
    <definedName name="EPS" localSheetId="4">#REF!</definedName>
    <definedName name="EPS" localSheetId="5">#REF!</definedName>
    <definedName name="EPS" localSheetId="15">#REF!</definedName>
    <definedName name="EPS" localSheetId="19">#REF!</definedName>
    <definedName name="EPS" localSheetId="18">#REF!</definedName>
    <definedName name="EPS" localSheetId="14">#REF!</definedName>
    <definedName name="EPS" localSheetId="12">#REF!</definedName>
    <definedName name="EPS" localSheetId="24">#REF!</definedName>
    <definedName name="EPS" localSheetId="7">#REF!</definedName>
    <definedName name="EPS" localSheetId="20">#REF!</definedName>
    <definedName name="EPS" localSheetId="21">#REF!</definedName>
    <definedName name="EPS" localSheetId="11">#REF!</definedName>
    <definedName name="EPS" localSheetId="17">#REF!</definedName>
    <definedName name="EPS" localSheetId="16">#REF!</definedName>
    <definedName name="EPS" localSheetId="22">#REF!</definedName>
    <definedName name="EPS" localSheetId="9">#REF!</definedName>
    <definedName name="EPS" localSheetId="13">#REF!</definedName>
    <definedName name="EPS" localSheetId="23">#REF!</definedName>
    <definedName name="EPS">#REF!</definedName>
    <definedName name="eps_A">#REF!</definedName>
    <definedName name="EPS_BD_IncomeTaxRate" localSheetId="4">#REF!</definedName>
    <definedName name="EPS_BD_IncomeTaxRate" localSheetId="5">#REF!</definedName>
    <definedName name="EPS_BD_IncomeTaxRate" localSheetId="15">#REF!</definedName>
    <definedName name="EPS_BD_IncomeTaxRate" localSheetId="19">#REF!</definedName>
    <definedName name="EPS_BD_IncomeTaxRate" localSheetId="18">#REF!</definedName>
    <definedName name="EPS_BD_IncomeTaxRate" localSheetId="14">#REF!</definedName>
    <definedName name="EPS_BD_IncomeTaxRate" localSheetId="12">#REF!</definedName>
    <definedName name="EPS_BD_IncomeTaxRate" localSheetId="24">#REF!</definedName>
    <definedName name="EPS_BD_IncomeTaxRate" localSheetId="7">#REF!</definedName>
    <definedName name="EPS_BD_IncomeTaxRate" localSheetId="20">#REF!</definedName>
    <definedName name="EPS_BD_IncomeTaxRate" localSheetId="21">#REF!</definedName>
    <definedName name="EPS_BD_IncomeTaxRate" localSheetId="11">#REF!</definedName>
    <definedName name="EPS_BD_IncomeTaxRate" localSheetId="17">#REF!</definedName>
    <definedName name="EPS_BD_IncomeTaxRate" localSheetId="16">#REF!</definedName>
    <definedName name="EPS_BD_IncomeTaxRate" localSheetId="22">#REF!</definedName>
    <definedName name="EPS_BD_IncomeTaxRate" localSheetId="9">#REF!</definedName>
    <definedName name="EPS_BD_IncomeTaxRate" localSheetId="13">#REF!</definedName>
    <definedName name="EPS_BD_IncomeTaxRate" localSheetId="23">#REF!</definedName>
    <definedName name="EPS_BD_IncomeTaxRate">#REF!</definedName>
    <definedName name="EPS_BD_IncomeTaxRateMan" localSheetId="4">#REF!</definedName>
    <definedName name="EPS_BD_IncomeTaxRateMan" localSheetId="9">#REF!</definedName>
    <definedName name="EPS_BD_IncomeTaxRateMan">#REF!</definedName>
    <definedName name="EPS_BD_NetProfit" localSheetId="4">#REF!</definedName>
    <definedName name="EPS_BD_NetProfit" localSheetId="9">#REF!</definedName>
    <definedName name="EPS_BD_NetProfit">#REF!</definedName>
    <definedName name="EPS_BD_NetProfitExcExceptionals" localSheetId="4">#REF!</definedName>
    <definedName name="EPS_BD_NetProfitExcExceptionals" localSheetId="9">#REF!</definedName>
    <definedName name="EPS_BD_NetProfitExcExceptionals">#REF!</definedName>
    <definedName name="EPS_BD_NetProfitExcExceptionalsMan" localSheetId="4">#REF!</definedName>
    <definedName name="EPS_BD_NetProfitExcExceptionalsMan" localSheetId="9">#REF!</definedName>
    <definedName name="EPS_BD_NetProfitExcExceptionalsMan">#REF!</definedName>
    <definedName name="EPS_BD_NetProfitMan" localSheetId="4">#REF!</definedName>
    <definedName name="EPS_BD_NetProfitMan" localSheetId="9">#REF!</definedName>
    <definedName name="EPS_BD_NetProfitMan">#REF!</definedName>
    <definedName name="EPS_BD_SharesAtYearEnd" localSheetId="4">#REF!</definedName>
    <definedName name="EPS_BD_SharesAtYearEnd" localSheetId="9">#REF!</definedName>
    <definedName name="EPS_BD_SharesAtYearEnd">#REF!</definedName>
    <definedName name="EPS_BD_SharesWgtAvg" localSheetId="4">#REF!</definedName>
    <definedName name="EPS_BD_SharesWgtAvg" localSheetId="9">#REF!</definedName>
    <definedName name="EPS_BD_SharesWgtAvg">#REF!</definedName>
    <definedName name="EPS_BD_TreasuryRate" localSheetId="4">#REF!</definedName>
    <definedName name="EPS_BD_TreasuryRate" localSheetId="9">#REF!</definedName>
    <definedName name="EPS_BD_TreasuryRate">#REF!</definedName>
    <definedName name="EPS_BD_TreasuryRateManual" localSheetId="4">#REF!</definedName>
    <definedName name="EPS_BD_TreasuryRateManual" localSheetId="9">#REF!</definedName>
    <definedName name="EPS_BD_TreasuryRateManual">#REF!</definedName>
    <definedName name="EPS_CAL_AdjustedEPS" localSheetId="4">#REF!</definedName>
    <definedName name="EPS_CAL_AdjustedEPS" localSheetId="9">#REF!</definedName>
    <definedName name="EPS_CAL_AdjustedEPS">#REF!</definedName>
    <definedName name="EPS_CAL_AdjustedEPSExcExceptionals" localSheetId="4">#REF!</definedName>
    <definedName name="EPS_CAL_AdjustedEPSExcExceptionals" localSheetId="9">#REF!</definedName>
    <definedName name="EPS_CAL_AdjustedEPSExcExceptionals">#REF!</definedName>
    <definedName name="EPS_CAL_AdjustmentFactorCumulative" localSheetId="4">#REF!</definedName>
    <definedName name="EPS_CAL_AdjustmentFactorCumulative" localSheetId="9">#REF!</definedName>
    <definedName name="EPS_CAL_AdjustmentFactorCumulative">#REF!</definedName>
    <definedName name="EPS_CAL_AdjustmentFactorPeriod" localSheetId="4">#REF!</definedName>
    <definedName name="EPS_CAL_AdjustmentFactorPeriod" localSheetId="9">#REF!</definedName>
    <definedName name="EPS_CAL_AdjustmentFactorPeriod">#REF!</definedName>
    <definedName name="EPS_CAL_AdjustmentFactorPeriodCalc" localSheetId="4">#REF!</definedName>
    <definedName name="EPS_CAL_AdjustmentFactorPeriodCalc" localSheetId="9">#REF!</definedName>
    <definedName name="EPS_CAL_AdjustmentFactorPeriodCalc">#REF!</definedName>
    <definedName name="EPS_CAL_BasicEPS" localSheetId="4">#REF!</definedName>
    <definedName name="EPS_CAL_BasicEPS" localSheetId="9">#REF!</definedName>
    <definedName name="EPS_CAL_BasicEPS">#REF!</definedName>
    <definedName name="EPS_CAL_BasicEPSExcExceptionals" localSheetId="4">#REF!</definedName>
    <definedName name="EPS_CAL_BasicEPSExcExceptionals" localSheetId="9">#REF!</definedName>
    <definedName name="EPS_CAL_BasicEPSExcExceptionals">#REF!</definedName>
    <definedName name="EPS_CAL_ChangeInWgtAvgShares" localSheetId="4">#REF!</definedName>
    <definedName name="EPS_CAL_ChangeInWgtAvgShares" localSheetId="9">#REF!</definedName>
    <definedName name="EPS_CAL_ChangeInWgtAvgShares">#REF!</definedName>
    <definedName name="EPS_CAL_EPS" localSheetId="4">#REF!</definedName>
    <definedName name="EPS_CAL_EPS" localSheetId="9">#REF!</definedName>
    <definedName name="EPS_CAL_EPS">#REF!</definedName>
    <definedName name="EPS_CAL_EPSExcExceptionals" localSheetId="4">#REF!</definedName>
    <definedName name="EPS_CAL_EPSExcExceptionals" localSheetId="9">#REF!</definedName>
    <definedName name="EPS_CAL_EPSExcExceptionals">#REF!</definedName>
    <definedName name="EPS_CAL_FullyDilutedEPS" localSheetId="4">#REF!</definedName>
    <definedName name="EPS_CAL_FullyDilutedEPS" localSheetId="9">#REF!</definedName>
    <definedName name="EPS_CAL_FullyDilutedEPS">#REF!</definedName>
    <definedName name="EPS_CAL_FullyDilutedEPSExcExceptionals" localSheetId="4">#REF!</definedName>
    <definedName name="EPS_CAL_FullyDilutedEPSExcExceptionals" localSheetId="9">#REF!</definedName>
    <definedName name="EPS_CAL_FullyDilutedEPSExcExceptionals">#REF!</definedName>
    <definedName name="EPS_CAL_PrimaryEPS" localSheetId="4">#REF!</definedName>
    <definedName name="EPS_CAL_PrimaryEPS" localSheetId="9">#REF!</definedName>
    <definedName name="EPS_CAL_PrimaryEPS">#REF!</definedName>
    <definedName name="EPS_CAL_PrimaryEPSExcExceptionals" localSheetId="4">#REF!</definedName>
    <definedName name="EPS_CAL_PrimaryEPSExcExceptionals" localSheetId="9">#REF!</definedName>
    <definedName name="EPS_CAL_PrimaryEPSExcExceptionals">#REF!</definedName>
    <definedName name="EPS_CAL_SharePriceAverage" localSheetId="4">#REF!</definedName>
    <definedName name="EPS_CAL_SharePriceAverage" localSheetId="9">#REF!</definedName>
    <definedName name="EPS_CAL_SharePriceAverage">#REF!</definedName>
    <definedName name="EPS_CAL_SharePriceYearEnd" localSheetId="4">#REF!</definedName>
    <definedName name="EPS_CAL_SharePriceYearEnd" localSheetId="9">#REF!</definedName>
    <definedName name="EPS_CAL_SharePriceYearEnd">#REF!</definedName>
    <definedName name="EPS_CAL_Shares" localSheetId="4">#REF!</definedName>
    <definedName name="EPS_CAL_Shares" localSheetId="9">#REF!</definedName>
    <definedName name="EPS_CAL_Shares">#REF!</definedName>
    <definedName name="EPS_CAL_SharesAdjusted" localSheetId="4">#REF!</definedName>
    <definedName name="EPS_CAL_SharesAdjusted" localSheetId="9">#REF!</definedName>
    <definedName name="EPS_CAL_SharesAdjusted">#REF!</definedName>
    <definedName name="EPS_CAL_SharesAtYearEnd" localSheetId="4">#REF!</definedName>
    <definedName name="EPS_CAL_SharesAtYearEnd" localSheetId="9">#REF!</definedName>
    <definedName name="EPS_CAL_SharesAtYearEnd">#REF!</definedName>
    <definedName name="EPS_CAL_SharesAtYearEndManual" localSheetId="4">#REF!</definedName>
    <definedName name="EPS_CAL_SharesAtYearEndManual" localSheetId="9">#REF!</definedName>
    <definedName name="EPS_CAL_SharesAtYearEndManual">#REF!</definedName>
    <definedName name="EPS_CAL_SharesAtYearEndUnadjusted" localSheetId="4">#REF!</definedName>
    <definedName name="EPS_CAL_SharesAtYearEndUnadjusted" localSheetId="9">#REF!</definedName>
    <definedName name="EPS_CAL_SharesAtYearEndUnadjusted">#REF!</definedName>
    <definedName name="EPS_CAL_SharesAtYearStart" localSheetId="4">#REF!</definedName>
    <definedName name="EPS_CAL_SharesAtYearStart" localSheetId="9">#REF!</definedName>
    <definedName name="EPS_CAL_SharesAtYearStart">#REF!</definedName>
    <definedName name="EPS_CAL_SharesFullyDiluted" localSheetId="4">#REF!</definedName>
    <definedName name="EPS_CAL_SharesFullyDiluted" localSheetId="9">#REF!</definedName>
    <definedName name="EPS_CAL_SharesFullyDiluted">#REF!</definedName>
    <definedName name="EPS_CAL_SharesPrimary" localSheetId="4">#REF!</definedName>
    <definedName name="EPS_CAL_SharesPrimary" localSheetId="9">#REF!</definedName>
    <definedName name="EPS_CAL_SharesPrimary">#REF!</definedName>
    <definedName name="EPS_CAL_SharesWgtAvg" localSheetId="4">#REF!</definedName>
    <definedName name="EPS_CAL_SharesWgtAvg" localSheetId="9">#REF!</definedName>
    <definedName name="EPS_CAL_SharesWgtAvg">#REF!</definedName>
    <definedName name="EPS_CAL_SharesWgtAvgUnadjusted" localSheetId="4">#REF!</definedName>
    <definedName name="EPS_CAL_SharesWgtAvgUnadjusted" localSheetId="9">#REF!</definedName>
    <definedName name="EPS_CAL_SharesWgtAvgUnadjusted">#REF!</definedName>
    <definedName name="EPS_CAL_TotalShareDays" localSheetId="4">#REF!</definedName>
    <definedName name="EPS_CAL_TotalShareDays" localSheetId="9">#REF!</definedName>
    <definedName name="EPS_CAL_TotalShareDays">#REF!</definedName>
    <definedName name="EPS_CalcModeSwitch" localSheetId="4">#REF!</definedName>
    <definedName name="EPS_CalcModeSwitch" localSheetId="9">#REF!</definedName>
    <definedName name="EPS_CalcModeSwitch">#REF!</definedName>
    <definedName name="EPS_CellNote" localSheetId="4">#REF!</definedName>
    <definedName name="EPS_CellNote" localSheetId="9">#REF!</definedName>
    <definedName name="EPS_CellNote">#REF!</definedName>
    <definedName name="EPS_Curr_Qtr" localSheetId="4">#REF!</definedName>
    <definedName name="EPS_Curr_Qtr" localSheetId="9">#REF!</definedName>
    <definedName name="EPS_Curr_Qtr">#REF!</definedName>
    <definedName name="EPS_Curr_Yr" localSheetId="4">#REF!</definedName>
    <definedName name="EPS_Curr_Yr" localSheetId="9">#REF!</definedName>
    <definedName name="EPS_Curr_Yr">#REF!</definedName>
    <definedName name="EPS_EPS_AdjustedEPS" localSheetId="4">#REF!</definedName>
    <definedName name="EPS_EPS_AdjustedEPS" localSheetId="9">#REF!</definedName>
    <definedName name="EPS_EPS_AdjustedEPS">#REF!</definedName>
    <definedName name="EPS_EPS_AdjustedEPSExcExceptionals" localSheetId="4">#REF!</definedName>
    <definedName name="EPS_EPS_AdjustedEPSExcExceptionals" localSheetId="9">#REF!</definedName>
    <definedName name="EPS_EPS_AdjustedEPSExcExceptionals">#REF!</definedName>
    <definedName name="EPS_EPS_AdjustedNetEarnings" localSheetId="4">#REF!</definedName>
    <definedName name="EPS_EPS_AdjustedNetEarnings" localSheetId="9">#REF!</definedName>
    <definedName name="EPS_EPS_AdjustedNetEarnings">#REF!</definedName>
    <definedName name="EPS_EPS_AdjustedNetEarningsExcExceptionals" localSheetId="4">#REF!</definedName>
    <definedName name="EPS_EPS_AdjustedNetEarningsExcExceptionals" localSheetId="9">#REF!</definedName>
    <definedName name="EPS_EPS_AdjustedNetEarningsExcExceptionals">#REF!</definedName>
    <definedName name="EPS_EPS_AdjustedShares" localSheetId="4">#REF!</definedName>
    <definedName name="EPS_EPS_AdjustedShares" localSheetId="9">#REF!</definedName>
    <definedName name="EPS_EPS_AdjustedShares">#REF!</definedName>
    <definedName name="EPS_EPS_BasicEPS" localSheetId="4">#REF!</definedName>
    <definedName name="EPS_EPS_BasicEPS" localSheetId="9">#REF!</definedName>
    <definedName name="EPS_EPS_BasicEPS">#REF!</definedName>
    <definedName name="EPS_EPS_BasicEPSExcExceptionals" localSheetId="4">#REF!</definedName>
    <definedName name="EPS_EPS_BasicEPSExcExceptionals" localSheetId="9">#REF!</definedName>
    <definedName name="EPS_EPS_BasicEPSExcExceptionals">#REF!</definedName>
    <definedName name="EPS_EPS_BasicShares" localSheetId="4">#REF!</definedName>
    <definedName name="EPS_EPS_BasicShares" localSheetId="9">#REF!</definedName>
    <definedName name="EPS_EPS_BasicShares">#REF!</definedName>
    <definedName name="EPS_EPS_FullyDilutedEPS" localSheetId="4">#REF!</definedName>
    <definedName name="EPS_EPS_FullyDilutedEPS" localSheetId="9">#REF!</definedName>
    <definedName name="EPS_EPS_FullyDilutedEPS">#REF!</definedName>
    <definedName name="EPS_EPS_FullyDilutedEPSExcExceptionals" localSheetId="4">#REF!</definedName>
    <definedName name="EPS_EPS_FullyDilutedEPSExcExceptionals" localSheetId="9">#REF!</definedName>
    <definedName name="EPS_EPS_FullyDilutedEPSExcExceptionals">#REF!</definedName>
    <definedName name="EPS_EPS_FullyDilutedNetEarnings" localSheetId="4">#REF!</definedName>
    <definedName name="EPS_EPS_FullyDilutedNetEarnings" localSheetId="9">#REF!</definedName>
    <definedName name="EPS_EPS_FullyDilutedNetEarnings">#REF!</definedName>
    <definedName name="EPS_EPS_FullyDilutedNetEarningsExcExceptionals" localSheetId="4">#REF!</definedName>
    <definedName name="EPS_EPS_FullyDilutedNetEarningsExcExceptionals" localSheetId="9">#REF!</definedName>
    <definedName name="EPS_EPS_FullyDilutedNetEarningsExcExceptionals">#REF!</definedName>
    <definedName name="EPS_EPS_FullyDilutedShares" localSheetId="4">#REF!</definedName>
    <definedName name="EPS_EPS_FullyDilutedShares" localSheetId="9">#REF!</definedName>
    <definedName name="EPS_EPS_FullyDilutedShares">#REF!</definedName>
    <definedName name="EPS_EPS_PrimaryEPS" localSheetId="4">#REF!</definedName>
    <definedName name="EPS_EPS_PrimaryEPS" localSheetId="9">#REF!</definedName>
    <definedName name="EPS_EPS_PrimaryEPS">#REF!</definedName>
    <definedName name="EPS_EPS_PrimaryEPSExcExceptionals" localSheetId="4">#REF!</definedName>
    <definedName name="EPS_EPS_PrimaryEPSExcExceptionals" localSheetId="9">#REF!</definedName>
    <definedName name="EPS_EPS_PrimaryEPSExcExceptionals">#REF!</definedName>
    <definedName name="EPS_EPS_PrimaryLTDebtRateMan" localSheetId="4">#REF!</definedName>
    <definedName name="EPS_EPS_PrimaryLTDebtRateMan" localSheetId="9">#REF!</definedName>
    <definedName name="EPS_EPS_PrimaryLTDebtRateMan">#REF!</definedName>
    <definedName name="EPS_EPS_PrimaryLTDebtToRetireMan" localSheetId="4">#REF!</definedName>
    <definedName name="EPS_EPS_PrimaryLTDebtToRetireMan" localSheetId="9">#REF!</definedName>
    <definedName name="EPS_EPS_PrimaryLTDebtToRetireMan">#REF!</definedName>
    <definedName name="EPS_EPS_PrimaryNetEarnings" localSheetId="4">#REF!</definedName>
    <definedName name="EPS_EPS_PrimaryNetEarnings" localSheetId="9">#REF!</definedName>
    <definedName name="EPS_EPS_PrimaryNetEarnings">#REF!</definedName>
    <definedName name="EPS_EPS_PrimaryNetEarningsExcExceptionals" localSheetId="4">#REF!</definedName>
    <definedName name="EPS_EPS_PrimaryNetEarningsExcExceptionals" localSheetId="9">#REF!</definedName>
    <definedName name="EPS_EPS_PrimaryNetEarningsExcExceptionals">#REF!</definedName>
    <definedName name="EPS_EPS_PrimaryShares" localSheetId="4">#REF!</definedName>
    <definedName name="EPS_EPS_PrimaryShares" localSheetId="9">#REF!</definedName>
    <definedName name="EPS_EPS_PrimaryShares">#REF!</definedName>
    <definedName name="EPS_EPS_PrimarySTDebtRateMan" localSheetId="4">#REF!</definedName>
    <definedName name="EPS_EPS_PrimarySTDebtRateMan" localSheetId="9">#REF!</definedName>
    <definedName name="EPS_EPS_PrimarySTDebtRateMan">#REF!</definedName>
    <definedName name="EPS_EPS_PrimarySTDebtToRetireMan" localSheetId="4">#REF!</definedName>
    <definedName name="EPS_EPS_PrimarySTDebtToRetireMan" localSheetId="9">#REF!</definedName>
    <definedName name="EPS_EPS_PrimarySTDebtToRetireMan">#REF!</definedName>
    <definedName name="EPS_EPS_UnadjustedNetEarnings" localSheetId="4">#REF!</definedName>
    <definedName name="EPS_EPS_UnadjustedNetEarnings" localSheetId="9">#REF!</definedName>
    <definedName name="EPS_EPS_UnadjustedNetEarnings">#REF!</definedName>
    <definedName name="EPS_EPS_UnadjustedNetEarningsExcExceptionals" localSheetId="4">#REF!</definedName>
    <definedName name="EPS_EPS_UnadjustedNetEarningsExcExceptionals" localSheetId="9">#REF!</definedName>
    <definedName name="EPS_EPS_UnadjustedNetEarningsExcExceptionals">#REF!</definedName>
    <definedName name="EPS_EY1" localSheetId="4">#REF!</definedName>
    <definedName name="EPS_EY1" localSheetId="9">#REF!</definedName>
    <definedName name="EPS_EY1">#REF!</definedName>
    <definedName name="EPS_EY2" localSheetId="4">#REF!</definedName>
    <definedName name="EPS_EY2" localSheetId="9">#REF!</definedName>
    <definedName name="EPS_EY2">#REF!</definedName>
    <definedName name="EPS_EY3" localSheetId="4">#REF!</definedName>
    <definedName name="EPS_EY3" localSheetId="9">#REF!</definedName>
    <definedName name="EPS_EY3">#REF!</definedName>
    <definedName name="EPS_growth" localSheetId="4">#REF!</definedName>
    <definedName name="EPS_growth" localSheetId="9">#REF!</definedName>
    <definedName name="EPS_growth">#REF!</definedName>
    <definedName name="EPS_growth_avg">#REF!</definedName>
    <definedName name="EPS_Growth_Rate" localSheetId="4">#REF!</definedName>
    <definedName name="EPS_Growth_Rate" localSheetId="5">#REF!</definedName>
    <definedName name="EPS_Growth_Rate" localSheetId="15">#REF!</definedName>
    <definedName name="EPS_Growth_Rate" localSheetId="19">#REF!</definedName>
    <definedName name="EPS_Growth_Rate" localSheetId="18">#REF!</definedName>
    <definedName name="EPS_Growth_Rate" localSheetId="14">#REF!</definedName>
    <definedName name="EPS_Growth_Rate" localSheetId="12">#REF!</definedName>
    <definedName name="EPS_Growth_Rate" localSheetId="24">#REF!</definedName>
    <definedName name="EPS_Growth_Rate" localSheetId="7">#REF!</definedName>
    <definedName name="EPS_Growth_Rate" localSheetId="20">#REF!</definedName>
    <definedName name="EPS_Growth_Rate" localSheetId="21">#REF!</definedName>
    <definedName name="EPS_Growth_Rate" localSheetId="11">#REF!</definedName>
    <definedName name="EPS_Growth_Rate" localSheetId="17">#REF!</definedName>
    <definedName name="EPS_Growth_Rate" localSheetId="16">#REF!</definedName>
    <definedName name="EPS_Growth_Rate" localSheetId="22">#REF!</definedName>
    <definedName name="EPS_Growth_Rate" localSheetId="9">#REF!</definedName>
    <definedName name="EPS_Growth_Rate" localSheetId="13">#REF!</definedName>
    <definedName name="EPS_Growth_Rate" localSheetId="23">#REF!</definedName>
    <definedName name="EPS_Growth_Rate">#REF!</definedName>
    <definedName name="EPS_LookupYears" localSheetId="4">#REF!</definedName>
    <definedName name="EPS_LookupYears" localSheetId="5">#REF!</definedName>
    <definedName name="EPS_LookupYears" localSheetId="15">#REF!</definedName>
    <definedName name="EPS_LookupYears" localSheetId="19">#REF!</definedName>
    <definedName name="EPS_LookupYears" localSheetId="18">#REF!</definedName>
    <definedName name="EPS_LookupYears" localSheetId="14">#REF!</definedName>
    <definedName name="EPS_LookupYears" localSheetId="12">#REF!</definedName>
    <definedName name="EPS_LookupYears" localSheetId="24">#REF!</definedName>
    <definedName name="EPS_LookupYears" localSheetId="7">#REF!</definedName>
    <definedName name="EPS_LookupYears" localSheetId="20">#REF!</definedName>
    <definedName name="EPS_LookupYears" localSheetId="21">#REF!</definedName>
    <definedName name="EPS_LookupYears" localSheetId="11">#REF!</definedName>
    <definedName name="EPS_LookupYears" localSheetId="17">#REF!</definedName>
    <definedName name="EPS_LookupYears" localSheetId="16">#REF!</definedName>
    <definedName name="EPS_LookupYears" localSheetId="22">#REF!</definedName>
    <definedName name="EPS_LookupYears" localSheetId="9">#REF!</definedName>
    <definedName name="EPS_LookupYears" localSheetId="13">#REF!</definedName>
    <definedName name="EPS_LookupYears" localSheetId="23">#REF!</definedName>
    <definedName name="EPS_LookupYears">#REF!</definedName>
    <definedName name="EPS_Lst_Yr" localSheetId="4">#REF!</definedName>
    <definedName name="EPS_Lst_Yr" localSheetId="5">#REF!</definedName>
    <definedName name="EPS_Lst_Yr" localSheetId="15">#REF!</definedName>
    <definedName name="EPS_Lst_Yr" localSheetId="19">#REF!</definedName>
    <definedName name="EPS_Lst_Yr" localSheetId="18">#REF!</definedName>
    <definedName name="EPS_Lst_Yr" localSheetId="14">#REF!</definedName>
    <definedName name="EPS_Lst_Yr" localSheetId="12">#REF!</definedName>
    <definedName name="EPS_Lst_Yr" localSheetId="24">#REF!</definedName>
    <definedName name="EPS_Lst_Yr" localSheetId="7">#REF!</definedName>
    <definedName name="EPS_Lst_Yr" localSheetId="20">#REF!</definedName>
    <definedName name="EPS_Lst_Yr" localSheetId="21">#REF!</definedName>
    <definedName name="EPS_Lst_Yr" localSheetId="11">#REF!</definedName>
    <definedName name="EPS_Lst_Yr" localSheetId="17">#REF!</definedName>
    <definedName name="EPS_Lst_Yr" localSheetId="16">#REF!</definedName>
    <definedName name="EPS_Lst_Yr" localSheetId="22">#REF!</definedName>
    <definedName name="EPS_Lst_Yr" localSheetId="9">#REF!</definedName>
    <definedName name="EPS_Lst_Yr" localSheetId="13">#REF!</definedName>
    <definedName name="EPS_Lst_Yr" localSheetId="23">#REF!</definedName>
    <definedName name="EPS_Lst_Yr">#REF!</definedName>
    <definedName name="EPS_MAN_AdjustedEPS" localSheetId="4">#REF!</definedName>
    <definedName name="EPS_MAN_AdjustedEPS" localSheetId="9">#REF!</definedName>
    <definedName name="EPS_MAN_AdjustedEPS">#REF!</definedName>
    <definedName name="EPS_MAN_AdjustedEPSExcExceptionals" localSheetId="4">#REF!</definedName>
    <definedName name="EPS_MAN_AdjustedEPSExcExceptionals" localSheetId="9">#REF!</definedName>
    <definedName name="EPS_MAN_AdjustedEPSExcExceptionals">#REF!</definedName>
    <definedName name="EPS_MAN_BasicEPS" localSheetId="4">#REF!</definedName>
    <definedName name="EPS_MAN_BasicEPS" localSheetId="9">#REF!</definedName>
    <definedName name="EPS_MAN_BasicEPS">#REF!</definedName>
    <definedName name="EPS_MAN_BasicEPSExcExceptionals" localSheetId="4">#REF!</definedName>
    <definedName name="EPS_MAN_BasicEPSExcExceptionals" localSheetId="9">#REF!</definedName>
    <definedName name="EPS_MAN_BasicEPSExcExceptionals">#REF!</definedName>
    <definedName name="EPS_MAN_EPS" localSheetId="4">#REF!</definedName>
    <definedName name="EPS_MAN_EPS" localSheetId="9">#REF!</definedName>
    <definedName name="EPS_MAN_EPS">#REF!</definedName>
    <definedName name="EPS_MAN_FullyDilutedEPS" localSheetId="4">#REF!</definedName>
    <definedName name="EPS_MAN_FullyDilutedEPS" localSheetId="9">#REF!</definedName>
    <definedName name="EPS_MAN_FullyDilutedEPS">#REF!</definedName>
    <definedName name="EPS_MAN_FullyDilutedEPSExcExceptionals" localSheetId="4">#REF!</definedName>
    <definedName name="EPS_MAN_FullyDilutedEPSExcExceptionals" localSheetId="9">#REF!</definedName>
    <definedName name="EPS_MAN_FullyDilutedEPSExcExceptionals">#REF!</definedName>
    <definedName name="EPS_MAN_PrimaryEPS" localSheetId="4">#REF!</definedName>
    <definedName name="EPS_MAN_PrimaryEPS" localSheetId="9">#REF!</definedName>
    <definedName name="EPS_MAN_PrimaryEPS">#REF!</definedName>
    <definedName name="EPS_MAN_PrimaryEPSExcExceptionals" localSheetId="4">#REF!</definedName>
    <definedName name="EPS_MAN_PrimaryEPSExcExceptionals" localSheetId="9">#REF!</definedName>
    <definedName name="EPS_MAN_PrimaryEPSExcExceptionals">#REF!</definedName>
    <definedName name="EPS_MAN_ShareAdjFactor" localSheetId="4">#REF!</definedName>
    <definedName name="EPS_MAN_ShareAdjFactor" localSheetId="9">#REF!</definedName>
    <definedName name="EPS_MAN_ShareAdjFactor">#REF!</definedName>
    <definedName name="EPS_MAN_Shares" localSheetId="4">#REF!</definedName>
    <definedName name="EPS_MAN_Shares" localSheetId="9">#REF!</definedName>
    <definedName name="EPS_MAN_Shares">#REF!</definedName>
    <definedName name="EPS_MAN_SharesAdjusted" localSheetId="4">#REF!</definedName>
    <definedName name="EPS_MAN_SharesAdjusted" localSheetId="9">#REF!</definedName>
    <definedName name="EPS_MAN_SharesAdjusted">#REF!</definedName>
    <definedName name="EPS_MAN_SharesAtYearEnd" localSheetId="4">#REF!</definedName>
    <definedName name="EPS_MAN_SharesAtYearEnd" localSheetId="9">#REF!</definedName>
    <definedName name="EPS_MAN_SharesAtYearEnd">#REF!</definedName>
    <definedName name="EPS_MAN_SharesFullyDiluted" localSheetId="4">#REF!</definedName>
    <definedName name="EPS_MAN_SharesFullyDiluted" localSheetId="9">#REF!</definedName>
    <definedName name="EPS_MAN_SharesFullyDiluted">#REF!</definedName>
    <definedName name="EPS_MAN_SharesPrimary" localSheetId="4">#REF!</definedName>
    <definedName name="EPS_MAN_SharesPrimary" localSheetId="9">#REF!</definedName>
    <definedName name="EPS_MAN_SharesPrimary">#REF!</definedName>
    <definedName name="EPS_MAN_SharesWgtAvg" localSheetId="4">#REF!</definedName>
    <definedName name="EPS_MAN_SharesWgtAvg" localSheetId="9">#REF!</definedName>
    <definedName name="EPS_MAN_SharesWgtAvg">#REF!</definedName>
    <definedName name="EPS_Next_Yr" localSheetId="4">#REF!</definedName>
    <definedName name="EPS_Next_Yr" localSheetId="9">#REF!</definedName>
    <definedName name="EPS_Next_Yr">#REF!</definedName>
    <definedName name="EPS_PRE_CSEDividendsSaved" localSheetId="4">#REF!</definedName>
    <definedName name="EPS_PRE_CSEDividendsSaved" localSheetId="9">#REF!</definedName>
    <definedName name="EPS_PRE_CSEDividendsSaved">#REF!</definedName>
    <definedName name="EPS_PRE_CSESharesConverted" localSheetId="4">#REF!</definedName>
    <definedName name="EPS_PRE_CSESharesConverted" localSheetId="9">#REF!</definedName>
    <definedName name="EPS_PRE_CSESharesConverted">#REF!</definedName>
    <definedName name="EPS_PRE_DividendsPreferred" localSheetId="4">#REF!</definedName>
    <definedName name="EPS_PRE_DividendsPreferred" localSheetId="9">#REF!</definedName>
    <definedName name="EPS_PRE_DividendsPreferred">#REF!</definedName>
    <definedName name="EPS_PRE_DividendsPreferredConvertible" localSheetId="4">#REF!</definedName>
    <definedName name="EPS_PRE_DividendsPreferredConvertible" localSheetId="9">#REF!</definedName>
    <definedName name="EPS_PRE_DividendsPreferredConvertible">#REF!</definedName>
    <definedName name="EPS_PRE_DividendsPreferredTotal" localSheetId="4">#REF!</definedName>
    <definedName name="EPS_PRE_DividendsPreferredTotal" localSheetId="9">#REF!</definedName>
    <definedName name="EPS_PRE_DividendsPreferredTotal">#REF!</definedName>
    <definedName name="EPS_PRE_NominalValueConvPreferred" localSheetId="4">#REF!</definedName>
    <definedName name="EPS_PRE_NominalValueConvPreferred" localSheetId="9">#REF!</definedName>
    <definedName name="EPS_PRE_NominalValueConvPreferred">#REF!</definedName>
    <definedName name="EPS_PRE_NominalValuePreferred" localSheetId="4">#REF!</definedName>
    <definedName name="EPS_PRE_NominalValuePreferred" localSheetId="9">#REF!</definedName>
    <definedName name="EPS_PRE_NominalValuePreferred">#REF!</definedName>
    <definedName name="EPS_PRE_PreferredStockTotal" localSheetId="4">#REF!</definedName>
    <definedName name="EPS_PRE_PreferredStockTotal" localSheetId="9">#REF!</definedName>
    <definedName name="EPS_PRE_PreferredStockTotal">#REF!</definedName>
    <definedName name="EPS_PRE_SharesConvertible" localSheetId="4">#REF!</definedName>
    <definedName name="EPS_PRE_SharesConvertible" localSheetId="9">#REF!</definedName>
    <definedName name="EPS_PRE_SharesConvertible">#REF!</definedName>
    <definedName name="EPS_Qtr_Date" localSheetId="4">#REF!</definedName>
    <definedName name="EPS_Qtr_Date" localSheetId="9">#REF!</definedName>
    <definedName name="EPS_Qtr_Date">#REF!</definedName>
    <definedName name="EPS_Rs_Q" localSheetId="4">#REF!</definedName>
    <definedName name="EPS_Rs_Q" localSheetId="9">#REF!</definedName>
    <definedName name="EPS_Rs_Q">#REF!</definedName>
    <definedName name="epw" localSheetId="4">#REF!</definedName>
    <definedName name="epw" localSheetId="9">#REF!</definedName>
    <definedName name="epw">#REF!</definedName>
    <definedName name="epx" localSheetId="4">#REF!</definedName>
    <definedName name="epx" localSheetId="9">#REF!</definedName>
    <definedName name="epx">#REF!</definedName>
    <definedName name="EqDiv">#REF!</definedName>
    <definedName name="EqIndex" localSheetId="4">#REF!</definedName>
    <definedName name="EqIndex" localSheetId="5">#REF!</definedName>
    <definedName name="EqIndex" localSheetId="15">#REF!</definedName>
    <definedName name="EqIndex" localSheetId="19">#REF!</definedName>
    <definedName name="EqIndex" localSheetId="18">#REF!</definedName>
    <definedName name="EqIndex" localSheetId="14">#REF!</definedName>
    <definedName name="EqIndex" localSheetId="12">#REF!</definedName>
    <definedName name="EqIndex" localSheetId="24">#REF!</definedName>
    <definedName name="EqIndex" localSheetId="7">#REF!</definedName>
    <definedName name="EqIndex" localSheetId="20">#REF!</definedName>
    <definedName name="EqIndex" localSheetId="21">#REF!</definedName>
    <definedName name="EqIndex" localSheetId="11">#REF!</definedName>
    <definedName name="EqIndex" localSheetId="17">#REF!</definedName>
    <definedName name="EqIndex" localSheetId="16">#REF!</definedName>
    <definedName name="EqIndex" localSheetId="22">#REF!</definedName>
    <definedName name="EqIndex" localSheetId="9">#REF!</definedName>
    <definedName name="EqIndex" localSheetId="13">#REF!</definedName>
    <definedName name="EqIndex" localSheetId="23">#REF!</definedName>
    <definedName name="EqIndex">#REF!</definedName>
    <definedName name="EqMult" hidden="1">#REF!</definedName>
    <definedName name="EQUITY" localSheetId="4">#REF!</definedName>
    <definedName name="EQUITY" localSheetId="5">#REF!</definedName>
    <definedName name="EQUITY" localSheetId="15">#REF!</definedName>
    <definedName name="EQUITY" localSheetId="19">#REF!</definedName>
    <definedName name="EQUITY" localSheetId="18">#REF!</definedName>
    <definedName name="EQUITY" localSheetId="14">#REF!</definedName>
    <definedName name="EQUITY" localSheetId="12">#REF!</definedName>
    <definedName name="EQUITY" localSheetId="24">#REF!</definedName>
    <definedName name="EQUITY" localSheetId="7">#REF!</definedName>
    <definedName name="EQUITY" localSheetId="20">#REF!</definedName>
    <definedName name="EQUITY" localSheetId="21">#REF!</definedName>
    <definedName name="EQUITY" localSheetId="11">#REF!</definedName>
    <definedName name="EQUITY" localSheetId="17">#REF!</definedName>
    <definedName name="EQUITY" localSheetId="16">#REF!</definedName>
    <definedName name="EQUITY" localSheetId="22">#REF!</definedName>
    <definedName name="EQUITY" localSheetId="9">#REF!</definedName>
    <definedName name="EQUITY" localSheetId="13">#REF!</definedName>
    <definedName name="EQUITY" localSheetId="23">#REF!</definedName>
    <definedName name="EQUITY">#REF!</definedName>
    <definedName name="equity_capital_Q">#REF!</definedName>
    <definedName name="Equity_Del_Item" localSheetId="4">#REF!</definedName>
    <definedName name="Equity_Del_Item" localSheetId="15">#REF!</definedName>
    <definedName name="Equity_Del_Item" localSheetId="19">#REF!</definedName>
    <definedName name="Equity_Del_Item" localSheetId="18">#REF!</definedName>
    <definedName name="Equity_Del_Item" localSheetId="14">#REF!</definedName>
    <definedName name="Equity_Del_Item" localSheetId="12">#REF!</definedName>
    <definedName name="Equity_Del_Item" localSheetId="24">#REF!</definedName>
    <definedName name="Equity_Del_Item" localSheetId="7">#REF!</definedName>
    <definedName name="Equity_Del_Item" localSheetId="20">#REF!</definedName>
    <definedName name="Equity_Del_Item" localSheetId="21">#REF!</definedName>
    <definedName name="Equity_Del_Item" localSheetId="11">#REF!</definedName>
    <definedName name="Equity_Del_Item" localSheetId="17">#REF!</definedName>
    <definedName name="Equity_Del_Item" localSheetId="16">#REF!</definedName>
    <definedName name="Equity_Del_Item" localSheetId="22">#REF!</definedName>
    <definedName name="Equity_Del_Item" localSheetId="13">#REF!</definedName>
    <definedName name="Equity_Del_Item" localSheetId="23">#REF!</definedName>
    <definedName name="Equity_Del_Item">#REF!</definedName>
    <definedName name="equity_dividend_A">#REF!</definedName>
    <definedName name="Equity_Equivalents" localSheetId="4">#REF!</definedName>
    <definedName name="Equity_Equivalents" localSheetId="9">#REF!</definedName>
    <definedName name="Equity_Equivalents">#REF!</definedName>
    <definedName name="Equity_Ins_Item" localSheetId="4">#REF!</definedName>
    <definedName name="Equity_Ins_Item" localSheetId="15">#REF!</definedName>
    <definedName name="Equity_Ins_Item" localSheetId="19">#REF!</definedName>
    <definedName name="Equity_Ins_Item" localSheetId="18">#REF!</definedName>
    <definedName name="Equity_Ins_Item" localSheetId="14">#REF!</definedName>
    <definedName name="Equity_Ins_Item" localSheetId="12">#REF!</definedName>
    <definedName name="Equity_Ins_Item" localSheetId="24">#REF!</definedName>
    <definedName name="Equity_Ins_Item" localSheetId="7">#REF!</definedName>
    <definedName name="Equity_Ins_Item" localSheetId="20">#REF!</definedName>
    <definedName name="Equity_Ins_Item" localSheetId="21">#REF!</definedName>
    <definedName name="Equity_Ins_Item" localSheetId="11">#REF!</definedName>
    <definedName name="Equity_Ins_Item" localSheetId="17">#REF!</definedName>
    <definedName name="Equity_Ins_Item" localSheetId="16">#REF!</definedName>
    <definedName name="Equity_Ins_Item" localSheetId="22">#REF!</definedName>
    <definedName name="Equity_Ins_Item" localSheetId="13">#REF!</definedName>
    <definedName name="Equity_Ins_Item" localSheetId="23">#REF!</definedName>
    <definedName name="Equity_Ins_Item">#REF!</definedName>
    <definedName name="Equity_Paid_Up">#REF!</definedName>
    <definedName name="Equity_Q" localSheetId="4">#REF!</definedName>
    <definedName name="Equity_Q" localSheetId="5">#REF!</definedName>
    <definedName name="Equity_Q" localSheetId="15">#REF!</definedName>
    <definedName name="Equity_Q" localSheetId="19">#REF!</definedName>
    <definedName name="Equity_Q" localSheetId="18">#REF!</definedName>
    <definedName name="Equity_Q" localSheetId="14">#REF!</definedName>
    <definedName name="Equity_Q" localSheetId="12">#REF!</definedName>
    <definedName name="Equity_Q" localSheetId="24">#REF!</definedName>
    <definedName name="Equity_Q" localSheetId="7">#REF!</definedName>
    <definedName name="Equity_Q" localSheetId="20">#REF!</definedName>
    <definedName name="Equity_Q" localSheetId="21">#REF!</definedName>
    <definedName name="Equity_Q" localSheetId="11">#REF!</definedName>
    <definedName name="Equity_Q" localSheetId="17">#REF!</definedName>
    <definedName name="Equity_Q" localSheetId="16">#REF!</definedName>
    <definedName name="Equity_Q" localSheetId="22">#REF!</definedName>
    <definedName name="Equity_Q" localSheetId="9">#REF!</definedName>
    <definedName name="Equity_Q" localSheetId="13">#REF!</definedName>
    <definedName name="Equity_Q" localSheetId="23">#REF!</definedName>
    <definedName name="Equity_Q">#REF!</definedName>
    <definedName name="equity_raised" localSheetId="4">#REF!</definedName>
    <definedName name="equity_raised" localSheetId="5">#REF!</definedName>
    <definedName name="equity_raised" localSheetId="15">#REF!</definedName>
    <definedName name="equity_raised" localSheetId="19">#REF!</definedName>
    <definedName name="equity_raised" localSheetId="18">#REF!</definedName>
    <definedName name="equity_raised" localSheetId="14">#REF!</definedName>
    <definedName name="equity_raised" localSheetId="12">#REF!</definedName>
    <definedName name="equity_raised" localSheetId="24">#REF!</definedName>
    <definedName name="equity_raised" localSheetId="7">#REF!</definedName>
    <definedName name="equity_raised" localSheetId="20">#REF!</definedName>
    <definedName name="equity_raised" localSheetId="21">#REF!</definedName>
    <definedName name="equity_raised" localSheetId="11">#REF!</definedName>
    <definedName name="equity_raised" localSheetId="17">#REF!</definedName>
    <definedName name="equity_raised" localSheetId="16">#REF!</definedName>
    <definedName name="equity_raised" localSheetId="22">#REF!</definedName>
    <definedName name="equity_raised" localSheetId="9">#REF!</definedName>
    <definedName name="equity_raised" localSheetId="13">#REF!</definedName>
    <definedName name="equity_raised" localSheetId="23">#REF!</definedName>
    <definedName name="equity_raised">#REF!</definedName>
    <definedName name="Equity_risk_premium" localSheetId="4">#REF!</definedName>
    <definedName name="Equity_risk_premium" localSheetId="9">#REF!</definedName>
    <definedName name="Equity_risk_premium">#REF!</definedName>
    <definedName name="Equity_share_capital">#REF!</definedName>
    <definedName name="Equity_Ticker" localSheetId="4">#REF!</definedName>
    <definedName name="Equity_Ticker" localSheetId="5">#REF!</definedName>
    <definedName name="Equity_Ticker" localSheetId="15">#REF!</definedName>
    <definedName name="Equity_Ticker" localSheetId="19">#REF!</definedName>
    <definedName name="Equity_Ticker" localSheetId="18">#REF!</definedName>
    <definedName name="Equity_Ticker" localSheetId="14">#REF!</definedName>
    <definedName name="Equity_Ticker" localSheetId="12">#REF!</definedName>
    <definedName name="Equity_Ticker" localSheetId="24">#REF!</definedName>
    <definedName name="Equity_Ticker" localSheetId="7">#REF!</definedName>
    <definedName name="Equity_Ticker" localSheetId="20">#REF!</definedName>
    <definedName name="Equity_Ticker" localSheetId="21">#REF!</definedName>
    <definedName name="Equity_Ticker" localSheetId="11">#REF!</definedName>
    <definedName name="Equity_Ticker" localSheetId="17">#REF!</definedName>
    <definedName name="Equity_Ticker" localSheetId="16">#REF!</definedName>
    <definedName name="Equity_Ticker" localSheetId="22">#REF!</definedName>
    <definedName name="Equity_Ticker" localSheetId="9">#REF!</definedName>
    <definedName name="Equity_Ticker" localSheetId="13">#REF!</definedName>
    <definedName name="Equity_Ticker" localSheetId="23">#REF!</definedName>
    <definedName name="Equity_Ticker">#REF!</definedName>
    <definedName name="er" localSheetId="4">#REF!</definedName>
    <definedName name="er" localSheetId="5">#REF!</definedName>
    <definedName name="er" localSheetId="15">#REF!</definedName>
    <definedName name="er" localSheetId="19">#REF!</definedName>
    <definedName name="er" localSheetId="18">#REF!</definedName>
    <definedName name="er" localSheetId="14">#REF!</definedName>
    <definedName name="er" localSheetId="12">#REF!</definedName>
    <definedName name="er" localSheetId="24">#REF!</definedName>
    <definedName name="er" localSheetId="7">#REF!</definedName>
    <definedName name="er" localSheetId="20">#REF!</definedName>
    <definedName name="er" localSheetId="21">#REF!</definedName>
    <definedName name="er" localSheetId="11">#REF!</definedName>
    <definedName name="er" localSheetId="17">#REF!</definedName>
    <definedName name="er" localSheetId="16">#REF!</definedName>
    <definedName name="er" localSheetId="22">#REF!</definedName>
    <definedName name="er" localSheetId="9">#REF!</definedName>
    <definedName name="er" localSheetId="13">#REF!</definedName>
    <definedName name="er" localSheetId="23">#REF!</definedName>
    <definedName name="er">#REF!</definedName>
    <definedName name="esnrc10c1_values" localSheetId="4" hidden="1">{"DEBAN","COMPANIES",TRUE}</definedName>
    <definedName name="esnrc10c1_values" localSheetId="5" hidden="1">{"DEBAN","COMPANIES",TRUE}</definedName>
    <definedName name="esnrc10c1_values" localSheetId="15" hidden="1">{"DEBAN","COMPANIES",TRUE}</definedName>
    <definedName name="esnrc10c1_values" localSheetId="19" hidden="1">{"DEBAN","COMPANIES",TRUE}</definedName>
    <definedName name="esnrc10c1_values" localSheetId="18" hidden="1">{"DEBAN","COMPANIES",TRUE}</definedName>
    <definedName name="esnrc10c1_values" localSheetId="14" hidden="1">{"DEBAN","COMPANIES",TRUE}</definedName>
    <definedName name="esnrc10c1_values" localSheetId="12" hidden="1">{"DEBAN","COMPANIES",TRUE}</definedName>
    <definedName name="esnrc10c1_values" localSheetId="24" hidden="1">{"DEBAN","COMPANIES",TRUE}</definedName>
    <definedName name="esnrc10c1_values" localSheetId="7" hidden="1">{"DEBAN","COMPANIES",TRUE}</definedName>
    <definedName name="esnrc10c1_values" localSheetId="20" hidden="1">{"DEBAN","COMPANIES",TRUE}</definedName>
    <definedName name="esnrc10c1_values" localSheetId="21" hidden="1">{"DEBAN","COMPANIES",TRUE}</definedName>
    <definedName name="esnrc10c1_values" localSheetId="11" hidden="1">{"DEBAN","COMPANIES",TRUE}</definedName>
    <definedName name="esnrc10c1_values" localSheetId="17" hidden="1">{"DEBAN","COMPANIES",TRUE}</definedName>
    <definedName name="esnrc10c1_values" localSheetId="16" hidden="1">{"DEBAN","COMPANIES",TRUE}</definedName>
    <definedName name="esnrc10c1_values" localSheetId="22" hidden="1">{"DEBAN","COMPANIES",TRUE}</definedName>
    <definedName name="esnrc10c1_values" localSheetId="9" hidden="1">{"DEBAN","COMPANIES",TRUE}</definedName>
    <definedName name="esnrc10c1_values" localSheetId="13" hidden="1">{"DEBAN","COMPANIES",TRUE}</definedName>
    <definedName name="esnrc10c1_values" localSheetId="23" hidden="1">{"DEBAN","COMPANIES",TRUE}</definedName>
    <definedName name="esnrc10c1_values" hidden="1">{"DEBAN","COMPANIES",TRUE}</definedName>
    <definedName name="esnrc165c1_values" localSheetId="4" hidden="1">{"DE","COMPANIES",TRUE}</definedName>
    <definedName name="esnrc165c1_values" localSheetId="5" hidden="1">{"DE","COMPANIES",TRUE}</definedName>
    <definedName name="esnrc165c1_values" localSheetId="15" hidden="1">{"DE","COMPANIES",TRUE}</definedName>
    <definedName name="esnrc165c1_values" localSheetId="19" hidden="1">{"DE","COMPANIES",TRUE}</definedName>
    <definedName name="esnrc165c1_values" localSheetId="18" hidden="1">{"DE","COMPANIES",TRUE}</definedName>
    <definedName name="esnrc165c1_values" localSheetId="14" hidden="1">{"DE","COMPANIES",TRUE}</definedName>
    <definedName name="esnrc165c1_values" localSheetId="12" hidden="1">{"DE","COMPANIES",TRUE}</definedName>
    <definedName name="esnrc165c1_values" localSheetId="24" hidden="1">{"DE","COMPANIES",TRUE}</definedName>
    <definedName name="esnrc165c1_values" localSheetId="7" hidden="1">{"DE","COMPANIES",TRUE}</definedName>
    <definedName name="esnrc165c1_values" localSheetId="20" hidden="1">{"DE","COMPANIES",TRUE}</definedName>
    <definedName name="esnrc165c1_values" localSheetId="21" hidden="1">{"DE","COMPANIES",TRUE}</definedName>
    <definedName name="esnrc165c1_values" localSheetId="11" hidden="1">{"DE","COMPANIES",TRUE}</definedName>
    <definedName name="esnrc165c1_values" localSheetId="17" hidden="1">{"DE","COMPANIES",TRUE}</definedName>
    <definedName name="esnrc165c1_values" localSheetId="16" hidden="1">{"DE","COMPANIES",TRUE}</definedName>
    <definedName name="esnrc165c1_values" localSheetId="22" hidden="1">{"DE","COMPANIES",TRUE}</definedName>
    <definedName name="esnrc165c1_values" localSheetId="9" hidden="1">{"DE","COMPANIES",TRUE}</definedName>
    <definedName name="esnrc165c1_values" localSheetId="13" hidden="1">{"DE","COMPANIES",TRUE}</definedName>
    <definedName name="esnrc165c1_values" localSheetId="23" hidden="1">{"DE","COMPANIES",TRUE}</definedName>
    <definedName name="esnrc165c1_values" hidden="1">{"DE","COMPANIES",TRUE}</definedName>
    <definedName name="esnrc166c1_values" localSheetId="4" hidden="1">{"DE","COMPANIES",TRUE}</definedName>
    <definedName name="esnrc166c1_values" localSheetId="5" hidden="1">{"DE","COMPANIES",TRUE}</definedName>
    <definedName name="esnrc166c1_values" localSheetId="15" hidden="1">{"DE","COMPANIES",TRUE}</definedName>
    <definedName name="esnrc166c1_values" localSheetId="19" hidden="1">{"DE","COMPANIES",TRUE}</definedName>
    <definedName name="esnrc166c1_values" localSheetId="18" hidden="1">{"DE","COMPANIES",TRUE}</definedName>
    <definedName name="esnrc166c1_values" localSheetId="14" hidden="1">{"DE","COMPANIES",TRUE}</definedName>
    <definedName name="esnrc166c1_values" localSheetId="12" hidden="1">{"DE","COMPANIES",TRUE}</definedName>
    <definedName name="esnrc166c1_values" localSheetId="24" hidden="1">{"DE","COMPANIES",TRUE}</definedName>
    <definedName name="esnrc166c1_values" localSheetId="7" hidden="1">{"DE","COMPANIES",TRUE}</definedName>
    <definedName name="esnrc166c1_values" localSheetId="20" hidden="1">{"DE","COMPANIES",TRUE}</definedName>
    <definedName name="esnrc166c1_values" localSheetId="21" hidden="1">{"DE","COMPANIES",TRUE}</definedName>
    <definedName name="esnrc166c1_values" localSheetId="11" hidden="1">{"DE","COMPANIES",TRUE}</definedName>
    <definedName name="esnrc166c1_values" localSheetId="17" hidden="1">{"DE","COMPANIES",TRUE}</definedName>
    <definedName name="esnrc166c1_values" localSheetId="16" hidden="1">{"DE","COMPANIES",TRUE}</definedName>
    <definedName name="esnrc166c1_values" localSheetId="22" hidden="1">{"DE","COMPANIES",TRUE}</definedName>
    <definedName name="esnrc166c1_values" localSheetId="9" hidden="1">{"DE","COMPANIES",TRUE}</definedName>
    <definedName name="esnrc166c1_values" localSheetId="13" hidden="1">{"DE","COMPANIES",TRUE}</definedName>
    <definedName name="esnrc166c1_values" localSheetId="23" hidden="1">{"DE","COMPANIES",TRUE}</definedName>
    <definedName name="esnrc166c1_values" hidden="1">{"DE","COMPANIES",TRUE}</definedName>
    <definedName name="esnrc18c1_values" localSheetId="4" hidden="1">{"EUPHARMA","COMPANIES",TRUE}</definedName>
    <definedName name="esnrc18c1_values" localSheetId="5" hidden="1">{"EUPHARMA","COMPANIES",TRUE}</definedName>
    <definedName name="esnrc18c1_values" localSheetId="15" hidden="1">{"EUPHARMA","COMPANIES",TRUE}</definedName>
    <definedName name="esnrc18c1_values" localSheetId="19" hidden="1">{"EUPHARMA","COMPANIES",TRUE}</definedName>
    <definedName name="esnrc18c1_values" localSheetId="18" hidden="1">{"EUPHARMA","COMPANIES",TRUE}</definedName>
    <definedName name="esnrc18c1_values" localSheetId="14" hidden="1">{"EUPHARMA","COMPANIES",TRUE}</definedName>
    <definedName name="esnrc18c1_values" localSheetId="12" hidden="1">{"EUPHARMA","COMPANIES",TRUE}</definedName>
    <definedName name="esnrc18c1_values" localSheetId="24" hidden="1">{"EUPHARMA","COMPANIES",TRUE}</definedName>
    <definedName name="esnrc18c1_values" localSheetId="7" hidden="1">{"EUPHARMA","COMPANIES",TRUE}</definedName>
    <definedName name="esnrc18c1_values" localSheetId="20" hidden="1">{"EUPHARMA","COMPANIES",TRUE}</definedName>
    <definedName name="esnrc18c1_values" localSheetId="21" hidden="1">{"EUPHARMA","COMPANIES",TRUE}</definedName>
    <definedName name="esnrc18c1_values" localSheetId="11" hidden="1">{"EUPHARMA","COMPANIES",TRUE}</definedName>
    <definedName name="esnrc18c1_values" localSheetId="17" hidden="1">{"EUPHARMA","COMPANIES",TRUE}</definedName>
    <definedName name="esnrc18c1_values" localSheetId="16" hidden="1">{"EUPHARMA","COMPANIES",TRUE}</definedName>
    <definedName name="esnrc18c1_values" localSheetId="22" hidden="1">{"EUPHARMA","COMPANIES",TRUE}</definedName>
    <definedName name="esnrc18c1_values" localSheetId="9" hidden="1">{"EUPHARMA","COMPANIES",TRUE}</definedName>
    <definedName name="esnrc18c1_values" localSheetId="13" hidden="1">{"EUPHARMA","COMPANIES",TRUE}</definedName>
    <definedName name="esnrc18c1_values" localSheetId="23" hidden="1">{"EUPHARMA","COMPANIES",TRUE}</definedName>
    <definedName name="esnrc18c1_values" hidden="1">{"EUPHARMA","COMPANIES",TRUE}</definedName>
    <definedName name="esnrc1c1_values" localSheetId="4" hidden="1">{"II_CHE","COMPANIES",TRUE}</definedName>
    <definedName name="esnrc1c1_values" localSheetId="5" hidden="1">{"II_CHE","COMPANIES",TRUE}</definedName>
    <definedName name="esnrc1c1_values" localSheetId="15" hidden="1">{"II_CHE","COMPANIES",TRUE}</definedName>
    <definedName name="esnrc1c1_values" localSheetId="19" hidden="1">{"II_CHE","COMPANIES",TRUE}</definedName>
    <definedName name="esnrc1c1_values" localSheetId="18" hidden="1">{"II_CHE","COMPANIES",TRUE}</definedName>
    <definedName name="esnrc1c1_values" localSheetId="14" hidden="1">{"II_CHE","COMPANIES",TRUE}</definedName>
    <definedName name="esnrc1c1_values" localSheetId="12" hidden="1">{"II_CHE","COMPANIES",TRUE}</definedName>
    <definedName name="esnrc1c1_values" localSheetId="24" hidden="1">{"II_CHE","COMPANIES",TRUE}</definedName>
    <definedName name="esnrc1c1_values" localSheetId="7" hidden="1">{"II_CHE","COMPANIES",TRUE}</definedName>
    <definedName name="esnrc1c1_values" localSheetId="20" hidden="1">{"II_CHE","COMPANIES",TRUE}</definedName>
    <definedName name="esnrc1c1_values" localSheetId="21" hidden="1">{"II_CHE","COMPANIES",TRUE}</definedName>
    <definedName name="esnrc1c1_values" localSheetId="11" hidden="1">{"II_CHE","COMPANIES",TRUE}</definedName>
    <definedName name="esnrc1c1_values" localSheetId="17" hidden="1">{"II_CHE","COMPANIES",TRUE}</definedName>
    <definedName name="esnrc1c1_values" localSheetId="16" hidden="1">{"II_CHE","COMPANIES",TRUE}</definedName>
    <definedName name="esnrc1c1_values" localSheetId="22" hidden="1">{"II_CHE","COMPANIES",TRUE}</definedName>
    <definedName name="esnrc1c1_values" localSheetId="9" hidden="1">{"II_CHE","COMPANIES",TRUE}</definedName>
    <definedName name="esnrc1c1_values" localSheetId="13" hidden="1">{"II_CHE","COMPANIES",TRUE}</definedName>
    <definedName name="esnrc1c1_values" localSheetId="23" hidden="1">{"II_CHE","COMPANIES",TRUE}</definedName>
    <definedName name="esnrc1c1_values" hidden="1">{"II_CHE","COMPANIES",TRUE}</definedName>
    <definedName name="esnrc2c1_values" localSheetId="4" hidden="1">{"EX","COMPONENTS",TRUE}</definedName>
    <definedName name="esnrc2c1_values" localSheetId="5" hidden="1">{"EX","COMPONENTS",TRUE}</definedName>
    <definedName name="esnrc2c1_values" localSheetId="15" hidden="1">{"EX","COMPONENTS",TRUE}</definedName>
    <definedName name="esnrc2c1_values" localSheetId="19" hidden="1">{"EX","COMPONENTS",TRUE}</definedName>
    <definedName name="esnrc2c1_values" localSheetId="18" hidden="1">{"EX","COMPONENTS",TRUE}</definedName>
    <definedName name="esnrc2c1_values" localSheetId="14" hidden="1">{"EX","COMPONENTS",TRUE}</definedName>
    <definedName name="esnrc2c1_values" localSheetId="12" hidden="1">{"EX","COMPONENTS",TRUE}</definedName>
    <definedName name="esnrc2c1_values" localSheetId="24" hidden="1">{"EX","COMPONENTS",TRUE}</definedName>
    <definedName name="esnrc2c1_values" localSheetId="7" hidden="1">{"EX","COMPONENTS",TRUE}</definedName>
    <definedName name="esnrc2c1_values" localSheetId="20" hidden="1">{"EX","COMPONENTS",TRUE}</definedName>
    <definedName name="esnrc2c1_values" localSheetId="21" hidden="1">{"EX","COMPONENTS",TRUE}</definedName>
    <definedName name="esnrc2c1_values" localSheetId="11" hidden="1">{"EX","COMPONENTS",TRUE}</definedName>
    <definedName name="esnrc2c1_values" localSheetId="17" hidden="1">{"EX","COMPONENTS",TRUE}</definedName>
    <definedName name="esnrc2c1_values" localSheetId="16" hidden="1">{"EX","COMPONENTS",TRUE}</definedName>
    <definedName name="esnrc2c1_values" localSheetId="22" hidden="1">{"EX","COMPONENTS",TRUE}</definedName>
    <definedName name="esnrc2c1_values" localSheetId="9" hidden="1">{"EX","COMPONENTS",TRUE}</definedName>
    <definedName name="esnrc2c1_values" localSheetId="13" hidden="1">{"EX","COMPONENTS",TRUE}</definedName>
    <definedName name="esnrc2c1_values" localSheetId="23" hidden="1">{"EX","COMPONENTS",TRUE}</definedName>
    <definedName name="esnrc2c1_values" hidden="1">{"EX","COMPONENTS",TRUE}</definedName>
    <definedName name="esnrc34c1_values" localSheetId="4" hidden="1">{"DE","SECTORS",TRUE}</definedName>
    <definedName name="esnrc34c1_values" localSheetId="5" hidden="1">{"DE","SECTORS",TRUE}</definedName>
    <definedName name="esnrc34c1_values" localSheetId="15" hidden="1">{"DE","SECTORS",TRUE}</definedName>
    <definedName name="esnrc34c1_values" localSheetId="19" hidden="1">{"DE","SECTORS",TRUE}</definedName>
    <definedName name="esnrc34c1_values" localSheetId="18" hidden="1">{"DE","SECTORS",TRUE}</definedName>
    <definedName name="esnrc34c1_values" localSheetId="14" hidden="1">{"DE","SECTORS",TRUE}</definedName>
    <definedName name="esnrc34c1_values" localSheetId="12" hidden="1">{"DE","SECTORS",TRUE}</definedName>
    <definedName name="esnrc34c1_values" localSheetId="24" hidden="1">{"DE","SECTORS",TRUE}</definedName>
    <definedName name="esnrc34c1_values" localSheetId="7" hidden="1">{"DE","SECTORS",TRUE}</definedName>
    <definedName name="esnrc34c1_values" localSheetId="20" hidden="1">{"DE","SECTORS",TRUE}</definedName>
    <definedName name="esnrc34c1_values" localSheetId="21" hidden="1">{"DE","SECTORS",TRUE}</definedName>
    <definedName name="esnrc34c1_values" localSheetId="11" hidden="1">{"DE","SECTORS",TRUE}</definedName>
    <definedName name="esnrc34c1_values" localSheetId="17" hidden="1">{"DE","SECTORS",TRUE}</definedName>
    <definedName name="esnrc34c1_values" localSheetId="16" hidden="1">{"DE","SECTORS",TRUE}</definedName>
    <definedName name="esnrc34c1_values" localSheetId="22" hidden="1">{"DE","SECTORS",TRUE}</definedName>
    <definedName name="esnrc34c1_values" localSheetId="9" hidden="1">{"DE","SECTORS",TRUE}</definedName>
    <definedName name="esnrc34c1_values" localSheetId="13" hidden="1">{"DE","SECTORS",TRUE}</definedName>
    <definedName name="esnrc34c1_values" localSheetId="23" hidden="1">{"DE","SECTORS",TRUE}</definedName>
    <definedName name="esnrc34c1_values" hidden="1">{"DE","SECTORS",TRUE}</definedName>
    <definedName name="esnrc34c2_values" localSheetId="4" hidden="1">{"DE","SECTORS",TRUE}</definedName>
    <definedName name="esnrc34c2_values" localSheetId="5" hidden="1">{"DE","SECTORS",TRUE}</definedName>
    <definedName name="esnrc34c2_values" localSheetId="15" hidden="1">{"DE","SECTORS",TRUE}</definedName>
    <definedName name="esnrc34c2_values" localSheetId="19" hidden="1">{"DE","SECTORS",TRUE}</definedName>
    <definedName name="esnrc34c2_values" localSheetId="18" hidden="1">{"DE","SECTORS",TRUE}</definedName>
    <definedName name="esnrc34c2_values" localSheetId="14" hidden="1">{"DE","SECTORS",TRUE}</definedName>
    <definedName name="esnrc34c2_values" localSheetId="12" hidden="1">{"DE","SECTORS",TRUE}</definedName>
    <definedName name="esnrc34c2_values" localSheetId="24" hidden="1">{"DE","SECTORS",TRUE}</definedName>
    <definedName name="esnrc34c2_values" localSheetId="7" hidden="1">{"DE","SECTORS",TRUE}</definedName>
    <definedName name="esnrc34c2_values" localSheetId="20" hidden="1">{"DE","SECTORS",TRUE}</definedName>
    <definedName name="esnrc34c2_values" localSheetId="21" hidden="1">{"DE","SECTORS",TRUE}</definedName>
    <definedName name="esnrc34c2_values" localSheetId="11" hidden="1">{"DE","SECTORS",TRUE}</definedName>
    <definedName name="esnrc34c2_values" localSheetId="17" hidden="1">{"DE","SECTORS",TRUE}</definedName>
    <definedName name="esnrc34c2_values" localSheetId="16" hidden="1">{"DE","SECTORS",TRUE}</definedName>
    <definedName name="esnrc34c2_values" localSheetId="22" hidden="1">{"DE","SECTORS",TRUE}</definedName>
    <definedName name="esnrc34c2_values" localSheetId="9" hidden="1">{"DE","SECTORS",TRUE}</definedName>
    <definedName name="esnrc34c2_values" localSheetId="13" hidden="1">{"DE","SECTORS",TRUE}</definedName>
    <definedName name="esnrc34c2_values" localSheetId="23" hidden="1">{"DE","SECTORS",TRUE}</definedName>
    <definedName name="esnrc34c2_values" hidden="1">{"DE","SECTORS",TRUE}</definedName>
    <definedName name="esnrc442c1_values" localSheetId="4" hidden="1">{"EX","SECTORS",TRUE}</definedName>
    <definedName name="esnrc442c1_values" localSheetId="5" hidden="1">{"EX","SECTORS",TRUE}</definedName>
    <definedName name="esnrc442c1_values" localSheetId="15" hidden="1">{"EX","SECTORS",TRUE}</definedName>
    <definedName name="esnrc442c1_values" localSheetId="19" hidden="1">{"EX","SECTORS",TRUE}</definedName>
    <definedName name="esnrc442c1_values" localSheetId="18" hidden="1">{"EX","SECTORS",TRUE}</definedName>
    <definedName name="esnrc442c1_values" localSheetId="14" hidden="1">{"EX","SECTORS",TRUE}</definedName>
    <definedName name="esnrc442c1_values" localSheetId="12" hidden="1">{"EX","SECTORS",TRUE}</definedName>
    <definedName name="esnrc442c1_values" localSheetId="24" hidden="1">{"EX","SECTORS",TRUE}</definedName>
    <definedName name="esnrc442c1_values" localSheetId="7" hidden="1">{"EX","SECTORS",TRUE}</definedName>
    <definedName name="esnrc442c1_values" localSheetId="20" hidden="1">{"EX","SECTORS",TRUE}</definedName>
    <definedName name="esnrc442c1_values" localSheetId="21" hidden="1">{"EX","SECTORS",TRUE}</definedName>
    <definedName name="esnrc442c1_values" localSheetId="11" hidden="1">{"EX","SECTORS",TRUE}</definedName>
    <definedName name="esnrc442c1_values" localSheetId="17" hidden="1">{"EX","SECTORS",TRUE}</definedName>
    <definedName name="esnrc442c1_values" localSheetId="16" hidden="1">{"EX","SECTORS",TRUE}</definedName>
    <definedName name="esnrc442c1_values" localSheetId="22" hidden="1">{"EX","SECTORS",TRUE}</definedName>
    <definedName name="esnrc442c1_values" localSheetId="9" hidden="1">{"EX","SECTORS",TRUE}</definedName>
    <definedName name="esnrc442c1_values" localSheetId="13" hidden="1">{"EX","SECTORS",TRUE}</definedName>
    <definedName name="esnrc442c1_values" localSheetId="23" hidden="1">{"EX","SECTORS",TRUE}</definedName>
    <definedName name="esnrc442c1_values" hidden="1">{"EX","SECTORS",TRUE}</definedName>
    <definedName name="esnrc5c1_values" localSheetId="4" hidden="1">{"DEMOT","COMPANIES",TRUE}</definedName>
    <definedName name="esnrc5c1_values" localSheetId="5" hidden="1">{"DEMOT","COMPANIES",TRUE}</definedName>
    <definedName name="esnrc5c1_values" localSheetId="15" hidden="1">{"DEMOT","COMPANIES",TRUE}</definedName>
    <definedName name="esnrc5c1_values" localSheetId="19" hidden="1">{"DEMOT","COMPANIES",TRUE}</definedName>
    <definedName name="esnrc5c1_values" localSheetId="18" hidden="1">{"DEMOT","COMPANIES",TRUE}</definedName>
    <definedName name="esnrc5c1_values" localSheetId="14" hidden="1">{"DEMOT","COMPANIES",TRUE}</definedName>
    <definedName name="esnrc5c1_values" localSheetId="12" hidden="1">{"DEMOT","COMPANIES",TRUE}</definedName>
    <definedName name="esnrc5c1_values" localSheetId="24" hidden="1">{"DEMOT","COMPANIES",TRUE}</definedName>
    <definedName name="esnrc5c1_values" localSheetId="7" hidden="1">{"DEMOT","COMPANIES",TRUE}</definedName>
    <definedName name="esnrc5c1_values" localSheetId="20" hidden="1">{"DEMOT","COMPANIES",TRUE}</definedName>
    <definedName name="esnrc5c1_values" localSheetId="21" hidden="1">{"DEMOT","COMPANIES",TRUE}</definedName>
    <definedName name="esnrc5c1_values" localSheetId="11" hidden="1">{"DEMOT","COMPANIES",TRUE}</definedName>
    <definedName name="esnrc5c1_values" localSheetId="17" hidden="1">{"DEMOT","COMPANIES",TRUE}</definedName>
    <definedName name="esnrc5c1_values" localSheetId="16" hidden="1">{"DEMOT","COMPANIES",TRUE}</definedName>
    <definedName name="esnrc5c1_values" localSheetId="22" hidden="1">{"DEMOT","COMPANIES",TRUE}</definedName>
    <definedName name="esnrc5c1_values" localSheetId="9" hidden="1">{"DEMOT","COMPANIES",TRUE}</definedName>
    <definedName name="esnrc5c1_values" localSheetId="13" hidden="1">{"DEMOT","COMPANIES",TRUE}</definedName>
    <definedName name="esnrc5c1_values" localSheetId="23" hidden="1">{"DEMOT","COMPANIES",TRUE}</definedName>
    <definedName name="esnrc5c1_values" hidden="1">{"DEMOT","COMPANIES",TRUE}</definedName>
    <definedName name="esnrc5c2_values" localSheetId="4" hidden="1">{"DEBAN","COMPANIES",TRUE}</definedName>
    <definedName name="esnrc5c2_values" localSheetId="5" hidden="1">{"DEBAN","COMPANIES",TRUE}</definedName>
    <definedName name="esnrc5c2_values" localSheetId="15" hidden="1">{"DEBAN","COMPANIES",TRUE}</definedName>
    <definedName name="esnrc5c2_values" localSheetId="19" hidden="1">{"DEBAN","COMPANIES",TRUE}</definedName>
    <definedName name="esnrc5c2_values" localSheetId="18" hidden="1">{"DEBAN","COMPANIES",TRUE}</definedName>
    <definedName name="esnrc5c2_values" localSheetId="14" hidden="1">{"DEBAN","COMPANIES",TRUE}</definedName>
    <definedName name="esnrc5c2_values" localSheetId="12" hidden="1">{"DEBAN","COMPANIES",TRUE}</definedName>
    <definedName name="esnrc5c2_values" localSheetId="24" hidden="1">{"DEBAN","COMPANIES",TRUE}</definedName>
    <definedName name="esnrc5c2_values" localSheetId="7" hidden="1">{"DEBAN","COMPANIES",TRUE}</definedName>
    <definedName name="esnrc5c2_values" localSheetId="20" hidden="1">{"DEBAN","COMPANIES",TRUE}</definedName>
    <definedName name="esnrc5c2_values" localSheetId="21" hidden="1">{"DEBAN","COMPANIES",TRUE}</definedName>
    <definedName name="esnrc5c2_values" localSheetId="11" hidden="1">{"DEBAN","COMPANIES",TRUE}</definedName>
    <definedName name="esnrc5c2_values" localSheetId="17" hidden="1">{"DEBAN","COMPANIES",TRUE}</definedName>
    <definedName name="esnrc5c2_values" localSheetId="16" hidden="1">{"DEBAN","COMPANIES",TRUE}</definedName>
    <definedName name="esnrc5c2_values" localSheetId="22" hidden="1">{"DEBAN","COMPANIES",TRUE}</definedName>
    <definedName name="esnrc5c2_values" localSheetId="9" hidden="1">{"DEBAN","COMPANIES",TRUE}</definedName>
    <definedName name="esnrc5c2_values" localSheetId="13" hidden="1">{"DEBAN","COMPANIES",TRUE}</definedName>
    <definedName name="esnrc5c2_values" localSheetId="23" hidden="1">{"DEBAN","COMPANIES",TRUE}</definedName>
    <definedName name="esnrc5c2_values" hidden="1">{"DEBAN","COMPANIES",TRUE}</definedName>
    <definedName name="esnrc5c3_values" localSheetId="4" hidden="1">{"DEBAN","COMPANIES",TRUE}</definedName>
    <definedName name="esnrc5c3_values" localSheetId="5" hidden="1">{"DEBAN","COMPANIES",TRUE}</definedName>
    <definedName name="esnrc5c3_values" localSheetId="15" hidden="1">{"DEBAN","COMPANIES",TRUE}</definedName>
    <definedName name="esnrc5c3_values" localSheetId="19" hidden="1">{"DEBAN","COMPANIES",TRUE}</definedName>
    <definedName name="esnrc5c3_values" localSheetId="18" hidden="1">{"DEBAN","COMPANIES",TRUE}</definedName>
    <definedName name="esnrc5c3_values" localSheetId="14" hidden="1">{"DEBAN","COMPANIES",TRUE}</definedName>
    <definedName name="esnrc5c3_values" localSheetId="12" hidden="1">{"DEBAN","COMPANIES",TRUE}</definedName>
    <definedName name="esnrc5c3_values" localSheetId="24" hidden="1">{"DEBAN","COMPANIES",TRUE}</definedName>
    <definedName name="esnrc5c3_values" localSheetId="7" hidden="1">{"DEBAN","COMPANIES",TRUE}</definedName>
    <definedName name="esnrc5c3_values" localSheetId="20" hidden="1">{"DEBAN","COMPANIES",TRUE}</definedName>
    <definedName name="esnrc5c3_values" localSheetId="21" hidden="1">{"DEBAN","COMPANIES",TRUE}</definedName>
    <definedName name="esnrc5c3_values" localSheetId="11" hidden="1">{"DEBAN","COMPANIES",TRUE}</definedName>
    <definedName name="esnrc5c3_values" localSheetId="17" hidden="1">{"DEBAN","COMPANIES",TRUE}</definedName>
    <definedName name="esnrc5c3_values" localSheetId="16" hidden="1">{"DEBAN","COMPANIES",TRUE}</definedName>
    <definedName name="esnrc5c3_values" localSheetId="22" hidden="1">{"DEBAN","COMPANIES",TRUE}</definedName>
    <definedName name="esnrc5c3_values" localSheetId="9" hidden="1">{"DEBAN","COMPANIES",TRUE}</definedName>
    <definedName name="esnrc5c3_values" localSheetId="13" hidden="1">{"DEBAN","COMPANIES",TRUE}</definedName>
    <definedName name="esnrc5c3_values" localSheetId="23" hidden="1">{"DEBAN","COMPANIES",TRUE}</definedName>
    <definedName name="esnrc5c3_values" hidden="1">{"DEBAN","COMPANIES",TRUE}</definedName>
    <definedName name="esnrc60c1_values" localSheetId="4" hidden="1">{"AMPHA","STOCKS",TRUE}</definedName>
    <definedName name="esnrc60c1_values" localSheetId="5" hidden="1">{"AMPHA","STOCKS",TRUE}</definedName>
    <definedName name="esnrc60c1_values" localSheetId="15" hidden="1">{"AMPHA","STOCKS",TRUE}</definedName>
    <definedName name="esnrc60c1_values" localSheetId="19" hidden="1">{"AMPHA","STOCKS",TRUE}</definedName>
    <definedName name="esnrc60c1_values" localSheetId="18" hidden="1">{"AMPHA","STOCKS",TRUE}</definedName>
    <definedName name="esnrc60c1_values" localSheetId="14" hidden="1">{"AMPHA","STOCKS",TRUE}</definedName>
    <definedName name="esnrc60c1_values" localSheetId="12" hidden="1">{"AMPHA","STOCKS",TRUE}</definedName>
    <definedName name="esnrc60c1_values" localSheetId="24" hidden="1">{"AMPHA","STOCKS",TRUE}</definedName>
    <definedName name="esnrc60c1_values" localSheetId="7" hidden="1">{"AMPHA","STOCKS",TRUE}</definedName>
    <definedName name="esnrc60c1_values" localSheetId="20" hidden="1">{"AMPHA","STOCKS",TRUE}</definedName>
    <definedName name="esnrc60c1_values" localSheetId="21" hidden="1">{"AMPHA","STOCKS",TRUE}</definedName>
    <definedName name="esnrc60c1_values" localSheetId="11" hidden="1">{"AMPHA","STOCKS",TRUE}</definedName>
    <definedName name="esnrc60c1_values" localSheetId="17" hidden="1">{"AMPHA","STOCKS",TRUE}</definedName>
    <definedName name="esnrc60c1_values" localSheetId="16" hidden="1">{"AMPHA","STOCKS",TRUE}</definedName>
    <definedName name="esnrc60c1_values" localSheetId="22" hidden="1">{"AMPHA","STOCKS",TRUE}</definedName>
    <definedName name="esnrc60c1_values" localSheetId="9" hidden="1">{"AMPHA","STOCKS",TRUE}</definedName>
    <definedName name="esnrc60c1_values" localSheetId="13" hidden="1">{"AMPHA","STOCKS",TRUE}</definedName>
    <definedName name="esnrc60c1_values" localSheetId="23" hidden="1">{"AMPHA","STOCKS",TRUE}</definedName>
    <definedName name="esnrc60c1_values" hidden="1">{"AMPHA","STOCKS",TRUE}</definedName>
    <definedName name="esnrc6c1_values" localSheetId="4" hidden="1">{"DEMOT","COMPANIES",TRUE}</definedName>
    <definedName name="esnrc6c1_values" localSheetId="5" hidden="1">{"DEMOT","COMPANIES",TRUE}</definedName>
    <definedName name="esnrc6c1_values" localSheetId="15" hidden="1">{"DEMOT","COMPANIES",TRUE}</definedName>
    <definedName name="esnrc6c1_values" localSheetId="19" hidden="1">{"DEMOT","COMPANIES",TRUE}</definedName>
    <definedName name="esnrc6c1_values" localSheetId="18" hidden="1">{"DEMOT","COMPANIES",TRUE}</definedName>
    <definedName name="esnrc6c1_values" localSheetId="14" hidden="1">{"DEMOT","COMPANIES",TRUE}</definedName>
    <definedName name="esnrc6c1_values" localSheetId="12" hidden="1">{"DEMOT","COMPANIES",TRUE}</definedName>
    <definedName name="esnrc6c1_values" localSheetId="24" hidden="1">{"DEMOT","COMPANIES",TRUE}</definedName>
    <definedName name="esnrc6c1_values" localSheetId="7" hidden="1">{"DEMOT","COMPANIES",TRUE}</definedName>
    <definedName name="esnrc6c1_values" localSheetId="20" hidden="1">{"DEMOT","COMPANIES",TRUE}</definedName>
    <definedName name="esnrc6c1_values" localSheetId="21" hidden="1">{"DEMOT","COMPANIES",TRUE}</definedName>
    <definedName name="esnrc6c1_values" localSheetId="11" hidden="1">{"DEMOT","COMPANIES",TRUE}</definedName>
    <definedName name="esnrc6c1_values" localSheetId="17" hidden="1">{"DEMOT","COMPANIES",TRUE}</definedName>
    <definedName name="esnrc6c1_values" localSheetId="16" hidden="1">{"DEMOT","COMPANIES",TRUE}</definedName>
    <definedName name="esnrc6c1_values" localSheetId="22" hidden="1">{"DEMOT","COMPANIES",TRUE}</definedName>
    <definedName name="esnrc6c1_values" localSheetId="9" hidden="1">{"DEMOT","COMPANIES",TRUE}</definedName>
    <definedName name="esnrc6c1_values" localSheetId="13" hidden="1">{"DEMOT","COMPANIES",TRUE}</definedName>
    <definedName name="esnrc6c1_values" localSheetId="23" hidden="1">{"DEMOT","COMPANIES",TRUE}</definedName>
    <definedName name="esnrc6c1_values" hidden="1">{"DEMOT","COMPANIES",TRUE}</definedName>
    <definedName name="esnrc714c1_values" localSheetId="4" hidden="1">{"EUALL","SECTORS",TRUE}</definedName>
    <definedName name="esnrc714c1_values" localSheetId="5" hidden="1">{"EUALL","SECTORS",TRUE}</definedName>
    <definedName name="esnrc714c1_values" localSheetId="15" hidden="1">{"EUALL","SECTORS",TRUE}</definedName>
    <definedName name="esnrc714c1_values" localSheetId="19" hidden="1">{"EUALL","SECTORS",TRUE}</definedName>
    <definedName name="esnrc714c1_values" localSheetId="18" hidden="1">{"EUALL","SECTORS",TRUE}</definedName>
    <definedName name="esnrc714c1_values" localSheetId="14" hidden="1">{"EUALL","SECTORS",TRUE}</definedName>
    <definedName name="esnrc714c1_values" localSheetId="12" hidden="1">{"EUALL","SECTORS",TRUE}</definedName>
    <definedName name="esnrc714c1_values" localSheetId="24" hidden="1">{"EUALL","SECTORS",TRUE}</definedName>
    <definedName name="esnrc714c1_values" localSheetId="7" hidden="1">{"EUALL","SECTORS",TRUE}</definedName>
    <definedName name="esnrc714c1_values" localSheetId="20" hidden="1">{"EUALL","SECTORS",TRUE}</definedName>
    <definedName name="esnrc714c1_values" localSheetId="21" hidden="1">{"EUALL","SECTORS",TRUE}</definedName>
    <definedName name="esnrc714c1_values" localSheetId="11" hidden="1">{"EUALL","SECTORS",TRUE}</definedName>
    <definedName name="esnrc714c1_values" localSheetId="17" hidden="1">{"EUALL","SECTORS",TRUE}</definedName>
    <definedName name="esnrc714c1_values" localSheetId="16" hidden="1">{"EUALL","SECTORS",TRUE}</definedName>
    <definedName name="esnrc714c1_values" localSheetId="22" hidden="1">{"EUALL","SECTORS",TRUE}</definedName>
    <definedName name="esnrc714c1_values" localSheetId="9" hidden="1">{"EUALL","SECTORS",TRUE}</definedName>
    <definedName name="esnrc714c1_values" localSheetId="13" hidden="1">{"EUALL","SECTORS",TRUE}</definedName>
    <definedName name="esnrc714c1_values" localSheetId="23" hidden="1">{"EUALL","SECTORS",TRUE}</definedName>
    <definedName name="esnrc714c1_values" hidden="1">{"EUALL","SECTORS",TRUE}</definedName>
    <definedName name="esnrc71c1_values" localSheetId="4" hidden="1">{"DE","COMPANIES",TRUE}</definedName>
    <definedName name="esnrc71c1_values" localSheetId="5" hidden="1">{"DE","COMPANIES",TRUE}</definedName>
    <definedName name="esnrc71c1_values" localSheetId="15" hidden="1">{"DE","COMPANIES",TRUE}</definedName>
    <definedName name="esnrc71c1_values" localSheetId="19" hidden="1">{"DE","COMPANIES",TRUE}</definedName>
    <definedName name="esnrc71c1_values" localSheetId="18" hidden="1">{"DE","COMPANIES",TRUE}</definedName>
    <definedName name="esnrc71c1_values" localSheetId="14" hidden="1">{"DE","COMPANIES",TRUE}</definedName>
    <definedName name="esnrc71c1_values" localSheetId="12" hidden="1">{"DE","COMPANIES",TRUE}</definedName>
    <definedName name="esnrc71c1_values" localSheetId="24" hidden="1">{"DE","COMPANIES",TRUE}</definedName>
    <definedName name="esnrc71c1_values" localSheetId="7" hidden="1">{"DE","COMPANIES",TRUE}</definedName>
    <definedName name="esnrc71c1_values" localSheetId="20" hidden="1">{"DE","COMPANIES",TRUE}</definedName>
    <definedName name="esnrc71c1_values" localSheetId="21" hidden="1">{"DE","COMPANIES",TRUE}</definedName>
    <definedName name="esnrc71c1_values" localSheetId="11" hidden="1">{"DE","COMPANIES",TRUE}</definedName>
    <definedName name="esnrc71c1_values" localSheetId="17" hidden="1">{"DE","COMPANIES",TRUE}</definedName>
    <definedName name="esnrc71c1_values" localSheetId="16" hidden="1">{"DE","COMPANIES",TRUE}</definedName>
    <definedName name="esnrc71c1_values" localSheetId="22" hidden="1">{"DE","COMPANIES",TRUE}</definedName>
    <definedName name="esnrc71c1_values" localSheetId="9" hidden="1">{"DE","COMPANIES",TRUE}</definedName>
    <definedName name="esnrc71c1_values" localSheetId="13" hidden="1">{"DE","COMPANIES",TRUE}</definedName>
    <definedName name="esnrc71c1_values" localSheetId="23" hidden="1">{"DE","COMPANIES",TRUE}</definedName>
    <definedName name="esnrc71c1_values" hidden="1">{"DE","COMPANIES",TRUE}</definedName>
    <definedName name="esnrc76c1_values" localSheetId="4" hidden="1">{"DE","COMPANIES",TRUE}</definedName>
    <definedName name="esnrc76c1_values" localSheetId="5" hidden="1">{"DE","COMPANIES",TRUE}</definedName>
    <definedName name="esnrc76c1_values" localSheetId="15" hidden="1">{"DE","COMPANIES",TRUE}</definedName>
    <definedName name="esnrc76c1_values" localSheetId="19" hidden="1">{"DE","COMPANIES",TRUE}</definedName>
    <definedName name="esnrc76c1_values" localSheetId="18" hidden="1">{"DE","COMPANIES",TRUE}</definedName>
    <definedName name="esnrc76c1_values" localSheetId="14" hidden="1">{"DE","COMPANIES",TRUE}</definedName>
    <definedName name="esnrc76c1_values" localSheetId="12" hidden="1">{"DE","COMPANIES",TRUE}</definedName>
    <definedName name="esnrc76c1_values" localSheetId="24" hidden="1">{"DE","COMPANIES",TRUE}</definedName>
    <definedName name="esnrc76c1_values" localSheetId="7" hidden="1">{"DE","COMPANIES",TRUE}</definedName>
    <definedName name="esnrc76c1_values" localSheetId="20" hidden="1">{"DE","COMPANIES",TRUE}</definedName>
    <definedName name="esnrc76c1_values" localSheetId="21" hidden="1">{"DE","COMPANIES",TRUE}</definedName>
    <definedName name="esnrc76c1_values" localSheetId="11" hidden="1">{"DE","COMPANIES",TRUE}</definedName>
    <definedName name="esnrc76c1_values" localSheetId="17" hidden="1">{"DE","COMPANIES",TRUE}</definedName>
    <definedName name="esnrc76c1_values" localSheetId="16" hidden="1">{"DE","COMPANIES",TRUE}</definedName>
    <definedName name="esnrc76c1_values" localSheetId="22" hidden="1">{"DE","COMPANIES",TRUE}</definedName>
    <definedName name="esnrc76c1_values" localSheetId="9" hidden="1">{"DE","COMPANIES",TRUE}</definedName>
    <definedName name="esnrc76c1_values" localSheetId="13" hidden="1">{"DE","COMPANIES",TRUE}</definedName>
    <definedName name="esnrc76c1_values" localSheetId="23" hidden="1">{"DE","COMPANIES",TRUE}</definedName>
    <definedName name="esnrc76c1_values" hidden="1">{"DE","COMPANIES",TRUE}</definedName>
    <definedName name="esnrc76c2_values" localSheetId="4" hidden="1">{"DE","COMPANIES",TRUE}</definedName>
    <definedName name="esnrc76c2_values" localSheetId="5" hidden="1">{"DE","COMPANIES",TRUE}</definedName>
    <definedName name="esnrc76c2_values" localSheetId="15" hidden="1">{"DE","COMPANIES",TRUE}</definedName>
    <definedName name="esnrc76c2_values" localSheetId="19" hidden="1">{"DE","COMPANIES",TRUE}</definedName>
    <definedName name="esnrc76c2_values" localSheetId="18" hidden="1">{"DE","COMPANIES",TRUE}</definedName>
    <definedName name="esnrc76c2_values" localSheetId="14" hidden="1">{"DE","COMPANIES",TRUE}</definedName>
    <definedName name="esnrc76c2_values" localSheetId="12" hidden="1">{"DE","COMPANIES",TRUE}</definedName>
    <definedName name="esnrc76c2_values" localSheetId="24" hidden="1">{"DE","COMPANIES",TRUE}</definedName>
    <definedName name="esnrc76c2_values" localSheetId="7" hidden="1">{"DE","COMPANIES",TRUE}</definedName>
    <definedName name="esnrc76c2_values" localSheetId="20" hidden="1">{"DE","COMPANIES",TRUE}</definedName>
    <definedName name="esnrc76c2_values" localSheetId="21" hidden="1">{"DE","COMPANIES",TRUE}</definedName>
    <definedName name="esnrc76c2_values" localSheetId="11" hidden="1">{"DE","COMPANIES",TRUE}</definedName>
    <definedName name="esnrc76c2_values" localSheetId="17" hidden="1">{"DE","COMPANIES",TRUE}</definedName>
    <definedName name="esnrc76c2_values" localSheetId="16" hidden="1">{"DE","COMPANIES",TRUE}</definedName>
    <definedName name="esnrc76c2_values" localSheetId="22" hidden="1">{"DE","COMPANIES",TRUE}</definedName>
    <definedName name="esnrc76c2_values" localSheetId="9" hidden="1">{"DE","COMPANIES",TRUE}</definedName>
    <definedName name="esnrc76c2_values" localSheetId="13" hidden="1">{"DE","COMPANIES",TRUE}</definedName>
    <definedName name="esnrc76c2_values" localSheetId="23" hidden="1">{"DE","COMPANIES",TRUE}</definedName>
    <definedName name="esnrc76c2_values" hidden="1">{"DE","COMPANIES",TRUE}</definedName>
    <definedName name="esnrc81c1_values" localSheetId="4" hidden="1">{"CH","COMPANIES",TRUE}</definedName>
    <definedName name="esnrc81c1_values" localSheetId="5" hidden="1">{"CH","COMPANIES",TRUE}</definedName>
    <definedName name="esnrc81c1_values" localSheetId="15" hidden="1">{"CH","COMPANIES",TRUE}</definedName>
    <definedName name="esnrc81c1_values" localSheetId="19" hidden="1">{"CH","COMPANIES",TRUE}</definedName>
    <definedName name="esnrc81c1_values" localSheetId="18" hidden="1">{"CH","COMPANIES",TRUE}</definedName>
    <definedName name="esnrc81c1_values" localSheetId="14" hidden="1">{"CH","COMPANIES",TRUE}</definedName>
    <definedName name="esnrc81c1_values" localSheetId="12" hidden="1">{"CH","COMPANIES",TRUE}</definedName>
    <definedName name="esnrc81c1_values" localSheetId="24" hidden="1">{"CH","COMPANIES",TRUE}</definedName>
    <definedName name="esnrc81c1_values" localSheetId="7" hidden="1">{"CH","COMPANIES",TRUE}</definedName>
    <definedName name="esnrc81c1_values" localSheetId="20" hidden="1">{"CH","COMPANIES",TRUE}</definedName>
    <definedName name="esnrc81c1_values" localSheetId="21" hidden="1">{"CH","COMPANIES",TRUE}</definedName>
    <definedName name="esnrc81c1_values" localSheetId="11" hidden="1">{"CH","COMPANIES",TRUE}</definedName>
    <definedName name="esnrc81c1_values" localSheetId="17" hidden="1">{"CH","COMPANIES",TRUE}</definedName>
    <definedName name="esnrc81c1_values" localSheetId="16" hidden="1">{"CH","COMPANIES",TRUE}</definedName>
    <definedName name="esnrc81c1_values" localSheetId="22" hidden="1">{"CH","COMPANIES",TRUE}</definedName>
    <definedName name="esnrc81c1_values" localSheetId="9" hidden="1">{"CH","COMPANIES",TRUE}</definedName>
    <definedName name="esnrc81c1_values" localSheetId="13" hidden="1">{"CH","COMPANIES",TRUE}</definedName>
    <definedName name="esnrc81c1_values" localSheetId="23" hidden="1">{"CH","COMPANIES",TRUE}</definedName>
    <definedName name="esnrc81c1_values" hidden="1">{"CH","COMPANIES",TRUE}</definedName>
    <definedName name="esnrc96c1_values" localSheetId="4" hidden="1">{"USHEC","STOCKS",TRUE}</definedName>
    <definedName name="esnrc96c1_values" localSheetId="5" hidden="1">{"USHEC","STOCKS",TRUE}</definedName>
    <definedName name="esnrc96c1_values" localSheetId="15" hidden="1">{"USHEC","STOCKS",TRUE}</definedName>
    <definedName name="esnrc96c1_values" localSheetId="19" hidden="1">{"USHEC","STOCKS",TRUE}</definedName>
    <definedName name="esnrc96c1_values" localSheetId="18" hidden="1">{"USHEC","STOCKS",TRUE}</definedName>
    <definedName name="esnrc96c1_values" localSheetId="14" hidden="1">{"USHEC","STOCKS",TRUE}</definedName>
    <definedName name="esnrc96c1_values" localSheetId="12" hidden="1">{"USHEC","STOCKS",TRUE}</definedName>
    <definedName name="esnrc96c1_values" localSheetId="24" hidden="1">{"USHEC","STOCKS",TRUE}</definedName>
    <definedName name="esnrc96c1_values" localSheetId="7" hidden="1">{"USHEC","STOCKS",TRUE}</definedName>
    <definedName name="esnrc96c1_values" localSheetId="20" hidden="1">{"USHEC","STOCKS",TRUE}</definedName>
    <definedName name="esnrc96c1_values" localSheetId="21" hidden="1">{"USHEC","STOCKS",TRUE}</definedName>
    <definedName name="esnrc96c1_values" localSheetId="11" hidden="1">{"USHEC","STOCKS",TRUE}</definedName>
    <definedName name="esnrc96c1_values" localSheetId="17" hidden="1">{"USHEC","STOCKS",TRUE}</definedName>
    <definedName name="esnrc96c1_values" localSheetId="16" hidden="1">{"USHEC","STOCKS",TRUE}</definedName>
    <definedName name="esnrc96c1_values" localSheetId="22" hidden="1">{"USHEC","STOCKS",TRUE}</definedName>
    <definedName name="esnrc96c1_values" localSheetId="9" hidden="1">{"USHEC","STOCKS",TRUE}</definedName>
    <definedName name="esnrc96c1_values" localSheetId="13" hidden="1">{"USHEC","STOCKS",TRUE}</definedName>
    <definedName name="esnrc96c1_values" localSheetId="23" hidden="1">{"USHEC","STOCKS",TRUE}</definedName>
    <definedName name="esnrc96c1_values" hidden="1">{"USHEC","STOCKS",TRUE}</definedName>
    <definedName name="esnrc9c1_values" localSheetId="4" hidden="1">{"US-MED","STOCKS",TRUE}</definedName>
    <definedName name="esnrc9c1_values" localSheetId="5" hidden="1">{"US-MED","STOCKS",TRUE}</definedName>
    <definedName name="esnrc9c1_values" localSheetId="15" hidden="1">{"US-MED","STOCKS",TRUE}</definedName>
    <definedName name="esnrc9c1_values" localSheetId="19" hidden="1">{"US-MED","STOCKS",TRUE}</definedName>
    <definedName name="esnrc9c1_values" localSheetId="18" hidden="1">{"US-MED","STOCKS",TRUE}</definedName>
    <definedName name="esnrc9c1_values" localSheetId="14" hidden="1">{"US-MED","STOCKS",TRUE}</definedName>
    <definedName name="esnrc9c1_values" localSheetId="12" hidden="1">{"US-MED","STOCKS",TRUE}</definedName>
    <definedName name="esnrc9c1_values" localSheetId="24" hidden="1">{"US-MED","STOCKS",TRUE}</definedName>
    <definedName name="esnrc9c1_values" localSheetId="7" hidden="1">{"US-MED","STOCKS",TRUE}</definedName>
    <definedName name="esnrc9c1_values" localSheetId="20" hidden="1">{"US-MED","STOCKS",TRUE}</definedName>
    <definedName name="esnrc9c1_values" localSheetId="21" hidden="1">{"US-MED","STOCKS",TRUE}</definedName>
    <definedName name="esnrc9c1_values" localSheetId="11" hidden="1">{"US-MED","STOCKS",TRUE}</definedName>
    <definedName name="esnrc9c1_values" localSheetId="17" hidden="1">{"US-MED","STOCKS",TRUE}</definedName>
    <definedName name="esnrc9c1_values" localSheetId="16" hidden="1">{"US-MED","STOCKS",TRUE}</definedName>
    <definedName name="esnrc9c1_values" localSheetId="22" hidden="1">{"US-MED","STOCKS",TRUE}</definedName>
    <definedName name="esnrc9c1_values" localSheetId="9" hidden="1">{"US-MED","STOCKS",TRUE}</definedName>
    <definedName name="esnrc9c1_values" localSheetId="13" hidden="1">{"US-MED","STOCKS",TRUE}</definedName>
    <definedName name="esnrc9c1_values" localSheetId="23" hidden="1">{"US-MED","STOCKS",TRUE}</definedName>
    <definedName name="esnrc9c1_values" hidden="1">{"US-MED","STOCKS",TRUE}</definedName>
    <definedName name="ESOS">#REF!</definedName>
    <definedName name="EssOptions">"1100000000010000_01000"</definedName>
    <definedName name="EstimateRange" localSheetId="4">OFFSET(#REF!,1,0,COUNTA(#REF!)-1)</definedName>
    <definedName name="EstimateRange" localSheetId="5">OFFSET(#REF!,1,0,COUNTA(#REF!)-1)</definedName>
    <definedName name="EstimateRange" localSheetId="15">OFFSET(#REF!,1,0,COUNTA(#REF!)-1)</definedName>
    <definedName name="EstimateRange" localSheetId="19">OFFSET(#REF!,1,0,COUNTA(#REF!)-1)</definedName>
    <definedName name="EstimateRange" localSheetId="18">OFFSET(#REF!,1,0,COUNTA(#REF!)-1)</definedName>
    <definedName name="EstimateRange" localSheetId="14">OFFSET(#REF!,1,0,COUNTA(#REF!)-1)</definedName>
    <definedName name="EstimateRange" localSheetId="12">OFFSET(#REF!,1,0,COUNTA(#REF!)-1)</definedName>
    <definedName name="EstimateRange" localSheetId="24">OFFSET(#REF!,1,0,COUNTA(#REF!)-1)</definedName>
    <definedName name="EstimateRange" localSheetId="7">OFFSET(#REF!,1,0,COUNTA(#REF!)-1)</definedName>
    <definedName name="EstimateRange" localSheetId="20">OFFSET(#REF!,1,0,COUNTA(#REF!)-1)</definedName>
    <definedName name="EstimateRange" localSheetId="21">OFFSET(#REF!,1,0,COUNTA(#REF!)-1)</definedName>
    <definedName name="EstimateRange" localSheetId="11">OFFSET(#REF!,1,0,COUNTA(#REF!)-1)</definedName>
    <definedName name="EstimateRange" localSheetId="17">OFFSET(#REF!,1,0,COUNTA(#REF!)-1)</definedName>
    <definedName name="EstimateRange" localSheetId="16">OFFSET(#REF!,1,0,COUNTA(#REF!)-1)</definedName>
    <definedName name="EstimateRange" localSheetId="22">OFFSET(#REF!,1,0,COUNTA(#REF!)-1)</definedName>
    <definedName name="EstimateRange" localSheetId="9">OFFSET(#REF!,1,0,COUNTA(#REF!)-1)</definedName>
    <definedName name="EstimateRange" localSheetId="13">OFFSET(#REF!,1,0,COUNTA(#REF!)-1)</definedName>
    <definedName name="EstimateRange" localSheetId="23">OFFSET(#REF!,1,0,COUNTA(#REF!)-1)</definedName>
    <definedName name="EstimateRange">OFFSET(#REF!,1,0,COUNTA(#REF!)-1)</definedName>
    <definedName name="EstInt">#REF!</definedName>
    <definedName name="EstRef" hidden="1">#REF!</definedName>
    <definedName name="EsYrRng" hidden="1">#REF!</definedName>
    <definedName name="EV" localSheetId="4">#REF!</definedName>
    <definedName name="EV" localSheetId="9">#REF!</definedName>
    <definedName name="EV">#REF!</definedName>
    <definedName name="ev_ebitda" localSheetId="4">#REF!</definedName>
    <definedName name="ev_ebitda" localSheetId="5">#REF!</definedName>
    <definedName name="ev_ebitda" localSheetId="15">#REF!</definedName>
    <definedName name="ev_ebitda" localSheetId="19">#REF!</definedName>
    <definedName name="ev_ebitda" localSheetId="18">#REF!</definedName>
    <definedName name="ev_ebitda" localSheetId="14">#REF!</definedName>
    <definedName name="ev_ebitda" localSheetId="12">#REF!</definedName>
    <definedName name="ev_ebitda" localSheetId="24">#REF!</definedName>
    <definedName name="ev_ebitda" localSheetId="7">#REF!</definedName>
    <definedName name="ev_ebitda" localSheetId="20">#REF!</definedName>
    <definedName name="ev_ebitda" localSheetId="21">#REF!</definedName>
    <definedName name="ev_ebitda" localSheetId="11">#REF!</definedName>
    <definedName name="ev_ebitda" localSheetId="17">#REF!</definedName>
    <definedName name="ev_ebitda" localSheetId="16">#REF!</definedName>
    <definedName name="ev_ebitda" localSheetId="22">#REF!</definedName>
    <definedName name="ev_ebitda" localSheetId="9">#REF!</definedName>
    <definedName name="ev_ebitda" localSheetId="13">#REF!</definedName>
    <definedName name="ev_ebitda" localSheetId="23">#REF!</definedName>
    <definedName name="ev_ebitda">#REF!</definedName>
    <definedName name="ev_ic">#REF!</definedName>
    <definedName name="ev_netsales" localSheetId="4">#REF!</definedName>
    <definedName name="ev_netsales" localSheetId="5">#REF!</definedName>
    <definedName name="ev_netsales" localSheetId="15">#REF!</definedName>
    <definedName name="ev_netsales" localSheetId="19">#REF!</definedName>
    <definedName name="ev_netsales" localSheetId="18">#REF!</definedName>
    <definedName name="ev_netsales" localSheetId="14">#REF!</definedName>
    <definedName name="ev_netsales" localSheetId="12">#REF!</definedName>
    <definedName name="ev_netsales" localSheetId="24">#REF!</definedName>
    <definedName name="ev_netsales" localSheetId="7">#REF!</definedName>
    <definedName name="ev_netsales" localSheetId="20">#REF!</definedName>
    <definedName name="ev_netsales" localSheetId="21">#REF!</definedName>
    <definedName name="ev_netsales" localSheetId="11">#REF!</definedName>
    <definedName name="ev_netsales" localSheetId="17">#REF!</definedName>
    <definedName name="ev_netsales" localSheetId="16">#REF!</definedName>
    <definedName name="ev_netsales" localSheetId="22">#REF!</definedName>
    <definedName name="ev_netsales" localSheetId="9">#REF!</definedName>
    <definedName name="ev_netsales" localSheetId="13">#REF!</definedName>
    <definedName name="ev_netsales" localSheetId="23">#REF!</definedName>
    <definedName name="ev_netsales">#REF!</definedName>
    <definedName name="eva" localSheetId="4">#REF!</definedName>
    <definedName name="eva" localSheetId="5">#REF!</definedName>
    <definedName name="eva" localSheetId="15">#REF!</definedName>
    <definedName name="eva" localSheetId="19">#REF!</definedName>
    <definedName name="eva" localSheetId="18">#REF!</definedName>
    <definedName name="eva" localSheetId="14">#REF!</definedName>
    <definedName name="eva" localSheetId="12">#REF!</definedName>
    <definedName name="eva" localSheetId="24">#REF!</definedName>
    <definedName name="eva" localSheetId="7">#REF!</definedName>
    <definedName name="eva" localSheetId="20">#REF!</definedName>
    <definedName name="eva" localSheetId="21">#REF!</definedName>
    <definedName name="eva" localSheetId="11">#REF!</definedName>
    <definedName name="eva" localSheetId="17">#REF!</definedName>
    <definedName name="eva" localSheetId="16">#REF!</definedName>
    <definedName name="eva" localSheetId="22">#REF!</definedName>
    <definedName name="eva" localSheetId="9">#REF!</definedName>
    <definedName name="eva" localSheetId="13">#REF!</definedName>
    <definedName name="eva" localSheetId="23">#REF!</definedName>
    <definedName name="eva">#REF!</definedName>
    <definedName name="EX_EBITDA_INT" localSheetId="4">#REF!</definedName>
    <definedName name="EX_EBITDA_INT" localSheetId="5">#REF!</definedName>
    <definedName name="EX_EBITDA_INT" localSheetId="15">#REF!</definedName>
    <definedName name="EX_EBITDA_INT" localSheetId="19">#REF!</definedName>
    <definedName name="EX_EBITDA_INT" localSheetId="18">#REF!</definedName>
    <definedName name="EX_EBITDA_INT" localSheetId="14">#REF!</definedName>
    <definedName name="EX_EBITDA_INT" localSheetId="12">#REF!</definedName>
    <definedName name="EX_EBITDA_INT" localSheetId="24">#REF!</definedName>
    <definedName name="EX_EBITDA_INT" localSheetId="7">#REF!</definedName>
    <definedName name="EX_EBITDA_INT" localSheetId="20">#REF!</definedName>
    <definedName name="EX_EBITDA_INT" localSheetId="21">#REF!</definedName>
    <definedName name="EX_EBITDA_INT" localSheetId="11">#REF!</definedName>
    <definedName name="EX_EBITDA_INT" localSheetId="17">#REF!</definedName>
    <definedName name="EX_EBITDA_INT" localSheetId="16">#REF!</definedName>
    <definedName name="EX_EBITDA_INT" localSheetId="22">#REF!</definedName>
    <definedName name="EX_EBITDA_INT" localSheetId="9">#REF!</definedName>
    <definedName name="EX_EBITDA_INT" localSheetId="13">#REF!</definedName>
    <definedName name="EX_EBITDA_INT" localSheetId="23">#REF!</definedName>
    <definedName name="EX_EBITDA_INT">#REF!</definedName>
    <definedName name="exc" localSheetId="4">#REF!</definedName>
    <definedName name="exc" localSheetId="5">#REF!</definedName>
    <definedName name="exc" localSheetId="15">#REF!</definedName>
    <definedName name="exc" localSheetId="19">#REF!</definedName>
    <definedName name="exc" localSheetId="18">#REF!</definedName>
    <definedName name="exc" localSheetId="14">#REF!</definedName>
    <definedName name="exc" localSheetId="12">#REF!</definedName>
    <definedName name="exc" localSheetId="24">#REF!</definedName>
    <definedName name="exc" localSheetId="7">#REF!</definedName>
    <definedName name="exc" localSheetId="20">#REF!</definedName>
    <definedName name="exc" localSheetId="21">#REF!</definedName>
    <definedName name="exc" localSheetId="11">#REF!</definedName>
    <definedName name="exc" localSheetId="17">#REF!</definedName>
    <definedName name="exc" localSheetId="16">#REF!</definedName>
    <definedName name="exc" localSheetId="22">#REF!</definedName>
    <definedName name="exc" localSheetId="9">#REF!</definedName>
    <definedName name="exc" localSheetId="13">#REF!</definedName>
    <definedName name="exc" localSheetId="23">#REF!</definedName>
    <definedName name="exc">#REF!</definedName>
    <definedName name="exc_assn">#REF!</definedName>
    <definedName name="exc_rate" localSheetId="4">#REF!</definedName>
    <definedName name="exc_rate" localSheetId="5">#REF!</definedName>
    <definedName name="exc_rate" localSheetId="15">#REF!</definedName>
    <definedName name="exc_rate" localSheetId="19">#REF!</definedName>
    <definedName name="exc_rate" localSheetId="18">#REF!</definedName>
    <definedName name="exc_rate" localSheetId="14">#REF!</definedName>
    <definedName name="exc_rate" localSheetId="12">#REF!</definedName>
    <definedName name="exc_rate" localSheetId="24">#REF!</definedName>
    <definedName name="exc_rate" localSheetId="7">#REF!</definedName>
    <definedName name="exc_rate" localSheetId="20">#REF!</definedName>
    <definedName name="exc_rate" localSheetId="21">#REF!</definedName>
    <definedName name="exc_rate" localSheetId="11">#REF!</definedName>
    <definedName name="exc_rate" localSheetId="17">#REF!</definedName>
    <definedName name="exc_rate" localSheetId="16">#REF!</definedName>
    <definedName name="exc_rate" localSheetId="22">#REF!</definedName>
    <definedName name="exc_rate" localSheetId="9">#REF!</definedName>
    <definedName name="exc_rate" localSheetId="13">#REF!</definedName>
    <definedName name="exc_rate" localSheetId="23">#REF!</definedName>
    <definedName name="exc_rate">#REF!</definedName>
    <definedName name="exc_Rsmn" localSheetId="4">#REF!</definedName>
    <definedName name="exc_Rsmn" localSheetId="5">#REF!</definedName>
    <definedName name="exc_Rsmn" localSheetId="15">#REF!</definedName>
    <definedName name="exc_Rsmn" localSheetId="19">#REF!</definedName>
    <definedName name="exc_Rsmn" localSheetId="18">#REF!</definedName>
    <definedName name="exc_Rsmn" localSheetId="14">#REF!</definedName>
    <definedName name="exc_Rsmn" localSheetId="12">#REF!</definedName>
    <definedName name="exc_Rsmn" localSheetId="24">#REF!</definedName>
    <definedName name="exc_Rsmn" localSheetId="7">#REF!</definedName>
    <definedName name="exc_Rsmn" localSheetId="20">#REF!</definedName>
    <definedName name="exc_Rsmn" localSheetId="21">#REF!</definedName>
    <definedName name="exc_Rsmn" localSheetId="11">#REF!</definedName>
    <definedName name="exc_Rsmn" localSheetId="17">#REF!</definedName>
    <definedName name="exc_Rsmn" localSheetId="16">#REF!</definedName>
    <definedName name="exc_Rsmn" localSheetId="22">#REF!</definedName>
    <definedName name="exc_Rsmn" localSheetId="9">#REF!</definedName>
    <definedName name="exc_Rsmn" localSheetId="13">#REF!</definedName>
    <definedName name="exc_Rsmn" localSheetId="23">#REF!</definedName>
    <definedName name="exc_Rsmn">#REF!</definedName>
    <definedName name="EXCEP_ITEMS" localSheetId="4">#REF!</definedName>
    <definedName name="EXCEP_ITEMS" localSheetId="5">#REF!</definedName>
    <definedName name="EXCEP_ITEMS" localSheetId="15">#REF!</definedName>
    <definedName name="EXCEP_ITEMS" localSheetId="19">#REF!</definedName>
    <definedName name="EXCEP_ITEMS" localSheetId="18">#REF!</definedName>
    <definedName name="EXCEP_ITEMS" localSheetId="14">#REF!</definedName>
    <definedName name="EXCEP_ITEMS" localSheetId="12">#REF!</definedName>
    <definedName name="EXCEP_ITEMS" localSheetId="24">#REF!</definedName>
    <definedName name="EXCEP_ITEMS" localSheetId="7">#REF!</definedName>
    <definedName name="EXCEP_ITEMS" localSheetId="20">#REF!</definedName>
    <definedName name="EXCEP_ITEMS" localSheetId="21">#REF!</definedName>
    <definedName name="EXCEP_ITEMS" localSheetId="11">#REF!</definedName>
    <definedName name="EXCEP_ITEMS" localSheetId="17">#REF!</definedName>
    <definedName name="EXCEP_ITEMS" localSheetId="16">#REF!</definedName>
    <definedName name="EXCEP_ITEMS" localSheetId="22">#REF!</definedName>
    <definedName name="EXCEP_ITEMS" localSheetId="9">#REF!</definedName>
    <definedName name="EXCEP_ITEMS" localSheetId="13">#REF!</definedName>
    <definedName name="EXCEP_ITEMS" localSheetId="23">#REF!</definedName>
    <definedName name="EXCEP_ITEMS">#REF!</definedName>
    <definedName name="Exceptional_Items">#REF!</definedName>
    <definedName name="Exceptional_items_Q" localSheetId="4">#REF!</definedName>
    <definedName name="Exceptional_items_Q" localSheetId="5">#REF!</definedName>
    <definedName name="Exceptional_items_Q" localSheetId="15">#REF!</definedName>
    <definedName name="Exceptional_items_Q" localSheetId="19">#REF!</definedName>
    <definedName name="Exceptional_items_Q" localSheetId="18">#REF!</definedName>
    <definedName name="Exceptional_items_Q" localSheetId="14">#REF!</definedName>
    <definedName name="Exceptional_items_Q" localSheetId="12">#REF!</definedName>
    <definedName name="Exceptional_items_Q" localSheetId="24">#REF!</definedName>
    <definedName name="Exceptional_items_Q" localSheetId="7">#REF!</definedName>
    <definedName name="Exceptional_items_Q" localSheetId="20">#REF!</definedName>
    <definedName name="Exceptional_items_Q" localSheetId="21">#REF!</definedName>
    <definedName name="Exceptional_items_Q" localSheetId="11">#REF!</definedName>
    <definedName name="Exceptional_items_Q" localSheetId="17">#REF!</definedName>
    <definedName name="Exceptional_items_Q" localSheetId="16">#REF!</definedName>
    <definedName name="Exceptional_items_Q" localSheetId="22">#REF!</definedName>
    <definedName name="Exceptional_items_Q" localSheetId="9">#REF!</definedName>
    <definedName name="Exceptional_items_Q" localSheetId="13">#REF!</definedName>
    <definedName name="Exceptional_items_Q" localSheetId="23">#REF!</definedName>
    <definedName name="Exceptional_items_Q">#REF!</definedName>
    <definedName name="ExceptionalItems" localSheetId="4">#REF!</definedName>
    <definedName name="ExceptionalItems" localSheetId="9">#REF!</definedName>
    <definedName name="ExceptionalItems">#REF!</definedName>
    <definedName name="Excess_cash" localSheetId="4">#REF!</definedName>
    <definedName name="Excess_cash" localSheetId="9">#REF!</definedName>
    <definedName name="Excess_cash">#REF!</definedName>
    <definedName name="Excess_Cash_Core" localSheetId="4">#REF!</definedName>
    <definedName name="Excess_Cash_Core" localSheetId="9">#REF!</definedName>
    <definedName name="Excess_Cash_Core">#REF!</definedName>
    <definedName name="excise">#REF!</definedName>
    <definedName name="excise_duty" localSheetId="4">#REF!</definedName>
    <definedName name="excise_duty" localSheetId="5">#REF!</definedName>
    <definedName name="excise_duty" localSheetId="15">#REF!</definedName>
    <definedName name="excise_duty" localSheetId="19">#REF!</definedName>
    <definedName name="excise_duty" localSheetId="18">#REF!</definedName>
    <definedName name="excise_duty" localSheetId="14">#REF!</definedName>
    <definedName name="excise_duty" localSheetId="12">#REF!</definedName>
    <definedName name="excise_duty" localSheetId="24">#REF!</definedName>
    <definedName name="excise_duty" localSheetId="7">#REF!</definedName>
    <definedName name="excise_duty" localSheetId="20">#REF!</definedName>
    <definedName name="excise_duty" localSheetId="21">#REF!</definedName>
    <definedName name="excise_duty" localSheetId="11">#REF!</definedName>
    <definedName name="excise_duty" localSheetId="17">#REF!</definedName>
    <definedName name="excise_duty" localSheetId="16">#REF!</definedName>
    <definedName name="excise_duty" localSheetId="22">#REF!</definedName>
    <definedName name="excise_duty" localSheetId="9">#REF!</definedName>
    <definedName name="excise_duty" localSheetId="13">#REF!</definedName>
    <definedName name="excise_duty" localSheetId="23">#REF!</definedName>
    <definedName name="excise_duty">#REF!</definedName>
    <definedName name="excise_duty_A">#REF!</definedName>
    <definedName name="excise_duty_qtr">#REF!</definedName>
    <definedName name="Excise_Rate">#REF!</definedName>
    <definedName name="ExciseDuty" localSheetId="4">#REF!</definedName>
    <definedName name="ExciseDuty" localSheetId="9">#REF!</definedName>
    <definedName name="ExciseDuty">#REF!</definedName>
    <definedName name="exec_board" localSheetId="4">#REF!</definedName>
    <definedName name="exec_board" localSheetId="5">#REF!</definedName>
    <definedName name="exec_board" localSheetId="15">#REF!</definedName>
    <definedName name="exec_board" localSheetId="19">#REF!</definedName>
    <definedName name="exec_board" localSheetId="18">#REF!</definedName>
    <definedName name="exec_board" localSheetId="14">#REF!</definedName>
    <definedName name="exec_board" localSheetId="12">#REF!</definedName>
    <definedName name="exec_board" localSheetId="24">#REF!</definedName>
    <definedName name="exec_board" localSheetId="7">#REF!</definedName>
    <definedName name="exec_board" localSheetId="20">#REF!</definedName>
    <definedName name="exec_board" localSheetId="21">#REF!</definedName>
    <definedName name="exec_board" localSheetId="11">#REF!</definedName>
    <definedName name="exec_board" localSheetId="17">#REF!</definedName>
    <definedName name="exec_board" localSheetId="16">#REF!</definedName>
    <definedName name="exec_board" localSheetId="22">#REF!</definedName>
    <definedName name="exec_board" localSheetId="9">#REF!</definedName>
    <definedName name="exec_board" localSheetId="13">#REF!</definedName>
    <definedName name="exec_board" localSheetId="23">#REF!</definedName>
    <definedName name="exec_board">#REF!</definedName>
    <definedName name="ExItem">#REF!</definedName>
    <definedName name="EXITYEAR">#REF!</definedName>
    <definedName name="ExpAdmDmy">#REF!</definedName>
    <definedName name="Expense" localSheetId="4">#REF!</definedName>
    <definedName name="Expense" localSheetId="5">#REF!</definedName>
    <definedName name="Expense" localSheetId="15">#REF!</definedName>
    <definedName name="Expense" localSheetId="19">#REF!</definedName>
    <definedName name="Expense" localSheetId="18">#REF!</definedName>
    <definedName name="Expense" localSheetId="14">#REF!</definedName>
    <definedName name="Expense" localSheetId="12">#REF!</definedName>
    <definedName name="Expense" localSheetId="24">#REF!</definedName>
    <definedName name="Expense" localSheetId="7">#REF!</definedName>
    <definedName name="Expense" localSheetId="20">#REF!</definedName>
    <definedName name="Expense" localSheetId="21">#REF!</definedName>
    <definedName name="Expense" localSheetId="11">#REF!</definedName>
    <definedName name="Expense" localSheetId="17">#REF!</definedName>
    <definedName name="Expense" localSheetId="16">#REF!</definedName>
    <definedName name="Expense" localSheetId="22">#REF!</definedName>
    <definedName name="Expense" localSheetId="9">#REF!</definedName>
    <definedName name="Expense" localSheetId="13">#REF!</definedName>
    <definedName name="Expense" localSheetId="23">#REF!</definedName>
    <definedName name="Expense">#REF!</definedName>
    <definedName name="ExpensesCap">#REF!</definedName>
    <definedName name="expensesprint2">#REF!</definedName>
    <definedName name="ExpGrowth" localSheetId="4">#REF!</definedName>
    <definedName name="ExpGrowth" localSheetId="5">#REF!</definedName>
    <definedName name="ExpGrowth" localSheetId="15">#REF!</definedName>
    <definedName name="ExpGrowth" localSheetId="19">#REF!</definedName>
    <definedName name="ExpGrowth" localSheetId="18">#REF!</definedName>
    <definedName name="ExpGrowth" localSheetId="14">#REF!</definedName>
    <definedName name="ExpGrowth" localSheetId="12">#REF!</definedName>
    <definedName name="ExpGrowth" localSheetId="24">#REF!</definedName>
    <definedName name="ExpGrowth" localSheetId="7">#REF!</definedName>
    <definedName name="ExpGrowth" localSheetId="20">#REF!</definedName>
    <definedName name="ExpGrowth" localSheetId="21">#REF!</definedName>
    <definedName name="ExpGrowth" localSheetId="11">#REF!</definedName>
    <definedName name="ExpGrowth" localSheetId="17">#REF!</definedName>
    <definedName name="ExpGrowth" localSheetId="16">#REF!</definedName>
    <definedName name="ExpGrowth" localSheetId="22">#REF!</definedName>
    <definedName name="ExpGrowth" localSheetId="9">#REF!</definedName>
    <definedName name="ExpGrowth" localSheetId="13">#REF!</definedName>
    <definedName name="ExpGrowth" localSheetId="23">#REF!</definedName>
    <definedName name="ExpGrowth">#REF!</definedName>
    <definedName name="Expl_forecast_1st_yr" localSheetId="4">#REF!</definedName>
    <definedName name="Expl_forecast_1st_yr" localSheetId="5">#REF!</definedName>
    <definedName name="Expl_forecast_1st_yr" localSheetId="15">#REF!</definedName>
    <definedName name="Expl_forecast_1st_yr" localSheetId="19">#REF!</definedName>
    <definedName name="Expl_forecast_1st_yr" localSheetId="18">#REF!</definedName>
    <definedName name="Expl_forecast_1st_yr" localSheetId="14">#REF!</definedName>
    <definedName name="Expl_forecast_1st_yr" localSheetId="12">#REF!</definedName>
    <definedName name="Expl_forecast_1st_yr" localSheetId="24">#REF!</definedName>
    <definedName name="Expl_forecast_1st_yr" localSheetId="7">#REF!</definedName>
    <definedName name="Expl_forecast_1st_yr" localSheetId="20">#REF!</definedName>
    <definedName name="Expl_forecast_1st_yr" localSheetId="21">#REF!</definedName>
    <definedName name="Expl_forecast_1st_yr" localSheetId="11">#REF!</definedName>
    <definedName name="Expl_forecast_1st_yr" localSheetId="17">#REF!</definedName>
    <definedName name="Expl_forecast_1st_yr" localSheetId="16">#REF!</definedName>
    <definedName name="Expl_forecast_1st_yr" localSheetId="22">#REF!</definedName>
    <definedName name="Expl_forecast_1st_yr" localSheetId="9">#REF!</definedName>
    <definedName name="Expl_forecast_1st_yr" localSheetId="13">#REF!</definedName>
    <definedName name="Expl_forecast_1st_yr" localSheetId="23">#REF!</definedName>
    <definedName name="Expl_forecast_1st_yr">#REF!</definedName>
    <definedName name="Expl_forecast_2nd_yr" localSheetId="4">#REF!</definedName>
    <definedName name="Expl_forecast_2nd_yr" localSheetId="5">#REF!</definedName>
    <definedName name="Expl_forecast_2nd_yr" localSheetId="15">#REF!</definedName>
    <definedName name="Expl_forecast_2nd_yr" localSheetId="19">#REF!</definedName>
    <definedName name="Expl_forecast_2nd_yr" localSheetId="18">#REF!</definedName>
    <definedName name="Expl_forecast_2nd_yr" localSheetId="14">#REF!</definedName>
    <definedName name="Expl_forecast_2nd_yr" localSheetId="12">#REF!</definedName>
    <definedName name="Expl_forecast_2nd_yr" localSheetId="24">#REF!</definedName>
    <definedName name="Expl_forecast_2nd_yr" localSheetId="7">#REF!</definedName>
    <definedName name="Expl_forecast_2nd_yr" localSheetId="20">#REF!</definedName>
    <definedName name="Expl_forecast_2nd_yr" localSheetId="21">#REF!</definedName>
    <definedName name="Expl_forecast_2nd_yr" localSheetId="11">#REF!</definedName>
    <definedName name="Expl_forecast_2nd_yr" localSheetId="17">#REF!</definedName>
    <definedName name="Expl_forecast_2nd_yr" localSheetId="16">#REF!</definedName>
    <definedName name="Expl_forecast_2nd_yr" localSheetId="22">#REF!</definedName>
    <definedName name="Expl_forecast_2nd_yr" localSheetId="9">#REF!</definedName>
    <definedName name="Expl_forecast_2nd_yr" localSheetId="13">#REF!</definedName>
    <definedName name="Expl_forecast_2nd_yr" localSheetId="23">#REF!</definedName>
    <definedName name="Expl_forecast_2nd_yr">#REF!</definedName>
    <definedName name="Expl_forecast_3rd_yr" localSheetId="4">#REF!</definedName>
    <definedName name="Expl_forecast_3rd_yr" localSheetId="9">#REF!</definedName>
    <definedName name="Expl_forecast_3rd_yr">#REF!</definedName>
    <definedName name="ExpMfgDmy" localSheetId="4" hidden="1">#REF!</definedName>
    <definedName name="ExpMfgDmy" localSheetId="9" hidden="1">#REF!</definedName>
    <definedName name="ExpMfgDmy" hidden="1">#REF!</definedName>
    <definedName name="exports">#REF!</definedName>
    <definedName name="ExpPerDmy" localSheetId="4" hidden="1">#REF!</definedName>
    <definedName name="ExpPerDmy" localSheetId="9" hidden="1">#REF!</definedName>
    <definedName name="ExpPerDmy" hidden="1">#REF!</definedName>
    <definedName name="ExpPr">#REF!</definedName>
    <definedName name="expprint1">#REF!</definedName>
    <definedName name="ExpSaleDmy" localSheetId="4" hidden="1">#REF!</definedName>
    <definedName name="ExpSaleDmy" localSheetId="9" hidden="1">#REF!</definedName>
    <definedName name="ExpSaleDmy" hidden="1">#REF!</definedName>
    <definedName name="ext" localSheetId="4">#REF!</definedName>
    <definedName name="ext" localSheetId="5">#REF!</definedName>
    <definedName name="ext" localSheetId="15">#REF!</definedName>
    <definedName name="ext" localSheetId="19">#REF!</definedName>
    <definedName name="ext" localSheetId="18">#REF!</definedName>
    <definedName name="ext" localSheetId="14">#REF!</definedName>
    <definedName name="ext" localSheetId="12">#REF!</definedName>
    <definedName name="ext" localSheetId="24">#REF!</definedName>
    <definedName name="ext" localSheetId="7">#REF!</definedName>
    <definedName name="ext" localSheetId="20">#REF!</definedName>
    <definedName name="ext" localSheetId="21">#REF!</definedName>
    <definedName name="ext" localSheetId="11">#REF!</definedName>
    <definedName name="ext" localSheetId="17">#REF!</definedName>
    <definedName name="ext" localSheetId="16">#REF!</definedName>
    <definedName name="ext" localSheetId="22">#REF!</definedName>
    <definedName name="ext" localSheetId="9">#REF!</definedName>
    <definedName name="ext" localSheetId="13">#REF!</definedName>
    <definedName name="ext" localSheetId="23">#REF!</definedName>
    <definedName name="ext">#REF!</definedName>
    <definedName name="EXTRA_ITEMS" localSheetId="4">#REF!</definedName>
    <definedName name="EXTRA_ITEMS" localSheetId="5">#REF!</definedName>
    <definedName name="EXTRA_ITEMS" localSheetId="15">#REF!</definedName>
    <definedName name="EXTRA_ITEMS" localSheetId="19">#REF!</definedName>
    <definedName name="EXTRA_ITEMS" localSheetId="18">#REF!</definedName>
    <definedName name="EXTRA_ITEMS" localSheetId="14">#REF!</definedName>
    <definedName name="EXTRA_ITEMS" localSheetId="12">#REF!</definedName>
    <definedName name="EXTRA_ITEMS" localSheetId="24">#REF!</definedName>
    <definedName name="EXTRA_ITEMS" localSheetId="7">#REF!</definedName>
    <definedName name="EXTRA_ITEMS" localSheetId="20">#REF!</definedName>
    <definedName name="EXTRA_ITEMS" localSheetId="21">#REF!</definedName>
    <definedName name="EXTRA_ITEMS" localSheetId="11">#REF!</definedName>
    <definedName name="EXTRA_ITEMS" localSheetId="17">#REF!</definedName>
    <definedName name="EXTRA_ITEMS" localSheetId="16">#REF!</definedName>
    <definedName name="EXTRA_ITEMS" localSheetId="22">#REF!</definedName>
    <definedName name="EXTRA_ITEMS" localSheetId="9">#REF!</definedName>
    <definedName name="EXTRA_ITEMS" localSheetId="13">#REF!</definedName>
    <definedName name="EXTRA_ITEMS" localSheetId="23">#REF!</definedName>
    <definedName name="EXTRA_ITEMS">#REF!</definedName>
    <definedName name="Extraordinary_expenses">#REF!</definedName>
    <definedName name="Extraordinary_expenses_total">#REF!</definedName>
    <definedName name="Extraordinary_income">#REF!</definedName>
    <definedName name="extraordinary_items" localSheetId="4">#REF!</definedName>
    <definedName name="extraordinary_items" localSheetId="5">#REF!</definedName>
    <definedName name="extraordinary_items" localSheetId="15">#REF!</definedName>
    <definedName name="extraordinary_items" localSheetId="19">#REF!</definedName>
    <definedName name="extraordinary_items" localSheetId="18">#REF!</definedName>
    <definedName name="extraordinary_items" localSheetId="14">#REF!</definedName>
    <definedName name="extraordinary_items" localSheetId="12">#REF!</definedName>
    <definedName name="extraordinary_items" localSheetId="24">#REF!</definedName>
    <definedName name="extraordinary_items" localSheetId="7">#REF!</definedName>
    <definedName name="extraordinary_items" localSheetId="20">#REF!</definedName>
    <definedName name="extraordinary_items" localSheetId="21">#REF!</definedName>
    <definedName name="extraordinary_items" localSheetId="11">#REF!</definedName>
    <definedName name="extraordinary_items" localSheetId="17">#REF!</definedName>
    <definedName name="extraordinary_items" localSheetId="16">#REF!</definedName>
    <definedName name="extraordinary_items" localSheetId="22">#REF!</definedName>
    <definedName name="extraordinary_items" localSheetId="9">#REF!</definedName>
    <definedName name="extraordinary_items" localSheetId="13">#REF!</definedName>
    <definedName name="extraordinary_items" localSheetId="23">#REF!</definedName>
    <definedName name="extraordinary_items">#REF!</definedName>
    <definedName name="F" localSheetId="4">#REF!</definedName>
    <definedName name="F" localSheetId="5">#REF!</definedName>
    <definedName name="F" localSheetId="15">#REF!</definedName>
    <definedName name="F" localSheetId="19">#REF!</definedName>
    <definedName name="F" localSheetId="18">#REF!</definedName>
    <definedName name="F" localSheetId="14">#REF!</definedName>
    <definedName name="F" localSheetId="12">#REF!</definedName>
    <definedName name="F" localSheetId="24">#REF!</definedName>
    <definedName name="F" localSheetId="7">#REF!</definedName>
    <definedName name="F" localSheetId="20">#REF!</definedName>
    <definedName name="F" localSheetId="21">#REF!</definedName>
    <definedName name="F" localSheetId="11">#REF!</definedName>
    <definedName name="F" localSheetId="17">#REF!</definedName>
    <definedName name="F" localSheetId="16">#REF!</definedName>
    <definedName name="F" localSheetId="22">#REF!</definedName>
    <definedName name="F" localSheetId="9">#REF!</definedName>
    <definedName name="F" localSheetId="13">#REF!</definedName>
    <definedName name="F" localSheetId="23">#REF!</definedName>
    <definedName name="F">#REF!</definedName>
    <definedName name="F_AFLCFM1" localSheetId="4">#REF!</definedName>
    <definedName name="F_AFLCFM1" localSheetId="5">#REF!</definedName>
    <definedName name="F_AFLCFM1" localSheetId="15">#REF!</definedName>
    <definedName name="F_AFLCFM1" localSheetId="19">#REF!</definedName>
    <definedName name="F_AFLCFM1" localSheetId="18">#REF!</definedName>
    <definedName name="F_AFLCFM1" localSheetId="14">#REF!</definedName>
    <definedName name="F_AFLCFM1" localSheetId="12">#REF!</definedName>
    <definedName name="F_AFLCFM1" localSheetId="24">#REF!</definedName>
    <definedName name="F_AFLCFM1" localSheetId="7">#REF!</definedName>
    <definedName name="F_AFLCFM1" localSheetId="20">#REF!</definedName>
    <definedName name="F_AFLCFM1" localSheetId="21">#REF!</definedName>
    <definedName name="F_AFLCFM1" localSheetId="11">#REF!</definedName>
    <definedName name="F_AFLCFM1" localSheetId="17">#REF!</definedName>
    <definedName name="F_AFLCFM1" localSheetId="16">#REF!</definedName>
    <definedName name="F_AFLCFM1" localSheetId="22">#REF!</definedName>
    <definedName name="F_AFLCFM1" localSheetId="9">#REF!</definedName>
    <definedName name="F_AFLCFM1" localSheetId="13">#REF!</definedName>
    <definedName name="F_AFLCFM1" localSheetId="23">#REF!</definedName>
    <definedName name="F_AFLCFM1">#REF!</definedName>
    <definedName name="F_AFLCFM2" localSheetId="4">#REF!</definedName>
    <definedName name="F_AFLCFM2" localSheetId="5">#REF!</definedName>
    <definedName name="F_AFLCFM2" localSheetId="15">#REF!</definedName>
    <definedName name="F_AFLCFM2" localSheetId="19">#REF!</definedName>
    <definedName name="F_AFLCFM2" localSheetId="18">#REF!</definedName>
    <definedName name="F_AFLCFM2" localSheetId="14">#REF!</definedName>
    <definedName name="F_AFLCFM2" localSheetId="12">#REF!</definedName>
    <definedName name="F_AFLCFM2" localSheetId="24">#REF!</definedName>
    <definedName name="F_AFLCFM2" localSheetId="7">#REF!</definedName>
    <definedName name="F_AFLCFM2" localSheetId="20">#REF!</definedName>
    <definedName name="F_AFLCFM2" localSheetId="21">#REF!</definedName>
    <definedName name="F_AFLCFM2" localSheetId="11">#REF!</definedName>
    <definedName name="F_AFLCFM2" localSheetId="17">#REF!</definedName>
    <definedName name="F_AFLCFM2" localSheetId="16">#REF!</definedName>
    <definedName name="F_AFLCFM2" localSheetId="22">#REF!</definedName>
    <definedName name="F_AFLCFM2" localSheetId="9">#REF!</definedName>
    <definedName name="F_AFLCFM2" localSheetId="13">#REF!</definedName>
    <definedName name="F_AFLCFM2" localSheetId="23">#REF!</definedName>
    <definedName name="F_AFLCFM2">#REF!</definedName>
    <definedName name="F_AFLPEM3" localSheetId="4">#REF!</definedName>
    <definedName name="F_AFLPEM3" localSheetId="5">#REF!</definedName>
    <definedName name="F_AFLPEM3" localSheetId="15">#REF!</definedName>
    <definedName name="F_AFLPEM3" localSheetId="19">#REF!</definedName>
    <definedName name="F_AFLPEM3" localSheetId="18">#REF!</definedName>
    <definedName name="F_AFLPEM3" localSheetId="14">#REF!</definedName>
    <definedName name="F_AFLPEM3" localSheetId="12">#REF!</definedName>
    <definedName name="F_AFLPEM3" localSheetId="24">#REF!</definedName>
    <definedName name="F_AFLPEM3" localSheetId="7">#REF!</definedName>
    <definedName name="F_AFLPEM3" localSheetId="20">#REF!</definedName>
    <definedName name="F_AFLPEM3" localSheetId="21">#REF!</definedName>
    <definedName name="F_AFLPEM3" localSheetId="11">#REF!</definedName>
    <definedName name="F_AFLPEM3" localSheetId="17">#REF!</definedName>
    <definedName name="F_AFLPEM3" localSheetId="16">#REF!</definedName>
    <definedName name="F_AFLPEM3" localSheetId="22">#REF!</definedName>
    <definedName name="F_AFLPEM3" localSheetId="9">#REF!</definedName>
    <definedName name="F_AFLPEM3" localSheetId="13">#REF!</definedName>
    <definedName name="F_AFLPEM3" localSheetId="23">#REF!</definedName>
    <definedName name="F_AFLPEM3">#REF!</definedName>
    <definedName name="F_AFLPEM4" localSheetId="4">#REF!</definedName>
    <definedName name="F_AFLPEM4" localSheetId="5">#REF!</definedName>
    <definedName name="F_AFLPEM4" localSheetId="15">#REF!</definedName>
    <definedName name="F_AFLPEM4" localSheetId="19">#REF!</definedName>
    <definedName name="F_AFLPEM4" localSheetId="18">#REF!</definedName>
    <definedName name="F_AFLPEM4" localSheetId="14">#REF!</definedName>
    <definedName name="F_AFLPEM4" localSheetId="12">#REF!</definedName>
    <definedName name="F_AFLPEM4" localSheetId="24">#REF!</definedName>
    <definedName name="F_AFLPEM4" localSheetId="7">#REF!</definedName>
    <definedName name="F_AFLPEM4" localSheetId="20">#REF!</definedName>
    <definedName name="F_AFLPEM4" localSheetId="21">#REF!</definedName>
    <definedName name="F_AFLPEM4" localSheetId="11">#REF!</definedName>
    <definedName name="F_AFLPEM4" localSheetId="17">#REF!</definedName>
    <definedName name="F_AFLPEM4" localSheetId="16">#REF!</definedName>
    <definedName name="F_AFLPEM4" localSheetId="22">#REF!</definedName>
    <definedName name="F_AFLPEM4" localSheetId="9">#REF!</definedName>
    <definedName name="F_AFLPEM4" localSheetId="13">#REF!</definedName>
    <definedName name="F_AFLPEM4" localSheetId="23">#REF!</definedName>
    <definedName name="F_AFLPEM4">#REF!</definedName>
    <definedName name="F_AFLPEMb" localSheetId="4">#REF!</definedName>
    <definedName name="F_AFLPEMb" localSheetId="9">#REF!</definedName>
    <definedName name="F_AFLPEMb">#REF!</definedName>
    <definedName name="F_AFLSD1" localSheetId="4">#REF!</definedName>
    <definedName name="F_AFLSD1" localSheetId="9">#REF!</definedName>
    <definedName name="F_AFLSD1">#REF!</definedName>
    <definedName name="F_AFLSD2" localSheetId="4">#REF!</definedName>
    <definedName name="F_AFLSD2" localSheetId="9">#REF!</definedName>
    <definedName name="F_AFLSD2">#REF!</definedName>
    <definedName name="F_BALANCE" localSheetId="4">#REF!</definedName>
    <definedName name="F_BALANCE" localSheetId="9">#REF!</definedName>
    <definedName name="F_BALANCE">#REF!</definedName>
    <definedName name="F_Book_value_per_share" localSheetId="4">#REF!</definedName>
    <definedName name="F_Book_value_per_share" localSheetId="5">#REF!</definedName>
    <definedName name="F_Book_value_per_share" localSheetId="15">#REF!</definedName>
    <definedName name="F_Book_value_per_share" localSheetId="19">#REF!</definedName>
    <definedName name="F_Book_value_per_share" localSheetId="18">#REF!</definedName>
    <definedName name="F_Book_value_per_share" localSheetId="14">#REF!</definedName>
    <definedName name="F_Book_value_per_share" localSheetId="12">#REF!</definedName>
    <definedName name="F_Book_value_per_share" localSheetId="24">#REF!</definedName>
    <definedName name="F_Book_value_per_share" localSheetId="7">#REF!</definedName>
    <definedName name="F_Book_value_per_share" localSheetId="20">#REF!</definedName>
    <definedName name="F_Book_value_per_share" localSheetId="21">#REF!</definedName>
    <definedName name="F_Book_value_per_share" localSheetId="11">#REF!</definedName>
    <definedName name="F_Book_value_per_share" localSheetId="17">#REF!</definedName>
    <definedName name="F_Book_value_per_share" localSheetId="16">#REF!</definedName>
    <definedName name="F_Book_value_per_share" localSheetId="22">#REF!</definedName>
    <definedName name="F_Book_value_per_share" localSheetId="9">#REF!</definedName>
    <definedName name="F_Book_value_per_share" localSheetId="13">#REF!</definedName>
    <definedName name="F_Book_value_per_share" localSheetId="23">#REF!</definedName>
    <definedName name="F_Book_value_per_share">#REF!</definedName>
    <definedName name="f_capital" localSheetId="4">#REF!</definedName>
    <definedName name="f_capital" localSheetId="9">#REF!</definedName>
    <definedName name="f_capital">#REF!</definedName>
    <definedName name="F_CASH" localSheetId="4">#REF!</definedName>
    <definedName name="F_CASH" localSheetId="9">#REF!</definedName>
    <definedName name="F_CASH">#REF!</definedName>
    <definedName name="f_econ_profit" localSheetId="4">#REF!</definedName>
    <definedName name="f_econ_profit" localSheetId="9">#REF!</definedName>
    <definedName name="f_econ_profit">#REF!</definedName>
    <definedName name="F_FINANCE" localSheetId="4">#REF!</definedName>
    <definedName name="F_FINANCE" localSheetId="9">#REF!</definedName>
    <definedName name="F_FINANCE">#REF!</definedName>
    <definedName name="f_free_cash_flow" localSheetId="4">#REF!</definedName>
    <definedName name="f_free_cash_flow" localSheetId="9">#REF!</definedName>
    <definedName name="f_free_cash_flow">#REF!</definedName>
    <definedName name="F_INCOME" localSheetId="4">#REF!</definedName>
    <definedName name="F_INCOME" localSheetId="9">#REF!</definedName>
    <definedName name="F_INCOME">#REF!</definedName>
    <definedName name="F_INVEST" localSheetId="4">#REF!</definedName>
    <definedName name="F_INVEST" localSheetId="9">#REF!</definedName>
    <definedName name="F_INVEST">#REF!</definedName>
    <definedName name="f_manual" localSheetId="4">#REF!</definedName>
    <definedName name="f_manual" localSheetId="9">#REF!</definedName>
    <definedName name="f_manual">#REF!</definedName>
    <definedName name="F_NOPLAT" localSheetId="4">#REF!</definedName>
    <definedName name="F_NOPLAT" localSheetId="9">#REF!</definedName>
    <definedName name="F_NOPLAT">#REF!</definedName>
    <definedName name="F_OPERATING" localSheetId="4">#REF!</definedName>
    <definedName name="F_OPERATING" localSheetId="9">#REF!</definedName>
    <definedName name="F_OPERATING">#REF!</definedName>
    <definedName name="f_ratios" localSheetId="4">#REF!</definedName>
    <definedName name="f_ratios" localSheetId="9">#REF!</definedName>
    <definedName name="f_ratios">#REF!</definedName>
    <definedName name="F_RESULTS" localSheetId="4">#REF!</definedName>
    <definedName name="F_RESULTS" localSheetId="9">#REF!</definedName>
    <definedName name="F_RESULTS">#REF!</definedName>
    <definedName name="f_roic" localSheetId="4">#REF!</definedName>
    <definedName name="f_roic" localSheetId="9">#REF!</definedName>
    <definedName name="f_roic">#REF!</definedName>
    <definedName name="F_SUP_CALC" localSheetId="4">#REF!</definedName>
    <definedName name="F_SUP_CALC" localSheetId="9">#REF!</definedName>
    <definedName name="F_SUP_CALC">#REF!</definedName>
    <definedName name="f_valuation" localSheetId="4">#REF!</definedName>
    <definedName name="f_valuation" localSheetId="9">#REF!</definedName>
    <definedName name="f_valuation">#REF!</definedName>
    <definedName name="FA" localSheetId="4">#REF!</definedName>
    <definedName name="FA" localSheetId="5">#REF!</definedName>
    <definedName name="FA" localSheetId="15">#REF!</definedName>
    <definedName name="FA" localSheetId="19">#REF!</definedName>
    <definedName name="FA" localSheetId="18">#REF!</definedName>
    <definedName name="FA" localSheetId="14">#REF!</definedName>
    <definedName name="FA" localSheetId="12">#REF!</definedName>
    <definedName name="FA" localSheetId="24">#REF!</definedName>
    <definedName name="FA" localSheetId="7">#REF!</definedName>
    <definedName name="FA" localSheetId="20">#REF!</definedName>
    <definedName name="FA" localSheetId="21">#REF!</definedName>
    <definedName name="FA" localSheetId="11">#REF!</definedName>
    <definedName name="FA" localSheetId="17">#REF!</definedName>
    <definedName name="FA" localSheetId="16">#REF!</definedName>
    <definedName name="FA" localSheetId="22">#REF!</definedName>
    <definedName name="FA" localSheetId="9">#REF!</definedName>
    <definedName name="FA" localSheetId="13">#REF!</definedName>
    <definedName name="FA" localSheetId="23">#REF!</definedName>
    <definedName name="FA">#REF!</definedName>
    <definedName name="FA_ASSOC" localSheetId="4">#REF!</definedName>
    <definedName name="FA_ASSOC" localSheetId="5">#REF!</definedName>
    <definedName name="FA_ASSOC" localSheetId="15">#REF!</definedName>
    <definedName name="FA_ASSOC" localSheetId="19">#REF!</definedName>
    <definedName name="FA_ASSOC" localSheetId="18">#REF!</definedName>
    <definedName name="FA_ASSOC" localSheetId="14">#REF!</definedName>
    <definedName name="FA_ASSOC" localSheetId="12">#REF!</definedName>
    <definedName name="FA_ASSOC" localSheetId="24">#REF!</definedName>
    <definedName name="FA_ASSOC" localSheetId="7">#REF!</definedName>
    <definedName name="FA_ASSOC" localSheetId="20">#REF!</definedName>
    <definedName name="FA_ASSOC" localSheetId="21">#REF!</definedName>
    <definedName name="FA_ASSOC" localSheetId="11">#REF!</definedName>
    <definedName name="FA_ASSOC" localSheetId="17">#REF!</definedName>
    <definedName name="FA_ASSOC" localSheetId="16">#REF!</definedName>
    <definedName name="FA_ASSOC" localSheetId="22">#REF!</definedName>
    <definedName name="FA_ASSOC" localSheetId="9">#REF!</definedName>
    <definedName name="FA_ASSOC" localSheetId="13">#REF!</definedName>
    <definedName name="FA_ASSOC" localSheetId="23">#REF!</definedName>
    <definedName name="FA_ASSOC">#REF!</definedName>
    <definedName name="FA_INV" localSheetId="4">#REF!</definedName>
    <definedName name="FA_INV" localSheetId="5">#REF!</definedName>
    <definedName name="FA_INV" localSheetId="15">#REF!</definedName>
    <definedName name="FA_INV" localSheetId="19">#REF!</definedName>
    <definedName name="FA_INV" localSheetId="18">#REF!</definedName>
    <definedName name="FA_INV" localSheetId="14">#REF!</definedName>
    <definedName name="FA_INV" localSheetId="12">#REF!</definedName>
    <definedName name="FA_INV" localSheetId="24">#REF!</definedName>
    <definedName name="FA_INV" localSheetId="7">#REF!</definedName>
    <definedName name="FA_INV" localSheetId="20">#REF!</definedName>
    <definedName name="FA_INV" localSheetId="21">#REF!</definedName>
    <definedName name="FA_INV" localSheetId="11">#REF!</definedName>
    <definedName name="FA_INV" localSheetId="17">#REF!</definedName>
    <definedName name="FA_INV" localSheetId="16">#REF!</definedName>
    <definedName name="FA_INV" localSheetId="22">#REF!</definedName>
    <definedName name="FA_INV" localSheetId="9">#REF!</definedName>
    <definedName name="FA_INV" localSheetId="13">#REF!</definedName>
    <definedName name="FA_INV" localSheetId="23">#REF!</definedName>
    <definedName name="FA_INV">#REF!</definedName>
    <definedName name="Face_value">#REF!</definedName>
    <definedName name="face_value_Q">#REF!</definedName>
    <definedName name="FaceVal" hidden="1">#REF!</definedName>
    <definedName name="FAIncr">#REF!</definedName>
    <definedName name="FAMERangeDJ_BALAL28" localSheetId="4">#REF!</definedName>
    <definedName name="FAMERangeDJ_BALAL28" localSheetId="5">#REF!</definedName>
    <definedName name="FAMERangeDJ_BALAL28" localSheetId="15">#REF!</definedName>
    <definedName name="FAMERangeDJ_BALAL28" localSheetId="19">#REF!</definedName>
    <definedName name="FAMERangeDJ_BALAL28" localSheetId="18">#REF!</definedName>
    <definedName name="FAMERangeDJ_BALAL28" localSheetId="14">#REF!</definedName>
    <definedName name="FAMERangeDJ_BALAL28" localSheetId="12">#REF!</definedName>
    <definedName name="FAMERangeDJ_BALAL28" localSheetId="24">#REF!</definedName>
    <definedName name="FAMERangeDJ_BALAL28" localSheetId="7">#REF!</definedName>
    <definedName name="FAMERangeDJ_BALAL28" localSheetId="20">#REF!</definedName>
    <definedName name="FAMERangeDJ_BALAL28" localSheetId="21">#REF!</definedName>
    <definedName name="FAMERangeDJ_BALAL28" localSheetId="11">#REF!</definedName>
    <definedName name="FAMERangeDJ_BALAL28" localSheetId="17">#REF!</definedName>
    <definedName name="FAMERangeDJ_BALAL28" localSheetId="16">#REF!</definedName>
    <definedName name="FAMERangeDJ_BALAL28" localSheetId="22">#REF!</definedName>
    <definedName name="FAMERangeDJ_BALAL28" localSheetId="9">#REF!</definedName>
    <definedName name="FAMERangeDJ_BALAL28" localSheetId="13">#REF!</definedName>
    <definedName name="FAMERangeDJ_BALAL28" localSheetId="23">#REF!</definedName>
    <definedName name="FAMERangeDJ_BALAL28">#REF!</definedName>
    <definedName name="FAMERangeDJ_BALAM28" localSheetId="4">#REF!</definedName>
    <definedName name="FAMERangeDJ_BALAM28" localSheetId="5">#REF!</definedName>
    <definedName name="FAMERangeDJ_BALAM28" localSheetId="15">#REF!</definedName>
    <definedName name="FAMERangeDJ_BALAM28" localSheetId="19">#REF!</definedName>
    <definedName name="FAMERangeDJ_BALAM28" localSheetId="18">#REF!</definedName>
    <definedName name="FAMERangeDJ_BALAM28" localSheetId="14">#REF!</definedName>
    <definedName name="FAMERangeDJ_BALAM28" localSheetId="12">#REF!</definedName>
    <definedName name="FAMERangeDJ_BALAM28" localSheetId="24">#REF!</definedName>
    <definedName name="FAMERangeDJ_BALAM28" localSheetId="7">#REF!</definedName>
    <definedName name="FAMERangeDJ_BALAM28" localSheetId="20">#REF!</definedName>
    <definedName name="FAMERangeDJ_BALAM28" localSheetId="21">#REF!</definedName>
    <definedName name="FAMERangeDJ_BALAM28" localSheetId="11">#REF!</definedName>
    <definedName name="FAMERangeDJ_BALAM28" localSheetId="17">#REF!</definedName>
    <definedName name="FAMERangeDJ_BALAM28" localSheetId="16">#REF!</definedName>
    <definedName name="FAMERangeDJ_BALAM28" localSheetId="22">#REF!</definedName>
    <definedName name="FAMERangeDJ_BALAM28" localSheetId="9">#REF!</definedName>
    <definedName name="FAMERangeDJ_BALAM28" localSheetId="13">#REF!</definedName>
    <definedName name="FAMERangeDJ_BALAM28" localSheetId="23">#REF!</definedName>
    <definedName name="FAMERangeDJ_BALAM28">#REF!</definedName>
    <definedName name="FAMERangeDJ_BALAN28" localSheetId="4">#REF!</definedName>
    <definedName name="FAMERangeDJ_BALAN28" localSheetId="5">#REF!</definedName>
    <definedName name="FAMERangeDJ_BALAN28" localSheetId="15">#REF!</definedName>
    <definedName name="FAMERangeDJ_BALAN28" localSheetId="19">#REF!</definedName>
    <definedName name="FAMERangeDJ_BALAN28" localSheetId="18">#REF!</definedName>
    <definedName name="FAMERangeDJ_BALAN28" localSheetId="14">#REF!</definedName>
    <definedName name="FAMERangeDJ_BALAN28" localSheetId="12">#REF!</definedName>
    <definedName name="FAMERangeDJ_BALAN28" localSheetId="24">#REF!</definedName>
    <definedName name="FAMERangeDJ_BALAN28" localSheetId="7">#REF!</definedName>
    <definedName name="FAMERangeDJ_BALAN28" localSheetId="20">#REF!</definedName>
    <definedName name="FAMERangeDJ_BALAN28" localSheetId="21">#REF!</definedName>
    <definedName name="FAMERangeDJ_BALAN28" localSheetId="11">#REF!</definedName>
    <definedName name="FAMERangeDJ_BALAN28" localSheetId="17">#REF!</definedName>
    <definedName name="FAMERangeDJ_BALAN28" localSheetId="16">#REF!</definedName>
    <definedName name="FAMERangeDJ_BALAN28" localSheetId="22">#REF!</definedName>
    <definedName name="FAMERangeDJ_BALAN28" localSheetId="9">#REF!</definedName>
    <definedName name="FAMERangeDJ_BALAN28" localSheetId="13">#REF!</definedName>
    <definedName name="FAMERangeDJ_BALAN28" localSheetId="23">#REF!</definedName>
    <definedName name="FAMERangeDJ_BALAN28">#REF!</definedName>
    <definedName name="FAMERangeGCI_BALD62" localSheetId="4">#REF!</definedName>
    <definedName name="FAMERangeGCI_BALD62" localSheetId="5">#REF!</definedName>
    <definedName name="FAMERangeGCI_BALD62" localSheetId="15">#REF!</definedName>
    <definedName name="FAMERangeGCI_BALD62" localSheetId="19">#REF!</definedName>
    <definedName name="FAMERangeGCI_BALD62" localSheetId="18">#REF!</definedName>
    <definedName name="FAMERangeGCI_BALD62" localSheetId="14">#REF!</definedName>
    <definedName name="FAMERangeGCI_BALD62" localSheetId="12">#REF!</definedName>
    <definedName name="FAMERangeGCI_BALD62" localSheetId="24">#REF!</definedName>
    <definedName name="FAMERangeGCI_BALD62" localSheetId="7">#REF!</definedName>
    <definedName name="FAMERangeGCI_BALD62" localSheetId="20">#REF!</definedName>
    <definedName name="FAMERangeGCI_BALD62" localSheetId="21">#REF!</definedName>
    <definedName name="FAMERangeGCI_BALD62" localSheetId="11">#REF!</definedName>
    <definedName name="FAMERangeGCI_BALD62" localSheetId="17">#REF!</definedName>
    <definedName name="FAMERangeGCI_BALD62" localSheetId="16">#REF!</definedName>
    <definedName name="FAMERangeGCI_BALD62" localSheetId="22">#REF!</definedName>
    <definedName name="FAMERangeGCI_BALD62" localSheetId="9">#REF!</definedName>
    <definedName name="FAMERangeGCI_BALD62" localSheetId="13">#REF!</definedName>
    <definedName name="FAMERangeGCI_BALD62" localSheetId="23">#REF!</definedName>
    <definedName name="FAMERangeGCI_BALD62">#REF!</definedName>
    <definedName name="FAMERangeGCI_BALD63" localSheetId="4">#REF!</definedName>
    <definedName name="FAMERangeGCI_BALD63" localSheetId="9">#REF!</definedName>
    <definedName name="FAMERangeGCI_BALD63">#REF!</definedName>
    <definedName name="FAMERangeKRI_BALAL99" localSheetId="4">#REF!</definedName>
    <definedName name="FAMERangeKRI_BALAL99" localSheetId="9">#REF!</definedName>
    <definedName name="FAMERangeKRI_BALAL99">#REF!</definedName>
    <definedName name="FAMERangeKRI_BALAM99" localSheetId="4">#REF!</definedName>
    <definedName name="FAMERangeKRI_BALAM99" localSheetId="9">#REF!</definedName>
    <definedName name="FAMERangeKRI_BALAM99">#REF!</definedName>
    <definedName name="FAMERangeKRI_BALAN99" localSheetId="4">#REF!</definedName>
    <definedName name="FAMERangeKRI_BALAN99" localSheetId="9">#REF!</definedName>
    <definedName name="FAMERangeKRI_BALAN99">#REF!</definedName>
    <definedName name="far" localSheetId="4">#REF!</definedName>
    <definedName name="far" localSheetId="9">#REF!</definedName>
    <definedName name="far">#REF!</definedName>
    <definedName name="FARedc">#REF!</definedName>
    <definedName name="FASer" hidden="1">#REF!</definedName>
    <definedName name="FBASE" localSheetId="4">#REF!</definedName>
    <definedName name="FBASE" localSheetId="9">#REF!</definedName>
    <definedName name="FBASE">#REF!</definedName>
    <definedName name="fbcbv" hidden="1">#N/A</definedName>
    <definedName name="FCASHTAX" localSheetId="4">#REF!</definedName>
    <definedName name="FCASHTAX" localSheetId="9">#REF!</definedName>
    <definedName name="FCASHTAX">#REF!</definedName>
    <definedName name="FCD" localSheetId="4">#REF!</definedName>
    <definedName name="FCD" localSheetId="9">#REF!</definedName>
    <definedName name="FCD">#REF!</definedName>
    <definedName name="FCE" localSheetId="4">#REF!</definedName>
    <definedName name="FCE" localSheetId="5">#REF!</definedName>
    <definedName name="FCE" localSheetId="15">#REF!</definedName>
    <definedName name="FCE" localSheetId="19">#REF!</definedName>
    <definedName name="FCE" localSheetId="18">#REF!</definedName>
    <definedName name="FCE" localSheetId="14">#REF!</definedName>
    <definedName name="FCE" localSheetId="12">#REF!</definedName>
    <definedName name="FCE" localSheetId="24">#REF!</definedName>
    <definedName name="FCE" localSheetId="7">#REF!</definedName>
    <definedName name="FCE" localSheetId="20">#REF!</definedName>
    <definedName name="FCE" localSheetId="21">#REF!</definedName>
    <definedName name="FCE" localSheetId="11">#REF!</definedName>
    <definedName name="FCE" localSheetId="17">#REF!</definedName>
    <definedName name="FCE" localSheetId="16">#REF!</definedName>
    <definedName name="FCE" localSheetId="22">#REF!</definedName>
    <definedName name="FCE" localSheetId="9">#REF!</definedName>
    <definedName name="FCE" localSheetId="13">#REF!</definedName>
    <definedName name="FCE" localSheetId="23">#REF!</definedName>
    <definedName name="FCE">#REF!</definedName>
    <definedName name="fcf" localSheetId="4">#REF!</definedName>
    <definedName name="fcf" localSheetId="5">#REF!</definedName>
    <definedName name="fcf" localSheetId="15">#REF!</definedName>
    <definedName name="fcf" localSheetId="19">#REF!</definedName>
    <definedName name="fcf" localSheetId="18">#REF!</definedName>
    <definedName name="fcf" localSheetId="14">#REF!</definedName>
    <definedName name="fcf" localSheetId="12">#REF!</definedName>
    <definedName name="fcf" localSheetId="24">#REF!</definedName>
    <definedName name="fcf" localSheetId="7">#REF!</definedName>
    <definedName name="fcf" localSheetId="20">#REF!</definedName>
    <definedName name="fcf" localSheetId="21">#REF!</definedName>
    <definedName name="fcf" localSheetId="11">#REF!</definedName>
    <definedName name="fcf" localSheetId="17">#REF!</definedName>
    <definedName name="fcf" localSheetId="16">#REF!</definedName>
    <definedName name="fcf" localSheetId="22">#REF!</definedName>
    <definedName name="fcf" localSheetId="9">#REF!</definedName>
    <definedName name="fcf" localSheetId="13">#REF!</definedName>
    <definedName name="fcf" localSheetId="23">#REF!</definedName>
    <definedName name="fcf">#REF!</definedName>
    <definedName name="fcf_yield" localSheetId="4">#REF!</definedName>
    <definedName name="fcf_yield" localSheetId="5">#REF!</definedName>
    <definedName name="fcf_yield" localSheetId="15">#REF!</definedName>
    <definedName name="fcf_yield" localSheetId="19">#REF!</definedName>
    <definedName name="fcf_yield" localSheetId="18">#REF!</definedName>
    <definedName name="fcf_yield" localSheetId="14">#REF!</definedName>
    <definedName name="fcf_yield" localSheetId="12">#REF!</definedName>
    <definedName name="fcf_yield" localSheetId="24">#REF!</definedName>
    <definedName name="fcf_yield" localSheetId="7">#REF!</definedName>
    <definedName name="fcf_yield" localSheetId="20">#REF!</definedName>
    <definedName name="fcf_yield" localSheetId="21">#REF!</definedName>
    <definedName name="fcf_yield" localSheetId="11">#REF!</definedName>
    <definedName name="fcf_yield" localSheetId="17">#REF!</definedName>
    <definedName name="fcf_yield" localSheetId="16">#REF!</definedName>
    <definedName name="fcf_yield" localSheetId="22">#REF!</definedName>
    <definedName name="fcf_yield" localSheetId="9">#REF!</definedName>
    <definedName name="fcf_yield" localSheetId="13">#REF!</definedName>
    <definedName name="fcf_yield" localSheetId="23">#REF!</definedName>
    <definedName name="fcf_yield">#REF!</definedName>
    <definedName name="FCOGS" localSheetId="4">#REF!</definedName>
    <definedName name="FCOGS" localSheetId="9">#REF!</definedName>
    <definedName name="FCOGS">#REF!</definedName>
    <definedName name="FCONSTANT" localSheetId="4">#REF!</definedName>
    <definedName name="FCONSTANT" localSheetId="9">#REF!</definedName>
    <definedName name="FCONSTANT">#REF!</definedName>
    <definedName name="FD">#REF!</definedName>
    <definedName name="FD_EPS" localSheetId="4">#REF!</definedName>
    <definedName name="FD_EPS" localSheetId="5">#REF!</definedName>
    <definedName name="FD_EPS" localSheetId="15">#REF!</definedName>
    <definedName name="FD_EPS" localSheetId="19">#REF!</definedName>
    <definedName name="FD_EPS" localSheetId="18">#REF!</definedName>
    <definedName name="FD_EPS" localSheetId="14">#REF!</definedName>
    <definedName name="FD_EPS" localSheetId="12">#REF!</definedName>
    <definedName name="FD_EPS" localSheetId="24">#REF!</definedName>
    <definedName name="FD_EPS" localSheetId="7">#REF!</definedName>
    <definedName name="FD_EPS" localSheetId="20">#REF!</definedName>
    <definedName name="FD_EPS" localSheetId="21">#REF!</definedName>
    <definedName name="FD_EPS" localSheetId="11">#REF!</definedName>
    <definedName name="FD_EPS" localSheetId="17">#REF!</definedName>
    <definedName name="FD_EPS" localSheetId="16">#REF!</definedName>
    <definedName name="FD_EPS" localSheetId="22">#REF!</definedName>
    <definedName name="FD_EPS" localSheetId="9">#REF!</definedName>
    <definedName name="FD_EPS" localSheetId="13">#REF!</definedName>
    <definedName name="FD_EPS" localSheetId="23">#REF!</definedName>
    <definedName name="FD_EPS">#REF!</definedName>
    <definedName name="FDEPRECIATION" localSheetId="4">#REF!</definedName>
    <definedName name="FDEPRECIATION" localSheetId="9">#REF!</definedName>
    <definedName name="FDEPRECIATION">#REF!</definedName>
    <definedName name="FDEPS" localSheetId="4">#REF!</definedName>
    <definedName name="FDEPS" localSheetId="5">#REF!</definedName>
    <definedName name="FDEPS" localSheetId="15">#REF!</definedName>
    <definedName name="FDEPS" localSheetId="19">#REF!</definedName>
    <definedName name="FDEPS" localSheetId="18">#REF!</definedName>
    <definedName name="FDEPS" localSheetId="14">#REF!</definedName>
    <definedName name="FDEPS" localSheetId="12">#REF!</definedName>
    <definedName name="FDEPS" localSheetId="24">#REF!</definedName>
    <definedName name="FDEPS" localSheetId="7">#REF!</definedName>
    <definedName name="FDEPS" localSheetId="20">#REF!</definedName>
    <definedName name="FDEPS" localSheetId="21">#REF!</definedName>
    <definedName name="FDEPS" localSheetId="11">#REF!</definedName>
    <definedName name="FDEPS" localSheetId="17">#REF!</definedName>
    <definedName name="FDEPS" localSheetId="16">#REF!</definedName>
    <definedName name="FDEPS" localSheetId="22">#REF!</definedName>
    <definedName name="FDEPS" localSheetId="9">#REF!</definedName>
    <definedName name="FDEPS" localSheetId="13">#REF!</definedName>
    <definedName name="FDEPS" localSheetId="23">#REF!</definedName>
    <definedName name="FDEPS">#REF!</definedName>
    <definedName name="fdeps_growth" localSheetId="4">#REF!</definedName>
    <definedName name="fdeps_growth" localSheetId="5">#REF!</definedName>
    <definedName name="fdeps_growth" localSheetId="15">#REF!</definedName>
    <definedName name="fdeps_growth" localSheetId="19">#REF!</definedName>
    <definedName name="fdeps_growth" localSheetId="18">#REF!</definedName>
    <definedName name="fdeps_growth" localSheetId="14">#REF!</definedName>
    <definedName name="fdeps_growth" localSheetId="12">#REF!</definedName>
    <definedName name="fdeps_growth" localSheetId="24">#REF!</definedName>
    <definedName name="fdeps_growth" localSheetId="7">#REF!</definedName>
    <definedName name="fdeps_growth" localSheetId="20">#REF!</definedName>
    <definedName name="fdeps_growth" localSheetId="21">#REF!</definedName>
    <definedName name="fdeps_growth" localSheetId="11">#REF!</definedName>
    <definedName name="fdeps_growth" localSheetId="17">#REF!</definedName>
    <definedName name="fdeps_growth" localSheetId="16">#REF!</definedName>
    <definedName name="fdeps_growth" localSheetId="22">#REF!</definedName>
    <definedName name="fdeps_growth" localSheetId="9">#REF!</definedName>
    <definedName name="fdeps_growth" localSheetId="13">#REF!</definedName>
    <definedName name="fdeps_growth" localSheetId="23">#REF!</definedName>
    <definedName name="fdeps_growth">#REF!</definedName>
    <definedName name="FDEPS_Rs">#REF!</definedName>
    <definedName name="FDEqSh">#REF!</definedName>
    <definedName name="fdf" hidden="1">#N/A</definedName>
    <definedName name="fdfe" localSheetId="4" hidden="1">{#N/A,#N/A,FALSE,"Status of Projects";#N/A,#N/A,FALSE,"CEA-TEC";#N/A,#N/A,FALSE,"U-Constr.";#N/A,#N/A,FALSE,"summary";#N/A,#N/A,FALSE,"PPP-3 yrs"}</definedName>
    <definedName name="fdfe" localSheetId="5" hidden="1">{#N/A,#N/A,FALSE,"Status of Projects";#N/A,#N/A,FALSE,"CEA-TEC";#N/A,#N/A,FALSE,"U-Constr.";#N/A,#N/A,FALSE,"summary";#N/A,#N/A,FALSE,"PPP-3 yrs"}</definedName>
    <definedName name="fdfe" localSheetId="15" hidden="1">{#N/A,#N/A,FALSE,"Status of Projects";#N/A,#N/A,FALSE,"CEA-TEC";#N/A,#N/A,FALSE,"U-Constr.";#N/A,#N/A,FALSE,"summary";#N/A,#N/A,FALSE,"PPP-3 yrs"}</definedName>
    <definedName name="fdfe" localSheetId="19" hidden="1">{#N/A,#N/A,FALSE,"Status of Projects";#N/A,#N/A,FALSE,"CEA-TEC";#N/A,#N/A,FALSE,"U-Constr.";#N/A,#N/A,FALSE,"summary";#N/A,#N/A,FALSE,"PPP-3 yrs"}</definedName>
    <definedName name="fdfe" localSheetId="18" hidden="1">{#N/A,#N/A,FALSE,"Status of Projects";#N/A,#N/A,FALSE,"CEA-TEC";#N/A,#N/A,FALSE,"U-Constr.";#N/A,#N/A,FALSE,"summary";#N/A,#N/A,FALSE,"PPP-3 yrs"}</definedName>
    <definedName name="fdfe" localSheetId="14" hidden="1">{#N/A,#N/A,FALSE,"Status of Projects";#N/A,#N/A,FALSE,"CEA-TEC";#N/A,#N/A,FALSE,"U-Constr.";#N/A,#N/A,FALSE,"summary";#N/A,#N/A,FALSE,"PPP-3 yrs"}</definedName>
    <definedName name="fdfe" localSheetId="12" hidden="1">{#N/A,#N/A,FALSE,"Status of Projects";#N/A,#N/A,FALSE,"CEA-TEC";#N/A,#N/A,FALSE,"U-Constr.";#N/A,#N/A,FALSE,"summary";#N/A,#N/A,FALSE,"PPP-3 yrs"}</definedName>
    <definedName name="fdfe" localSheetId="24" hidden="1">{#N/A,#N/A,FALSE,"Status of Projects";#N/A,#N/A,FALSE,"CEA-TEC";#N/A,#N/A,FALSE,"U-Constr.";#N/A,#N/A,FALSE,"summary";#N/A,#N/A,FALSE,"PPP-3 yrs"}</definedName>
    <definedName name="fdfe" localSheetId="7" hidden="1">{#N/A,#N/A,FALSE,"Status of Projects";#N/A,#N/A,FALSE,"CEA-TEC";#N/A,#N/A,FALSE,"U-Constr.";#N/A,#N/A,FALSE,"summary";#N/A,#N/A,FALSE,"PPP-3 yrs"}</definedName>
    <definedName name="fdfe" localSheetId="20" hidden="1">{#N/A,#N/A,FALSE,"Status of Projects";#N/A,#N/A,FALSE,"CEA-TEC";#N/A,#N/A,FALSE,"U-Constr.";#N/A,#N/A,FALSE,"summary";#N/A,#N/A,FALSE,"PPP-3 yrs"}</definedName>
    <definedName name="fdfe" localSheetId="21" hidden="1">{#N/A,#N/A,FALSE,"Status of Projects";#N/A,#N/A,FALSE,"CEA-TEC";#N/A,#N/A,FALSE,"U-Constr.";#N/A,#N/A,FALSE,"summary";#N/A,#N/A,FALSE,"PPP-3 yrs"}</definedName>
    <definedName name="fdfe" localSheetId="11" hidden="1">{#N/A,#N/A,FALSE,"Status of Projects";#N/A,#N/A,FALSE,"CEA-TEC";#N/A,#N/A,FALSE,"U-Constr.";#N/A,#N/A,FALSE,"summary";#N/A,#N/A,FALSE,"PPP-3 yrs"}</definedName>
    <definedName name="fdfe" localSheetId="17" hidden="1">{#N/A,#N/A,FALSE,"Status of Projects";#N/A,#N/A,FALSE,"CEA-TEC";#N/A,#N/A,FALSE,"U-Constr.";#N/A,#N/A,FALSE,"summary";#N/A,#N/A,FALSE,"PPP-3 yrs"}</definedName>
    <definedName name="fdfe" localSheetId="16" hidden="1">{#N/A,#N/A,FALSE,"Status of Projects";#N/A,#N/A,FALSE,"CEA-TEC";#N/A,#N/A,FALSE,"U-Constr.";#N/A,#N/A,FALSE,"summary";#N/A,#N/A,FALSE,"PPP-3 yrs"}</definedName>
    <definedName name="fdfe" localSheetId="22" hidden="1">{#N/A,#N/A,FALSE,"Status of Projects";#N/A,#N/A,FALSE,"CEA-TEC";#N/A,#N/A,FALSE,"U-Constr.";#N/A,#N/A,FALSE,"summary";#N/A,#N/A,FALSE,"PPP-3 yrs"}</definedName>
    <definedName name="fdfe" localSheetId="9" hidden="1">{#N/A,#N/A,FALSE,"Status of Projects";#N/A,#N/A,FALSE,"CEA-TEC";#N/A,#N/A,FALSE,"U-Constr.";#N/A,#N/A,FALSE,"summary";#N/A,#N/A,FALSE,"PPP-3 yrs"}</definedName>
    <definedName name="fdfe" localSheetId="13" hidden="1">{#N/A,#N/A,FALSE,"Status of Projects";#N/A,#N/A,FALSE,"CEA-TEC";#N/A,#N/A,FALSE,"U-Constr.";#N/A,#N/A,FALSE,"summary";#N/A,#N/A,FALSE,"PPP-3 yrs"}</definedName>
    <definedName name="fdfe" localSheetId="23" hidden="1">{#N/A,#N/A,FALSE,"Status of Projects";#N/A,#N/A,FALSE,"CEA-TEC";#N/A,#N/A,FALSE,"U-Constr.";#N/A,#N/A,FALSE,"summary";#N/A,#N/A,FALSE,"PPP-3 yrs"}</definedName>
    <definedName name="fdfe" hidden="1">{#N/A,#N/A,FALSE,"Status of Projects";#N/A,#N/A,FALSE,"CEA-TEC";#N/A,#N/A,FALSE,"U-Constr.";#N/A,#N/A,FALSE,"summary";#N/A,#N/A,FALSE,"PPP-3 yrs"}</definedName>
    <definedName name="FDP_0_1_aSrv" localSheetId="4" hidden="1">#REF!</definedName>
    <definedName name="FDP_0_1_aSrv" localSheetId="5" hidden="1">#REF!</definedName>
    <definedName name="FDP_0_1_aSrv" localSheetId="15" hidden="1">#REF!</definedName>
    <definedName name="FDP_0_1_aSrv" localSheetId="19" hidden="1">#REF!</definedName>
    <definedName name="FDP_0_1_aSrv" localSheetId="18" hidden="1">#REF!</definedName>
    <definedName name="FDP_0_1_aSrv" localSheetId="14" hidden="1">#REF!</definedName>
    <definedName name="FDP_0_1_aSrv" localSheetId="12" hidden="1">#REF!</definedName>
    <definedName name="FDP_0_1_aSrv" localSheetId="24" hidden="1">#REF!</definedName>
    <definedName name="FDP_0_1_aSrv" localSheetId="7" hidden="1">#REF!</definedName>
    <definedName name="FDP_0_1_aSrv" localSheetId="20" hidden="1">#REF!</definedName>
    <definedName name="FDP_0_1_aSrv" localSheetId="21" hidden="1">#REF!</definedName>
    <definedName name="FDP_0_1_aSrv" localSheetId="11" hidden="1">#REF!</definedName>
    <definedName name="FDP_0_1_aSrv" localSheetId="17" hidden="1">#REF!</definedName>
    <definedName name="FDP_0_1_aSrv" localSheetId="16" hidden="1">#REF!</definedName>
    <definedName name="FDP_0_1_aSrv" localSheetId="22" hidden="1">#REF!</definedName>
    <definedName name="FDP_0_1_aSrv" localSheetId="9" hidden="1">#REF!</definedName>
    <definedName name="FDP_0_1_aSrv" localSheetId="13" hidden="1">#REF!</definedName>
    <definedName name="FDP_0_1_aSrv" localSheetId="23" hidden="1">#REF!</definedName>
    <definedName name="FDP_0_1_aSrv" hidden="1">#REF!</definedName>
    <definedName name="FDP_100_1_aSrv" localSheetId="4" hidden="1">#REF!</definedName>
    <definedName name="FDP_100_1_aSrv" localSheetId="5" hidden="1">#REF!</definedName>
    <definedName name="FDP_100_1_aSrv" localSheetId="15" hidden="1">#REF!</definedName>
    <definedName name="FDP_100_1_aSrv" localSheetId="19" hidden="1">#REF!</definedName>
    <definedName name="FDP_100_1_aSrv" localSheetId="18" hidden="1">#REF!</definedName>
    <definedName name="FDP_100_1_aSrv" localSheetId="14" hidden="1">#REF!</definedName>
    <definedName name="FDP_100_1_aSrv" localSheetId="12" hidden="1">#REF!</definedName>
    <definedName name="FDP_100_1_aSrv" localSheetId="24" hidden="1">#REF!</definedName>
    <definedName name="FDP_100_1_aSrv" localSheetId="7" hidden="1">#REF!</definedName>
    <definedName name="FDP_100_1_aSrv" localSheetId="20" hidden="1">#REF!</definedName>
    <definedName name="FDP_100_1_aSrv" localSheetId="21" hidden="1">#REF!</definedName>
    <definedName name="FDP_100_1_aSrv" localSheetId="11" hidden="1">#REF!</definedName>
    <definedName name="FDP_100_1_aSrv" localSheetId="17" hidden="1">#REF!</definedName>
    <definedName name="FDP_100_1_aSrv" localSheetId="16" hidden="1">#REF!</definedName>
    <definedName name="FDP_100_1_aSrv" localSheetId="22" hidden="1">#REF!</definedName>
    <definedName name="FDP_100_1_aSrv" localSheetId="9" hidden="1">#REF!</definedName>
    <definedName name="FDP_100_1_aSrv" localSheetId="13" hidden="1">#REF!</definedName>
    <definedName name="FDP_100_1_aSrv" localSheetId="23" hidden="1">#REF!</definedName>
    <definedName name="FDP_100_1_aSrv" hidden="1">#REF!</definedName>
    <definedName name="FDP_101_1_aSrv" localSheetId="4" hidden="1">#REF!</definedName>
    <definedName name="FDP_101_1_aSrv" localSheetId="5" hidden="1">#REF!</definedName>
    <definedName name="FDP_101_1_aSrv" localSheetId="15" hidden="1">#REF!</definedName>
    <definedName name="FDP_101_1_aSrv" localSheetId="19" hidden="1">#REF!</definedName>
    <definedName name="FDP_101_1_aSrv" localSheetId="18" hidden="1">#REF!</definedName>
    <definedName name="FDP_101_1_aSrv" localSheetId="14" hidden="1">#REF!</definedName>
    <definedName name="FDP_101_1_aSrv" localSheetId="12" hidden="1">#REF!</definedName>
    <definedName name="FDP_101_1_aSrv" localSheetId="24" hidden="1">#REF!</definedName>
    <definedName name="FDP_101_1_aSrv" localSheetId="7" hidden="1">#REF!</definedName>
    <definedName name="FDP_101_1_aSrv" localSheetId="20" hidden="1">#REF!</definedName>
    <definedName name="FDP_101_1_aSrv" localSheetId="21" hidden="1">#REF!</definedName>
    <definedName name="FDP_101_1_aSrv" localSheetId="11" hidden="1">#REF!</definedName>
    <definedName name="FDP_101_1_aSrv" localSheetId="17" hidden="1">#REF!</definedName>
    <definedName name="FDP_101_1_aSrv" localSheetId="16" hidden="1">#REF!</definedName>
    <definedName name="FDP_101_1_aSrv" localSheetId="22" hidden="1">#REF!</definedName>
    <definedName name="FDP_101_1_aSrv" localSheetId="9" hidden="1">#REF!</definedName>
    <definedName name="FDP_101_1_aSrv" localSheetId="13" hidden="1">#REF!</definedName>
    <definedName name="FDP_101_1_aSrv" localSheetId="23" hidden="1">#REF!</definedName>
    <definedName name="FDP_101_1_aSrv" hidden="1">#REF!</definedName>
    <definedName name="FDP_102_1_aSrv" localSheetId="4" hidden="1">#REF!</definedName>
    <definedName name="FDP_102_1_aSrv" localSheetId="9" hidden="1">#REF!</definedName>
    <definedName name="FDP_102_1_aSrv" hidden="1">#REF!</definedName>
    <definedName name="FDP_103_1_aSrv" localSheetId="4" hidden="1">#REF!</definedName>
    <definedName name="FDP_103_1_aSrv" localSheetId="9" hidden="1">#REF!</definedName>
    <definedName name="FDP_103_1_aSrv" hidden="1">#REF!</definedName>
    <definedName name="FDP_104_1_aSrv" localSheetId="4" hidden="1">#REF!</definedName>
    <definedName name="FDP_104_1_aSrv" localSheetId="9" hidden="1">#REF!</definedName>
    <definedName name="FDP_104_1_aSrv" hidden="1">#REF!</definedName>
    <definedName name="FDP_12_1_aDrv" localSheetId="4" hidden="1">#REF!</definedName>
    <definedName name="FDP_12_1_aDrv" localSheetId="9" hidden="1">#REF!</definedName>
    <definedName name="FDP_12_1_aDrv" hidden="1">#REF!</definedName>
    <definedName name="FDP_13_1_aDrv" localSheetId="4" hidden="1">#REF!</definedName>
    <definedName name="FDP_13_1_aDrv" localSheetId="9" hidden="1">#REF!</definedName>
    <definedName name="FDP_13_1_aDrv" hidden="1">#REF!</definedName>
    <definedName name="FDP_14_1_aDrv" localSheetId="4" hidden="1">#REF!</definedName>
    <definedName name="FDP_14_1_aDrv" localSheetId="9" hidden="1">#REF!</definedName>
    <definedName name="FDP_14_1_aDrv" hidden="1">#REF!</definedName>
    <definedName name="FDP_15_1_aUrv" localSheetId="4" hidden="1">#REF!</definedName>
    <definedName name="FDP_15_1_aUrv" localSheetId="9" hidden="1">#REF!</definedName>
    <definedName name="FDP_15_1_aUrv" hidden="1">#REF!</definedName>
    <definedName name="FDP_17_1_aSrv" localSheetId="4" hidden="1">#REF!</definedName>
    <definedName name="FDP_17_1_aSrv" localSheetId="9" hidden="1">#REF!</definedName>
    <definedName name="FDP_17_1_aSrv" hidden="1">#REF!</definedName>
    <definedName name="FDP_19_1_aDrv" localSheetId="4" hidden="1">#REF!</definedName>
    <definedName name="FDP_19_1_aDrv" localSheetId="9" hidden="1">#REF!</definedName>
    <definedName name="FDP_19_1_aDrv" hidden="1">#REF!</definedName>
    <definedName name="FDP_2_1_aSrv" localSheetId="4" hidden="1">#REF!</definedName>
    <definedName name="FDP_2_1_aSrv" localSheetId="9" hidden="1">#REF!</definedName>
    <definedName name="FDP_2_1_aSrv" hidden="1">#REF!</definedName>
    <definedName name="FDP_20_1_aDrv" localSheetId="4" hidden="1">#REF!</definedName>
    <definedName name="FDP_20_1_aDrv" localSheetId="9" hidden="1">#REF!</definedName>
    <definedName name="FDP_20_1_aDrv" hidden="1">#REF!</definedName>
    <definedName name="FDP_21_1_aDrv" localSheetId="4" hidden="1">#REF!</definedName>
    <definedName name="FDP_21_1_aDrv" localSheetId="9" hidden="1">#REF!</definedName>
    <definedName name="FDP_21_1_aDrv" hidden="1">#REF!</definedName>
    <definedName name="FDP_22_1_aDrv" localSheetId="4" hidden="1">#REF!</definedName>
    <definedName name="FDP_22_1_aDrv" localSheetId="9" hidden="1">#REF!</definedName>
    <definedName name="FDP_22_1_aDrv" hidden="1">#REF!</definedName>
    <definedName name="FDP_23_1_aDrv" localSheetId="4" hidden="1">#REF!</definedName>
    <definedName name="FDP_23_1_aDrv" localSheetId="9" hidden="1">#REF!</definedName>
    <definedName name="FDP_23_1_aDrv" hidden="1">#REF!</definedName>
    <definedName name="FDP_24_1_aDrv" localSheetId="4" hidden="1">#REF!</definedName>
    <definedName name="FDP_24_1_aDrv" localSheetId="9" hidden="1">#REF!</definedName>
    <definedName name="FDP_24_1_aDrv" hidden="1">#REF!</definedName>
    <definedName name="FDP_25_1_aUrv" localSheetId="4" hidden="1">#REF!</definedName>
    <definedName name="FDP_25_1_aUrv" localSheetId="9" hidden="1">#REF!</definedName>
    <definedName name="FDP_25_1_aUrv" hidden="1">#REF!</definedName>
    <definedName name="FDP_26_1_aSrv" localSheetId="4" hidden="1">#REF!</definedName>
    <definedName name="FDP_26_1_aSrv" localSheetId="9" hidden="1">#REF!</definedName>
    <definedName name="FDP_26_1_aSrv" hidden="1">#REF!</definedName>
    <definedName name="FDP_27_1_aUrv" localSheetId="4" hidden="1">#REF!</definedName>
    <definedName name="FDP_27_1_aUrv" localSheetId="9" hidden="1">#REF!</definedName>
    <definedName name="FDP_27_1_aUrv" hidden="1">#REF!</definedName>
    <definedName name="FDP_28_1_aUrv" localSheetId="4" hidden="1">#REF!</definedName>
    <definedName name="FDP_28_1_aUrv" localSheetId="9" hidden="1">#REF!</definedName>
    <definedName name="FDP_28_1_aUrv" hidden="1">#REF!</definedName>
    <definedName name="FDP_29_1_aUrv" localSheetId="4" hidden="1">#REF!</definedName>
    <definedName name="FDP_29_1_aUrv" localSheetId="9" hidden="1">#REF!</definedName>
    <definedName name="FDP_29_1_aUrv" hidden="1">#REF!</definedName>
    <definedName name="FDP_30_1_aUrv" localSheetId="4" hidden="1">#REF!</definedName>
    <definedName name="FDP_30_1_aUrv" localSheetId="9" hidden="1">#REF!</definedName>
    <definedName name="FDP_30_1_aUrv" hidden="1">#REF!</definedName>
    <definedName name="FDP_31_1_aUrv" localSheetId="4" hidden="1">#REF!</definedName>
    <definedName name="FDP_31_1_aUrv" localSheetId="9" hidden="1">#REF!</definedName>
    <definedName name="FDP_31_1_aUrv" hidden="1">#REF!</definedName>
    <definedName name="FDP_32_1_aUrv" localSheetId="4" hidden="1">#REF!</definedName>
    <definedName name="FDP_32_1_aUrv" localSheetId="9" hidden="1">#REF!</definedName>
    <definedName name="FDP_32_1_aUrv" hidden="1">#REF!</definedName>
    <definedName name="FDP_33_1_aUrv" localSheetId="4" hidden="1">#REF!</definedName>
    <definedName name="FDP_33_1_aUrv" localSheetId="9" hidden="1">#REF!</definedName>
    <definedName name="FDP_33_1_aUrv" hidden="1">#REF!</definedName>
    <definedName name="FDP_34_1_aUrv" localSheetId="4" hidden="1">#REF!</definedName>
    <definedName name="FDP_34_1_aUrv" localSheetId="9" hidden="1">#REF!</definedName>
    <definedName name="FDP_34_1_aUrv" hidden="1">#REF!</definedName>
    <definedName name="FDP_35_1_aUrv" localSheetId="4" hidden="1">#REF!</definedName>
    <definedName name="FDP_35_1_aUrv" localSheetId="9" hidden="1">#REF!</definedName>
    <definedName name="FDP_35_1_aUrv" hidden="1">#REF!</definedName>
    <definedName name="FDP_36_1_aUrv" localSheetId="4" hidden="1">#REF!</definedName>
    <definedName name="FDP_36_1_aUrv" localSheetId="9" hidden="1">#REF!</definedName>
    <definedName name="FDP_36_1_aUrv" hidden="1">#REF!</definedName>
    <definedName name="FDP_37_1_aUrv" localSheetId="4" hidden="1">#REF!</definedName>
    <definedName name="FDP_37_1_aUrv" localSheetId="9" hidden="1">#REF!</definedName>
    <definedName name="FDP_37_1_aUrv" hidden="1">#REF!</definedName>
    <definedName name="FDP_38_1_aUrv" localSheetId="4" hidden="1">#REF!</definedName>
    <definedName name="FDP_38_1_aUrv" localSheetId="9" hidden="1">#REF!</definedName>
    <definedName name="FDP_38_1_aUrv" hidden="1">#REF!</definedName>
    <definedName name="FDP_39_1_aUrv" localSheetId="4" hidden="1">#REF!</definedName>
    <definedName name="FDP_39_1_aUrv" localSheetId="9" hidden="1">#REF!</definedName>
    <definedName name="FDP_39_1_aUrv" hidden="1">#REF!</definedName>
    <definedName name="FDP_4_1_aSrv" localSheetId="4" hidden="1">#REF!</definedName>
    <definedName name="FDP_4_1_aSrv" localSheetId="9" hidden="1">#REF!</definedName>
    <definedName name="FDP_4_1_aSrv" hidden="1">#REF!</definedName>
    <definedName name="FDP_40_1_aUrv" localSheetId="4" hidden="1">#REF!</definedName>
    <definedName name="FDP_40_1_aUrv" localSheetId="9" hidden="1">#REF!</definedName>
    <definedName name="FDP_40_1_aUrv" hidden="1">#REF!</definedName>
    <definedName name="FDP_50_1_aDrv" localSheetId="4" hidden="1">#REF!</definedName>
    <definedName name="FDP_50_1_aDrv" localSheetId="9" hidden="1">#REF!</definedName>
    <definedName name="FDP_50_1_aDrv" hidden="1">#REF!</definedName>
    <definedName name="FDP_51_1_aDrv" localSheetId="4" hidden="1">#REF!</definedName>
    <definedName name="FDP_51_1_aDrv" localSheetId="9" hidden="1">#REF!</definedName>
    <definedName name="FDP_51_1_aDrv" hidden="1">#REF!</definedName>
    <definedName name="FDP_52_1_aDrv" localSheetId="4" hidden="1">#REF!</definedName>
    <definedName name="FDP_52_1_aDrv" localSheetId="9" hidden="1">#REF!</definedName>
    <definedName name="FDP_52_1_aDrv" hidden="1">#REF!</definedName>
    <definedName name="FDP_53_1_aUrv" localSheetId="4" hidden="1">#REF!</definedName>
    <definedName name="FDP_53_1_aUrv" localSheetId="9" hidden="1">#REF!</definedName>
    <definedName name="FDP_53_1_aUrv" hidden="1">#REF!</definedName>
    <definedName name="FDP_54_1_aUrv" localSheetId="4" hidden="1">#REF!</definedName>
    <definedName name="FDP_54_1_aUrv" localSheetId="9" hidden="1">#REF!</definedName>
    <definedName name="FDP_54_1_aUrv" hidden="1">#REF!</definedName>
    <definedName name="FDP_57_1_aSrv" localSheetId="4" hidden="1">#REF!</definedName>
    <definedName name="FDP_57_1_aSrv" localSheetId="9" hidden="1">#REF!</definedName>
    <definedName name="FDP_57_1_aSrv" hidden="1">#REF!</definedName>
    <definedName name="FDP_59_1_aUrv" localSheetId="4" hidden="1">#REF!</definedName>
    <definedName name="FDP_59_1_aUrv" localSheetId="9" hidden="1">#REF!</definedName>
    <definedName name="FDP_59_1_aUrv" hidden="1">#REF!</definedName>
    <definedName name="FDP_60_1_aUrv" localSheetId="4" hidden="1">#REF!</definedName>
    <definedName name="FDP_60_1_aUrv" localSheetId="9" hidden="1">#REF!</definedName>
    <definedName name="FDP_60_1_aUrv" hidden="1">#REF!</definedName>
    <definedName name="FDP_61_1_aSrv" localSheetId="4" hidden="1">#REF!</definedName>
    <definedName name="FDP_61_1_aSrv" localSheetId="9" hidden="1">#REF!</definedName>
    <definedName name="FDP_61_1_aSrv" hidden="1">#REF!</definedName>
    <definedName name="FDP_62_1_aDrv" localSheetId="4" hidden="1">#REF!</definedName>
    <definedName name="FDP_62_1_aDrv" localSheetId="9" hidden="1">#REF!</definedName>
    <definedName name="FDP_62_1_aDrv" hidden="1">#REF!</definedName>
    <definedName name="FDP_63_1_aUrv" localSheetId="4" hidden="1">#REF!</definedName>
    <definedName name="FDP_63_1_aUrv" localSheetId="9" hidden="1">#REF!</definedName>
    <definedName name="FDP_63_1_aUrv" hidden="1">#REF!</definedName>
    <definedName name="FDP_64_1_aUrv" localSheetId="4" hidden="1">#REF!</definedName>
    <definedName name="FDP_64_1_aUrv" localSheetId="9" hidden="1">#REF!</definedName>
    <definedName name="FDP_64_1_aUrv" hidden="1">#REF!</definedName>
    <definedName name="FDP_65_1_aUrv" localSheetId="4" hidden="1">#REF!</definedName>
    <definedName name="FDP_65_1_aUrv" localSheetId="9" hidden="1">#REF!</definedName>
    <definedName name="FDP_65_1_aUrv" hidden="1">#REF!</definedName>
    <definedName name="FDP_66_1_aUrv" localSheetId="4" hidden="1">#REF!</definedName>
    <definedName name="FDP_66_1_aUrv" localSheetId="9" hidden="1">#REF!</definedName>
    <definedName name="FDP_66_1_aUrv" hidden="1">#REF!</definedName>
    <definedName name="FDP_67_1_aDrv" localSheetId="4" hidden="1">#REF!</definedName>
    <definedName name="FDP_67_1_aDrv" localSheetId="9" hidden="1">#REF!</definedName>
    <definedName name="FDP_67_1_aDrv" hidden="1">#REF!</definedName>
    <definedName name="FDP_68_1_aUrv" localSheetId="4" hidden="1">#REF!</definedName>
    <definedName name="FDP_68_1_aUrv" localSheetId="9" hidden="1">#REF!</definedName>
    <definedName name="FDP_68_1_aUrv" hidden="1">#REF!</definedName>
    <definedName name="FDP_69_1_aUrv" localSheetId="4" hidden="1">#REF!</definedName>
    <definedName name="FDP_69_1_aUrv" localSheetId="9" hidden="1">#REF!</definedName>
    <definedName name="FDP_69_1_aUrv" hidden="1">#REF!</definedName>
    <definedName name="FDP_70_1_aUrv" localSheetId="4" hidden="1">#REF!</definedName>
    <definedName name="FDP_70_1_aUrv" localSheetId="9" hidden="1">#REF!</definedName>
    <definedName name="FDP_70_1_aUrv" hidden="1">#REF!</definedName>
    <definedName name="FDP_71_1_aDrv" localSheetId="4" hidden="1">#REF!</definedName>
    <definedName name="FDP_71_1_aDrv" localSheetId="9" hidden="1">#REF!</definedName>
    <definedName name="FDP_71_1_aDrv" hidden="1">#REF!</definedName>
    <definedName name="FDP_72_1_aDrv" localSheetId="4" hidden="1">#REF!</definedName>
    <definedName name="FDP_72_1_aDrv" localSheetId="9" hidden="1">#REF!</definedName>
    <definedName name="FDP_72_1_aDrv" hidden="1">#REF!</definedName>
    <definedName name="FDP_73_1_aDrv" localSheetId="4" hidden="1">#REF!</definedName>
    <definedName name="FDP_73_1_aDrv" localSheetId="9" hidden="1">#REF!</definedName>
    <definedName name="FDP_73_1_aDrv" hidden="1">#REF!</definedName>
    <definedName name="FDP_74_1_aDrv" localSheetId="4" hidden="1">#REF!</definedName>
    <definedName name="FDP_74_1_aDrv" localSheetId="9" hidden="1">#REF!</definedName>
    <definedName name="FDP_74_1_aDrv" hidden="1">#REF!</definedName>
    <definedName name="FDP_75_1_aUrv" localSheetId="4" hidden="1">#REF!</definedName>
    <definedName name="FDP_75_1_aUrv" localSheetId="9" hidden="1">#REF!</definedName>
    <definedName name="FDP_75_1_aUrv" hidden="1">#REF!</definedName>
    <definedName name="FDP_76_1_aUrv" localSheetId="4" hidden="1">#REF!</definedName>
    <definedName name="FDP_76_1_aUrv" localSheetId="9" hidden="1">#REF!</definedName>
    <definedName name="FDP_76_1_aUrv" hidden="1">#REF!</definedName>
    <definedName name="FDP_77_1_aDrv" localSheetId="4" hidden="1">#REF!</definedName>
    <definedName name="FDP_77_1_aDrv" localSheetId="9" hidden="1">#REF!</definedName>
    <definedName name="FDP_77_1_aDrv" hidden="1">#REF!</definedName>
    <definedName name="FDP_78_1_aUrv" localSheetId="4" hidden="1">#REF!</definedName>
    <definedName name="FDP_78_1_aUrv" localSheetId="9" hidden="1">#REF!</definedName>
    <definedName name="FDP_78_1_aUrv" hidden="1">#REF!</definedName>
    <definedName name="FDP_79_1_aUrv" localSheetId="4" hidden="1">#REF!</definedName>
    <definedName name="FDP_79_1_aUrv" localSheetId="9" hidden="1">#REF!</definedName>
    <definedName name="FDP_79_1_aUrv" hidden="1">#REF!</definedName>
    <definedName name="FDP_80_1_aDrv" localSheetId="4" hidden="1">#REF!</definedName>
    <definedName name="FDP_80_1_aDrv" localSheetId="9" hidden="1">#REF!</definedName>
    <definedName name="FDP_80_1_aDrv" hidden="1">#REF!</definedName>
    <definedName name="FDP_81_1_aSrv" localSheetId="4" hidden="1">#REF!</definedName>
    <definedName name="FDP_81_1_aSrv" localSheetId="9" hidden="1">#REF!</definedName>
    <definedName name="FDP_81_1_aSrv" hidden="1">#REF!</definedName>
    <definedName name="FDP_82_1_aUrv" localSheetId="4" hidden="1">#REF!</definedName>
    <definedName name="FDP_82_1_aUrv" localSheetId="9" hidden="1">#REF!</definedName>
    <definedName name="FDP_82_1_aUrv" hidden="1">#REF!</definedName>
    <definedName name="FDP_83_1_aDrv" localSheetId="4" hidden="1">#REF!</definedName>
    <definedName name="FDP_83_1_aDrv" localSheetId="9" hidden="1">#REF!</definedName>
    <definedName name="FDP_83_1_aDrv" hidden="1">#REF!</definedName>
    <definedName name="FDP_84_1_aDrv" localSheetId="4" hidden="1">#REF!</definedName>
    <definedName name="FDP_84_1_aDrv" localSheetId="9" hidden="1">#REF!</definedName>
    <definedName name="FDP_84_1_aDrv" hidden="1">#REF!</definedName>
    <definedName name="FDP_85_1_aDrv" localSheetId="4" hidden="1">#REF!</definedName>
    <definedName name="FDP_85_1_aDrv" localSheetId="9" hidden="1">#REF!</definedName>
    <definedName name="FDP_85_1_aDrv" hidden="1">#REF!</definedName>
    <definedName name="FDP_86_1_aDrv" localSheetId="4" hidden="1">#REF!</definedName>
    <definedName name="FDP_86_1_aDrv" localSheetId="9" hidden="1">#REF!</definedName>
    <definedName name="FDP_86_1_aDrv" hidden="1">#REF!</definedName>
    <definedName name="FDP_87_1_aDrv" localSheetId="4" hidden="1">#REF!</definedName>
    <definedName name="FDP_87_1_aDrv" localSheetId="9" hidden="1">#REF!</definedName>
    <definedName name="FDP_87_1_aDrv" hidden="1">#REF!</definedName>
    <definedName name="FDP_88_1_aDrv" localSheetId="4" hidden="1">#REF!</definedName>
    <definedName name="FDP_88_1_aDrv" localSheetId="9" hidden="1">#REF!</definedName>
    <definedName name="FDP_88_1_aDrv" hidden="1">#REF!</definedName>
    <definedName name="FDP_89_1_aDrv" localSheetId="4" hidden="1">#REF!</definedName>
    <definedName name="FDP_89_1_aDrv" localSheetId="9" hidden="1">#REF!</definedName>
    <definedName name="FDP_89_1_aDrv" hidden="1">#REF!</definedName>
    <definedName name="FDP_90_1_aDrv" localSheetId="4" hidden="1">#REF!</definedName>
    <definedName name="FDP_90_1_aDrv" localSheetId="9" hidden="1">#REF!</definedName>
    <definedName name="FDP_90_1_aDrv" hidden="1">#REF!</definedName>
    <definedName name="FDP_91_1_aDrv" localSheetId="4" hidden="1">#REF!</definedName>
    <definedName name="FDP_91_1_aDrv" localSheetId="9" hidden="1">#REF!</definedName>
    <definedName name="FDP_91_1_aDrv" hidden="1">#REF!</definedName>
    <definedName name="FDP_92_1_aDrv" localSheetId="4" hidden="1">#REF!</definedName>
    <definedName name="FDP_92_1_aDrv" localSheetId="9" hidden="1">#REF!</definedName>
    <definedName name="FDP_92_1_aDrv" hidden="1">#REF!</definedName>
    <definedName name="FDP_93_1_aSrv" localSheetId="4" hidden="1">#REF!</definedName>
    <definedName name="FDP_93_1_aSrv" localSheetId="9" hidden="1">#REF!</definedName>
    <definedName name="FDP_93_1_aSrv" hidden="1">#REF!</definedName>
    <definedName name="FDP_94_1_aSrv" localSheetId="4" hidden="1">#REF!</definedName>
    <definedName name="FDP_94_1_aSrv" localSheetId="9" hidden="1">#REF!</definedName>
    <definedName name="FDP_94_1_aSrv" hidden="1">#REF!</definedName>
    <definedName name="FDP_95_1_aSrv" localSheetId="4" hidden="1">#REF!</definedName>
    <definedName name="FDP_95_1_aSrv" localSheetId="9" hidden="1">#REF!</definedName>
    <definedName name="FDP_95_1_aSrv" hidden="1">#REF!</definedName>
    <definedName name="FDP_96_1_aSrv" localSheetId="4" hidden="1">#REF!</definedName>
    <definedName name="FDP_96_1_aSrv" localSheetId="9" hidden="1">#REF!</definedName>
    <definedName name="FDP_96_1_aSrv" hidden="1">#REF!</definedName>
    <definedName name="FDP_97_1_aUrv" localSheetId="4" hidden="1">#REF!</definedName>
    <definedName name="FDP_97_1_aUrv" localSheetId="9" hidden="1">#REF!</definedName>
    <definedName name="FDP_97_1_aUrv" hidden="1">#REF!</definedName>
    <definedName name="FDP_98_1_aSrv" localSheetId="4" hidden="1">#REF!</definedName>
    <definedName name="FDP_98_1_aSrv" localSheetId="9" hidden="1">#REF!</definedName>
    <definedName name="FDP_98_1_aSrv" hidden="1">#REF!</definedName>
    <definedName name="FDP_99_1_aSrv" localSheetId="4" hidden="1">#REF!</definedName>
    <definedName name="FDP_99_1_aSrv" localSheetId="9" hidden="1">#REF!</definedName>
    <definedName name="FDP_99_1_aSrv" hidden="1">#REF!</definedName>
    <definedName name="FDSHARES" localSheetId="4">#REF!</definedName>
    <definedName name="FDSHARES" localSheetId="9">#REF!</definedName>
    <definedName name="FDSHARES">#REF!</definedName>
    <definedName name="fdv" localSheetId="4" hidden="1">{"quarterly",#N/A,FALSE,"Income Statement";#N/A,#N/A,FALSE,"print segment";#N/A,#N/A,FALSE,"Balance Sheet";#N/A,#N/A,FALSE,"Annl Inc";#N/A,#N/A,FALSE,"Cash Flow"}</definedName>
    <definedName name="fdv" localSheetId="5" hidden="1">{"quarterly",#N/A,FALSE,"Income Statement";#N/A,#N/A,FALSE,"print segment";#N/A,#N/A,FALSE,"Balance Sheet";#N/A,#N/A,FALSE,"Annl Inc";#N/A,#N/A,FALSE,"Cash Flow"}</definedName>
    <definedName name="fdv" localSheetId="15" hidden="1">{"quarterly",#N/A,FALSE,"Income Statement";#N/A,#N/A,FALSE,"print segment";#N/A,#N/A,FALSE,"Balance Sheet";#N/A,#N/A,FALSE,"Annl Inc";#N/A,#N/A,FALSE,"Cash Flow"}</definedName>
    <definedName name="fdv" localSheetId="19" hidden="1">{"quarterly",#N/A,FALSE,"Income Statement";#N/A,#N/A,FALSE,"print segment";#N/A,#N/A,FALSE,"Balance Sheet";#N/A,#N/A,FALSE,"Annl Inc";#N/A,#N/A,FALSE,"Cash Flow"}</definedName>
    <definedName name="fdv" localSheetId="18" hidden="1">{"quarterly",#N/A,FALSE,"Income Statement";#N/A,#N/A,FALSE,"print segment";#N/A,#N/A,FALSE,"Balance Sheet";#N/A,#N/A,FALSE,"Annl Inc";#N/A,#N/A,FALSE,"Cash Flow"}</definedName>
    <definedName name="fdv" localSheetId="14" hidden="1">{"quarterly",#N/A,FALSE,"Income Statement";#N/A,#N/A,FALSE,"print segment";#N/A,#N/A,FALSE,"Balance Sheet";#N/A,#N/A,FALSE,"Annl Inc";#N/A,#N/A,FALSE,"Cash Flow"}</definedName>
    <definedName name="fdv" localSheetId="12" hidden="1">{"quarterly",#N/A,FALSE,"Income Statement";#N/A,#N/A,FALSE,"print segment";#N/A,#N/A,FALSE,"Balance Sheet";#N/A,#N/A,FALSE,"Annl Inc";#N/A,#N/A,FALSE,"Cash Flow"}</definedName>
    <definedName name="fdv" localSheetId="24" hidden="1">{"quarterly",#N/A,FALSE,"Income Statement";#N/A,#N/A,FALSE,"print segment";#N/A,#N/A,FALSE,"Balance Sheet";#N/A,#N/A,FALSE,"Annl Inc";#N/A,#N/A,FALSE,"Cash Flow"}</definedName>
    <definedName name="fdv" localSheetId="7" hidden="1">{"quarterly",#N/A,FALSE,"Income Statement";#N/A,#N/A,FALSE,"print segment";#N/A,#N/A,FALSE,"Balance Sheet";#N/A,#N/A,FALSE,"Annl Inc";#N/A,#N/A,FALSE,"Cash Flow"}</definedName>
    <definedName name="fdv" localSheetId="20" hidden="1">{"quarterly",#N/A,FALSE,"Income Statement";#N/A,#N/A,FALSE,"print segment";#N/A,#N/A,FALSE,"Balance Sheet";#N/A,#N/A,FALSE,"Annl Inc";#N/A,#N/A,FALSE,"Cash Flow"}</definedName>
    <definedName name="fdv" localSheetId="21" hidden="1">{"quarterly",#N/A,FALSE,"Income Statement";#N/A,#N/A,FALSE,"print segment";#N/A,#N/A,FALSE,"Balance Sheet";#N/A,#N/A,FALSE,"Annl Inc";#N/A,#N/A,FALSE,"Cash Flow"}</definedName>
    <definedName name="fdv" localSheetId="11" hidden="1">{"quarterly",#N/A,FALSE,"Income Statement";#N/A,#N/A,FALSE,"print segment";#N/A,#N/A,FALSE,"Balance Sheet";#N/A,#N/A,FALSE,"Annl Inc";#N/A,#N/A,FALSE,"Cash Flow"}</definedName>
    <definedName name="fdv" localSheetId="17" hidden="1">{"quarterly",#N/A,FALSE,"Income Statement";#N/A,#N/A,FALSE,"print segment";#N/A,#N/A,FALSE,"Balance Sheet";#N/A,#N/A,FALSE,"Annl Inc";#N/A,#N/A,FALSE,"Cash Flow"}</definedName>
    <definedName name="fdv" localSheetId="16" hidden="1">{"quarterly",#N/A,FALSE,"Income Statement";#N/A,#N/A,FALSE,"print segment";#N/A,#N/A,FALSE,"Balance Sheet";#N/A,#N/A,FALSE,"Annl Inc";#N/A,#N/A,FALSE,"Cash Flow"}</definedName>
    <definedName name="fdv" localSheetId="22" hidden="1">{"quarterly",#N/A,FALSE,"Income Statement";#N/A,#N/A,FALSE,"print segment";#N/A,#N/A,FALSE,"Balance Sheet";#N/A,#N/A,FALSE,"Annl Inc";#N/A,#N/A,FALSE,"Cash Flow"}</definedName>
    <definedName name="fdv" localSheetId="9" hidden="1">{"quarterly",#N/A,FALSE,"Income Statement";#N/A,#N/A,FALSE,"print segment";#N/A,#N/A,FALSE,"Balance Sheet";#N/A,#N/A,FALSE,"Annl Inc";#N/A,#N/A,FALSE,"Cash Flow"}</definedName>
    <definedName name="fdv" localSheetId="13" hidden="1">{"quarterly",#N/A,FALSE,"Income Statement";#N/A,#N/A,FALSE,"print segment";#N/A,#N/A,FALSE,"Balance Sheet";#N/A,#N/A,FALSE,"Annl Inc";#N/A,#N/A,FALSE,"Cash Flow"}</definedName>
    <definedName name="fdv" localSheetId="23"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Feb_Inv">#REF!</definedName>
    <definedName name="febwgt">#REF!</definedName>
    <definedName name="fee_com_income_Q">#REF!</definedName>
    <definedName name="fee_commission_income">#REF!</definedName>
    <definedName name="fff" localSheetId="4" hidden="1">{#N/A,#N/A,TRUE,"Financials";#N/A,#N/A,TRUE,"Operating Statistics";#N/A,#N/A,TRUE,"Capex &amp; Depreciation";#N/A,#N/A,TRUE,"Debt"}</definedName>
    <definedName name="fff" localSheetId="5" hidden="1">{#N/A,#N/A,TRUE,"Financials";#N/A,#N/A,TRUE,"Operating Statistics";#N/A,#N/A,TRUE,"Capex &amp; Depreciation";#N/A,#N/A,TRUE,"Debt"}</definedName>
    <definedName name="fff" localSheetId="15" hidden="1">{#N/A,#N/A,TRUE,"Financials";#N/A,#N/A,TRUE,"Operating Statistics";#N/A,#N/A,TRUE,"Capex &amp; Depreciation";#N/A,#N/A,TRUE,"Debt"}</definedName>
    <definedName name="fff" localSheetId="19" hidden="1">{#N/A,#N/A,TRUE,"Financials";#N/A,#N/A,TRUE,"Operating Statistics";#N/A,#N/A,TRUE,"Capex &amp; Depreciation";#N/A,#N/A,TRUE,"Debt"}</definedName>
    <definedName name="fff" localSheetId="18" hidden="1">{#N/A,#N/A,TRUE,"Financials";#N/A,#N/A,TRUE,"Operating Statistics";#N/A,#N/A,TRUE,"Capex &amp; Depreciation";#N/A,#N/A,TRUE,"Debt"}</definedName>
    <definedName name="fff" localSheetId="14" hidden="1">{#N/A,#N/A,TRUE,"Financials";#N/A,#N/A,TRUE,"Operating Statistics";#N/A,#N/A,TRUE,"Capex &amp; Depreciation";#N/A,#N/A,TRUE,"Debt"}</definedName>
    <definedName name="fff" localSheetId="12" hidden="1">{#N/A,#N/A,TRUE,"Financials";#N/A,#N/A,TRUE,"Operating Statistics";#N/A,#N/A,TRUE,"Capex &amp; Depreciation";#N/A,#N/A,TRUE,"Debt"}</definedName>
    <definedName name="fff" localSheetId="24" hidden="1">{#N/A,#N/A,TRUE,"Financials";#N/A,#N/A,TRUE,"Operating Statistics";#N/A,#N/A,TRUE,"Capex &amp; Depreciation";#N/A,#N/A,TRUE,"Debt"}</definedName>
    <definedName name="fff" localSheetId="7" hidden="1">{#N/A,#N/A,TRUE,"Financials";#N/A,#N/A,TRUE,"Operating Statistics";#N/A,#N/A,TRUE,"Capex &amp; Depreciation";#N/A,#N/A,TRUE,"Debt"}</definedName>
    <definedName name="fff" localSheetId="20" hidden="1">{#N/A,#N/A,TRUE,"Financials";#N/A,#N/A,TRUE,"Operating Statistics";#N/A,#N/A,TRUE,"Capex &amp; Depreciation";#N/A,#N/A,TRUE,"Debt"}</definedName>
    <definedName name="fff" localSheetId="21" hidden="1">{#N/A,#N/A,TRUE,"Financials";#N/A,#N/A,TRUE,"Operating Statistics";#N/A,#N/A,TRUE,"Capex &amp; Depreciation";#N/A,#N/A,TRUE,"Debt"}</definedName>
    <definedName name="fff" localSheetId="11" hidden="1">{#N/A,#N/A,TRUE,"Financials";#N/A,#N/A,TRUE,"Operating Statistics";#N/A,#N/A,TRUE,"Capex &amp; Depreciation";#N/A,#N/A,TRUE,"Debt"}</definedName>
    <definedName name="fff" localSheetId="17" hidden="1">{#N/A,#N/A,TRUE,"Financials";#N/A,#N/A,TRUE,"Operating Statistics";#N/A,#N/A,TRUE,"Capex &amp; Depreciation";#N/A,#N/A,TRUE,"Debt"}</definedName>
    <definedName name="fff" localSheetId="16" hidden="1">{#N/A,#N/A,TRUE,"Financials";#N/A,#N/A,TRUE,"Operating Statistics";#N/A,#N/A,TRUE,"Capex &amp; Depreciation";#N/A,#N/A,TRUE,"Debt"}</definedName>
    <definedName name="fff" localSheetId="22" hidden="1">{#N/A,#N/A,TRUE,"Financials";#N/A,#N/A,TRUE,"Operating Statistics";#N/A,#N/A,TRUE,"Capex &amp; Depreciation";#N/A,#N/A,TRUE,"Debt"}</definedName>
    <definedName name="fff" localSheetId="9" hidden="1">{#N/A,#N/A,TRUE,"Financials";#N/A,#N/A,TRUE,"Operating Statistics";#N/A,#N/A,TRUE,"Capex &amp; Depreciation";#N/A,#N/A,TRUE,"Debt"}</definedName>
    <definedName name="fff" localSheetId="13" hidden="1">{#N/A,#N/A,TRUE,"Financials";#N/A,#N/A,TRUE,"Operating Statistics";#N/A,#N/A,TRUE,"Capex &amp; Depreciation";#N/A,#N/A,TRUE,"Debt"}</definedName>
    <definedName name="fff" localSheetId="23" hidden="1">{#N/A,#N/A,TRUE,"Financials";#N/A,#N/A,TRUE,"Operating Statistics";#N/A,#N/A,TRUE,"Capex &amp; Depreciation";#N/A,#N/A,TRUE,"Debt"}</definedName>
    <definedName name="fff" hidden="1">{#N/A,#N/A,TRUE,"Financials";#N/A,#N/A,TRUE,"Operating Statistics";#N/A,#N/A,TRUE,"Capex &amp; Depreciation";#N/A,#N/A,TRUE,"Debt"}</definedName>
    <definedName name="ffffff"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fffff"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ffff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fg" localSheetId="4">#REF!</definedName>
    <definedName name="ffg" localSheetId="5">#REF!</definedName>
    <definedName name="ffg" localSheetId="15">#REF!</definedName>
    <definedName name="ffg" localSheetId="19">#REF!</definedName>
    <definedName name="ffg" localSheetId="18">#REF!</definedName>
    <definedName name="ffg" localSheetId="14">#REF!</definedName>
    <definedName name="ffg" localSheetId="12">#REF!</definedName>
    <definedName name="ffg" localSheetId="24">#REF!</definedName>
    <definedName name="ffg" localSheetId="7">#REF!</definedName>
    <definedName name="ffg" localSheetId="20">#REF!</definedName>
    <definedName name="ffg" localSheetId="21">#REF!</definedName>
    <definedName name="ffg" localSheetId="11">#REF!</definedName>
    <definedName name="ffg" localSheetId="17">#REF!</definedName>
    <definedName name="ffg" localSheetId="16">#REF!</definedName>
    <definedName name="ffg" localSheetId="22">#REF!</definedName>
    <definedName name="ffg" localSheetId="9">#REF!</definedName>
    <definedName name="ffg" localSheetId="13">#REF!</definedName>
    <definedName name="ffg" localSheetId="23">#REF!</definedName>
    <definedName name="ffg">#REF!</definedName>
    <definedName name="FFINANCE" localSheetId="4">#REF!</definedName>
    <definedName name="FFINANCE" localSheetId="9">#REF!</definedName>
    <definedName name="FFINANCE">#REF!</definedName>
    <definedName name="fg">#REF!</definedName>
    <definedName name="fgdfgd" localSheetId="5" hidden="1">#REF!</definedName>
    <definedName name="fgdfgd" localSheetId="15" hidden="1">#REF!</definedName>
    <definedName name="fgdfgd" localSheetId="19" hidden="1">#REF!</definedName>
    <definedName name="fgdfgd" localSheetId="18" hidden="1">#REF!</definedName>
    <definedName name="fgdfgd" localSheetId="14" hidden="1">#REF!</definedName>
    <definedName name="fgdfgd" localSheetId="12" hidden="1">#REF!</definedName>
    <definedName name="fgdfgd" localSheetId="24" hidden="1">#REF!</definedName>
    <definedName name="fgdfgd" localSheetId="7" hidden="1">#REF!</definedName>
    <definedName name="fgdfgd" localSheetId="20" hidden="1">#REF!</definedName>
    <definedName name="fgdfgd" localSheetId="21" hidden="1">#REF!</definedName>
    <definedName name="fgdfgd" localSheetId="11" hidden="1">#REF!</definedName>
    <definedName name="fgdfgd" localSheetId="17" hidden="1">#REF!</definedName>
    <definedName name="fgdfgd" localSheetId="16" hidden="1">#REF!</definedName>
    <definedName name="fgdfgd" localSheetId="22" hidden="1">#REF!</definedName>
    <definedName name="fgdfgd" localSheetId="13" hidden="1">#REF!</definedName>
    <definedName name="fgdfgd" localSheetId="23" hidden="1">#REF!</definedName>
    <definedName name="fgdfgd" hidden="1">#REF!</definedName>
    <definedName name="fgfgfry" localSheetId="4" hidden="1">#REF!</definedName>
    <definedName name="fgfgfry" localSheetId="5" hidden="1">#REF!</definedName>
    <definedName name="fgfgfry" localSheetId="15" hidden="1">#REF!</definedName>
    <definedName name="fgfgfry" localSheetId="19" hidden="1">#REF!</definedName>
    <definedName name="fgfgfry" localSheetId="18" hidden="1">#REF!</definedName>
    <definedName name="fgfgfry" localSheetId="14" hidden="1">#REF!</definedName>
    <definedName name="fgfgfry" localSheetId="12" hidden="1">#REF!</definedName>
    <definedName name="fgfgfry" localSheetId="24" hidden="1">#REF!</definedName>
    <definedName name="fgfgfry" localSheetId="7" hidden="1">#REF!</definedName>
    <definedName name="fgfgfry" localSheetId="20" hidden="1">#REF!</definedName>
    <definedName name="fgfgfry" localSheetId="21" hidden="1">#REF!</definedName>
    <definedName name="fgfgfry" localSheetId="11" hidden="1">#REF!</definedName>
    <definedName name="fgfgfry" localSheetId="17" hidden="1">#REF!</definedName>
    <definedName name="fgfgfry" localSheetId="16" hidden="1">#REF!</definedName>
    <definedName name="fgfgfry" localSheetId="22" hidden="1">#REF!</definedName>
    <definedName name="fgfgfry" localSheetId="9" hidden="1">#REF!</definedName>
    <definedName name="fgfgfry" localSheetId="13" hidden="1">#REF!</definedName>
    <definedName name="fgfgfry" localSheetId="23" hidden="1">#REF!</definedName>
    <definedName name="fgfgfry" hidden="1">#REF!</definedName>
    <definedName name="FGROWTH" localSheetId="4">#REF!</definedName>
    <definedName name="FGROWTH" localSheetId="9">#REF!</definedName>
    <definedName name="FGROWTH">#REF!</definedName>
    <definedName name="fgyjg" localSheetId="4" hidden="1">{"'PS-SOTM'!$A$1","'PS-SOTM'!$A$2:$M$30","'PS-SOTM'!$A$31:$A$38"}</definedName>
    <definedName name="fgyjg" localSheetId="5" hidden="1">{"'PS-SOTM'!$A$1","'PS-SOTM'!$A$2:$M$30","'PS-SOTM'!$A$31:$A$38"}</definedName>
    <definedName name="fgyjg" localSheetId="15" hidden="1">{"'PS-SOTM'!$A$1","'PS-SOTM'!$A$2:$M$30","'PS-SOTM'!$A$31:$A$38"}</definedName>
    <definedName name="fgyjg" localSheetId="19" hidden="1">{"'PS-SOTM'!$A$1","'PS-SOTM'!$A$2:$M$30","'PS-SOTM'!$A$31:$A$38"}</definedName>
    <definedName name="fgyjg" localSheetId="18" hidden="1">{"'PS-SOTM'!$A$1","'PS-SOTM'!$A$2:$M$30","'PS-SOTM'!$A$31:$A$38"}</definedName>
    <definedName name="fgyjg" localSheetId="14" hidden="1">{"'PS-SOTM'!$A$1","'PS-SOTM'!$A$2:$M$30","'PS-SOTM'!$A$31:$A$38"}</definedName>
    <definedName name="fgyjg" localSheetId="12" hidden="1">{"'PS-SOTM'!$A$1","'PS-SOTM'!$A$2:$M$30","'PS-SOTM'!$A$31:$A$38"}</definedName>
    <definedName name="fgyjg" localSheetId="24" hidden="1">{"'PS-SOTM'!$A$1","'PS-SOTM'!$A$2:$M$30","'PS-SOTM'!$A$31:$A$38"}</definedName>
    <definedName name="fgyjg" localSheetId="7" hidden="1">{"'PS-SOTM'!$A$1","'PS-SOTM'!$A$2:$M$30","'PS-SOTM'!$A$31:$A$38"}</definedName>
    <definedName name="fgyjg" localSheetId="20" hidden="1">{"'PS-SOTM'!$A$1","'PS-SOTM'!$A$2:$M$30","'PS-SOTM'!$A$31:$A$38"}</definedName>
    <definedName name="fgyjg" localSheetId="21" hidden="1">{"'PS-SOTM'!$A$1","'PS-SOTM'!$A$2:$M$30","'PS-SOTM'!$A$31:$A$38"}</definedName>
    <definedName name="fgyjg" localSheetId="11" hidden="1">{"'PS-SOTM'!$A$1","'PS-SOTM'!$A$2:$M$30","'PS-SOTM'!$A$31:$A$38"}</definedName>
    <definedName name="fgyjg" localSheetId="17" hidden="1">{"'PS-SOTM'!$A$1","'PS-SOTM'!$A$2:$M$30","'PS-SOTM'!$A$31:$A$38"}</definedName>
    <definedName name="fgyjg" localSheetId="16" hidden="1">{"'PS-SOTM'!$A$1","'PS-SOTM'!$A$2:$M$30","'PS-SOTM'!$A$31:$A$38"}</definedName>
    <definedName name="fgyjg" localSheetId="22" hidden="1">{"'PS-SOTM'!$A$1","'PS-SOTM'!$A$2:$M$30","'PS-SOTM'!$A$31:$A$38"}</definedName>
    <definedName name="fgyjg" localSheetId="9" hidden="1">{"'PS-SOTM'!$A$1","'PS-SOTM'!$A$2:$M$30","'PS-SOTM'!$A$31:$A$38"}</definedName>
    <definedName name="fgyjg" localSheetId="13" hidden="1">{"'PS-SOTM'!$A$1","'PS-SOTM'!$A$2:$M$30","'PS-SOTM'!$A$31:$A$38"}</definedName>
    <definedName name="fgyjg" localSheetId="23" hidden="1">{"'PS-SOTM'!$A$1","'PS-SOTM'!$A$2:$M$30","'PS-SOTM'!$A$31:$A$38"}</definedName>
    <definedName name="fgyjg" hidden="1">{"'PS-SOTM'!$A$1","'PS-SOTM'!$A$2:$M$30","'PS-SOTM'!$A$31:$A$38"}</definedName>
    <definedName name="fh" hidden="1">#REF!</definedName>
    <definedName name="fhgfg" localSheetId="4" hidden="1">#REF!</definedName>
    <definedName name="fhgfg" localSheetId="5" hidden="1">#REF!</definedName>
    <definedName name="fhgfg" localSheetId="15" hidden="1">#REF!</definedName>
    <definedName name="fhgfg" localSheetId="19" hidden="1">#REF!</definedName>
    <definedName name="fhgfg" localSheetId="18" hidden="1">#REF!</definedName>
    <definedName name="fhgfg" localSheetId="14" hidden="1">#REF!</definedName>
    <definedName name="fhgfg" localSheetId="12" hidden="1">#REF!</definedName>
    <definedName name="fhgfg" localSheetId="24" hidden="1">#REF!</definedName>
    <definedName name="fhgfg" localSheetId="7" hidden="1">#REF!</definedName>
    <definedName name="fhgfg" localSheetId="20" hidden="1">#REF!</definedName>
    <definedName name="fhgfg" localSheetId="21" hidden="1">#REF!</definedName>
    <definedName name="fhgfg" localSheetId="11" hidden="1">#REF!</definedName>
    <definedName name="fhgfg" localSheetId="17" hidden="1">#REF!</definedName>
    <definedName name="fhgfg" localSheetId="16" hidden="1">#REF!</definedName>
    <definedName name="fhgfg" localSheetId="22" hidden="1">#REF!</definedName>
    <definedName name="fhgfg" localSheetId="9" hidden="1">#REF!</definedName>
    <definedName name="fhgfg" localSheetId="13" hidden="1">#REF!</definedName>
    <definedName name="fhgfg" localSheetId="23" hidden="1">#REF!</definedName>
    <definedName name="fhgfg" hidden="1">#REF!</definedName>
    <definedName name="FILE" localSheetId="4">#REF!</definedName>
    <definedName name="FILE" localSheetId="9">#REF!</definedName>
    <definedName name="FILE">#REF!</definedName>
    <definedName name="fill" hidden="1">#REF!</definedName>
    <definedName name="FIN_CalcModeSwitch" localSheetId="4">#REF!</definedName>
    <definedName name="FIN_CalcModeSwitch" localSheetId="5">#REF!</definedName>
    <definedName name="FIN_CalcModeSwitch" localSheetId="15">#REF!</definedName>
    <definedName name="FIN_CalcModeSwitch" localSheetId="19">#REF!</definedName>
    <definedName name="FIN_CalcModeSwitch" localSheetId="18">#REF!</definedName>
    <definedName name="FIN_CalcModeSwitch" localSheetId="14">#REF!</definedName>
    <definedName name="FIN_CalcModeSwitch" localSheetId="12">#REF!</definedName>
    <definedName name="FIN_CalcModeSwitch" localSheetId="24">#REF!</definedName>
    <definedName name="FIN_CalcModeSwitch" localSheetId="7">#REF!</definedName>
    <definedName name="FIN_CalcModeSwitch" localSheetId="20">#REF!</definedName>
    <definedName name="FIN_CalcModeSwitch" localSheetId="21">#REF!</definedName>
    <definedName name="FIN_CalcModeSwitch" localSheetId="11">#REF!</definedName>
    <definedName name="FIN_CalcModeSwitch" localSheetId="17">#REF!</definedName>
    <definedName name="FIN_CalcModeSwitch" localSheetId="16">#REF!</definedName>
    <definedName name="FIN_CalcModeSwitch" localSheetId="22">#REF!</definedName>
    <definedName name="FIN_CalcModeSwitch" localSheetId="9">#REF!</definedName>
    <definedName name="FIN_CalcModeSwitch" localSheetId="13">#REF!</definedName>
    <definedName name="FIN_CalcModeSwitch" localSheetId="23">#REF!</definedName>
    <definedName name="FIN_CalcModeSwitch">#REF!</definedName>
    <definedName name="FIN_CAP_BeginShareCapital" localSheetId="4">#REF!</definedName>
    <definedName name="FIN_CAP_BeginShareCapital" localSheetId="5">#REF!</definedName>
    <definedName name="FIN_CAP_BeginShareCapital" localSheetId="15">#REF!</definedName>
    <definedName name="FIN_CAP_BeginShareCapital" localSheetId="19">#REF!</definedName>
    <definedName name="FIN_CAP_BeginShareCapital" localSheetId="18">#REF!</definedName>
    <definedName name="FIN_CAP_BeginShareCapital" localSheetId="14">#REF!</definedName>
    <definedName name="FIN_CAP_BeginShareCapital" localSheetId="12">#REF!</definedName>
    <definedName name="FIN_CAP_BeginShareCapital" localSheetId="24">#REF!</definedName>
    <definedName name="FIN_CAP_BeginShareCapital" localSheetId="7">#REF!</definedName>
    <definedName name="FIN_CAP_BeginShareCapital" localSheetId="20">#REF!</definedName>
    <definedName name="FIN_CAP_BeginShareCapital" localSheetId="21">#REF!</definedName>
    <definedName name="FIN_CAP_BeginShareCapital" localSheetId="11">#REF!</definedName>
    <definedName name="FIN_CAP_BeginShareCapital" localSheetId="17">#REF!</definedName>
    <definedName name="FIN_CAP_BeginShareCapital" localSheetId="16">#REF!</definedName>
    <definedName name="FIN_CAP_BeginShareCapital" localSheetId="22">#REF!</definedName>
    <definedName name="FIN_CAP_BeginShareCapital" localSheetId="9">#REF!</definedName>
    <definedName name="FIN_CAP_BeginShareCapital" localSheetId="13">#REF!</definedName>
    <definedName name="FIN_CAP_BeginShareCapital" localSheetId="23">#REF!</definedName>
    <definedName name="FIN_CAP_BeginShareCapital">#REF!</definedName>
    <definedName name="FIN_CAP_BeginSharePremium" localSheetId="4">#REF!</definedName>
    <definedName name="FIN_CAP_BeginSharePremium" localSheetId="5">#REF!</definedName>
    <definedName name="FIN_CAP_BeginSharePremium" localSheetId="15">#REF!</definedName>
    <definedName name="FIN_CAP_BeginSharePremium" localSheetId="19">#REF!</definedName>
    <definedName name="FIN_CAP_BeginSharePremium" localSheetId="18">#REF!</definedName>
    <definedName name="FIN_CAP_BeginSharePremium" localSheetId="14">#REF!</definedName>
    <definedName name="FIN_CAP_BeginSharePremium" localSheetId="12">#REF!</definedName>
    <definedName name="FIN_CAP_BeginSharePremium" localSheetId="24">#REF!</definedName>
    <definedName name="FIN_CAP_BeginSharePremium" localSheetId="7">#REF!</definedName>
    <definedName name="FIN_CAP_BeginSharePremium" localSheetId="20">#REF!</definedName>
    <definedName name="FIN_CAP_BeginSharePremium" localSheetId="21">#REF!</definedName>
    <definedName name="FIN_CAP_BeginSharePremium" localSheetId="11">#REF!</definedName>
    <definedName name="FIN_CAP_BeginSharePremium" localSheetId="17">#REF!</definedName>
    <definedName name="FIN_CAP_BeginSharePremium" localSheetId="16">#REF!</definedName>
    <definedName name="FIN_CAP_BeginSharePremium" localSheetId="22">#REF!</definedName>
    <definedName name="FIN_CAP_BeginSharePremium" localSheetId="9">#REF!</definedName>
    <definedName name="FIN_CAP_BeginSharePremium" localSheetId="13">#REF!</definedName>
    <definedName name="FIN_CAP_BeginSharePremium" localSheetId="23">#REF!</definedName>
    <definedName name="FIN_CAP_BeginSharePremium">#REF!</definedName>
    <definedName name="FIN_CAP_ChangeInShareCapital" localSheetId="4">#REF!</definedName>
    <definedName name="FIN_CAP_ChangeInShareCapital" localSheetId="9">#REF!</definedName>
    <definedName name="FIN_CAP_ChangeInShareCapital">#REF!</definedName>
    <definedName name="FIN_CAP_ChangeInShareCapitalAuto" localSheetId="4">#REF!</definedName>
    <definedName name="FIN_CAP_ChangeInShareCapitalAuto" localSheetId="9">#REF!</definedName>
    <definedName name="FIN_CAP_ChangeInShareCapitalAuto">#REF!</definedName>
    <definedName name="FIN_CAP_ChangeInShareCapitalManual" localSheetId="4">#REF!</definedName>
    <definedName name="FIN_CAP_ChangeInShareCapitalManual" localSheetId="9">#REF!</definedName>
    <definedName name="FIN_CAP_ChangeInShareCapitalManual">#REF!</definedName>
    <definedName name="FIN_CAP_ChangeInSharePremium" localSheetId="4">#REF!</definedName>
    <definedName name="FIN_CAP_ChangeInSharePremium" localSheetId="9">#REF!</definedName>
    <definedName name="FIN_CAP_ChangeInSharePremium">#REF!</definedName>
    <definedName name="FIN_CAP_ChangeInSharePremiumAuto" localSheetId="4">#REF!</definedName>
    <definedName name="FIN_CAP_ChangeInSharePremiumAuto" localSheetId="9">#REF!</definedName>
    <definedName name="FIN_CAP_ChangeInSharePremiumAuto">#REF!</definedName>
    <definedName name="FIN_CAP_ChangeInSharePremiumManual" localSheetId="4">#REF!</definedName>
    <definedName name="FIN_CAP_ChangeInSharePremiumManual" localSheetId="9">#REF!</definedName>
    <definedName name="FIN_CAP_ChangeInSharePremiumManual">#REF!</definedName>
    <definedName name="FIN_CAP_EndingShareCapital" localSheetId="4">#REF!</definedName>
    <definedName name="FIN_CAP_EndingShareCapital" localSheetId="9">#REF!</definedName>
    <definedName name="FIN_CAP_EndingShareCapital">#REF!</definedName>
    <definedName name="FIN_CAP_EndingSharePremium" localSheetId="4">#REF!</definedName>
    <definedName name="FIN_CAP_EndingSharePremium" localSheetId="9">#REF!</definedName>
    <definedName name="FIN_CAP_EndingSharePremium">#REF!</definedName>
    <definedName name="FIN_CellNote" localSheetId="4">#REF!</definedName>
    <definedName name="FIN_CellNote" localSheetId="9">#REF!</definedName>
    <definedName name="FIN_CellNote">#REF!</definedName>
    <definedName name="FIN_LTD_CurrentPortion" localSheetId="4">#REF!</definedName>
    <definedName name="FIN_LTD_CurrentPortion" localSheetId="9">#REF!</definedName>
    <definedName name="FIN_LTD_CurrentPortion">#REF!</definedName>
    <definedName name="FIN_LTD_InterestActual" localSheetId="4">#REF!</definedName>
    <definedName name="FIN_LTD_InterestActual" localSheetId="9">#REF!</definedName>
    <definedName name="FIN_LTD_InterestActual">#REF!</definedName>
    <definedName name="FIN_LTD_InterestCapitalized" localSheetId="4">#REF!</definedName>
    <definedName name="FIN_LTD_InterestCapitalized" localSheetId="9">#REF!</definedName>
    <definedName name="FIN_LTD_InterestCapitalized">#REF!</definedName>
    <definedName name="FIN_LTD_InterestPaid" localSheetId="4">#REF!</definedName>
    <definedName name="FIN_LTD_InterestPaid" localSheetId="9">#REF!</definedName>
    <definedName name="FIN_LTD_InterestPaid">#REF!</definedName>
    <definedName name="FIN_LTD_InterestRate" localSheetId="4">#REF!</definedName>
    <definedName name="FIN_LTD_InterestRate" localSheetId="9">#REF!</definedName>
    <definedName name="FIN_LTD_InterestRate">#REF!</definedName>
    <definedName name="FIN_LTD_InterestRateBeforeCap" localSheetId="4">#REF!</definedName>
    <definedName name="FIN_LTD_InterestRateBeforeCap" localSheetId="9">#REF!</definedName>
    <definedName name="FIN_LTD_InterestRateBeforeCap">#REF!</definedName>
    <definedName name="FIN_LTD_LTDebt1" localSheetId="4">#REF!</definedName>
    <definedName name="FIN_LTD_LTDebt1" localSheetId="9">#REF!</definedName>
    <definedName name="FIN_LTD_LTDebt1">#REF!</definedName>
    <definedName name="FIN_LTD_LTDebt10" localSheetId="4">#REF!</definedName>
    <definedName name="FIN_LTD_LTDebt10" localSheetId="9">#REF!</definedName>
    <definedName name="FIN_LTD_LTDebt10">#REF!</definedName>
    <definedName name="FIN_LTD_LTDebt2" localSheetId="4">#REF!</definedName>
    <definedName name="FIN_LTD_LTDebt2" localSheetId="9">#REF!</definedName>
    <definedName name="FIN_LTD_LTDebt2">#REF!</definedName>
    <definedName name="FIN_LTD_LTDebt3" localSheetId="4">#REF!</definedName>
    <definedName name="FIN_LTD_LTDebt3" localSheetId="9">#REF!</definedName>
    <definedName name="FIN_LTD_LTDebt3">#REF!</definedName>
    <definedName name="FIN_LTD_LTDebt4" localSheetId="4">#REF!</definedName>
    <definedName name="FIN_LTD_LTDebt4" localSheetId="9">#REF!</definedName>
    <definedName name="FIN_LTD_LTDebt4">#REF!</definedName>
    <definedName name="FIN_LTD_LTDebt5" localSheetId="4">#REF!</definedName>
    <definedName name="FIN_LTD_LTDebt5" localSheetId="9">#REF!</definedName>
    <definedName name="FIN_LTD_LTDebt5">#REF!</definedName>
    <definedName name="FIN_LTD_LTDebt6" localSheetId="4">#REF!</definedName>
    <definedName name="FIN_LTD_LTDebt6" localSheetId="9">#REF!</definedName>
    <definedName name="FIN_LTD_LTDebt6">#REF!</definedName>
    <definedName name="FIN_LTD_LTDebt7" localSheetId="4">#REF!</definedName>
    <definedName name="FIN_LTD_LTDebt7" localSheetId="9">#REF!</definedName>
    <definedName name="FIN_LTD_LTDebt7">#REF!</definedName>
    <definedName name="FIN_LTD_LTDebt8" localSheetId="4">#REF!</definedName>
    <definedName name="FIN_LTD_LTDebt8" localSheetId="9">#REF!</definedName>
    <definedName name="FIN_LTD_LTDebt8">#REF!</definedName>
    <definedName name="FIN_LTD_LTDebt9" localSheetId="4">#REF!</definedName>
    <definedName name="FIN_LTD_LTDebt9" localSheetId="9">#REF!</definedName>
    <definedName name="FIN_LTD_LTDebt9">#REF!</definedName>
    <definedName name="FIN_LTD_LTDebtAvg" localSheetId="4">#REF!</definedName>
    <definedName name="FIN_LTD_LTDebtAvg" localSheetId="9">#REF!</definedName>
    <definedName name="FIN_LTD_LTDebtAvg">#REF!</definedName>
    <definedName name="FIN_LTD_LTDebtB_R_Total" localSheetId="4">#REF!</definedName>
    <definedName name="FIN_LTD_LTDebtB_R_Total" localSheetId="9">#REF!</definedName>
    <definedName name="FIN_LTD_LTDebtB_R_Total">#REF!</definedName>
    <definedName name="FIN_LTD_LTDebtTotal" localSheetId="4">#REF!</definedName>
    <definedName name="FIN_LTD_LTDebtTotal" localSheetId="9">#REF!</definedName>
    <definedName name="FIN_LTD_LTDebtTotal">#REF!</definedName>
    <definedName name="FIN_LTD_LTDebtTotalBF" localSheetId="4">#REF!</definedName>
    <definedName name="FIN_LTD_LTDebtTotalBF" localSheetId="9">#REF!</definedName>
    <definedName name="FIN_LTD_LTDebtTotalBF">#REF!</definedName>
    <definedName name="FIN_LTD_RateLTDebt1" localSheetId="4">#REF!</definedName>
    <definedName name="FIN_LTD_RateLTDebt1" localSheetId="9">#REF!</definedName>
    <definedName name="FIN_LTD_RateLTDebt1">#REF!</definedName>
    <definedName name="FIN_LTD_RateLTDebt2" localSheetId="4">#REF!</definedName>
    <definedName name="FIN_LTD_RateLTDebt2" localSheetId="9">#REF!</definedName>
    <definedName name="FIN_LTD_RateLTDebt2">#REF!</definedName>
    <definedName name="FIN_LTD_RateLTDebt3" localSheetId="4">#REF!</definedName>
    <definedName name="FIN_LTD_RateLTDebt3" localSheetId="9">#REF!</definedName>
    <definedName name="FIN_LTD_RateLTDebt3">#REF!</definedName>
    <definedName name="FIN_LTD_RateLTDebt4" localSheetId="4">#REF!</definedName>
    <definedName name="FIN_LTD_RateLTDebt4" localSheetId="9">#REF!</definedName>
    <definedName name="FIN_LTD_RateLTDebt4">#REF!</definedName>
    <definedName name="FIN_LTD_RateLTDebt5" localSheetId="4">#REF!</definedName>
    <definedName name="FIN_LTD_RateLTDebt5" localSheetId="9">#REF!</definedName>
    <definedName name="FIN_LTD_RateLTDebt5">#REF!</definedName>
    <definedName name="final"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INANCE" localSheetId="4">#REF!</definedName>
    <definedName name="FINANCE" localSheetId="9">#REF!</definedName>
    <definedName name="FINANCE">#REF!</definedName>
    <definedName name="Finance_Cost">#REF!</definedName>
    <definedName name="Financials2"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inancials2"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inancials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FINCREASED" localSheetId="4">#REF!</definedName>
    <definedName name="FINCREASED" localSheetId="9">#REF!</definedName>
    <definedName name="FINCREASED">#REF!</definedName>
    <definedName name="FINETOTHER" localSheetId="4">#REF!</definedName>
    <definedName name="FINETOTHER" localSheetId="9">#REF!</definedName>
    <definedName name="FINETOTHER">#REF!</definedName>
    <definedName name="FINETPPE" localSheetId="4">#REF!</definedName>
    <definedName name="FINETPPE" localSheetId="9">#REF!</definedName>
    <definedName name="FINETPPE">#REF!</definedName>
    <definedName name="FinInc">#REF!</definedName>
    <definedName name="FinInd">#REF!</definedName>
    <definedName name="FINTENSITY" localSheetId="4">#REF!</definedName>
    <definedName name="FINTENSITY" localSheetId="9">#REF!</definedName>
    <definedName name="FINTENSITY">#REF!</definedName>
    <definedName name="FINVESTMENT" localSheetId="4">#REF!</definedName>
    <definedName name="FINVESTMENT" localSheetId="9">#REF!</definedName>
    <definedName name="FINVESTMENT">#REF!</definedName>
    <definedName name="FINVESTYEARS" localSheetId="4">#REF!</definedName>
    <definedName name="FINVESTYEARS" localSheetId="9">#REF!</definedName>
    <definedName name="FINVESTYEARS">#REF!</definedName>
    <definedName name="firstwgt">#REF!</definedName>
    <definedName name="FIRSTYEAR">#REF!</definedName>
    <definedName name="fiscal_month_end" localSheetId="4">#REF!</definedName>
    <definedName name="fiscal_month_end" localSheetId="5">#REF!</definedName>
    <definedName name="fiscal_month_end" localSheetId="15">#REF!</definedName>
    <definedName name="fiscal_month_end" localSheetId="19">#REF!</definedName>
    <definedName name="fiscal_month_end" localSheetId="18">#REF!</definedName>
    <definedName name="fiscal_month_end" localSheetId="14">#REF!</definedName>
    <definedName name="fiscal_month_end" localSheetId="12">#REF!</definedName>
    <definedName name="fiscal_month_end" localSheetId="24">#REF!</definedName>
    <definedName name="fiscal_month_end" localSheetId="7">#REF!</definedName>
    <definedName name="fiscal_month_end" localSheetId="20">#REF!</definedName>
    <definedName name="fiscal_month_end" localSheetId="21">#REF!</definedName>
    <definedName name="fiscal_month_end" localSheetId="11">#REF!</definedName>
    <definedName name="fiscal_month_end" localSheetId="17">#REF!</definedName>
    <definedName name="fiscal_month_end" localSheetId="16">#REF!</definedName>
    <definedName name="fiscal_month_end" localSheetId="22">#REF!</definedName>
    <definedName name="fiscal_month_end" localSheetId="9">#REF!</definedName>
    <definedName name="fiscal_month_end" localSheetId="13">#REF!</definedName>
    <definedName name="fiscal_month_end" localSheetId="23">#REF!</definedName>
    <definedName name="fiscal_month_end">#REF!</definedName>
    <definedName name="fiscal_year_end" localSheetId="4">#REF!</definedName>
    <definedName name="fiscal_year_end" localSheetId="5">#REF!</definedName>
    <definedName name="fiscal_year_end" localSheetId="15">#REF!</definedName>
    <definedName name="fiscal_year_end" localSheetId="19">#REF!</definedName>
    <definedName name="fiscal_year_end" localSheetId="18">#REF!</definedName>
    <definedName name="fiscal_year_end" localSheetId="14">#REF!</definedName>
    <definedName name="fiscal_year_end" localSheetId="12">#REF!</definedName>
    <definedName name="fiscal_year_end" localSheetId="24">#REF!</definedName>
    <definedName name="fiscal_year_end" localSheetId="7">#REF!</definedName>
    <definedName name="fiscal_year_end" localSheetId="20">#REF!</definedName>
    <definedName name="fiscal_year_end" localSheetId="21">#REF!</definedName>
    <definedName name="fiscal_year_end" localSheetId="11">#REF!</definedName>
    <definedName name="fiscal_year_end" localSheetId="17">#REF!</definedName>
    <definedName name="fiscal_year_end" localSheetId="16">#REF!</definedName>
    <definedName name="fiscal_year_end" localSheetId="22">#REF!</definedName>
    <definedName name="fiscal_year_end" localSheetId="9">#REF!</definedName>
    <definedName name="fiscal_year_end" localSheetId="13">#REF!</definedName>
    <definedName name="fiscal_year_end" localSheetId="23">#REF!</definedName>
    <definedName name="fiscal_year_end">#REF!</definedName>
    <definedName name="FIWORKING" localSheetId="4">#REF!</definedName>
    <definedName name="FIWORKING" localSheetId="9">#REF!</definedName>
    <definedName name="FIWORKING">#REF!</definedName>
    <definedName name="Fixed_asset_turns" localSheetId="4">#REF!</definedName>
    <definedName name="Fixed_asset_turns" localSheetId="9">#REF!</definedName>
    <definedName name="Fixed_asset_turns">#REF!</definedName>
    <definedName name="Fixed_asset_turns_DCF" localSheetId="4">#REF!</definedName>
    <definedName name="Fixed_asset_turns_DCF" localSheetId="9">#REF!</definedName>
    <definedName name="Fixed_asset_turns_DCF">#REF!</definedName>
    <definedName name="Fixed_asset_turns_fore" localSheetId="4">#REF!</definedName>
    <definedName name="Fixed_asset_turns_fore" localSheetId="5">#REF!</definedName>
    <definedName name="Fixed_asset_turns_fore" localSheetId="15">#REF!</definedName>
    <definedName name="Fixed_asset_turns_fore" localSheetId="19">#REF!</definedName>
    <definedName name="Fixed_asset_turns_fore" localSheetId="18">#REF!</definedName>
    <definedName name="Fixed_asset_turns_fore" localSheetId="14">#REF!</definedName>
    <definedName name="Fixed_asset_turns_fore" localSheetId="12">#REF!</definedName>
    <definedName name="Fixed_asset_turns_fore" localSheetId="24">#REF!</definedName>
    <definedName name="Fixed_asset_turns_fore" localSheetId="7">#REF!</definedName>
    <definedName name="Fixed_asset_turns_fore" localSheetId="20">#REF!</definedName>
    <definedName name="Fixed_asset_turns_fore" localSheetId="21">#REF!</definedName>
    <definedName name="Fixed_asset_turns_fore" localSheetId="11">#REF!</definedName>
    <definedName name="Fixed_asset_turns_fore" localSheetId="17">#REF!</definedName>
    <definedName name="Fixed_asset_turns_fore" localSheetId="16">#REF!</definedName>
    <definedName name="Fixed_asset_turns_fore" localSheetId="22">#REF!</definedName>
    <definedName name="Fixed_asset_turns_fore" localSheetId="9">#REF!</definedName>
    <definedName name="Fixed_asset_turns_fore" localSheetId="13">#REF!</definedName>
    <definedName name="Fixed_asset_turns_fore" localSheetId="23">#REF!</definedName>
    <definedName name="Fixed_asset_turns_fore">#REF!</definedName>
    <definedName name="Fixed_assets" localSheetId="4">#REF!</definedName>
    <definedName name="Fixed_assets" localSheetId="9">#REF!</definedName>
    <definedName name="Fixed_assets">#REF!</definedName>
    <definedName name="Fixed_Assets_Core" localSheetId="4">#REF!</definedName>
    <definedName name="Fixed_Assets_Core" localSheetId="9">#REF!</definedName>
    <definedName name="Fixed_Assets_Core">#REF!</definedName>
    <definedName name="Fixed_assets_DCF" localSheetId="4">#REF!</definedName>
    <definedName name="Fixed_assets_DCF" localSheetId="9">#REF!</definedName>
    <definedName name="Fixed_assets_DCF">#REF!</definedName>
    <definedName name="Fixed_Assets_Q" localSheetId="4">#REF!</definedName>
    <definedName name="Fixed_Assets_Q" localSheetId="5">#REF!</definedName>
    <definedName name="Fixed_Assets_Q" localSheetId="15">#REF!</definedName>
    <definedName name="Fixed_Assets_Q" localSheetId="19">#REF!</definedName>
    <definedName name="Fixed_Assets_Q" localSheetId="18">#REF!</definedName>
    <definedName name="Fixed_Assets_Q" localSheetId="14">#REF!</definedName>
    <definedName name="Fixed_Assets_Q" localSheetId="12">#REF!</definedName>
    <definedName name="Fixed_Assets_Q" localSheetId="24">#REF!</definedName>
    <definedName name="Fixed_Assets_Q" localSheetId="7">#REF!</definedName>
    <definedName name="Fixed_Assets_Q" localSheetId="20">#REF!</definedName>
    <definedName name="Fixed_Assets_Q" localSheetId="21">#REF!</definedName>
    <definedName name="Fixed_Assets_Q" localSheetId="11">#REF!</definedName>
    <definedName name="Fixed_Assets_Q" localSheetId="17">#REF!</definedName>
    <definedName name="Fixed_Assets_Q" localSheetId="16">#REF!</definedName>
    <definedName name="Fixed_Assets_Q" localSheetId="22">#REF!</definedName>
    <definedName name="Fixed_Assets_Q" localSheetId="9">#REF!</definedName>
    <definedName name="Fixed_Assets_Q" localSheetId="13">#REF!</definedName>
    <definedName name="Fixed_Assets_Q" localSheetId="23">#REF!</definedName>
    <definedName name="Fixed_Assets_Q">#REF!</definedName>
    <definedName name="Fixed_deposits" localSheetId="4">#REF!</definedName>
    <definedName name="Fixed_deposits" localSheetId="5">#REF!</definedName>
    <definedName name="Fixed_deposits" localSheetId="15">#REF!</definedName>
    <definedName name="Fixed_deposits" localSheetId="19">#REF!</definedName>
    <definedName name="Fixed_deposits" localSheetId="18">#REF!</definedName>
    <definedName name="Fixed_deposits" localSheetId="14">#REF!</definedName>
    <definedName name="Fixed_deposits" localSheetId="12">#REF!</definedName>
    <definedName name="Fixed_deposits" localSheetId="24">#REF!</definedName>
    <definedName name="Fixed_deposits" localSheetId="7">#REF!</definedName>
    <definedName name="Fixed_deposits" localSheetId="20">#REF!</definedName>
    <definedName name="Fixed_deposits" localSheetId="21">#REF!</definedName>
    <definedName name="Fixed_deposits" localSheetId="11">#REF!</definedName>
    <definedName name="Fixed_deposits" localSheetId="17">#REF!</definedName>
    <definedName name="Fixed_deposits" localSheetId="16">#REF!</definedName>
    <definedName name="Fixed_deposits" localSheetId="22">#REF!</definedName>
    <definedName name="Fixed_deposits" localSheetId="9">#REF!</definedName>
    <definedName name="Fixed_deposits" localSheetId="13">#REF!</definedName>
    <definedName name="Fixed_deposits" localSheetId="23">#REF!</definedName>
    <definedName name="Fixed_deposits">#REF!</definedName>
    <definedName name="Fixed_Deposits_Unsecured">#REF!</definedName>
    <definedName name="Fixed_loans_total">#REF!</definedName>
    <definedName name="FixedAssets" localSheetId="4">#REF!</definedName>
    <definedName name="FixedAssets" localSheetId="9">#REF!</definedName>
    <definedName name="FixedAssets">#REF!</definedName>
    <definedName name="FixExp">#REF!</definedName>
    <definedName name="Flag1">#REF!</definedName>
    <definedName name="flash" localSheetId="4" hidden="1">#REF!</definedName>
    <definedName name="flash" localSheetId="9" hidden="1">#REF!</definedName>
    <definedName name="flash" hidden="1">#REF!</definedName>
    <definedName name="FMARGIN" localSheetId="4">#REF!</definedName>
    <definedName name="FMARGIN" localSheetId="9">#REF!</definedName>
    <definedName name="FMARGIN">#REF!</definedName>
    <definedName name="FNETPPE" localSheetId="4">#REF!</definedName>
    <definedName name="FNETPPE" localSheetId="9">#REF!</definedName>
    <definedName name="FNETPPE">#REF!</definedName>
    <definedName name="fninc">#REF!</definedName>
    <definedName name="FNOPLAT" localSheetId="4">#REF!</definedName>
    <definedName name="FNOPLAT" localSheetId="9">#REF!</definedName>
    <definedName name="FNOPLAT">#REF!</definedName>
    <definedName name="FOPERATING" localSheetId="4">#REF!</definedName>
    <definedName name="FOPERATING" localSheetId="9">#REF!</definedName>
    <definedName name="FOPERATING">#REF!</definedName>
    <definedName name="FOR_BankingRatios" localSheetId="4">#REF!</definedName>
    <definedName name="FOR_BankingRatios" localSheetId="5">#REF!</definedName>
    <definedName name="FOR_BankingRatios" localSheetId="15">#REF!</definedName>
    <definedName name="FOR_BankingRatios" localSheetId="19">#REF!</definedName>
    <definedName name="FOR_BankingRatios" localSheetId="18">#REF!</definedName>
    <definedName name="FOR_BankingRatios" localSheetId="14">#REF!</definedName>
    <definedName name="FOR_BankingRatios" localSheetId="12">#REF!</definedName>
    <definedName name="FOR_BankingRatios" localSheetId="24">#REF!</definedName>
    <definedName name="FOR_BankingRatios" localSheetId="7">#REF!</definedName>
    <definedName name="FOR_BankingRatios" localSheetId="20">#REF!</definedName>
    <definedName name="FOR_BankingRatios" localSheetId="21">#REF!</definedName>
    <definedName name="FOR_BankingRatios" localSheetId="11">#REF!</definedName>
    <definedName name="FOR_BankingRatios" localSheetId="17">#REF!</definedName>
    <definedName name="FOR_BankingRatios" localSheetId="16">#REF!</definedName>
    <definedName name="FOR_BankingRatios" localSheetId="22">#REF!</definedName>
    <definedName name="FOR_BankingRatios" localSheetId="9">#REF!</definedName>
    <definedName name="FOR_BankingRatios" localSheetId="13">#REF!</definedName>
    <definedName name="FOR_BankingRatios" localSheetId="23">#REF!</definedName>
    <definedName name="FOR_BankingRatios">#REF!</definedName>
    <definedName name="FOR_BS_AssetRevaluationNonCashFlow" localSheetId="4">#REF!</definedName>
    <definedName name="FOR_BS_AssetRevaluationNonCashFlow" localSheetId="5">#REF!</definedName>
    <definedName name="FOR_BS_AssetRevaluationNonCashFlow" localSheetId="15">#REF!</definedName>
    <definedName name="FOR_BS_AssetRevaluationNonCashFlow" localSheetId="19">#REF!</definedName>
    <definedName name="FOR_BS_AssetRevaluationNonCashFlow" localSheetId="18">#REF!</definedName>
    <definedName name="FOR_BS_AssetRevaluationNonCashFlow" localSheetId="14">#REF!</definedName>
    <definedName name="FOR_BS_AssetRevaluationNonCashFlow" localSheetId="12">#REF!</definedName>
    <definedName name="FOR_BS_AssetRevaluationNonCashFlow" localSheetId="24">#REF!</definedName>
    <definedName name="FOR_BS_AssetRevaluationNonCashFlow" localSheetId="7">#REF!</definedName>
    <definedName name="FOR_BS_AssetRevaluationNonCashFlow" localSheetId="20">#REF!</definedName>
    <definedName name="FOR_BS_AssetRevaluationNonCashFlow" localSheetId="21">#REF!</definedName>
    <definedName name="FOR_BS_AssetRevaluationNonCashFlow" localSheetId="11">#REF!</definedName>
    <definedName name="FOR_BS_AssetRevaluationNonCashFlow" localSheetId="17">#REF!</definedName>
    <definedName name="FOR_BS_AssetRevaluationNonCashFlow" localSheetId="16">#REF!</definedName>
    <definedName name="FOR_BS_AssetRevaluationNonCashFlow" localSheetId="22">#REF!</definedName>
    <definedName name="FOR_BS_AssetRevaluationNonCashFlow" localSheetId="9">#REF!</definedName>
    <definedName name="FOR_BS_AssetRevaluationNonCashFlow" localSheetId="13">#REF!</definedName>
    <definedName name="FOR_BS_AssetRevaluationNonCashFlow" localSheetId="23">#REF!</definedName>
    <definedName name="FOR_BS_AssetRevaluationNonCashFlow">#REF!</definedName>
    <definedName name="FOR_BS_CAInterestBearing" localSheetId="4">#REF!</definedName>
    <definedName name="FOR_BS_CAInterestBearing" localSheetId="5">#REF!</definedName>
    <definedName name="FOR_BS_CAInterestBearing" localSheetId="15">#REF!</definedName>
    <definedName name="FOR_BS_CAInterestBearing" localSheetId="19">#REF!</definedName>
    <definedName name="FOR_BS_CAInterestBearing" localSheetId="18">#REF!</definedName>
    <definedName name="FOR_BS_CAInterestBearing" localSheetId="14">#REF!</definedName>
    <definedName name="FOR_BS_CAInterestBearing" localSheetId="12">#REF!</definedName>
    <definedName name="FOR_BS_CAInterestBearing" localSheetId="24">#REF!</definedName>
    <definedName name="FOR_BS_CAInterestBearing" localSheetId="7">#REF!</definedName>
    <definedName name="FOR_BS_CAInterestBearing" localSheetId="20">#REF!</definedName>
    <definedName name="FOR_BS_CAInterestBearing" localSheetId="21">#REF!</definedName>
    <definedName name="FOR_BS_CAInterestBearing" localSheetId="11">#REF!</definedName>
    <definedName name="FOR_BS_CAInterestBearing" localSheetId="17">#REF!</definedName>
    <definedName name="FOR_BS_CAInterestBearing" localSheetId="16">#REF!</definedName>
    <definedName name="FOR_BS_CAInterestBearing" localSheetId="22">#REF!</definedName>
    <definedName name="FOR_BS_CAInterestBearing" localSheetId="9">#REF!</definedName>
    <definedName name="FOR_BS_CAInterestBearing" localSheetId="13">#REF!</definedName>
    <definedName name="FOR_BS_CAInterestBearing" localSheetId="23">#REF!</definedName>
    <definedName name="FOR_BS_CAInterestBearing">#REF!</definedName>
    <definedName name="FOR_BS_CAInterestBearingNet" localSheetId="4">#REF!</definedName>
    <definedName name="FOR_BS_CAInterestBearingNet" localSheetId="9">#REF!</definedName>
    <definedName name="FOR_BS_CAInterestBearingNet">#REF!</definedName>
    <definedName name="FOR_BS_CAOtherNonCash" localSheetId="4">#REF!</definedName>
    <definedName name="FOR_BS_CAOtherNonCash" localSheetId="9">#REF!</definedName>
    <definedName name="FOR_BS_CAOtherNonCash">#REF!</definedName>
    <definedName name="FOR_BS_CAOtherTotal" localSheetId="4">#REF!</definedName>
    <definedName name="FOR_BS_CAOtherTotal" localSheetId="9">#REF!</definedName>
    <definedName name="FOR_BS_CAOtherTotal">#REF!</definedName>
    <definedName name="FOR_BS_CapitalizedInterest" localSheetId="4">#REF!</definedName>
    <definedName name="FOR_BS_CapitalizedInterest" localSheetId="9">#REF!</definedName>
    <definedName name="FOR_BS_CapitalizedInterest">#REF!</definedName>
    <definedName name="FOR_BS_Cash" localSheetId="4">#REF!</definedName>
    <definedName name="FOR_BS_Cash" localSheetId="9">#REF!</definedName>
    <definedName name="FOR_BS_Cash">#REF!</definedName>
    <definedName name="FOR_BS_CashForeign" localSheetId="4">#REF!</definedName>
    <definedName name="FOR_BS_CashForeign" localSheetId="9">#REF!</definedName>
    <definedName name="FOR_BS_CashForeign">#REF!</definedName>
    <definedName name="FOR_BS_ChangeInWorkingCapital" localSheetId="4">#REF!</definedName>
    <definedName name="FOR_BS_ChangeInWorkingCapital" localSheetId="9">#REF!</definedName>
    <definedName name="FOR_BS_ChangeInWorkingCapital">#REF!</definedName>
    <definedName name="FOR_BS_CLInterestBearing" localSheetId="4">#REF!</definedName>
    <definedName name="FOR_BS_CLInterestBearing" localSheetId="9">#REF!</definedName>
    <definedName name="FOR_BS_CLInterestBearing">#REF!</definedName>
    <definedName name="FOR_BS_CLOtherNonCash" localSheetId="4">#REF!</definedName>
    <definedName name="FOR_BS_CLOtherNonCash" localSheetId="9">#REF!</definedName>
    <definedName name="FOR_BS_CLOtherNonCash">#REF!</definedName>
    <definedName name="FOR_BS_CLOtherTotal" localSheetId="4">#REF!</definedName>
    <definedName name="FOR_BS_CLOtherTotal" localSheetId="9">#REF!</definedName>
    <definedName name="FOR_BS_CLOtherTotal">#REF!</definedName>
    <definedName name="FOR_BS_Creditors" localSheetId="4">#REF!</definedName>
    <definedName name="FOR_BS_Creditors" localSheetId="9">#REF!</definedName>
    <definedName name="FOR_BS_Creditors">#REF!</definedName>
    <definedName name="FOR_BS_CurrentPortion" localSheetId="4">#REF!</definedName>
    <definedName name="FOR_BS_CurrentPortion" localSheetId="9">#REF!</definedName>
    <definedName name="FOR_BS_CurrentPortion">#REF!</definedName>
    <definedName name="FOR_BS_Debtors" localSheetId="4">#REF!</definedName>
    <definedName name="FOR_BS_Debtors" localSheetId="9">#REF!</definedName>
    <definedName name="FOR_BS_Debtors">#REF!</definedName>
    <definedName name="FOR_BS_DeferredTaxLTLiabilities" localSheetId="4">#REF!</definedName>
    <definedName name="FOR_BS_DeferredTaxLTLiabilities" localSheetId="9">#REF!</definedName>
    <definedName name="FOR_BS_DeferredTaxLTLiabilities">#REF!</definedName>
    <definedName name="FOR_BS_EquityRevaluationNonCashFlow" localSheetId="4">#REF!</definedName>
    <definedName name="FOR_BS_EquityRevaluationNonCashFlow" localSheetId="9">#REF!</definedName>
    <definedName name="FOR_BS_EquityRevaluationNonCashFlow">#REF!</definedName>
    <definedName name="FOR_BS_FixedAssets" localSheetId="4">#REF!</definedName>
    <definedName name="FOR_BS_FixedAssets" localSheetId="9">#REF!</definedName>
    <definedName name="FOR_BS_FixedAssets">#REF!</definedName>
    <definedName name="FOR_BS_FixedAssets1" localSheetId="4">#REF!</definedName>
    <definedName name="FOR_BS_FixedAssets1" localSheetId="9">#REF!</definedName>
    <definedName name="FOR_BS_FixedAssets1">#REF!</definedName>
    <definedName name="FOR_BS_FixedAssets2" localSheetId="4">#REF!</definedName>
    <definedName name="FOR_BS_FixedAssets2" localSheetId="9">#REF!</definedName>
    <definedName name="FOR_BS_FixedAssets2">#REF!</definedName>
    <definedName name="FOR_BS_FixedAssets3" localSheetId="4">#REF!</definedName>
    <definedName name="FOR_BS_FixedAssets3" localSheetId="9">#REF!</definedName>
    <definedName name="FOR_BS_FixedAssets3">#REF!</definedName>
    <definedName name="FOR_BS_FixedAssets4" localSheetId="4">#REF!</definedName>
    <definedName name="FOR_BS_FixedAssets4" localSheetId="9">#REF!</definedName>
    <definedName name="FOR_BS_FixedAssets4">#REF!</definedName>
    <definedName name="FOR_BS_FixedAssets5" localSheetId="4">#REF!</definedName>
    <definedName name="FOR_BS_FixedAssets5" localSheetId="9">#REF!</definedName>
    <definedName name="FOR_BS_FixedAssets5">#REF!</definedName>
    <definedName name="FOR_BS_FixedAssets6" localSheetId="4">#REF!</definedName>
    <definedName name="FOR_BS_FixedAssets6" localSheetId="9">#REF!</definedName>
    <definedName name="FOR_BS_FixedAssets6">#REF!</definedName>
    <definedName name="FOR_BS_FixedAssets7" localSheetId="4">#REF!</definedName>
    <definedName name="FOR_BS_FixedAssets7" localSheetId="9">#REF!</definedName>
    <definedName name="FOR_BS_FixedAssets7">#REF!</definedName>
    <definedName name="FOR_BS_FixedAssetsRevaluationNonCashFlow" localSheetId="4">#REF!</definedName>
    <definedName name="FOR_BS_FixedAssetsRevaluationNonCashFlow" localSheetId="9">#REF!</definedName>
    <definedName name="FOR_BS_FixedAssetsRevaluationNonCashFlow">#REF!</definedName>
    <definedName name="FOR_BS_Inventory" localSheetId="4">#REF!</definedName>
    <definedName name="FOR_BS_Inventory" localSheetId="9">#REF!</definedName>
    <definedName name="FOR_BS_Inventory">#REF!</definedName>
    <definedName name="FOR_BS_InvestmentRevaluationNonCashFlow" localSheetId="4">#REF!</definedName>
    <definedName name="FOR_BS_InvestmentRevaluationNonCashFlow" localSheetId="9">#REF!</definedName>
    <definedName name="FOR_BS_InvestmentRevaluationNonCashFlow">#REF!</definedName>
    <definedName name="FOR_BS_LiabilitiesRevaluationNonCashFlow" localSheetId="4">#REF!</definedName>
    <definedName name="FOR_BS_LiabilitiesRevaluationNonCashFlow" localSheetId="9">#REF!</definedName>
    <definedName name="FOR_BS_LiabilitiesRevaluationNonCashFlow">#REF!</definedName>
    <definedName name="FOR_BS_LTAssetsInterestBearing" localSheetId="4">#REF!</definedName>
    <definedName name="FOR_BS_LTAssetsInterestBearing" localSheetId="9">#REF!</definedName>
    <definedName name="FOR_BS_LTAssetsInterestBearing">#REF!</definedName>
    <definedName name="FOR_BS_LTAssetsNonInterestBearing" localSheetId="4">#REF!</definedName>
    <definedName name="FOR_BS_LTAssetsNonInterestBearing" localSheetId="9">#REF!</definedName>
    <definedName name="FOR_BS_LTAssetsNonInterestBearing">#REF!</definedName>
    <definedName name="FOR_BS_LTAssociates" localSheetId="4">#REF!</definedName>
    <definedName name="FOR_BS_LTAssociates" localSheetId="9">#REF!</definedName>
    <definedName name="FOR_BS_LTAssociates">#REF!</definedName>
    <definedName name="FOR_BS_LTDebt" localSheetId="4">#REF!</definedName>
    <definedName name="FOR_BS_LTDebt" localSheetId="9">#REF!</definedName>
    <definedName name="FOR_BS_LTDebt">#REF!</definedName>
    <definedName name="FOR_BS_LTDebt1" localSheetId="4">#REF!</definedName>
    <definedName name="FOR_BS_LTDebt1" localSheetId="9">#REF!</definedName>
    <definedName name="FOR_BS_LTDebt1">#REF!</definedName>
    <definedName name="FOR_BS_LTDebt10" localSheetId="4">#REF!</definedName>
    <definedName name="FOR_BS_LTDebt10" localSheetId="9">#REF!</definedName>
    <definedName name="FOR_BS_LTDebt10">#REF!</definedName>
    <definedName name="FOR_BS_LTDebt2" localSheetId="4">#REF!</definedName>
    <definedName name="FOR_BS_LTDebt2" localSheetId="9">#REF!</definedName>
    <definedName name="FOR_BS_LTDebt2">#REF!</definedName>
    <definedName name="FOR_BS_LTDebt3" localSheetId="4">#REF!</definedName>
    <definedName name="FOR_BS_LTDebt3" localSheetId="9">#REF!</definedName>
    <definedName name="FOR_BS_LTDebt3">#REF!</definedName>
    <definedName name="FOR_BS_LTDebt4" localSheetId="4">#REF!</definedName>
    <definedName name="FOR_BS_LTDebt4" localSheetId="9">#REF!</definedName>
    <definedName name="FOR_BS_LTDebt4">#REF!</definedName>
    <definedName name="FOR_BS_LTDebt5" localSheetId="4">#REF!</definedName>
    <definedName name="FOR_BS_LTDebt5" localSheetId="9">#REF!</definedName>
    <definedName name="FOR_BS_LTDebt5">#REF!</definedName>
    <definedName name="FOR_BS_LTDebt6" localSheetId="4">#REF!</definedName>
    <definedName name="FOR_BS_LTDebt6" localSheetId="9">#REF!</definedName>
    <definedName name="FOR_BS_LTDebt6">#REF!</definedName>
    <definedName name="FOR_BS_LTDebt7" localSheetId="4">#REF!</definedName>
    <definedName name="FOR_BS_LTDebt7" localSheetId="9">#REF!</definedName>
    <definedName name="FOR_BS_LTDebt7">#REF!</definedName>
    <definedName name="FOR_BS_LTDebt8" localSheetId="4">#REF!</definedName>
    <definedName name="FOR_BS_LTDebt8" localSheetId="9">#REF!</definedName>
    <definedName name="FOR_BS_LTDebt8">#REF!</definedName>
    <definedName name="FOR_BS_LTDebt9" localSheetId="4">#REF!</definedName>
    <definedName name="FOR_BS_LTDebt9" localSheetId="9">#REF!</definedName>
    <definedName name="FOR_BS_LTDebt9">#REF!</definedName>
    <definedName name="FOR_BS_LTLiabilitiesOtherTotal" localSheetId="4">#REF!</definedName>
    <definedName name="FOR_BS_LTLiabilitiesOtherTotal" localSheetId="9">#REF!</definedName>
    <definedName name="FOR_BS_LTLiabilitiesOtherTotal">#REF!</definedName>
    <definedName name="FOR_BS_LTOutstandingClaims" localSheetId="4">#REF!</definedName>
    <definedName name="FOR_BS_LTOutstandingClaims" localSheetId="9">#REF!</definedName>
    <definedName name="FOR_BS_LTOutstandingClaims">#REF!</definedName>
    <definedName name="FOR_BS_LTUnearntPremium" localSheetId="4">#REF!</definedName>
    <definedName name="FOR_BS_LTUnearntPremium" localSheetId="9">#REF!</definedName>
    <definedName name="FOR_BS_LTUnearntPremium">#REF!</definedName>
    <definedName name="FOR_BS_Minorities" localSheetId="4">#REF!</definedName>
    <definedName name="FOR_BS_Minorities" localSheetId="9">#REF!</definedName>
    <definedName name="FOR_BS_Minorities">#REF!</definedName>
    <definedName name="FOR_BS_NetAmortizedAssets" localSheetId="4">#REF!</definedName>
    <definedName name="FOR_BS_NetAmortizedAssets" localSheetId="9">#REF!</definedName>
    <definedName name="FOR_BS_NetAmortizedAssets">#REF!</definedName>
    <definedName name="FOR_BS_NetWorkingCapital" localSheetId="4">#REF!</definedName>
    <definedName name="FOR_BS_NetWorkingCapital" localSheetId="9">#REF!</definedName>
    <definedName name="FOR_BS_NetWorkingCapital">#REF!</definedName>
    <definedName name="FOR_BS_OffBalanceSheetAssets" localSheetId="4">#REF!</definedName>
    <definedName name="FOR_BS_OffBalanceSheetAssets" localSheetId="9">#REF!</definedName>
    <definedName name="FOR_BS_OffBalanceSheetAssets">#REF!</definedName>
    <definedName name="FOR_BS_OffBalanceSheetLiabilities" localSheetId="4">#REF!</definedName>
    <definedName name="FOR_BS_OffBalanceSheetLiabilities" localSheetId="9">#REF!</definedName>
    <definedName name="FOR_BS_OffBalanceSheetLiabilities">#REF!</definedName>
    <definedName name="FOR_BS_OtherEquityRevaluationNonCashFlow" localSheetId="4">#REF!</definedName>
    <definedName name="FOR_BS_OtherEquityRevaluationNonCashFlow" localSheetId="9">#REF!</definedName>
    <definedName name="FOR_BS_OtherEquityRevaluationNonCashFlow">#REF!</definedName>
    <definedName name="FOR_BS_PossibleLoanLossProvision" localSheetId="4">#REF!</definedName>
    <definedName name="FOR_BS_PossibleLoanLossProvision" localSheetId="9">#REF!</definedName>
    <definedName name="FOR_BS_PossibleLoanLossProvision">#REF!</definedName>
    <definedName name="FOR_BS_RENonCashFlow" localSheetId="4">#REF!</definedName>
    <definedName name="FOR_BS_RENonCashFlow" localSheetId="9">#REF!</definedName>
    <definedName name="FOR_BS_RENonCashFlow">#REF!</definedName>
    <definedName name="FOR_BS_Reserves" localSheetId="4">#REF!</definedName>
    <definedName name="FOR_BS_Reserves" localSheetId="9">#REF!</definedName>
    <definedName name="FOR_BS_Reserves">#REF!</definedName>
    <definedName name="FOR_BS_SCapitalNonCashFlow" localSheetId="4">#REF!</definedName>
    <definedName name="FOR_BS_SCapitalNonCashFlow" localSheetId="9">#REF!</definedName>
    <definedName name="FOR_BS_SCapitalNonCashFlow">#REF!</definedName>
    <definedName name="FOR_BS_ShareCapital" localSheetId="4">#REF!</definedName>
    <definedName name="FOR_BS_ShareCapital" localSheetId="9">#REF!</definedName>
    <definedName name="FOR_BS_ShareCapital">#REF!</definedName>
    <definedName name="FOR_BS_SharePremium" localSheetId="4">#REF!</definedName>
    <definedName name="FOR_BS_SharePremium" localSheetId="9">#REF!</definedName>
    <definedName name="FOR_BS_SharePremium">#REF!</definedName>
    <definedName name="FOR_BS_SPremiumNonCashFlow" localSheetId="4">#REF!</definedName>
    <definedName name="FOR_BS_SPremiumNonCashFlow" localSheetId="9">#REF!</definedName>
    <definedName name="FOR_BS_SPremiumNonCashFlow">#REF!</definedName>
    <definedName name="FOR_BS_STDebt" localSheetId="4">#REF!</definedName>
    <definedName name="FOR_BS_STDebt" localSheetId="9">#REF!</definedName>
    <definedName name="FOR_BS_STDebt">#REF!</definedName>
    <definedName name="FOR_BS_STDebtOther" localSheetId="4">#REF!</definedName>
    <definedName name="FOR_BS_STDebtOther" localSheetId="9">#REF!</definedName>
    <definedName name="FOR_BS_STDebtOther">#REF!</definedName>
    <definedName name="FOR_BS_STInvestments" localSheetId="4">#REF!</definedName>
    <definedName name="FOR_BS_STInvestments" localSheetId="9">#REF!</definedName>
    <definedName name="FOR_BS_STInvestments">#REF!</definedName>
    <definedName name="FOR_BS_STInvestmentsOther" localSheetId="4">#REF!</definedName>
    <definedName name="FOR_BS_STInvestmentsOther" localSheetId="9">#REF!</definedName>
    <definedName name="FOR_BS_STInvestmentsOther">#REF!</definedName>
    <definedName name="FOR_BS_TechnicalReserves" localSheetId="4">#REF!</definedName>
    <definedName name="FOR_BS_TechnicalReserves" localSheetId="9">#REF!</definedName>
    <definedName name="FOR_BS_TechnicalReserves">#REF!</definedName>
    <definedName name="FOR_BS_TotalAssets" localSheetId="4">#REF!</definedName>
    <definedName name="FOR_BS_TotalAssets" localSheetId="9">#REF!</definedName>
    <definedName name="FOR_BS_TotalAssets">#REF!</definedName>
    <definedName name="FOR_BS_TotalCurrentAssets" localSheetId="4">#REF!</definedName>
    <definedName name="FOR_BS_TotalCurrentAssets" localSheetId="9">#REF!</definedName>
    <definedName name="FOR_BS_TotalCurrentAssets">#REF!</definedName>
    <definedName name="FOR_BS_TotalCurrentLiabilities" localSheetId="4">#REF!</definedName>
    <definedName name="FOR_BS_TotalCurrentLiabilities" localSheetId="9">#REF!</definedName>
    <definedName name="FOR_BS_TotalCurrentLiabilities">#REF!</definedName>
    <definedName name="FOR_BS_TotalEquity" localSheetId="4">#REF!</definedName>
    <definedName name="FOR_BS_TotalEquity" localSheetId="9">#REF!</definedName>
    <definedName name="FOR_BS_TotalEquity">#REF!</definedName>
    <definedName name="FOR_BS_TotalLiabilities" localSheetId="4">#REF!</definedName>
    <definedName name="FOR_BS_TotalLiabilities" localSheetId="9">#REF!</definedName>
    <definedName name="FOR_BS_TotalLiabilities">#REF!</definedName>
    <definedName name="FOR_BS_TotalLTAssets" localSheetId="4">#REF!</definedName>
    <definedName name="FOR_BS_TotalLTAssets" localSheetId="9">#REF!</definedName>
    <definedName name="FOR_BS_TotalLTAssets">#REF!</definedName>
    <definedName name="FOR_BS_TotalLTLiabilities" localSheetId="4">#REF!</definedName>
    <definedName name="FOR_BS_TotalLTLiabilities" localSheetId="9">#REF!</definedName>
    <definedName name="FOR_BS_TotalLTLiabilities">#REF!</definedName>
    <definedName name="FOR_BS_TotalOtherEquity" localSheetId="4">#REF!</definedName>
    <definedName name="FOR_BS_TotalOtherEquity" localSheetId="9">#REF!</definedName>
    <definedName name="FOR_BS_TotalOtherEquity">#REF!</definedName>
    <definedName name="FOR_BS_TotalShareholdersFunds" localSheetId="4">#REF!</definedName>
    <definedName name="FOR_BS_TotalShareholdersFunds" localSheetId="9">#REF!</definedName>
    <definedName name="FOR_BS_TotalShareholdersFunds">#REF!</definedName>
    <definedName name="FOR_BS_UnearntPremium" localSheetId="4">#REF!</definedName>
    <definedName name="FOR_BS_UnearntPremium" localSheetId="9">#REF!</definedName>
    <definedName name="FOR_BS_UnearntPremium">#REF!</definedName>
    <definedName name="FOR_CellNote" localSheetId="4">#REF!</definedName>
    <definedName name="FOR_CellNote" localSheetId="9">#REF!</definedName>
    <definedName name="FOR_CellNote">#REF!</definedName>
    <definedName name="FOR_CF_B_R_STDebt" localSheetId="4">#REF!</definedName>
    <definedName name="FOR_CF_B_R_STDebt" localSheetId="9">#REF!</definedName>
    <definedName name="FOR_CF_B_R_STDebt">#REF!</definedName>
    <definedName name="FOR_CF_B_R_STDebtManual" localSheetId="4">#REF!</definedName>
    <definedName name="FOR_CF_B_R_STDebtManual" localSheetId="9">#REF!</definedName>
    <definedName name="FOR_CF_B_R_STDebtManual">#REF!</definedName>
    <definedName name="FOR_CF_B_RSTDebtTest" localSheetId="4">#REF!</definedName>
    <definedName name="FOR_CF_B_RSTDebtTest" localSheetId="9">#REF!</definedName>
    <definedName name="FOR_CF_B_RSTDebtTest">#REF!</definedName>
    <definedName name="FOR_CF_CashBeforeFinancing" localSheetId="4">#REF!</definedName>
    <definedName name="FOR_CF_CashBeforeFinancing" localSheetId="9">#REF!</definedName>
    <definedName name="FOR_CF_CashBeforeFinancing">#REF!</definedName>
    <definedName name="FOR_CF_CashFromFinancing" localSheetId="4">#REF!</definedName>
    <definedName name="FOR_CF_CashFromFinancing" localSheetId="9">#REF!</definedName>
    <definedName name="FOR_CF_CashFromFinancing">#REF!</definedName>
    <definedName name="FOR_CF_ChangeInMarketableSecurities" localSheetId="4">#REF!</definedName>
    <definedName name="FOR_CF_ChangeInMarketableSecurities" localSheetId="9">#REF!</definedName>
    <definedName name="FOR_CF_ChangeInMarketableSecurities">#REF!</definedName>
    <definedName name="FOR_CF_ChangeInMarketableSecuritiesManual" localSheetId="4">#REF!</definedName>
    <definedName name="FOR_CF_ChangeInMarketableSecuritiesManual" localSheetId="9">#REF!</definedName>
    <definedName name="FOR_CF_ChangeInMarketableSecuritiesManual">#REF!</definedName>
    <definedName name="FOR_CF_ChangeInSTInvestments" localSheetId="4">#REF!</definedName>
    <definedName name="FOR_CF_ChangeInSTInvestments" localSheetId="9">#REF!</definedName>
    <definedName name="FOR_CF_ChangeInSTInvestments">#REF!</definedName>
    <definedName name="FOR_CF_FundsForDebtRepayment" localSheetId="4">#REF!</definedName>
    <definedName name="FOR_CF_FundsForDebtRepayment" localSheetId="9">#REF!</definedName>
    <definedName name="FOR_CF_FundsForDebtRepayment">#REF!</definedName>
    <definedName name="FOR_GL_CalendarAdjFactor" localSheetId="4">#REF!</definedName>
    <definedName name="FOR_GL_CalendarAdjFactor" localSheetId="9">#REF!</definedName>
    <definedName name="FOR_GL_CalendarAdjFactor">#REF!</definedName>
    <definedName name="FOR_GL_CurrentYear" localSheetId="4">#REF!</definedName>
    <definedName name="FOR_GL_CurrentYear" localSheetId="9">#REF!</definedName>
    <definedName name="FOR_GL_CurrentYear">#REF!</definedName>
    <definedName name="FOR_GL_SwitchAmortization" localSheetId="4">#REF!</definedName>
    <definedName name="FOR_GL_SwitchAmortization" localSheetId="9">#REF!</definedName>
    <definedName name="FOR_GL_SwitchAmortization">#REF!</definedName>
    <definedName name="FOR_GL_SwitchDepreciation" localSheetId="4">#REF!</definedName>
    <definedName name="FOR_GL_SwitchDepreciation" localSheetId="9">#REF!</definedName>
    <definedName name="FOR_GL_SwitchDepreciation">#REF!</definedName>
    <definedName name="FOR_IS_ADJtoGP" localSheetId="4">#REF!</definedName>
    <definedName name="FOR_IS_ADJtoGP" localSheetId="9">#REF!</definedName>
    <definedName name="FOR_IS_ADJtoGP">#REF!</definedName>
    <definedName name="FOR_IS_AdminExpense" localSheetId="4">#REF!</definedName>
    <definedName name="FOR_IS_AdminExpense" localSheetId="9">#REF!</definedName>
    <definedName name="FOR_IS_AdminExpense">#REF!</definedName>
    <definedName name="FOR_IS_AdminIncome" localSheetId="4">#REF!</definedName>
    <definedName name="FOR_IS_AdminIncome" localSheetId="9">#REF!</definedName>
    <definedName name="FOR_IS_AdminIncome">#REF!</definedName>
    <definedName name="FOR_IS_AfterTaxProfit" localSheetId="4">#REF!</definedName>
    <definedName name="FOR_IS_AfterTaxProfit" localSheetId="9">#REF!</definedName>
    <definedName name="FOR_IS_AfterTaxProfit">#REF!</definedName>
    <definedName name="FOR_IS_Amortization" localSheetId="4">#REF!</definedName>
    <definedName name="FOR_IS_Amortization" localSheetId="9">#REF!</definedName>
    <definedName name="FOR_IS_Amortization">#REF!</definedName>
    <definedName name="FOR_IS_CashDividends" localSheetId="4">#REF!</definedName>
    <definedName name="FOR_IS_CashDividends" localSheetId="9">#REF!</definedName>
    <definedName name="FOR_IS_CashDividends">#REF!</definedName>
    <definedName name="FOR_IS_CGS" localSheetId="4">#REF!</definedName>
    <definedName name="FOR_IS_CGS" localSheetId="9">#REF!</definedName>
    <definedName name="FOR_IS_CGS">#REF!</definedName>
    <definedName name="FOR_IS_CommissionExpense" localSheetId="4">#REF!</definedName>
    <definedName name="FOR_IS_CommissionExpense" localSheetId="9">#REF!</definedName>
    <definedName name="FOR_IS_CommissionExpense">#REF!</definedName>
    <definedName name="FOR_IS_CumAdj" localSheetId="4">#REF!</definedName>
    <definedName name="FOR_IS_CumAdj" localSheetId="9">#REF!</definedName>
    <definedName name="FOR_IS_CumAdj">#REF!</definedName>
    <definedName name="FOR_IS_Depreciation" localSheetId="4">#REF!</definedName>
    <definedName name="FOR_IS_Depreciation" localSheetId="9">#REF!</definedName>
    <definedName name="FOR_IS_Depreciation">#REF!</definedName>
    <definedName name="FOR_IS_DividendsDeclared" localSheetId="4">#REF!</definedName>
    <definedName name="FOR_IS_DividendsDeclared" localSheetId="9">#REF!</definedName>
    <definedName name="FOR_IS_DividendsDeclared">#REF!</definedName>
    <definedName name="FOR_IS_DividendsDeclaredCalculated" localSheetId="4">#REF!</definedName>
    <definedName name="FOR_IS_DividendsDeclaredCalculated" localSheetId="9">#REF!</definedName>
    <definedName name="FOR_IS_DividendsDeclaredCalculated">#REF!</definedName>
    <definedName name="FOR_IS_DividendsDeclaredManual" localSheetId="4">#REF!</definedName>
    <definedName name="FOR_IS_DividendsDeclaredManual" localSheetId="9">#REF!</definedName>
    <definedName name="FOR_IS_DividendsDeclaredManual">#REF!</definedName>
    <definedName name="FOR_IS_DividendsPaidCalculated" localSheetId="4">#REF!</definedName>
    <definedName name="FOR_IS_DividendsPaidCalculated" localSheetId="9">#REF!</definedName>
    <definedName name="FOR_IS_DividendsPaidCalculated">#REF!</definedName>
    <definedName name="FOR_IS_DividendsPaidManual" localSheetId="4">#REF!</definedName>
    <definedName name="FOR_IS_DividendsPaidManual" localSheetId="9">#REF!</definedName>
    <definedName name="FOR_IS_DividendsPaidManual">#REF!</definedName>
    <definedName name="FOR_IS_DividendsPaidSummed" localSheetId="4">#REF!</definedName>
    <definedName name="FOR_IS_DividendsPaidSummed" localSheetId="9">#REF!</definedName>
    <definedName name="FOR_IS_DividendsPaidSummed">#REF!</definedName>
    <definedName name="FOR_IS_DueToMinorities" localSheetId="4">#REF!</definedName>
    <definedName name="FOR_IS_DueToMinorities" localSheetId="9">#REF!</definedName>
    <definedName name="FOR_IS_DueToMinorities">#REF!</definedName>
    <definedName name="FOR_IS_EarningsAfterFinancing" localSheetId="4">#REF!</definedName>
    <definedName name="FOR_IS_EarningsAfterFinancing" localSheetId="9">#REF!</definedName>
    <definedName name="FOR_IS_EarningsAfterFinancing">#REF!</definedName>
    <definedName name="FOR_IS_EBIT" localSheetId="4">#REF!</definedName>
    <definedName name="FOR_IS_EBIT" localSheetId="9">#REF!</definedName>
    <definedName name="FOR_IS_EBIT">#REF!</definedName>
    <definedName name="FOR_IS_EBITDA" localSheetId="4">#REF!</definedName>
    <definedName name="FOR_IS_EBITDA" localSheetId="9">#REF!</definedName>
    <definedName name="FOR_IS_EBITDA">#REF!</definedName>
    <definedName name="FOR_IS_Exceptionals" localSheetId="4">#REF!</definedName>
    <definedName name="FOR_IS_Exceptionals" localSheetId="9">#REF!</definedName>
    <definedName name="FOR_IS_Exceptionals">#REF!</definedName>
    <definedName name="FOR_IS_Extraordinary" localSheetId="4">#REF!</definedName>
    <definedName name="FOR_IS_Extraordinary" localSheetId="9">#REF!</definedName>
    <definedName name="FOR_IS_Extraordinary">#REF!</definedName>
    <definedName name="FOR_IS_GrossProfit" localSheetId="4">#REF!</definedName>
    <definedName name="FOR_IS_GrossProfit" localSheetId="9">#REF!</definedName>
    <definedName name="FOR_IS_GrossProfit">#REF!</definedName>
    <definedName name="FOR_IS_GrossProfitSub1" localSheetId="4">#REF!</definedName>
    <definedName name="FOR_IS_GrossProfitSub1" localSheetId="9">#REF!</definedName>
    <definedName name="FOR_IS_GrossProfitSub1">#REF!</definedName>
    <definedName name="FOR_IS_IncomeFromAssociates" localSheetId="4">#REF!</definedName>
    <definedName name="FOR_IS_IncomeFromAssociates" localSheetId="9">#REF!</definedName>
    <definedName name="FOR_IS_IncomeFromAssociates">#REF!</definedName>
    <definedName name="FOR_IS_IncomeFromAssociatesAfterDividends" localSheetId="4">#REF!</definedName>
    <definedName name="FOR_IS_IncomeFromAssociatesAfterDividends" localSheetId="9">#REF!</definedName>
    <definedName name="FOR_IS_IncomeFromAssociatesAfterDividends">#REF!</definedName>
    <definedName name="FOR_IS_IncomeFromUnConsAffiliates" localSheetId="4">#REF!</definedName>
    <definedName name="FOR_IS_IncomeFromUnConsAffiliates" localSheetId="9">#REF!</definedName>
    <definedName name="FOR_IS_IncomeFromUnConsAffiliates">#REF!</definedName>
    <definedName name="FOR_IS_InsuranceOtherExpense" localSheetId="4">#REF!</definedName>
    <definedName name="FOR_IS_InsuranceOtherExpense" localSheetId="9">#REF!</definedName>
    <definedName name="FOR_IS_InsuranceOtherExpense">#REF!</definedName>
    <definedName name="FOR_IS_InsuranceOtherIncome" localSheetId="4">#REF!</definedName>
    <definedName name="FOR_IS_InsuranceOtherIncome" localSheetId="9">#REF!</definedName>
    <definedName name="FOR_IS_InsuranceOtherIncome">#REF!</definedName>
    <definedName name="FOR_IS_InterestExpense" localSheetId="4">#REF!</definedName>
    <definedName name="FOR_IS_InterestExpense" localSheetId="9">#REF!</definedName>
    <definedName name="FOR_IS_InterestExpense">#REF!</definedName>
    <definedName name="FOR_IS_InterestExpenseCalculated" localSheetId="4">#REF!</definedName>
    <definedName name="FOR_IS_InterestExpenseCalculated" localSheetId="9">#REF!</definedName>
    <definedName name="FOR_IS_InterestExpenseCalculated">#REF!</definedName>
    <definedName name="FOR_IS_InterestExpenseManual" localSheetId="4">#REF!</definedName>
    <definedName name="FOR_IS_InterestExpenseManual" localSheetId="9">#REF!</definedName>
    <definedName name="FOR_IS_InterestExpenseManual">#REF!</definedName>
    <definedName name="FOR_IS_InterestIncome" localSheetId="4">#REF!</definedName>
    <definedName name="FOR_IS_InterestIncome" localSheetId="9">#REF!</definedName>
    <definedName name="FOR_IS_InterestIncome">#REF!</definedName>
    <definedName name="FOR_IS_InterestIncomeCalculated" localSheetId="4">#REF!</definedName>
    <definedName name="FOR_IS_InterestIncomeCalculated" localSheetId="9">#REF!</definedName>
    <definedName name="FOR_IS_InterestIncomeCalculated">#REF!</definedName>
    <definedName name="FOR_IS_InterestIncomeManual" localSheetId="4">#REF!</definedName>
    <definedName name="FOR_IS_InterestIncomeManual" localSheetId="9">#REF!</definedName>
    <definedName name="FOR_IS_InterestIncomeManual">#REF!</definedName>
    <definedName name="FOR_IS_InvestmentIncome" localSheetId="4">#REF!</definedName>
    <definedName name="FOR_IS_InvestmentIncome" localSheetId="9">#REF!</definedName>
    <definedName name="FOR_IS_InvestmentIncome">#REF!</definedName>
    <definedName name="FOR_IS_LoanLossProvision" localSheetId="4">#REF!</definedName>
    <definedName name="FOR_IS_LoanLossProvision" localSheetId="9">#REF!</definedName>
    <definedName name="FOR_IS_LoanLossProvision">#REF!</definedName>
    <definedName name="FOR_IS_NetInterestIncomeExpense" localSheetId="4">#REF!</definedName>
    <definedName name="FOR_IS_NetInterestIncomeExpense" localSheetId="9">#REF!</definedName>
    <definedName name="FOR_IS_NetInterestIncomeExpense">#REF!</definedName>
    <definedName name="FOR_IS_NetProfit" localSheetId="4">#REF!</definedName>
    <definedName name="FOR_IS_NetProfit" localSheetId="9">#REF!</definedName>
    <definedName name="FOR_IS_NetProfit">#REF!</definedName>
    <definedName name="FOR_IS_NetProfitAfterDividends" localSheetId="4">#REF!</definedName>
    <definedName name="FOR_IS_NetProfitAfterDividends" localSheetId="9">#REF!</definedName>
    <definedName name="FOR_IS_NetProfitAfterDividends">#REF!</definedName>
    <definedName name="FOR_IS_NetProfitAfterDividendsDeclared" localSheetId="4">#REF!</definedName>
    <definedName name="FOR_IS_NetProfitAfterDividendsDeclared" localSheetId="9">#REF!</definedName>
    <definedName name="FOR_IS_NetProfitAfterDividendsDeclared">#REF!</definedName>
    <definedName name="FOR_IS_NetProfitAfterMinorities" localSheetId="4">#REF!</definedName>
    <definedName name="FOR_IS_NetProfitAfterMinorities" localSheetId="9">#REF!</definedName>
    <definedName name="FOR_IS_NetProfitAfterMinorities">#REF!</definedName>
    <definedName name="FOR_IS_NetProfitAterExtr" localSheetId="4">#REF!</definedName>
    <definedName name="FOR_IS_NetProfitAterExtr" localSheetId="9">#REF!</definedName>
    <definedName name="FOR_IS_NetProfitAterExtr">#REF!</definedName>
    <definedName name="FOR_IS_NetProfitExcExceptionals" localSheetId="4">#REF!</definedName>
    <definedName name="FOR_IS_NetProfitExcExceptionals" localSheetId="9">#REF!</definedName>
    <definedName name="FOR_IS_NetProfitExcExceptionals">#REF!</definedName>
    <definedName name="FOR_IS_OtherAfterTaxIncomeNet" localSheetId="4">#REF!</definedName>
    <definedName name="FOR_IS_OtherAfterTaxIncomeNet" localSheetId="9">#REF!</definedName>
    <definedName name="FOR_IS_OtherAfterTaxIncomeNet">#REF!</definedName>
    <definedName name="FOR_IS_OtherAssets" localSheetId="4">#REF!</definedName>
    <definedName name="FOR_IS_OtherAssets" localSheetId="9">#REF!</definedName>
    <definedName name="FOR_IS_OtherAssets">#REF!</definedName>
    <definedName name="FOR_IS_OtherBeforeTaxIncomeNet" localSheetId="4">#REF!</definedName>
    <definedName name="FOR_IS_OtherBeforeTaxIncomeNet" localSheetId="9">#REF!</definedName>
    <definedName name="FOR_IS_OtherBeforeTaxIncomeNet">#REF!</definedName>
    <definedName name="FOR_IS_OtherDirectIncomeCosts" localSheetId="4">#REF!</definedName>
    <definedName name="FOR_IS_OtherDirectIncomeCosts" localSheetId="9">#REF!</definedName>
    <definedName name="FOR_IS_OtherDirectIncomeCosts">#REF!</definedName>
    <definedName name="FOR_IS_OtherExpenses" localSheetId="4">#REF!</definedName>
    <definedName name="FOR_IS_OtherExpenses" localSheetId="9">#REF!</definedName>
    <definedName name="FOR_IS_OtherExpenses">#REF!</definedName>
    <definedName name="FOR_IS_OtherIncome" localSheetId="4">#REF!</definedName>
    <definedName name="FOR_IS_OtherIncome" localSheetId="9">#REF!</definedName>
    <definedName name="FOR_IS_OtherIncome">#REF!</definedName>
    <definedName name="FOR_IS_OtherIncomeExpenseNet" localSheetId="4">#REF!</definedName>
    <definedName name="FOR_IS_OtherIncomeExpenseNet" localSheetId="9">#REF!</definedName>
    <definedName name="FOR_IS_OtherIncomeExpenseNet">#REF!</definedName>
    <definedName name="FOR_IS_PreferenceDividends" localSheetId="4">#REF!</definedName>
    <definedName name="FOR_IS_PreferenceDividends" localSheetId="9">#REF!</definedName>
    <definedName name="FOR_IS_PreferenceDividends">#REF!</definedName>
    <definedName name="FOR_IS_PreTaxProfit" localSheetId="4">#REF!</definedName>
    <definedName name="FOR_IS_PreTaxProfit" localSheetId="9">#REF!</definedName>
    <definedName name="FOR_IS_PreTaxProfit">#REF!</definedName>
    <definedName name="FOR_IS_ProAdj" localSheetId="4">#REF!</definedName>
    <definedName name="FOR_IS_ProAdj" localSheetId="9">#REF!</definedName>
    <definedName name="FOR_IS_ProAdj">#REF!</definedName>
    <definedName name="FOR_IS_ProfitBeforeInvestmentIncome" localSheetId="4">#REF!</definedName>
    <definedName name="FOR_IS_ProfitBeforeInvestmentIncome" localSheetId="9">#REF!</definedName>
    <definedName name="FOR_IS_ProfitBeforeInvestmentIncome">#REF!</definedName>
    <definedName name="FOR_IS_ProformaAdjustmentSwitch" localSheetId="4">#REF!</definedName>
    <definedName name="FOR_IS_ProformaAdjustmentSwitch" localSheetId="9">#REF!</definedName>
    <definedName name="FOR_IS_ProformaAdjustmentSwitch">#REF!</definedName>
    <definedName name="FOR_IS_Provisions" localSheetId="4">#REF!</definedName>
    <definedName name="FOR_IS_Provisions" localSheetId="9">#REF!</definedName>
    <definedName name="FOR_IS_Provisions">#REF!</definedName>
    <definedName name="FOR_IS_Revenue" localSheetId="4">#REF!</definedName>
    <definedName name="FOR_IS_Revenue" localSheetId="9">#REF!</definedName>
    <definedName name="FOR_IS_Revenue">#REF!</definedName>
    <definedName name="FOR_IS_STDebtCapitalizedInterest" localSheetId="4">#REF!</definedName>
    <definedName name="FOR_IS_STDebtCapitalizedInterest" localSheetId="9">#REF!</definedName>
    <definedName name="FOR_IS_STDebtCapitalizedInterest">#REF!</definedName>
    <definedName name="FOR_IS_Tax" localSheetId="4">#REF!</definedName>
    <definedName name="FOR_IS_Tax" localSheetId="9">#REF!</definedName>
    <definedName name="FOR_IS_Tax">#REF!</definedName>
    <definedName name="FOR_SC_AvgAssetsInterestBearing" localSheetId="4">#REF!</definedName>
    <definedName name="FOR_SC_AvgAssetsInterestBearing" localSheetId="9">#REF!</definedName>
    <definedName name="FOR_SC_AvgAssetsInterestBearing">#REF!</definedName>
    <definedName name="FOR_SC_AvgBorrowing" localSheetId="4">#REF!</definedName>
    <definedName name="FOR_SC_AvgBorrowing" localSheetId="9">#REF!</definedName>
    <definedName name="FOR_SC_AvgBorrowing">#REF!</definedName>
    <definedName name="FOR_SC_AvgCAInterestBearing" localSheetId="4">#REF!</definedName>
    <definedName name="FOR_SC_AvgCAInterestBearing" localSheetId="9">#REF!</definedName>
    <definedName name="FOR_SC_AvgCAInterestBearing">#REF!</definedName>
    <definedName name="FOR_SC_AvgCAInterestBearingNet" localSheetId="4">#REF!</definedName>
    <definedName name="FOR_SC_AvgCAInterestBearingNet" localSheetId="9">#REF!</definedName>
    <definedName name="FOR_SC_AvgCAInterestBearingNet">#REF!</definedName>
    <definedName name="FOR_SC_AvgCAOtherTotal" localSheetId="4">#REF!</definedName>
    <definedName name="FOR_SC_AvgCAOtherTotal" localSheetId="9">#REF!</definedName>
    <definedName name="FOR_SC_AvgCAOtherTotal">#REF!</definedName>
    <definedName name="FOR_SC_AvgCash" localSheetId="4">#REF!</definedName>
    <definedName name="FOR_SC_AvgCash" localSheetId="9">#REF!</definedName>
    <definedName name="FOR_SC_AvgCash">#REF!</definedName>
    <definedName name="FOR_SC_AvgCashForeign" localSheetId="4">#REF!</definedName>
    <definedName name="FOR_SC_AvgCashForeign" localSheetId="9">#REF!</definedName>
    <definedName name="FOR_SC_AvgCashForeign">#REF!</definedName>
    <definedName name="FOR_SC_AvgCLInterestBearing" localSheetId="4">#REF!</definedName>
    <definedName name="FOR_SC_AvgCLInterestBearing" localSheetId="9">#REF!</definedName>
    <definedName name="FOR_SC_AvgCLInterestBearing">#REF!</definedName>
    <definedName name="FOR_SC_AvgCLOtherTotal" localSheetId="4">#REF!</definedName>
    <definedName name="FOR_SC_AvgCLOtherTotal" localSheetId="9">#REF!</definedName>
    <definedName name="FOR_SC_AvgCLOtherTotal">#REF!</definedName>
    <definedName name="FOR_SC_AvgCreditors" localSheetId="4">#REF!</definedName>
    <definedName name="FOR_SC_AvgCreditors" localSheetId="9">#REF!</definedName>
    <definedName name="FOR_SC_AvgCreditors">#REF!</definedName>
    <definedName name="FOR_SC_AvgDebtors" localSheetId="4">#REF!</definedName>
    <definedName name="FOR_SC_AvgDebtors" localSheetId="9">#REF!</definedName>
    <definedName name="FOR_SC_AvgDebtors">#REF!</definedName>
    <definedName name="FOR_SC_AvgFixedAssets" localSheetId="4">#REF!</definedName>
    <definedName name="FOR_SC_AvgFixedAssets" localSheetId="9">#REF!</definedName>
    <definedName name="FOR_SC_AvgFixedAssets">#REF!</definedName>
    <definedName name="FOR_SC_AvgInventory" localSheetId="4">#REF!</definedName>
    <definedName name="FOR_SC_AvgInventory" localSheetId="9">#REF!</definedName>
    <definedName name="FOR_SC_AvgInventory">#REF!</definedName>
    <definedName name="FOR_SC_AvgLiabilitiesInterestBearing" localSheetId="4">#REF!</definedName>
    <definedName name="FOR_SC_AvgLiabilitiesInterestBearing" localSheetId="9">#REF!</definedName>
    <definedName name="FOR_SC_AvgLiabilitiesInterestBearing">#REF!</definedName>
    <definedName name="FOR_SC_AvgLTAssetsInterestBearing" localSheetId="4">#REF!</definedName>
    <definedName name="FOR_SC_AvgLTAssetsInterestBearing" localSheetId="9">#REF!</definedName>
    <definedName name="FOR_SC_AvgLTAssetsInterestBearing">#REF!</definedName>
    <definedName name="FOR_SC_AvgLTAssetsNonInterestBearing" localSheetId="4">#REF!</definedName>
    <definedName name="FOR_SC_AvgLTAssetsNonInterestBearing" localSheetId="9">#REF!</definedName>
    <definedName name="FOR_SC_AvgLTAssetsNonInterestBearing">#REF!</definedName>
    <definedName name="FOR_SC_AvgLTDebt" localSheetId="4">#REF!</definedName>
    <definedName name="FOR_SC_AvgLTDebt" localSheetId="9">#REF!</definedName>
    <definedName name="FOR_SC_AvgLTDebt">#REF!</definedName>
    <definedName name="FOR_SC_AvgLTLiabilitiesOther" localSheetId="4">#REF!</definedName>
    <definedName name="FOR_SC_AvgLTLiabilitiesOther" localSheetId="9">#REF!</definedName>
    <definedName name="FOR_SC_AvgLTLiabilitiesOther">#REF!</definedName>
    <definedName name="FOR_SC_AvgSTDebt" localSheetId="4">#REF!</definedName>
    <definedName name="FOR_SC_AvgSTDebt" localSheetId="9">#REF!</definedName>
    <definedName name="FOR_SC_AvgSTDebt">#REF!</definedName>
    <definedName name="FOR_SC_AvgSTInvestments" localSheetId="4">#REF!</definedName>
    <definedName name="FOR_SC_AvgSTInvestments" localSheetId="9">#REF!</definedName>
    <definedName name="FOR_SC_AvgSTInvestments">#REF!</definedName>
    <definedName name="FOR_SC_AvgTotalAssets" localSheetId="4">#REF!</definedName>
    <definedName name="FOR_SC_AvgTotalAssets" localSheetId="9">#REF!</definedName>
    <definedName name="FOR_SC_AvgTotalAssets">#REF!</definedName>
    <definedName name="FOR_SC_AvgTotalCurrentAssets" localSheetId="4">#REF!</definedName>
    <definedName name="FOR_SC_AvgTotalCurrentAssets" localSheetId="9">#REF!</definedName>
    <definedName name="FOR_SC_AvgTotalCurrentAssets">#REF!</definedName>
    <definedName name="FOR_SC_AvgTotalEquity" localSheetId="4">#REF!</definedName>
    <definedName name="FOR_SC_AvgTotalEquity" localSheetId="9">#REF!</definedName>
    <definedName name="FOR_SC_AvgTotalEquity">#REF!</definedName>
    <definedName name="FOR_SC_AvgTotalLiabilities" localSheetId="4">#REF!</definedName>
    <definedName name="FOR_SC_AvgTotalLiabilities" localSheetId="9">#REF!</definedName>
    <definedName name="FOR_SC_AvgTotalLiabilities">#REF!</definedName>
    <definedName name="FOR_SC_IntCAInterestBearing" localSheetId="4">#REF!</definedName>
    <definedName name="FOR_SC_IntCAInterestBearing" localSheetId="9">#REF!</definedName>
    <definedName name="FOR_SC_IntCAInterestBearing">#REF!</definedName>
    <definedName name="FOR_SC_IntCash" localSheetId="4">#REF!</definedName>
    <definedName name="FOR_SC_IntCash" localSheetId="9">#REF!</definedName>
    <definedName name="FOR_SC_IntCash">#REF!</definedName>
    <definedName name="FOR_SC_IntCashForeign" localSheetId="4">#REF!</definedName>
    <definedName name="FOR_SC_IntCashForeign" localSheetId="9">#REF!</definedName>
    <definedName name="FOR_SC_IntCashForeign">#REF!</definedName>
    <definedName name="FOR_SC_IntCLInterestBearing" localSheetId="4">#REF!</definedName>
    <definedName name="FOR_SC_IntCLInterestBearing" localSheetId="9">#REF!</definedName>
    <definedName name="FOR_SC_IntCLInterestBearing">#REF!</definedName>
    <definedName name="FOR_SC_InterestExpense" localSheetId="4">#REF!</definedName>
    <definedName name="FOR_SC_InterestExpense" localSheetId="9">#REF!</definedName>
    <definedName name="FOR_SC_InterestExpense">#REF!</definedName>
    <definedName name="FOR_SC_InterestExpenseModel1" localSheetId="4">#REF!</definedName>
    <definedName name="FOR_SC_InterestExpenseModel1" localSheetId="9">#REF!</definedName>
    <definedName name="FOR_SC_InterestExpenseModel1">#REF!</definedName>
    <definedName name="FOR_SC_InterestExpenseModel2" localSheetId="4">#REF!</definedName>
    <definedName name="FOR_SC_InterestExpenseModel2" localSheetId="9">#REF!</definedName>
    <definedName name="FOR_SC_InterestExpenseModel2">#REF!</definedName>
    <definedName name="FOR_SC_InterestIncome" localSheetId="4">#REF!</definedName>
    <definedName name="FOR_SC_InterestIncome" localSheetId="9">#REF!</definedName>
    <definedName name="FOR_SC_InterestIncome">#REF!</definedName>
    <definedName name="FOR_SC_InterestIncomeModel1" localSheetId="4">#REF!</definedName>
    <definedName name="FOR_SC_InterestIncomeModel1" localSheetId="9">#REF!</definedName>
    <definedName name="FOR_SC_InterestIncomeModel1">#REF!</definedName>
    <definedName name="FOR_SC_InterestIncomeModel2" localSheetId="4">#REF!</definedName>
    <definedName name="FOR_SC_InterestIncomeModel2" localSheetId="9">#REF!</definedName>
    <definedName name="FOR_SC_InterestIncomeModel2">#REF!</definedName>
    <definedName name="FOR_SC_IntLTAssetsInterestBearing" localSheetId="4">#REF!</definedName>
    <definedName name="FOR_SC_IntLTAssetsInterestBearing" localSheetId="9">#REF!</definedName>
    <definedName name="FOR_SC_IntLTAssetsInterestBearing">#REF!</definedName>
    <definedName name="FOR_SC_IntLTDebt" localSheetId="4">#REF!</definedName>
    <definedName name="FOR_SC_IntLTDebt" localSheetId="9">#REF!</definedName>
    <definedName name="FOR_SC_IntLTDebt">#REF!</definedName>
    <definedName name="FOR_SC_IntRateCAInterestBearing" localSheetId="4">#REF!</definedName>
    <definedName name="FOR_SC_IntRateCAInterestBearing" localSheetId="9">#REF!</definedName>
    <definedName name="FOR_SC_IntRateCAInterestBearing">#REF!</definedName>
    <definedName name="FOR_SC_IntRateCash" localSheetId="4">#REF!</definedName>
    <definedName name="FOR_SC_IntRateCash" localSheetId="9">#REF!</definedName>
    <definedName name="FOR_SC_IntRateCash">#REF!</definedName>
    <definedName name="FOR_SC_IntRateCashForeign" localSheetId="4">#REF!</definedName>
    <definedName name="FOR_SC_IntRateCashForeign" localSheetId="9">#REF!</definedName>
    <definedName name="FOR_SC_IntRateCashForeign">#REF!</definedName>
    <definedName name="FOR_SC_IntRateCLInterestBearing" localSheetId="4">#REF!</definedName>
    <definedName name="FOR_SC_IntRateCLInterestBearing" localSheetId="9">#REF!</definedName>
    <definedName name="FOR_SC_IntRateCLInterestBearing">#REF!</definedName>
    <definedName name="FOR_SC_IntRateLTAssetsInterestBearing" localSheetId="4">#REF!</definedName>
    <definedName name="FOR_SC_IntRateLTAssetsInterestBearing" localSheetId="9">#REF!</definedName>
    <definedName name="FOR_SC_IntRateLTAssetsInterestBearing">#REF!</definedName>
    <definedName name="FOR_SC_IntRateLTDebt" localSheetId="4">#REF!</definedName>
    <definedName name="FOR_SC_IntRateLTDebt" localSheetId="9">#REF!</definedName>
    <definedName name="FOR_SC_IntRateLTDebt">#REF!</definedName>
    <definedName name="FOR_SC_IntRateSTDebt" localSheetId="4">#REF!</definedName>
    <definedName name="FOR_SC_IntRateSTDebt" localSheetId="9">#REF!</definedName>
    <definedName name="FOR_SC_IntRateSTDebt">#REF!</definedName>
    <definedName name="FOR_SC_IntRateSTInvestments" localSheetId="4">#REF!</definedName>
    <definedName name="FOR_SC_IntRateSTInvestments" localSheetId="9">#REF!</definedName>
    <definedName name="FOR_SC_IntRateSTInvestments">#REF!</definedName>
    <definedName name="FOR_SC_IntSTDebt" localSheetId="4">#REF!</definedName>
    <definedName name="FOR_SC_IntSTDebt" localSheetId="9">#REF!</definedName>
    <definedName name="FOR_SC_IntSTDebt">#REF!</definedName>
    <definedName name="FOR_SC_IntSTInvestments" localSheetId="4">#REF!</definedName>
    <definedName name="FOR_SC_IntSTInvestments" localSheetId="9">#REF!</definedName>
    <definedName name="FOR_SC_IntSTInvestments">#REF!</definedName>
    <definedName name="FOR_SC_RangeBankingRatios" localSheetId="4">#REF!</definedName>
    <definedName name="FOR_SC_RangeBankingRatios" localSheetId="9">#REF!</definedName>
    <definedName name="FOR_SC_RangeBankingRatios">#REF!</definedName>
    <definedName name="FOR_SC_RateTax" localSheetId="4">#REF!</definedName>
    <definedName name="FOR_SC_RateTax" localSheetId="9">#REF!</definedName>
    <definedName name="FOR_SC_RateTax">#REF!</definedName>
    <definedName name="FOR_SC_TotalAssetsInterestBearing" localSheetId="4">#REF!</definedName>
    <definedName name="FOR_SC_TotalAssetsInterestBearing" localSheetId="9">#REF!</definedName>
    <definedName name="FOR_SC_TotalAssetsInterestBearing">#REF!</definedName>
    <definedName name="FOR_SC_TotalBorrowing" localSheetId="4">#REF!</definedName>
    <definedName name="FOR_SC_TotalBorrowing" localSheetId="9">#REF!</definedName>
    <definedName name="FOR_SC_TotalBorrowing">#REF!</definedName>
    <definedName name="FOR_SC_TotalCAInterestBearing" localSheetId="4">#REF!</definedName>
    <definedName name="FOR_SC_TotalCAInterestBearing" localSheetId="9">#REF!</definedName>
    <definedName name="FOR_SC_TotalCAInterestBearing">#REF!</definedName>
    <definedName name="FOR_SC_TotalCLInterestBearing" localSheetId="4">#REF!</definedName>
    <definedName name="FOR_SC_TotalCLInterestBearing" localSheetId="9">#REF!</definedName>
    <definedName name="FOR_SC_TotalCLInterestBearing">#REF!</definedName>
    <definedName name="FOR_SC_TotalDeposits" localSheetId="4">#REF!</definedName>
    <definedName name="FOR_SC_TotalDeposits" localSheetId="9">#REF!</definedName>
    <definedName name="FOR_SC_TotalDeposits">#REF!</definedName>
    <definedName name="FOR_SC_TotalLiabilitiesInterestBearing" localSheetId="4">#REF!</definedName>
    <definedName name="FOR_SC_TotalLiabilitiesInterestBearing" localSheetId="9">#REF!</definedName>
    <definedName name="FOR_SC_TotalLiabilitiesInterestBearing">#REF!</definedName>
    <definedName name="FOR_SC_TotalNetTangibleAssets" localSheetId="4">#REF!</definedName>
    <definedName name="FOR_SC_TotalNetTangibleAssets" localSheetId="9">#REF!</definedName>
    <definedName name="FOR_SC_TotalNetTangibleAssets">#REF!</definedName>
    <definedName name="FOR_SD_AdjustmentFactorCumulative" localSheetId="4">#REF!</definedName>
    <definedName name="FOR_SD_AdjustmentFactorCumulative" localSheetId="9">#REF!</definedName>
    <definedName name="FOR_SD_AdjustmentFactorCumulative">#REF!</definedName>
    <definedName name="FOR_SD_CashDividends" localSheetId="4">#REF!</definedName>
    <definedName name="FOR_SD_CashDividends" localSheetId="9">#REF!</definedName>
    <definedName name="FOR_SD_CashDividends">#REF!</definedName>
    <definedName name="FOR_SD_DPS" localSheetId="4">#REF!</definedName>
    <definedName name="FOR_SD_DPS" localSheetId="9">#REF!</definedName>
    <definedName name="FOR_SD_DPS">#REF!</definedName>
    <definedName name="FOR_SD_DPSAdj" localSheetId="4">#REF!</definedName>
    <definedName name="FOR_SD_DPSAdj" localSheetId="9">#REF!</definedName>
    <definedName name="FOR_SD_DPSAdj">#REF!</definedName>
    <definedName name="FOR_SD_EPSPrimary" localSheetId="4">#REF!</definedName>
    <definedName name="FOR_SD_EPSPrimary" localSheetId="9">#REF!</definedName>
    <definedName name="FOR_SD_EPSPrimary">#REF!</definedName>
    <definedName name="FOR_SD_PayoutRatio" localSheetId="4">#REF!</definedName>
    <definedName name="FOR_SD_PayoutRatio" localSheetId="9">#REF!</definedName>
    <definedName name="FOR_SD_PayoutRatio">#REF!</definedName>
    <definedName name="FOR_SD_SharesPrimary" localSheetId="4">#REF!</definedName>
    <definedName name="FOR_SD_SharesPrimary" localSheetId="9">#REF!</definedName>
    <definedName name="FOR_SD_SharesPrimary">#REF!</definedName>
    <definedName name="FORE_ALL" localSheetId="4">#REF!</definedName>
    <definedName name="FORE_ALL" localSheetId="9">#REF!</definedName>
    <definedName name="FORE_ALL">#REF!</definedName>
    <definedName name="Forecast_year_end" localSheetId="4">#REF!</definedName>
    <definedName name="Forecast_year_end" localSheetId="9">#REF!</definedName>
    <definedName name="Forecast_Year_end">#REF!</definedName>
    <definedName name="Foreign_Currency_Loans_Secured">#REF!</definedName>
    <definedName name="foreigndebt_totaldebt" localSheetId="4">#REF!</definedName>
    <definedName name="foreigndebt_totaldebt" localSheetId="5">#REF!</definedName>
    <definedName name="foreigndebt_totaldebt" localSheetId="15">#REF!</definedName>
    <definedName name="foreigndebt_totaldebt" localSheetId="19">#REF!</definedName>
    <definedName name="foreigndebt_totaldebt" localSheetId="18">#REF!</definedName>
    <definedName name="foreigndebt_totaldebt" localSheetId="14">#REF!</definedName>
    <definedName name="foreigndebt_totaldebt" localSheetId="12">#REF!</definedName>
    <definedName name="foreigndebt_totaldebt" localSheetId="24">#REF!</definedName>
    <definedName name="foreigndebt_totaldebt" localSheetId="7">#REF!</definedName>
    <definedName name="foreigndebt_totaldebt" localSheetId="20">#REF!</definedName>
    <definedName name="foreigndebt_totaldebt" localSheetId="21">#REF!</definedName>
    <definedName name="foreigndebt_totaldebt" localSheetId="11">#REF!</definedName>
    <definedName name="foreigndebt_totaldebt" localSheetId="17">#REF!</definedName>
    <definedName name="foreigndebt_totaldebt" localSheetId="16">#REF!</definedName>
    <definedName name="foreigndebt_totaldebt" localSheetId="22">#REF!</definedName>
    <definedName name="foreigndebt_totaldebt" localSheetId="9">#REF!</definedName>
    <definedName name="foreigndebt_totaldebt" localSheetId="13">#REF!</definedName>
    <definedName name="foreigndebt_totaldebt" localSheetId="23">#REF!</definedName>
    <definedName name="foreigndebt_totaldebt">#REF!</definedName>
    <definedName name="FOREIGNPAY">#REF!</definedName>
    <definedName name="forex_gains_losses">#REF!</definedName>
    <definedName name="forex_gains_losses_A">#REF!</definedName>
    <definedName name="forex_gains_losses_Q">#REF!</definedName>
    <definedName name="FOTHER" localSheetId="4">#REF!</definedName>
    <definedName name="FOTHER" localSheetId="9">#REF!</definedName>
    <definedName name="FOTHER">#REF!</definedName>
    <definedName name="fpotato" localSheetId="4">#REF!</definedName>
    <definedName name="fpotato" localSheetId="5">#REF!</definedName>
    <definedName name="fpotato" localSheetId="15">#REF!</definedName>
    <definedName name="fpotato" localSheetId="19">#REF!</definedName>
    <definedName name="fpotato" localSheetId="18">#REF!</definedName>
    <definedName name="fpotato" localSheetId="14">#REF!</definedName>
    <definedName name="fpotato" localSheetId="12">#REF!</definedName>
    <definedName name="fpotato" localSheetId="24">#REF!</definedName>
    <definedName name="fpotato" localSheetId="7">#REF!</definedName>
    <definedName name="fpotato" localSheetId="20">#REF!</definedName>
    <definedName name="fpotato" localSheetId="21">#REF!</definedName>
    <definedName name="fpotato" localSheetId="11">#REF!</definedName>
    <definedName name="fpotato" localSheetId="17">#REF!</definedName>
    <definedName name="fpotato" localSheetId="16">#REF!</definedName>
    <definedName name="fpotato" localSheetId="22">#REF!</definedName>
    <definedName name="fpotato" localSheetId="9">#REF!</definedName>
    <definedName name="fpotato" localSheetId="13">#REF!</definedName>
    <definedName name="fpotato" localSheetId="23">#REF!</definedName>
    <definedName name="fpotato">#REF!</definedName>
    <definedName name="FPREROIC" localSheetId="4">#REF!</definedName>
    <definedName name="FPREROIC" localSheetId="9">#REF!</definedName>
    <definedName name="FPREROIC">#REF!</definedName>
    <definedName name="FR_CODE_COPY_LINK">" "</definedName>
    <definedName name="FR_CODE_DOWNLOAD_START">" "</definedName>
    <definedName name="FR_CODE_STOCK_LINK">" "</definedName>
    <definedName name="FR_COM_ABBR">" "</definedName>
    <definedName name="FR_COM_ABBR_LINK">" "</definedName>
    <definedName name="FR_COM_AGG">0</definedName>
    <definedName name="FR_COM_NAME_LINK">" "</definedName>
    <definedName name="FR_COU_ABBR">" "</definedName>
    <definedName name="FR_COU_ABBR_LINK">"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HOW_LINK_MARKER">TRUE</definedName>
    <definedName name="FR_START_DATE">"'"</definedName>
    <definedName name="FR_USE_BILLIONS">FALSE</definedName>
    <definedName name="FR_USE_DIMFAC">TRUE</definedName>
    <definedName name="FR_USE_LOCAL_CCY">TRUE</definedName>
    <definedName name="FR_USE_PRICEFACTORING">FALSE</definedName>
    <definedName name="FR_WORKBOOK">"K:\EQR\Bhuvnesh\current software\hcl.xls"</definedName>
    <definedName name="free_cash_flow" localSheetId="4">#REF!</definedName>
    <definedName name="free_cash_flow" localSheetId="9">#REF!</definedName>
    <definedName name="free_cash_flow">#REF!</definedName>
    <definedName name="free_cash_flow_equity" localSheetId="4">#REF!</definedName>
    <definedName name="free_cash_flow_equity" localSheetId="5">#REF!</definedName>
    <definedName name="free_cash_flow_equity" localSheetId="15">#REF!</definedName>
    <definedName name="free_cash_flow_equity" localSheetId="19">#REF!</definedName>
    <definedName name="free_cash_flow_equity" localSheetId="18">#REF!</definedName>
    <definedName name="free_cash_flow_equity" localSheetId="14">#REF!</definedName>
    <definedName name="free_cash_flow_equity" localSheetId="12">#REF!</definedName>
    <definedName name="free_cash_flow_equity" localSheetId="24">#REF!</definedName>
    <definedName name="free_cash_flow_equity" localSheetId="7">#REF!</definedName>
    <definedName name="free_cash_flow_equity" localSheetId="20">#REF!</definedName>
    <definedName name="free_cash_flow_equity" localSheetId="21">#REF!</definedName>
    <definedName name="free_cash_flow_equity" localSheetId="11">#REF!</definedName>
    <definedName name="free_cash_flow_equity" localSheetId="17">#REF!</definedName>
    <definedName name="free_cash_flow_equity" localSheetId="16">#REF!</definedName>
    <definedName name="free_cash_flow_equity" localSheetId="22">#REF!</definedName>
    <definedName name="free_cash_flow_equity" localSheetId="9">#REF!</definedName>
    <definedName name="free_cash_flow_equity" localSheetId="13">#REF!</definedName>
    <definedName name="free_cash_flow_equity" localSheetId="23">#REF!</definedName>
    <definedName name="free_cash_flow_equity">#REF!</definedName>
    <definedName name="Free_cash_flow6">#REF!</definedName>
    <definedName name="Free_Reserves">#REF!</definedName>
    <definedName name="Freehold_Land_AD">#REF!</definedName>
    <definedName name="Freehold_Land_Dep">#REF!</definedName>
    <definedName name="Freehold_Land_GB">#REF!</definedName>
    <definedName name="Freehold_Land_NB">#REF!</definedName>
    <definedName name="freight">#REF!</definedName>
    <definedName name="Freightworking">#REF!</definedName>
    <definedName name="FreshDeli12" localSheetId="4">#REF!</definedName>
    <definedName name="FreshDeli12" localSheetId="5">#REF!</definedName>
    <definedName name="FreshDeli12" localSheetId="15">#REF!</definedName>
    <definedName name="FreshDeli12" localSheetId="19">#REF!</definedName>
    <definedName name="FreshDeli12" localSheetId="18">#REF!</definedName>
    <definedName name="FreshDeli12" localSheetId="14">#REF!</definedName>
    <definedName name="FreshDeli12" localSheetId="12">#REF!</definedName>
    <definedName name="FreshDeli12" localSheetId="24">#REF!</definedName>
    <definedName name="FreshDeli12" localSheetId="7">#REF!</definedName>
    <definedName name="FreshDeli12" localSheetId="20">#REF!</definedName>
    <definedName name="FreshDeli12" localSheetId="21">#REF!</definedName>
    <definedName name="FreshDeli12" localSheetId="11">#REF!</definedName>
    <definedName name="FreshDeli12" localSheetId="17">#REF!</definedName>
    <definedName name="FreshDeli12" localSheetId="16">#REF!</definedName>
    <definedName name="FreshDeli12" localSheetId="22">#REF!</definedName>
    <definedName name="FreshDeli12" localSheetId="9">#REF!</definedName>
    <definedName name="FreshDeli12" localSheetId="13">#REF!</definedName>
    <definedName name="FreshDeli12" localSheetId="23">#REF!</definedName>
    <definedName name="FreshDeli12">#REF!</definedName>
    <definedName name="FreshDeli13" localSheetId="4">#REF!</definedName>
    <definedName name="FreshDeli13" localSheetId="5">#REF!</definedName>
    <definedName name="FreshDeli13" localSheetId="15">#REF!</definedName>
    <definedName name="FreshDeli13" localSheetId="19">#REF!</definedName>
    <definedName name="FreshDeli13" localSheetId="18">#REF!</definedName>
    <definedName name="FreshDeli13" localSheetId="14">#REF!</definedName>
    <definedName name="FreshDeli13" localSheetId="12">#REF!</definedName>
    <definedName name="FreshDeli13" localSheetId="24">#REF!</definedName>
    <definedName name="FreshDeli13" localSheetId="7">#REF!</definedName>
    <definedName name="FreshDeli13" localSheetId="20">#REF!</definedName>
    <definedName name="FreshDeli13" localSheetId="21">#REF!</definedName>
    <definedName name="FreshDeli13" localSheetId="11">#REF!</definedName>
    <definedName name="FreshDeli13" localSheetId="17">#REF!</definedName>
    <definedName name="FreshDeli13" localSheetId="16">#REF!</definedName>
    <definedName name="FreshDeli13" localSheetId="22">#REF!</definedName>
    <definedName name="FreshDeli13" localSheetId="9">#REF!</definedName>
    <definedName name="FreshDeli13" localSheetId="13">#REF!</definedName>
    <definedName name="FreshDeli13" localSheetId="23">#REF!</definedName>
    <definedName name="FreshDeli13">#REF!</definedName>
    <definedName name="Fringe_Benefit_Tax">#REF!</definedName>
    <definedName name="fringe_benefit_tax_Q">#REF!</definedName>
    <definedName name="FROIC" localSheetId="4">#REF!</definedName>
    <definedName name="FROIC" localSheetId="9">#REF!</definedName>
    <definedName name="FROIC">#REF!</definedName>
    <definedName name="FROICYEARS" localSheetId="4">#REF!</definedName>
    <definedName name="FROICYEARS" localSheetId="9">#REF!</definedName>
    <definedName name="FROICYEARS">#REF!</definedName>
    <definedName name="front_page">#REF!</definedName>
    <definedName name="FSG_A" localSheetId="4">#REF!</definedName>
    <definedName name="FSG_A" localSheetId="9">#REF!</definedName>
    <definedName name="FSG_A">#REF!</definedName>
    <definedName name="FTURNOVER" localSheetId="4">#REF!</definedName>
    <definedName name="FTURNOVER" localSheetId="9">#REF!</definedName>
    <definedName name="FTURNOVER">#REF!</definedName>
    <definedName name="fully_diluted_earnings">#REF!</definedName>
    <definedName name="Fully_diluted_earnings6">#REF!</definedName>
    <definedName name="fully_diluted_shares">#REF!</definedName>
    <definedName name="fully_diluted_shares_A">#REF!</definedName>
    <definedName name="Fully_diluted_shares_m">#REF!</definedName>
    <definedName name="Furniture_and_Fixtures_AD">#REF!</definedName>
    <definedName name="Furniture_and_Fixtures_Dep">#REF!</definedName>
    <definedName name="Furniture_and_Fixtures_GB">#REF!</definedName>
    <definedName name="Furniture_and_Fixtures_NB">#REF!</definedName>
    <definedName name="futcpxprint1">#REF!</definedName>
    <definedName name="fv" localSheetId="4">#REF!</definedName>
    <definedName name="fv" localSheetId="5">#REF!</definedName>
    <definedName name="fv" localSheetId="15">#REF!</definedName>
    <definedName name="fv" localSheetId="19">#REF!</definedName>
    <definedName name="fv" localSheetId="18">#REF!</definedName>
    <definedName name="fv" localSheetId="14">#REF!</definedName>
    <definedName name="fv" localSheetId="12">#REF!</definedName>
    <definedName name="fv" localSheetId="24">#REF!</definedName>
    <definedName name="fv" localSheetId="7">#REF!</definedName>
    <definedName name="fv" localSheetId="20">#REF!</definedName>
    <definedName name="fv" localSheetId="21">#REF!</definedName>
    <definedName name="fv" localSheetId="11">#REF!</definedName>
    <definedName name="fv" localSheetId="17">#REF!</definedName>
    <definedName name="fv" localSheetId="16">#REF!</definedName>
    <definedName name="fv" localSheetId="22">#REF!</definedName>
    <definedName name="fv" localSheetId="9">#REF!</definedName>
    <definedName name="fv" localSheetId="13">#REF!</definedName>
    <definedName name="fv" localSheetId="23">#REF!</definedName>
    <definedName name="fv">#REF!</definedName>
    <definedName name="FWORKING" localSheetId="4">#REF!</definedName>
    <definedName name="FWORKING" localSheetId="9">#REF!</definedName>
    <definedName name="FWORKING">#REF!</definedName>
    <definedName name="fxa" localSheetId="4">#REF!</definedName>
    <definedName name="fxa" localSheetId="5">#REF!</definedName>
    <definedName name="fxa" localSheetId="15">#REF!</definedName>
    <definedName name="fxa" localSheetId="19">#REF!</definedName>
    <definedName name="fxa" localSheetId="18">#REF!</definedName>
    <definedName name="fxa" localSheetId="14">#REF!</definedName>
    <definedName name="fxa" localSheetId="12">#REF!</definedName>
    <definedName name="fxa" localSheetId="24">#REF!</definedName>
    <definedName name="fxa" localSheetId="7">#REF!</definedName>
    <definedName name="fxa" localSheetId="20">#REF!</definedName>
    <definedName name="fxa" localSheetId="21">#REF!</definedName>
    <definedName name="fxa" localSheetId="11">#REF!</definedName>
    <definedName name="fxa" localSheetId="17">#REF!</definedName>
    <definedName name="fxa" localSheetId="16">#REF!</definedName>
    <definedName name="fxa" localSheetId="22">#REF!</definedName>
    <definedName name="fxa" localSheetId="9">#REF!</definedName>
    <definedName name="fxa" localSheetId="13">#REF!</definedName>
    <definedName name="fxa" localSheetId="23">#REF!</definedName>
    <definedName name="fxa">#REF!</definedName>
    <definedName name="fxe" localSheetId="4">#REF!</definedName>
    <definedName name="fxe" localSheetId="5">#REF!</definedName>
    <definedName name="fxe" localSheetId="15">#REF!</definedName>
    <definedName name="fxe" localSheetId="19">#REF!</definedName>
    <definedName name="fxe" localSheetId="18">#REF!</definedName>
    <definedName name="fxe" localSheetId="14">#REF!</definedName>
    <definedName name="fxe" localSheetId="12">#REF!</definedName>
    <definedName name="fxe" localSheetId="24">#REF!</definedName>
    <definedName name="fxe" localSheetId="7">#REF!</definedName>
    <definedName name="fxe" localSheetId="20">#REF!</definedName>
    <definedName name="fxe" localSheetId="21">#REF!</definedName>
    <definedName name="fxe" localSheetId="11">#REF!</definedName>
    <definedName name="fxe" localSheetId="17">#REF!</definedName>
    <definedName name="fxe" localSheetId="16">#REF!</definedName>
    <definedName name="fxe" localSheetId="22">#REF!</definedName>
    <definedName name="fxe" localSheetId="9">#REF!</definedName>
    <definedName name="fxe" localSheetId="13">#REF!</definedName>
    <definedName name="fxe" localSheetId="23">#REF!</definedName>
    <definedName name="fxe">#REF!</definedName>
    <definedName name="FY">#REF!</definedName>
    <definedName name="FY_1">#REF!</definedName>
    <definedName name="FY1991_" localSheetId="4">#REF!</definedName>
    <definedName name="FY1991_" localSheetId="5">#REF!</definedName>
    <definedName name="FY1991_" localSheetId="15">#REF!</definedName>
    <definedName name="FY1991_" localSheetId="19">#REF!</definedName>
    <definedName name="FY1991_" localSheetId="18">#REF!</definedName>
    <definedName name="FY1991_" localSheetId="14">#REF!</definedName>
    <definedName name="FY1991_" localSheetId="12">#REF!</definedName>
    <definedName name="FY1991_" localSheetId="24">#REF!</definedName>
    <definedName name="FY1991_" localSheetId="7">#REF!</definedName>
    <definedName name="FY1991_" localSheetId="20">#REF!</definedName>
    <definedName name="FY1991_" localSheetId="21">#REF!</definedName>
    <definedName name="FY1991_" localSheetId="11">#REF!</definedName>
    <definedName name="FY1991_" localSheetId="17">#REF!</definedName>
    <definedName name="FY1991_" localSheetId="16">#REF!</definedName>
    <definedName name="FY1991_" localSheetId="22">#REF!</definedName>
    <definedName name="FY1991_" localSheetId="9">#REF!</definedName>
    <definedName name="FY1991_" localSheetId="13">#REF!</definedName>
    <definedName name="FY1991_" localSheetId="23">#REF!</definedName>
    <definedName name="FY1991_">#REF!</definedName>
    <definedName name="FY1992_" localSheetId="4">#REF!</definedName>
    <definedName name="FY1992_" localSheetId="5">#REF!</definedName>
    <definedName name="FY1992_" localSheetId="15">#REF!</definedName>
    <definedName name="FY1992_" localSheetId="19">#REF!</definedName>
    <definedName name="FY1992_" localSheetId="18">#REF!</definedName>
    <definedName name="FY1992_" localSheetId="14">#REF!</definedName>
    <definedName name="FY1992_" localSheetId="12">#REF!</definedName>
    <definedName name="FY1992_" localSheetId="24">#REF!</definedName>
    <definedName name="FY1992_" localSheetId="7">#REF!</definedName>
    <definedName name="FY1992_" localSheetId="20">#REF!</definedName>
    <definedName name="FY1992_" localSheetId="21">#REF!</definedName>
    <definedName name="FY1992_" localSheetId="11">#REF!</definedName>
    <definedName name="FY1992_" localSheetId="17">#REF!</definedName>
    <definedName name="FY1992_" localSheetId="16">#REF!</definedName>
    <definedName name="FY1992_" localSheetId="22">#REF!</definedName>
    <definedName name="FY1992_" localSheetId="9">#REF!</definedName>
    <definedName name="FY1992_" localSheetId="13">#REF!</definedName>
    <definedName name="FY1992_" localSheetId="23">#REF!</definedName>
    <definedName name="FY1992_">#REF!</definedName>
    <definedName name="FY1993_" localSheetId="4">#REF!</definedName>
    <definedName name="FY1993_" localSheetId="5">#REF!</definedName>
    <definedName name="FY1993_" localSheetId="15">#REF!</definedName>
    <definedName name="FY1993_" localSheetId="19">#REF!</definedName>
    <definedName name="FY1993_" localSheetId="18">#REF!</definedName>
    <definedName name="FY1993_" localSheetId="14">#REF!</definedName>
    <definedName name="FY1993_" localSheetId="12">#REF!</definedName>
    <definedName name="FY1993_" localSheetId="24">#REF!</definedName>
    <definedName name="FY1993_" localSheetId="7">#REF!</definedName>
    <definedName name="FY1993_" localSheetId="20">#REF!</definedName>
    <definedName name="FY1993_" localSheetId="21">#REF!</definedName>
    <definedName name="FY1993_" localSheetId="11">#REF!</definedName>
    <definedName name="FY1993_" localSheetId="17">#REF!</definedName>
    <definedName name="FY1993_" localSheetId="16">#REF!</definedName>
    <definedName name="FY1993_" localSheetId="22">#REF!</definedName>
    <definedName name="FY1993_" localSheetId="9">#REF!</definedName>
    <definedName name="FY1993_" localSheetId="13">#REF!</definedName>
    <definedName name="FY1993_" localSheetId="23">#REF!</definedName>
    <definedName name="FY1993_">#REF!</definedName>
    <definedName name="FY1994_" localSheetId="4">#REF!</definedName>
    <definedName name="FY1994_" localSheetId="9">#REF!</definedName>
    <definedName name="FY1994_">#REF!</definedName>
    <definedName name="FY1995_" localSheetId="4">#REF!</definedName>
    <definedName name="FY1995_" localSheetId="9">#REF!</definedName>
    <definedName name="FY1995_">#REF!</definedName>
    <definedName name="FY1996_" localSheetId="4">#REF!</definedName>
    <definedName name="FY1996_" localSheetId="9">#REF!</definedName>
    <definedName name="FY1996_">#REF!</definedName>
    <definedName name="FY1997_" localSheetId="4">#REF!</definedName>
    <definedName name="FY1997_" localSheetId="9">#REF!</definedName>
    <definedName name="FY1997_">#REF!</definedName>
    <definedName name="FY1998_" localSheetId="4">#REF!</definedName>
    <definedName name="FY1998_" localSheetId="9">#REF!</definedName>
    <definedName name="FY1998_">#REF!</definedName>
    <definedName name="FY1999_" localSheetId="4">#REF!</definedName>
    <definedName name="FY1999_" localSheetId="9">#REF!</definedName>
    <definedName name="FY1999_">#REF!</definedName>
    <definedName name="FY2000_" localSheetId="4">#REF!</definedName>
    <definedName name="FY2000_" localSheetId="9">#REF!</definedName>
    <definedName name="FY2000_">#REF!</definedName>
    <definedName name="FY2001_" localSheetId="4">#REF!</definedName>
    <definedName name="FY2001_" localSheetId="9">#REF!</definedName>
    <definedName name="FY2001_">#REF!</definedName>
    <definedName name="FY2002_" localSheetId="4">#REF!</definedName>
    <definedName name="FY2002_" localSheetId="9">#REF!</definedName>
    <definedName name="FY2002_">#REF!</definedName>
    <definedName name="FY2003_" localSheetId="4">#REF!</definedName>
    <definedName name="FY2003_" localSheetId="9">#REF!</definedName>
    <definedName name="FY2003_">#REF!</definedName>
    <definedName name="FY2004_" localSheetId="4">#REF!</definedName>
    <definedName name="FY2004_" localSheetId="9">#REF!</definedName>
    <definedName name="FY2004_">#REF!</definedName>
    <definedName name="FY2005_" localSheetId="4">#REF!</definedName>
    <definedName name="FY2005_" localSheetId="9">#REF!</definedName>
    <definedName name="FY2005_">#REF!</definedName>
    <definedName name="FY92." localSheetId="4">#REF!</definedName>
    <definedName name="FY92." localSheetId="9">#REF!</definedName>
    <definedName name="FY92.">#REF!</definedName>
    <definedName name="FY92_" localSheetId="4">#REF!</definedName>
    <definedName name="FY92_" localSheetId="9">#REF!</definedName>
    <definedName name="FY92_">#REF!</definedName>
    <definedName name="FY93." localSheetId="4">#REF!</definedName>
    <definedName name="FY93." localSheetId="9">#REF!</definedName>
    <definedName name="FY93.">#REF!</definedName>
    <definedName name="FY93_" localSheetId="4">#REF!</definedName>
    <definedName name="FY93_" localSheetId="9">#REF!</definedName>
    <definedName name="FY93_">#REF!</definedName>
    <definedName name="FY93c" localSheetId="4">#REF!</definedName>
    <definedName name="FY93c" localSheetId="9">#REF!</definedName>
    <definedName name="FY93c">#REF!</definedName>
    <definedName name="FY94." localSheetId="4">#REF!</definedName>
    <definedName name="FY94." localSheetId="9">#REF!</definedName>
    <definedName name="FY94.">#REF!</definedName>
    <definedName name="FY94_" localSheetId="4">#REF!</definedName>
    <definedName name="FY94_" localSheetId="9">#REF!</definedName>
    <definedName name="FY94_">#REF!</definedName>
    <definedName name="FY94c" localSheetId="4">#REF!</definedName>
    <definedName name="FY94c" localSheetId="9">#REF!</definedName>
    <definedName name="FY94c">#REF!</definedName>
    <definedName name="FY95." localSheetId="4">#REF!</definedName>
    <definedName name="FY95." localSheetId="9">#REF!</definedName>
    <definedName name="FY95.">#REF!</definedName>
    <definedName name="FY95_" localSheetId="4">#REF!</definedName>
    <definedName name="FY95_" localSheetId="9">#REF!</definedName>
    <definedName name="FY95_">#REF!</definedName>
    <definedName name="FY95c" localSheetId="4">#REF!</definedName>
    <definedName name="FY95c" localSheetId="9">#REF!</definedName>
    <definedName name="FY95c">#REF!</definedName>
    <definedName name="FY96." localSheetId="4">#REF!</definedName>
    <definedName name="FY96." localSheetId="9">#REF!</definedName>
    <definedName name="FY96.">#REF!</definedName>
    <definedName name="FY96_" localSheetId="4">#REF!</definedName>
    <definedName name="FY96_" localSheetId="9">#REF!</definedName>
    <definedName name="FY96_">#REF!</definedName>
    <definedName name="FY96c" localSheetId="4">#REF!</definedName>
    <definedName name="FY96c" localSheetId="9">#REF!</definedName>
    <definedName name="FY96c">#REF!</definedName>
    <definedName name="FY97." localSheetId="4">#REF!</definedName>
    <definedName name="FY97." localSheetId="9">#REF!</definedName>
    <definedName name="FY97.">#REF!</definedName>
    <definedName name="FY97_" localSheetId="4">#REF!</definedName>
    <definedName name="FY97_" localSheetId="9">#REF!</definedName>
    <definedName name="FY97_">#REF!</definedName>
    <definedName name="FY97c" localSheetId="4">#REF!</definedName>
    <definedName name="FY97c" localSheetId="9">#REF!</definedName>
    <definedName name="FY97c">#REF!</definedName>
    <definedName name="FY98." localSheetId="4">#REF!</definedName>
    <definedName name="FY98." localSheetId="9">#REF!</definedName>
    <definedName name="FY98.">#REF!</definedName>
    <definedName name="FY98_" localSheetId="4">#REF!</definedName>
    <definedName name="FY98_" localSheetId="9">#REF!</definedName>
    <definedName name="FY98_">#REF!</definedName>
    <definedName name="FY98c" localSheetId="4">#REF!</definedName>
    <definedName name="FY98c" localSheetId="9">#REF!</definedName>
    <definedName name="FY98c">#REF!</definedName>
    <definedName name="FY99." localSheetId="4">#REF!</definedName>
    <definedName name="FY99." localSheetId="9">#REF!</definedName>
    <definedName name="FY99.">#REF!</definedName>
    <definedName name="FY99_" localSheetId="4">#REF!</definedName>
    <definedName name="FY99_" localSheetId="9">#REF!</definedName>
    <definedName name="FY99_">#REF!</definedName>
    <definedName name="FY99c" localSheetId="4">#REF!</definedName>
    <definedName name="FY99c" localSheetId="9">#REF!</definedName>
    <definedName name="FY99c">#REF!</definedName>
    <definedName name="FYEnd">#REF!</definedName>
    <definedName name="fzpotato" localSheetId="4">#REF!</definedName>
    <definedName name="fzpotato" localSheetId="5">#REF!</definedName>
    <definedName name="fzpotato" localSheetId="15">#REF!</definedName>
    <definedName name="fzpotato" localSheetId="19">#REF!</definedName>
    <definedName name="fzpotato" localSheetId="18">#REF!</definedName>
    <definedName name="fzpotato" localSheetId="14">#REF!</definedName>
    <definedName name="fzpotato" localSheetId="12">#REF!</definedName>
    <definedName name="fzpotato" localSheetId="24">#REF!</definedName>
    <definedName name="fzpotato" localSheetId="7">#REF!</definedName>
    <definedName name="fzpotato" localSheetId="20">#REF!</definedName>
    <definedName name="fzpotato" localSheetId="21">#REF!</definedName>
    <definedName name="fzpotato" localSheetId="11">#REF!</definedName>
    <definedName name="fzpotato" localSheetId="17">#REF!</definedName>
    <definedName name="fzpotato" localSheetId="16">#REF!</definedName>
    <definedName name="fzpotato" localSheetId="22">#REF!</definedName>
    <definedName name="fzpotato" localSheetId="9">#REF!</definedName>
    <definedName name="fzpotato" localSheetId="13">#REF!</definedName>
    <definedName name="fzpotato" localSheetId="23">#REF!</definedName>
    <definedName name="fzpotato">#REF!</definedName>
    <definedName name="G" localSheetId="4">#REF!</definedName>
    <definedName name="G" localSheetId="9">#REF!</definedName>
    <definedName name="G">#REF!</definedName>
    <definedName name="GBALANCE" localSheetId="4">#REF!</definedName>
    <definedName name="GBALANCE" localSheetId="9">#REF!</definedName>
    <definedName name="GBALANCE">#REF!</definedName>
    <definedName name="GCAP_INVEST" localSheetId="4">#REF!</definedName>
    <definedName name="GCAP_INVEST" localSheetId="9">#REF!</definedName>
    <definedName name="GCAP_INVEST">#REF!</definedName>
    <definedName name="GDR_EXRATE" localSheetId="4">#REF!</definedName>
    <definedName name="GDR_EXRATE" localSheetId="5">#REF!</definedName>
    <definedName name="GDR_EXRATE" localSheetId="15">#REF!</definedName>
    <definedName name="GDR_EXRATE" localSheetId="19">#REF!</definedName>
    <definedName name="GDR_EXRATE" localSheetId="18">#REF!</definedName>
    <definedName name="GDR_EXRATE" localSheetId="14">#REF!</definedName>
    <definedName name="GDR_EXRATE" localSheetId="12">#REF!</definedName>
    <definedName name="GDR_EXRATE" localSheetId="24">#REF!</definedName>
    <definedName name="GDR_EXRATE" localSheetId="7">#REF!</definedName>
    <definedName name="GDR_EXRATE" localSheetId="20">#REF!</definedName>
    <definedName name="GDR_EXRATE" localSheetId="21">#REF!</definedName>
    <definedName name="GDR_EXRATE" localSheetId="11">#REF!</definedName>
    <definedName name="GDR_EXRATE" localSheetId="17">#REF!</definedName>
    <definedName name="GDR_EXRATE" localSheetId="16">#REF!</definedName>
    <definedName name="GDR_EXRATE" localSheetId="22">#REF!</definedName>
    <definedName name="GDR_EXRATE" localSheetId="9">#REF!</definedName>
    <definedName name="GDR_EXRATE" localSheetId="13">#REF!</definedName>
    <definedName name="GDR_EXRATE" localSheetId="23">#REF!</definedName>
    <definedName name="GDR_EXRATE">#REF!</definedName>
    <definedName name="General_Administrative_Expenses">#REF!</definedName>
    <definedName name="General_Reserve" localSheetId="4">#REF!</definedName>
    <definedName name="General_Reserve" localSheetId="5">#REF!</definedName>
    <definedName name="General_Reserve" localSheetId="15">#REF!</definedName>
    <definedName name="General_Reserve" localSheetId="19">#REF!</definedName>
    <definedName name="General_Reserve" localSheetId="18">#REF!</definedName>
    <definedName name="General_Reserve" localSheetId="14">#REF!</definedName>
    <definedName name="General_Reserve" localSheetId="12">#REF!</definedName>
    <definedName name="General_Reserve" localSheetId="24">#REF!</definedName>
    <definedName name="General_Reserve" localSheetId="7">#REF!</definedName>
    <definedName name="General_Reserve" localSheetId="20">#REF!</definedName>
    <definedName name="General_Reserve" localSheetId="21">#REF!</definedName>
    <definedName name="General_Reserve" localSheetId="11">#REF!</definedName>
    <definedName name="General_Reserve" localSheetId="17">#REF!</definedName>
    <definedName name="General_Reserve" localSheetId="16">#REF!</definedName>
    <definedName name="General_Reserve" localSheetId="22">#REF!</definedName>
    <definedName name="General_Reserve" localSheetId="9">#REF!</definedName>
    <definedName name="General_Reserve" localSheetId="13">#REF!</definedName>
    <definedName name="General_Reserve" localSheetId="23">#REF!</definedName>
    <definedName name="General_Reserve">#REF!</definedName>
    <definedName name="General_Reserve_PL">#REF!</definedName>
    <definedName name="General_Reserves">#REF!</definedName>
    <definedName name="GeneralExp">#REF!</definedName>
    <definedName name="geog" localSheetId="4">#REF!</definedName>
    <definedName name="geog" localSheetId="5">#REF!</definedName>
    <definedName name="geog" localSheetId="15">#REF!</definedName>
    <definedName name="geog" localSheetId="19">#REF!</definedName>
    <definedName name="geog" localSheetId="18">#REF!</definedName>
    <definedName name="geog" localSheetId="14">#REF!</definedName>
    <definedName name="geog" localSheetId="12">#REF!</definedName>
    <definedName name="geog" localSheetId="24">#REF!</definedName>
    <definedName name="geog" localSheetId="7">#REF!</definedName>
    <definedName name="geog" localSheetId="20">#REF!</definedName>
    <definedName name="geog" localSheetId="21">#REF!</definedName>
    <definedName name="geog" localSheetId="11">#REF!</definedName>
    <definedName name="geog" localSheetId="17">#REF!</definedName>
    <definedName name="geog" localSheetId="16">#REF!</definedName>
    <definedName name="geog" localSheetId="22">#REF!</definedName>
    <definedName name="geog" localSheetId="9">#REF!</definedName>
    <definedName name="geog" localSheetId="13">#REF!</definedName>
    <definedName name="geog" localSheetId="23">#REF!</definedName>
    <definedName name="geog">#REF!</definedName>
    <definedName name="geogsp">"Chart 2"</definedName>
    <definedName name="gfgr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INANCE" localSheetId="4">#REF!</definedName>
    <definedName name="GFINANCE" localSheetId="9">#REF!</definedName>
    <definedName name="GFINANCE">#REF!</definedName>
    <definedName name="GFORECAST" localSheetId="4">#REF!</definedName>
    <definedName name="GFORECAST" localSheetId="9">#REF!</definedName>
    <definedName name="GFORECAST">#REF!</definedName>
    <definedName name="GFREE_CASH" localSheetId="4">#REF!</definedName>
    <definedName name="GFREE_CASH" localSheetId="9">#REF!</definedName>
    <definedName name="GFREE_CASH">#REF!</definedName>
    <definedName name="ggg" localSheetId="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1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18"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2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2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2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1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2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localSheetId="2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g"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ggn" hidden="1">#N/A</definedName>
    <definedName name="ggrtr"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grt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hb" hidden="1">#N/A</definedName>
    <definedName name="ghgh" hidden="1">#N/A</definedName>
    <definedName name="GI">#REF!</definedName>
    <definedName name="GINCOME" localSheetId="4">#REF!</definedName>
    <definedName name="GINCOME" localSheetId="9">#REF!</definedName>
    <definedName name="GINCOME">#REF!</definedName>
    <definedName name="GINPUT" localSheetId="4">#REF!</definedName>
    <definedName name="GINPUT" localSheetId="5">#REF!</definedName>
    <definedName name="GINPUT" localSheetId="15">#REF!</definedName>
    <definedName name="GINPUT" localSheetId="19">#REF!</definedName>
    <definedName name="GINPUT" localSheetId="18">#REF!</definedName>
    <definedName name="GINPUT" localSheetId="14">#REF!</definedName>
    <definedName name="GINPUT" localSheetId="12">#REF!</definedName>
    <definedName name="GINPUT" localSheetId="24">#REF!</definedName>
    <definedName name="GINPUT" localSheetId="7">#REF!</definedName>
    <definedName name="GINPUT" localSheetId="20">#REF!</definedName>
    <definedName name="GINPUT" localSheetId="21">#REF!</definedName>
    <definedName name="GINPUT" localSheetId="11">#REF!</definedName>
    <definedName name="GINPUT" localSheetId="17">#REF!</definedName>
    <definedName name="GINPUT" localSheetId="16">#REF!</definedName>
    <definedName name="GINPUT" localSheetId="22">#REF!</definedName>
    <definedName name="GINPUT" localSheetId="9">#REF!</definedName>
    <definedName name="GINPUT" localSheetId="13">#REF!</definedName>
    <definedName name="GINPUT" localSheetId="23">#REF!</definedName>
    <definedName name="GINPUT">#REF!</definedName>
    <definedName name="GK_RESULTS" localSheetId="4">#REF!</definedName>
    <definedName name="GK_RESULTS" localSheetId="9">#REF!</definedName>
    <definedName name="GK_RESULTS">#REF!</definedName>
    <definedName name="GLO_FOR_RangeModelOL01" localSheetId="4">#REF!</definedName>
    <definedName name="GLO_FOR_RangeModelOL01" localSheetId="5">#REF!</definedName>
    <definedName name="GLO_FOR_RangeModelOL01" localSheetId="15">#REF!</definedName>
    <definedName name="GLO_FOR_RangeModelOL01" localSheetId="19">#REF!</definedName>
    <definedName name="GLO_FOR_RangeModelOL01" localSheetId="18">#REF!</definedName>
    <definedName name="GLO_FOR_RangeModelOL01" localSheetId="14">#REF!</definedName>
    <definedName name="GLO_FOR_RangeModelOL01" localSheetId="12">#REF!</definedName>
    <definedName name="GLO_FOR_RangeModelOL01" localSheetId="24">#REF!</definedName>
    <definedName name="GLO_FOR_RangeModelOL01" localSheetId="7">#REF!</definedName>
    <definedName name="GLO_FOR_RangeModelOL01" localSheetId="20">#REF!</definedName>
    <definedName name="GLO_FOR_RangeModelOL01" localSheetId="21">#REF!</definedName>
    <definedName name="GLO_FOR_RangeModelOL01" localSheetId="11">#REF!</definedName>
    <definedName name="GLO_FOR_RangeModelOL01" localSheetId="17">#REF!</definedName>
    <definedName name="GLO_FOR_RangeModelOL01" localSheetId="16">#REF!</definedName>
    <definedName name="GLO_FOR_RangeModelOL01" localSheetId="22">#REF!</definedName>
    <definedName name="GLO_FOR_RangeModelOL01" localSheetId="9">#REF!</definedName>
    <definedName name="GLO_FOR_RangeModelOL01" localSheetId="13">#REF!</definedName>
    <definedName name="GLO_FOR_RangeModelOL01" localSheetId="23">#REF!</definedName>
    <definedName name="GLO_FOR_RangeModelOL01">#REF!</definedName>
    <definedName name="GLO_FOR_RangeModelOL02" localSheetId="4">#REF!</definedName>
    <definedName name="GLO_FOR_RangeModelOL02" localSheetId="5">#REF!</definedName>
    <definedName name="GLO_FOR_RangeModelOL02" localSheetId="15">#REF!</definedName>
    <definedName name="GLO_FOR_RangeModelOL02" localSheetId="19">#REF!</definedName>
    <definedName name="GLO_FOR_RangeModelOL02" localSheetId="18">#REF!</definedName>
    <definedName name="GLO_FOR_RangeModelOL02" localSheetId="14">#REF!</definedName>
    <definedName name="GLO_FOR_RangeModelOL02" localSheetId="12">#REF!</definedName>
    <definedName name="GLO_FOR_RangeModelOL02" localSheetId="24">#REF!</definedName>
    <definedName name="GLO_FOR_RangeModelOL02" localSheetId="7">#REF!</definedName>
    <definedName name="GLO_FOR_RangeModelOL02" localSheetId="20">#REF!</definedName>
    <definedName name="GLO_FOR_RangeModelOL02" localSheetId="21">#REF!</definedName>
    <definedName name="GLO_FOR_RangeModelOL02" localSheetId="11">#REF!</definedName>
    <definedName name="GLO_FOR_RangeModelOL02" localSheetId="17">#REF!</definedName>
    <definedName name="GLO_FOR_RangeModelOL02" localSheetId="16">#REF!</definedName>
    <definedName name="GLO_FOR_RangeModelOL02" localSheetId="22">#REF!</definedName>
    <definedName name="GLO_FOR_RangeModelOL02" localSheetId="9">#REF!</definedName>
    <definedName name="GLO_FOR_RangeModelOL02" localSheetId="13">#REF!</definedName>
    <definedName name="GLO_FOR_RangeModelOL02" localSheetId="23">#REF!</definedName>
    <definedName name="GLO_FOR_RangeModelOL02">#REF!</definedName>
    <definedName name="GLO_FOR_RangeModelOL03" localSheetId="4">#REF!</definedName>
    <definedName name="GLO_FOR_RangeModelOL03" localSheetId="5">#REF!</definedName>
    <definedName name="GLO_FOR_RangeModelOL03" localSheetId="15">#REF!</definedName>
    <definedName name="GLO_FOR_RangeModelOL03" localSheetId="19">#REF!</definedName>
    <definedName name="GLO_FOR_RangeModelOL03" localSheetId="18">#REF!</definedName>
    <definedName name="GLO_FOR_RangeModelOL03" localSheetId="14">#REF!</definedName>
    <definedName name="GLO_FOR_RangeModelOL03" localSheetId="12">#REF!</definedName>
    <definedName name="GLO_FOR_RangeModelOL03" localSheetId="24">#REF!</definedName>
    <definedName name="GLO_FOR_RangeModelOL03" localSheetId="7">#REF!</definedName>
    <definedName name="GLO_FOR_RangeModelOL03" localSheetId="20">#REF!</definedName>
    <definedName name="GLO_FOR_RangeModelOL03" localSheetId="21">#REF!</definedName>
    <definedName name="GLO_FOR_RangeModelOL03" localSheetId="11">#REF!</definedName>
    <definedName name="GLO_FOR_RangeModelOL03" localSheetId="17">#REF!</definedName>
    <definedName name="GLO_FOR_RangeModelOL03" localSheetId="16">#REF!</definedName>
    <definedName name="GLO_FOR_RangeModelOL03" localSheetId="22">#REF!</definedName>
    <definedName name="GLO_FOR_RangeModelOL03" localSheetId="9">#REF!</definedName>
    <definedName name="GLO_FOR_RangeModelOL03" localSheetId="13">#REF!</definedName>
    <definedName name="GLO_FOR_RangeModelOL03" localSheetId="23">#REF!</definedName>
    <definedName name="GLO_FOR_RangeModelOL03">#REF!</definedName>
    <definedName name="GLO_FOR_RangeModelOL04" localSheetId="4">#REF!</definedName>
    <definedName name="GLO_FOR_RangeModelOL04" localSheetId="9">#REF!</definedName>
    <definedName name="GLO_FOR_RangeModelOL04">#REF!</definedName>
    <definedName name="GLO_FOR_RangeModelOL05" localSheetId="4">#REF!</definedName>
    <definedName name="GLO_FOR_RangeModelOL05" localSheetId="9">#REF!</definedName>
    <definedName name="GLO_FOR_RangeModelOL05">#REF!</definedName>
    <definedName name="GLO_FOR_RangeModelOL06" localSheetId="4">#REF!</definedName>
    <definedName name="GLO_FOR_RangeModelOL06" localSheetId="9">#REF!</definedName>
    <definedName name="GLO_FOR_RangeModelOL06">#REF!</definedName>
    <definedName name="GLO_FOR_RangeModelOL07" localSheetId="4">#REF!</definedName>
    <definedName name="GLO_FOR_RangeModelOL07" localSheetId="9">#REF!</definedName>
    <definedName name="GLO_FOR_RangeModelOL07">#REF!</definedName>
    <definedName name="GLO_FOR_RangeModelOL08" localSheetId="4">#REF!</definedName>
    <definedName name="GLO_FOR_RangeModelOL08" localSheetId="9">#REF!</definedName>
    <definedName name="GLO_FOR_RangeModelOL08">#REF!</definedName>
    <definedName name="GLO_FOR_RangeModelOL09" localSheetId="4">#REF!</definedName>
    <definedName name="GLO_FOR_RangeModelOL09" localSheetId="9">#REF!</definedName>
    <definedName name="GLO_FOR_RangeModelOL09">#REF!</definedName>
    <definedName name="GLO_FOR_RangeModelOL10" localSheetId="4">#REF!</definedName>
    <definedName name="GLO_FOR_RangeModelOL10" localSheetId="9">#REF!</definedName>
    <definedName name="GLO_FOR_RangeModelOL10">#REF!</definedName>
    <definedName name="GLO_FOR_RangeModelOL11" localSheetId="4">#REF!</definedName>
    <definedName name="GLO_FOR_RangeModelOL11" localSheetId="9">#REF!</definedName>
    <definedName name="GLO_FOR_RangeModelOL11">#REF!</definedName>
    <definedName name="GLO_FOR_RangeModelOL12" localSheetId="4">#REF!</definedName>
    <definedName name="GLO_FOR_RangeModelOL12" localSheetId="9">#REF!</definedName>
    <definedName name="GLO_FOR_RangeModelOL12">#REF!</definedName>
    <definedName name="GLO_FOR_RangeModelOL13" localSheetId="4">#REF!</definedName>
    <definedName name="GLO_FOR_RangeModelOL13" localSheetId="9">#REF!</definedName>
    <definedName name="GLO_FOR_RangeModelOL13">#REF!</definedName>
    <definedName name="GLO_FOR_RangeModelOL14" localSheetId="4">#REF!</definedName>
    <definedName name="GLO_FOR_RangeModelOL14" localSheetId="9">#REF!</definedName>
    <definedName name="GLO_FOR_RangeModelOL14">#REF!</definedName>
    <definedName name="GLO_FOR_RangeModelOL15" localSheetId="4">#REF!</definedName>
    <definedName name="GLO_FOR_RangeModelOL15" localSheetId="9">#REF!</definedName>
    <definedName name="GLO_FOR_RangeModelOL15">#REF!</definedName>
    <definedName name="GLO_FOR_RangeModelOL16" localSheetId="4">#REF!</definedName>
    <definedName name="GLO_FOR_RangeModelOL16" localSheetId="9">#REF!</definedName>
    <definedName name="GLO_FOR_RangeModelOL16">#REF!</definedName>
    <definedName name="GLO_FOR_RangeModelOL17" localSheetId="4">#REF!</definedName>
    <definedName name="GLO_FOR_RangeModelOL17" localSheetId="9">#REF!</definedName>
    <definedName name="GLO_FOR_RangeModelOL17">#REF!</definedName>
    <definedName name="GLO_FOR_RangeModelOL18" localSheetId="4">#REF!</definedName>
    <definedName name="GLO_FOR_RangeModelOL18" localSheetId="9">#REF!</definedName>
    <definedName name="GLO_FOR_RangeModelOL18">#REF!</definedName>
    <definedName name="GLO_FOR_RangeModelOL19" localSheetId="4">#REF!</definedName>
    <definedName name="GLO_FOR_RangeModelOL19" localSheetId="9">#REF!</definedName>
    <definedName name="GLO_FOR_RangeModelOL19">#REF!</definedName>
    <definedName name="GLO_FOR_RangeModelOL20" localSheetId="4">#REF!</definedName>
    <definedName name="GLO_FOR_RangeModelOL20" localSheetId="9">#REF!</definedName>
    <definedName name="GLO_FOR_RangeModelOL20">#REF!</definedName>
    <definedName name="GLO_FOR_RangeModelOL21" localSheetId="4">#REF!</definedName>
    <definedName name="GLO_FOR_RangeModelOL21" localSheetId="9">#REF!</definedName>
    <definedName name="GLO_FOR_RangeModelOL21">#REF!</definedName>
    <definedName name="GLO_RangeModelChange1" localSheetId="4">#REF!</definedName>
    <definedName name="GLO_RangeModelChange1" localSheetId="9">#REF!</definedName>
    <definedName name="GLO_RangeModelChange1">#REF!</definedName>
    <definedName name="GLO_REP_RangeModelOL01" localSheetId="4">#REF!</definedName>
    <definedName name="GLO_REP_RangeModelOL01" localSheetId="9">#REF!</definedName>
    <definedName name="GLO_REP_RangeModelOL01">#REF!</definedName>
    <definedName name="GLO_REP_RangeModelOL02" localSheetId="4">#REF!</definedName>
    <definedName name="GLO_REP_RangeModelOL02" localSheetId="9">#REF!</definedName>
    <definedName name="GLO_REP_RangeModelOL02">#REF!</definedName>
    <definedName name="GLO_REP_RangeModelOL03" localSheetId="4">#REF!</definedName>
    <definedName name="GLO_REP_RangeModelOL03" localSheetId="9">#REF!</definedName>
    <definedName name="GLO_REP_RangeModelOL03">#REF!</definedName>
    <definedName name="GLO_REP_RangeModelOL04" localSheetId="4">#REF!</definedName>
    <definedName name="GLO_REP_RangeModelOL04" localSheetId="9">#REF!</definedName>
    <definedName name="GLO_REP_RangeModelOL04">#REF!</definedName>
    <definedName name="GLO_REP_RangeModelOL05" localSheetId="4">#REF!</definedName>
    <definedName name="GLO_REP_RangeModelOL05" localSheetId="9">#REF!</definedName>
    <definedName name="GLO_REP_RangeModelOL05">#REF!</definedName>
    <definedName name="gls_ALLOW_PARENT_OR_CONSOLIDATED" hidden="1">#REF!</definedName>
    <definedName name="gls_EXC_NOT_EXT" hidden="1">#REF!</definedName>
    <definedName name="gls_GLOSS_MONTHS" hidden="1">#REF!</definedName>
    <definedName name="gls_GW_IN" hidden="1">#REF!</definedName>
    <definedName name="gls_StockTicker" hidden="1">#REF!</definedName>
    <definedName name="GNOPLAT" localSheetId="4">#REF!</definedName>
    <definedName name="GNOPLAT" localSheetId="9">#REF!</definedName>
    <definedName name="GNOPLAT">#REF!</definedName>
    <definedName name="goodwill">#REF!</definedName>
    <definedName name="Goodwill_Amort" localSheetId="4">#REF!</definedName>
    <definedName name="Goodwill_Amort" localSheetId="9">#REF!</definedName>
    <definedName name="Goodwill_Amort">#REF!</definedName>
    <definedName name="Goodwill_growth_fore" localSheetId="4">#REF!</definedName>
    <definedName name="Goodwill_growth_fore" localSheetId="5">#REF!</definedName>
    <definedName name="Goodwill_growth_fore" localSheetId="15">#REF!</definedName>
    <definedName name="Goodwill_growth_fore" localSheetId="19">#REF!</definedName>
    <definedName name="Goodwill_growth_fore" localSheetId="18">#REF!</definedName>
    <definedName name="Goodwill_growth_fore" localSheetId="14">#REF!</definedName>
    <definedName name="Goodwill_growth_fore" localSheetId="12">#REF!</definedName>
    <definedName name="Goodwill_growth_fore" localSheetId="24">#REF!</definedName>
    <definedName name="Goodwill_growth_fore" localSheetId="7">#REF!</definedName>
    <definedName name="Goodwill_growth_fore" localSheetId="20">#REF!</definedName>
    <definedName name="Goodwill_growth_fore" localSheetId="21">#REF!</definedName>
    <definedName name="Goodwill_growth_fore" localSheetId="11">#REF!</definedName>
    <definedName name="Goodwill_growth_fore" localSheetId="17">#REF!</definedName>
    <definedName name="Goodwill_growth_fore" localSheetId="16">#REF!</definedName>
    <definedName name="Goodwill_growth_fore" localSheetId="22">#REF!</definedName>
    <definedName name="Goodwill_growth_fore" localSheetId="9">#REF!</definedName>
    <definedName name="Goodwill_growth_fore" localSheetId="13">#REF!</definedName>
    <definedName name="Goodwill_growth_fore" localSheetId="23">#REF!</definedName>
    <definedName name="Goodwill_growth_fore">#REF!</definedName>
    <definedName name="GOPERATING" localSheetId="4">#REF!</definedName>
    <definedName name="GOPERATING" localSheetId="9">#REF!</definedName>
    <definedName name="GOPERATING">#REF!</definedName>
    <definedName name="Government_Securities">#REF!</definedName>
    <definedName name="gross_block">#REF!</definedName>
    <definedName name="Gross_block_total">#REF!</definedName>
    <definedName name="gross_fixed_assets">#REF!</definedName>
    <definedName name="gross_fixed_assets_A">#REF!</definedName>
    <definedName name="Gross_inc_growth" localSheetId="4">#REF!</definedName>
    <definedName name="Gross_inc_growth" localSheetId="5">#REF!</definedName>
    <definedName name="Gross_inc_growth" localSheetId="15">#REF!</definedName>
    <definedName name="Gross_inc_growth" localSheetId="19">#REF!</definedName>
    <definedName name="Gross_inc_growth" localSheetId="18">#REF!</definedName>
    <definedName name="Gross_inc_growth" localSheetId="14">#REF!</definedName>
    <definedName name="Gross_inc_growth" localSheetId="12">#REF!</definedName>
    <definedName name="Gross_inc_growth" localSheetId="24">#REF!</definedName>
    <definedName name="Gross_inc_growth" localSheetId="7">#REF!</definedName>
    <definedName name="Gross_inc_growth" localSheetId="20">#REF!</definedName>
    <definedName name="Gross_inc_growth" localSheetId="21">#REF!</definedName>
    <definedName name="Gross_inc_growth" localSheetId="11">#REF!</definedName>
    <definedName name="Gross_inc_growth" localSheetId="17">#REF!</definedName>
    <definedName name="Gross_inc_growth" localSheetId="16">#REF!</definedName>
    <definedName name="Gross_inc_growth" localSheetId="22">#REF!</definedName>
    <definedName name="Gross_inc_growth" localSheetId="9">#REF!</definedName>
    <definedName name="Gross_inc_growth" localSheetId="13">#REF!</definedName>
    <definedName name="Gross_inc_growth" localSheetId="23">#REF!</definedName>
    <definedName name="Gross_inc_growth">#REF!</definedName>
    <definedName name="Gross_income" localSheetId="4">#REF!</definedName>
    <definedName name="Gross_income" localSheetId="9">#REF!</definedName>
    <definedName name="Gross_income">#REF!</definedName>
    <definedName name="Gross_income_fore" localSheetId="4">#REF!</definedName>
    <definedName name="Gross_income_fore" localSheetId="5">#REF!</definedName>
    <definedName name="Gross_income_fore" localSheetId="15">#REF!</definedName>
    <definedName name="Gross_income_fore" localSheetId="19">#REF!</definedName>
    <definedName name="Gross_income_fore" localSheetId="18">#REF!</definedName>
    <definedName name="Gross_income_fore" localSheetId="14">#REF!</definedName>
    <definedName name="Gross_income_fore" localSheetId="12">#REF!</definedName>
    <definedName name="Gross_income_fore" localSheetId="24">#REF!</definedName>
    <definedName name="Gross_income_fore" localSheetId="7">#REF!</definedName>
    <definedName name="Gross_income_fore" localSheetId="20">#REF!</definedName>
    <definedName name="Gross_income_fore" localSheetId="21">#REF!</definedName>
    <definedName name="Gross_income_fore" localSheetId="11">#REF!</definedName>
    <definedName name="Gross_income_fore" localSheetId="17">#REF!</definedName>
    <definedName name="Gross_income_fore" localSheetId="16">#REF!</definedName>
    <definedName name="Gross_income_fore" localSheetId="22">#REF!</definedName>
    <definedName name="Gross_income_fore" localSheetId="9">#REF!</definedName>
    <definedName name="Gross_income_fore" localSheetId="13">#REF!</definedName>
    <definedName name="Gross_income_fore" localSheetId="23">#REF!</definedName>
    <definedName name="Gross_income_fore">#REF!</definedName>
    <definedName name="Gross_income_growth_avg" localSheetId="4">#REF!</definedName>
    <definedName name="Gross_income_growth_avg" localSheetId="5">#REF!</definedName>
    <definedName name="Gross_income_growth_avg" localSheetId="15">#REF!</definedName>
    <definedName name="Gross_income_growth_avg" localSheetId="19">#REF!</definedName>
    <definedName name="Gross_income_growth_avg" localSheetId="18">#REF!</definedName>
    <definedName name="Gross_income_growth_avg" localSheetId="14">#REF!</definedName>
    <definedName name="Gross_income_growth_avg" localSheetId="12">#REF!</definedName>
    <definedName name="Gross_income_growth_avg" localSheetId="24">#REF!</definedName>
    <definedName name="Gross_income_growth_avg" localSheetId="7">#REF!</definedName>
    <definedName name="Gross_income_growth_avg" localSheetId="20">#REF!</definedName>
    <definedName name="Gross_income_growth_avg" localSheetId="21">#REF!</definedName>
    <definedName name="Gross_income_growth_avg" localSheetId="11">#REF!</definedName>
    <definedName name="Gross_income_growth_avg" localSheetId="17">#REF!</definedName>
    <definedName name="Gross_income_growth_avg" localSheetId="16">#REF!</definedName>
    <definedName name="Gross_income_growth_avg" localSheetId="22">#REF!</definedName>
    <definedName name="Gross_income_growth_avg" localSheetId="9">#REF!</definedName>
    <definedName name="Gross_income_growth_avg" localSheetId="13">#REF!</definedName>
    <definedName name="Gross_income_growth_avg" localSheetId="23">#REF!</definedName>
    <definedName name="Gross_income_growth_avg">#REF!</definedName>
    <definedName name="gross_margin" localSheetId="4">#REF!</definedName>
    <definedName name="gross_margin" localSheetId="5">#REF!</definedName>
    <definedName name="gross_margin" localSheetId="15">#REF!</definedName>
    <definedName name="gross_margin" localSheetId="19">#REF!</definedName>
    <definedName name="gross_margin" localSheetId="18">#REF!</definedName>
    <definedName name="gross_margin" localSheetId="14">#REF!</definedName>
    <definedName name="gross_margin" localSheetId="12">#REF!</definedName>
    <definedName name="gross_margin" localSheetId="24">#REF!</definedName>
    <definedName name="gross_margin" localSheetId="7">#REF!</definedName>
    <definedName name="gross_margin" localSheetId="20">#REF!</definedName>
    <definedName name="gross_margin" localSheetId="21">#REF!</definedName>
    <definedName name="gross_margin" localSheetId="11">#REF!</definedName>
    <definedName name="gross_margin" localSheetId="17">#REF!</definedName>
    <definedName name="gross_margin" localSheetId="16">#REF!</definedName>
    <definedName name="gross_margin" localSheetId="22">#REF!</definedName>
    <definedName name="gross_margin" localSheetId="9">#REF!</definedName>
    <definedName name="gross_margin" localSheetId="13">#REF!</definedName>
    <definedName name="gross_margin" localSheetId="23">#REF!</definedName>
    <definedName name="gross_margin">#REF!</definedName>
    <definedName name="Gross_margin_fore" localSheetId="4">#REF!</definedName>
    <definedName name="Gross_margin_fore" localSheetId="9">#REF!</definedName>
    <definedName name="Gross_margin_fore">#REF!</definedName>
    <definedName name="Gross_NPAs_Q" localSheetId="4">#REF!</definedName>
    <definedName name="Gross_NPAs_Q" localSheetId="9">#REF!</definedName>
    <definedName name="Gross_NPAs_Q">#REF!</definedName>
    <definedName name="gross_sales" localSheetId="4">#REF!</definedName>
    <definedName name="gross_sales" localSheetId="9">#REF!</definedName>
    <definedName name="gross_sales">#REF!</definedName>
    <definedName name="gross_sales_A">#REF!</definedName>
    <definedName name="gross_sales_qtr">#REF!</definedName>
    <definedName name="GrossBlock" localSheetId="4">#REF!</definedName>
    <definedName name="GrossBlock" localSheetId="9">#REF!</definedName>
    <definedName name="GrossBlock">#REF!</definedName>
    <definedName name="Grossrevenue">#REF!</definedName>
    <definedName name="GrossSales" localSheetId="4">#REF!</definedName>
    <definedName name="GrossSales" localSheetId="9">#REF!</definedName>
    <definedName name="GrossSales">#REF!</definedName>
    <definedName name="Group7">{"Mcp08.PrintRep",""}</definedName>
    <definedName name="Growth">#REF!</definedName>
    <definedName name="growth_period" localSheetId="4">#REF!</definedName>
    <definedName name="growth_period" localSheetId="5">#REF!</definedName>
    <definedName name="growth_period" localSheetId="15">#REF!</definedName>
    <definedName name="growth_period" localSheetId="19">#REF!</definedName>
    <definedName name="growth_period" localSheetId="18">#REF!</definedName>
    <definedName name="growth_period" localSheetId="14">#REF!</definedName>
    <definedName name="growth_period" localSheetId="12">#REF!</definedName>
    <definedName name="growth_period" localSheetId="24">#REF!</definedName>
    <definedName name="growth_period" localSheetId="7">#REF!</definedName>
    <definedName name="growth_period" localSheetId="20">#REF!</definedName>
    <definedName name="growth_period" localSheetId="21">#REF!</definedName>
    <definedName name="growth_period" localSheetId="11">#REF!</definedName>
    <definedName name="growth_period" localSheetId="17">#REF!</definedName>
    <definedName name="growth_period" localSheetId="16">#REF!</definedName>
    <definedName name="growth_period" localSheetId="22">#REF!</definedName>
    <definedName name="growth_period" localSheetId="9">#REF!</definedName>
    <definedName name="growth_period" localSheetId="13">#REF!</definedName>
    <definedName name="growth_period" localSheetId="23">#REF!</definedName>
    <definedName name="growth_period">#REF!</definedName>
    <definedName name="GrowthOfGrossSales" localSheetId="4">#REF!</definedName>
    <definedName name="GrowthOfGrossSales" localSheetId="9">#REF!</definedName>
    <definedName name="GrowthOfGrossSales">#REF!</definedName>
    <definedName name="GrowthOfNetProfit" localSheetId="4">#REF!</definedName>
    <definedName name="GrowthOfNetProfit" localSheetId="9">#REF!</definedName>
    <definedName name="GrowthOfNetProfit">#REF!</definedName>
    <definedName name="GrowthOfOperatingProfit" localSheetId="4">#REF!</definedName>
    <definedName name="GrowthOfOperatingProfit" localSheetId="9">#REF!</definedName>
    <definedName name="GrowthOfOperatingProfit">#REF!</definedName>
    <definedName name="growthprint1">#REF!</definedName>
    <definedName name="growthprint2">#REF!</definedName>
    <definedName name="GrowthRateAdvances" localSheetId="4">#REF!</definedName>
    <definedName name="GrowthRateAdvances" localSheetId="5">#REF!</definedName>
    <definedName name="GrowthRateAdvances" localSheetId="15">#REF!</definedName>
    <definedName name="GrowthRateAdvances" localSheetId="19">#REF!</definedName>
    <definedName name="GrowthRateAdvances" localSheetId="18">#REF!</definedName>
    <definedName name="GrowthRateAdvances" localSheetId="14">#REF!</definedName>
    <definedName name="GrowthRateAdvances" localSheetId="12">#REF!</definedName>
    <definedName name="GrowthRateAdvances" localSheetId="24">#REF!</definedName>
    <definedName name="GrowthRateAdvances" localSheetId="7">#REF!</definedName>
    <definedName name="GrowthRateAdvances" localSheetId="20">#REF!</definedName>
    <definedName name="GrowthRateAdvances" localSheetId="21">#REF!</definedName>
    <definedName name="GrowthRateAdvances" localSheetId="11">#REF!</definedName>
    <definedName name="GrowthRateAdvances" localSheetId="17">#REF!</definedName>
    <definedName name="GrowthRateAdvances" localSheetId="16">#REF!</definedName>
    <definedName name="GrowthRateAdvances" localSheetId="22">#REF!</definedName>
    <definedName name="GrowthRateAdvances" localSheetId="9">#REF!</definedName>
    <definedName name="GrowthRateAdvances" localSheetId="13">#REF!</definedName>
    <definedName name="GrowthRateAdvances" localSheetId="23">#REF!</definedName>
    <definedName name="GrowthRateAdvances">#REF!</definedName>
    <definedName name="GrowthRateDeposits" localSheetId="4">#REF!</definedName>
    <definedName name="GrowthRateDeposits" localSheetId="5">#REF!</definedName>
    <definedName name="GrowthRateDeposits" localSheetId="15">#REF!</definedName>
    <definedName name="GrowthRateDeposits" localSheetId="19">#REF!</definedName>
    <definedName name="GrowthRateDeposits" localSheetId="18">#REF!</definedName>
    <definedName name="GrowthRateDeposits" localSheetId="14">#REF!</definedName>
    <definedName name="GrowthRateDeposits" localSheetId="12">#REF!</definedName>
    <definedName name="GrowthRateDeposits" localSheetId="24">#REF!</definedName>
    <definedName name="GrowthRateDeposits" localSheetId="7">#REF!</definedName>
    <definedName name="GrowthRateDeposits" localSheetId="20">#REF!</definedName>
    <definedName name="GrowthRateDeposits" localSheetId="21">#REF!</definedName>
    <definedName name="GrowthRateDeposits" localSheetId="11">#REF!</definedName>
    <definedName name="GrowthRateDeposits" localSheetId="17">#REF!</definedName>
    <definedName name="GrowthRateDeposits" localSheetId="16">#REF!</definedName>
    <definedName name="GrowthRateDeposits" localSheetId="22">#REF!</definedName>
    <definedName name="GrowthRateDeposits" localSheetId="9">#REF!</definedName>
    <definedName name="GrowthRateDeposits" localSheetId="13">#REF!</definedName>
    <definedName name="GrowthRateDeposits" localSheetId="23">#REF!</definedName>
    <definedName name="GrowthRateDeposits">#REF!</definedName>
    <definedName name="GrPbtIt">#REF!</definedName>
    <definedName name="GS">#REF!</definedName>
    <definedName name="GSUP_CALC" localSheetId="4">#REF!</definedName>
    <definedName name="GSUP_CALC" localSheetId="9">#REF!</definedName>
    <definedName name="GSUP_CALC">#REF!</definedName>
    <definedName name="g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uarantee" localSheetId="4">#REF!</definedName>
    <definedName name="guarantee" localSheetId="5">#REF!</definedName>
    <definedName name="guarantee" localSheetId="15">#REF!</definedName>
    <definedName name="guarantee" localSheetId="19">#REF!</definedName>
    <definedName name="guarantee" localSheetId="18">#REF!</definedName>
    <definedName name="guarantee" localSheetId="14">#REF!</definedName>
    <definedName name="guarantee" localSheetId="12">#REF!</definedName>
    <definedName name="guarantee" localSheetId="24">#REF!</definedName>
    <definedName name="guarantee" localSheetId="7">#REF!</definedName>
    <definedName name="guarantee" localSheetId="20">#REF!</definedName>
    <definedName name="guarantee" localSheetId="21">#REF!</definedName>
    <definedName name="guarantee" localSheetId="11">#REF!</definedName>
    <definedName name="guarantee" localSheetId="17">#REF!</definedName>
    <definedName name="guarantee" localSheetId="16">#REF!</definedName>
    <definedName name="guarantee" localSheetId="22">#REF!</definedName>
    <definedName name="guarantee" localSheetId="9">#REF!</definedName>
    <definedName name="guarantee" localSheetId="13">#REF!</definedName>
    <definedName name="guarantee" localSheetId="23">#REF!</definedName>
    <definedName name="guarantee">#REF!</definedName>
    <definedName name="Guarantee__Listing___Trusteeship_fees" localSheetId="4">#REF!</definedName>
    <definedName name="Guarantee__Listing___Trusteeship_fees" localSheetId="5">#REF!</definedName>
    <definedName name="Guarantee__Listing___Trusteeship_fees" localSheetId="15">#REF!</definedName>
    <definedName name="Guarantee__Listing___Trusteeship_fees" localSheetId="19">#REF!</definedName>
    <definedName name="Guarantee__Listing___Trusteeship_fees" localSheetId="18">#REF!</definedName>
    <definedName name="Guarantee__Listing___Trusteeship_fees" localSheetId="14">#REF!</definedName>
    <definedName name="Guarantee__Listing___Trusteeship_fees" localSheetId="12">#REF!</definedName>
    <definedName name="Guarantee__Listing___Trusteeship_fees" localSheetId="24">#REF!</definedName>
    <definedName name="Guarantee__Listing___Trusteeship_fees" localSheetId="7">#REF!</definedName>
    <definedName name="Guarantee__Listing___Trusteeship_fees" localSheetId="20">#REF!</definedName>
    <definedName name="Guarantee__Listing___Trusteeship_fees" localSheetId="21">#REF!</definedName>
    <definedName name="Guarantee__Listing___Trusteeship_fees" localSheetId="11">#REF!</definedName>
    <definedName name="Guarantee__Listing___Trusteeship_fees" localSheetId="17">#REF!</definedName>
    <definedName name="Guarantee__Listing___Trusteeship_fees" localSheetId="16">#REF!</definedName>
    <definedName name="Guarantee__Listing___Trusteeship_fees" localSheetId="22">#REF!</definedName>
    <definedName name="Guarantee__Listing___Trusteeship_fees" localSheetId="9">#REF!</definedName>
    <definedName name="Guarantee__Listing___Trusteeship_fees" localSheetId="13">#REF!</definedName>
    <definedName name="Guarantee__Listing___Trusteeship_fees" localSheetId="23">#REF!</definedName>
    <definedName name="Guarantee__Listing___Trusteeship_fees">#REF!</definedName>
    <definedName name="guocowgt">#REF!</definedName>
    <definedName name="GVALUE" localSheetId="4">#REF!</definedName>
    <definedName name="GVALUE" localSheetId="9">#REF!</definedName>
    <definedName name="GVALUE">#REF!</definedName>
    <definedName name="gyh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yh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_INCOME" localSheetId="4">#REF!</definedName>
    <definedName name="H_INCOME" localSheetId="9">#REF!</definedName>
    <definedName name="H_INCOME">#REF!</definedName>
    <definedName name="H1.1" localSheetId="4">#REF!</definedName>
    <definedName name="H1.1" localSheetId="5">#REF!</definedName>
    <definedName name="H1.1" localSheetId="15">#REF!</definedName>
    <definedName name="H1.1" localSheetId="19">#REF!</definedName>
    <definedName name="H1.1" localSheetId="18">#REF!</definedName>
    <definedName name="H1.1" localSheetId="14">#REF!</definedName>
    <definedName name="H1.1" localSheetId="12">#REF!</definedName>
    <definedName name="H1.1" localSheetId="24">#REF!</definedName>
    <definedName name="H1.1" localSheetId="7">#REF!</definedName>
    <definedName name="H1.1" localSheetId="20">#REF!</definedName>
    <definedName name="H1.1" localSheetId="21">#REF!</definedName>
    <definedName name="H1.1" localSheetId="11">#REF!</definedName>
    <definedName name="H1.1" localSheetId="17">#REF!</definedName>
    <definedName name="H1.1" localSheetId="16">#REF!</definedName>
    <definedName name="H1.1" localSheetId="22">#REF!</definedName>
    <definedName name="H1.1" localSheetId="9">#REF!</definedName>
    <definedName name="H1.1" localSheetId="13">#REF!</definedName>
    <definedName name="H1.1" localSheetId="23">#REF!</definedName>
    <definedName name="H1.1">#REF!</definedName>
    <definedName name="H1.2" localSheetId="4">#REF!,#REF!,#REF!</definedName>
    <definedName name="H1.2" localSheetId="5">#REF!,#REF!,#REF!</definedName>
    <definedName name="H1.2" localSheetId="15">#REF!,#REF!,#REF!</definedName>
    <definedName name="H1.2" localSheetId="19">#REF!,#REF!,#REF!</definedName>
    <definedName name="H1.2" localSheetId="18">#REF!,#REF!,#REF!</definedName>
    <definedName name="H1.2" localSheetId="14">#REF!,#REF!,#REF!</definedName>
    <definedName name="H1.2" localSheetId="12">#REF!,#REF!,#REF!</definedName>
    <definedName name="H1.2" localSheetId="24">#REF!,#REF!,#REF!</definedName>
    <definedName name="H1.2" localSheetId="7">#REF!,#REF!,#REF!</definedName>
    <definedName name="H1.2" localSheetId="20">#REF!,#REF!,#REF!</definedName>
    <definedName name="H1.2" localSheetId="21">#REF!,#REF!,#REF!</definedName>
    <definedName name="H1.2" localSheetId="11">#REF!,#REF!,#REF!</definedName>
    <definedName name="H1.2" localSheetId="17">#REF!,#REF!,#REF!</definedName>
    <definedName name="H1.2" localSheetId="16">#REF!,#REF!,#REF!</definedName>
    <definedName name="H1.2" localSheetId="22">#REF!,#REF!,#REF!</definedName>
    <definedName name="H1.2" localSheetId="9">#REF!,#REF!,#REF!</definedName>
    <definedName name="H1.2" localSheetId="13">#REF!,#REF!,#REF!</definedName>
    <definedName name="H1.2" localSheetId="23">#REF!,#REF!,#REF!</definedName>
    <definedName name="H1.2">#REF!,#REF!,#REF!</definedName>
    <definedName name="H2.1" localSheetId="4">#REF!,#REF!,#REF!</definedName>
    <definedName name="H2.1" localSheetId="5">#REF!,#REF!,#REF!</definedName>
    <definedName name="H2.1" localSheetId="15">#REF!,#REF!,#REF!</definedName>
    <definedName name="H2.1" localSheetId="19">#REF!,#REF!,#REF!</definedName>
    <definedName name="H2.1" localSheetId="18">#REF!,#REF!,#REF!</definedName>
    <definedName name="H2.1" localSheetId="14">#REF!,#REF!,#REF!</definedName>
    <definedName name="H2.1" localSheetId="12">#REF!,#REF!,#REF!</definedName>
    <definedName name="H2.1" localSheetId="24">#REF!,#REF!,#REF!</definedName>
    <definedName name="H2.1" localSheetId="7">#REF!,#REF!,#REF!</definedName>
    <definedName name="H2.1" localSheetId="20">#REF!,#REF!,#REF!</definedName>
    <definedName name="H2.1" localSheetId="21">#REF!,#REF!,#REF!</definedName>
    <definedName name="H2.1" localSheetId="11">#REF!,#REF!,#REF!</definedName>
    <definedName name="H2.1" localSheetId="17">#REF!,#REF!,#REF!</definedName>
    <definedName name="H2.1" localSheetId="16">#REF!,#REF!,#REF!</definedName>
    <definedName name="H2.1" localSheetId="22">#REF!,#REF!,#REF!</definedName>
    <definedName name="H2.1" localSheetId="9">#REF!,#REF!,#REF!</definedName>
    <definedName name="H2.1" localSheetId="13">#REF!,#REF!,#REF!</definedName>
    <definedName name="H2.1" localSheetId="23">#REF!,#REF!,#REF!</definedName>
    <definedName name="H2.1">#REF!,#REF!,#REF!</definedName>
    <definedName name="H2.2" localSheetId="4">#REF!,#REF!,#REF!</definedName>
    <definedName name="H2.2" localSheetId="5">#REF!,#REF!,#REF!</definedName>
    <definedName name="H2.2" localSheetId="15">#REF!,#REF!,#REF!</definedName>
    <definedName name="H2.2" localSheetId="19">#REF!,#REF!,#REF!</definedName>
    <definedName name="H2.2" localSheetId="18">#REF!,#REF!,#REF!</definedName>
    <definedName name="H2.2" localSheetId="14">#REF!,#REF!,#REF!</definedName>
    <definedName name="H2.2" localSheetId="12">#REF!,#REF!,#REF!</definedName>
    <definedName name="H2.2" localSheetId="24">#REF!,#REF!,#REF!</definedName>
    <definedName name="H2.2" localSheetId="7">#REF!,#REF!,#REF!</definedName>
    <definedName name="H2.2" localSheetId="20">#REF!,#REF!,#REF!</definedName>
    <definedName name="H2.2" localSheetId="21">#REF!,#REF!,#REF!</definedName>
    <definedName name="H2.2" localSheetId="11">#REF!,#REF!,#REF!</definedName>
    <definedName name="H2.2" localSheetId="17">#REF!,#REF!,#REF!</definedName>
    <definedName name="H2.2" localSheetId="16">#REF!,#REF!,#REF!</definedName>
    <definedName name="H2.2" localSheetId="22">#REF!,#REF!,#REF!</definedName>
    <definedName name="H2.2" localSheetId="9">#REF!,#REF!,#REF!</definedName>
    <definedName name="H2.2" localSheetId="13">#REF!,#REF!,#REF!</definedName>
    <definedName name="H2.2" localSheetId="23">#REF!,#REF!,#REF!</definedName>
    <definedName name="H2.2">#REF!,#REF!,#REF!</definedName>
    <definedName name="half_yearly">#REF!</definedName>
    <definedName name="hanilwgt">#REF!</definedName>
    <definedName name="HBALANCE" localSheetId="4">#REF!</definedName>
    <definedName name="HBALANCE" localSheetId="9">#REF!</definedName>
    <definedName name="HBALANCE">#REF!</definedName>
    <definedName name="HCAP_INVEST" localSheetId="4">#REF!</definedName>
    <definedName name="HCAP_INVEST" localSheetId="9">#REF!</definedName>
    <definedName name="HCAP_INVEST">#REF!</definedName>
    <definedName name="HCBS_BM11" localSheetId="4">#REF!</definedName>
    <definedName name="HCBS_BM11" localSheetId="5">#REF!</definedName>
    <definedName name="HCBS_BM11" localSheetId="15">#REF!</definedName>
    <definedName name="HCBS_BM11" localSheetId="19">#REF!</definedName>
    <definedName name="HCBS_BM11" localSheetId="18">#REF!</definedName>
    <definedName name="HCBS_BM11" localSheetId="14">#REF!</definedName>
    <definedName name="HCBS_BM11" localSheetId="12">#REF!</definedName>
    <definedName name="HCBS_BM11" localSheetId="24">#REF!</definedName>
    <definedName name="HCBS_BM11" localSheetId="7">#REF!</definedName>
    <definedName name="HCBS_BM11" localSheetId="20">#REF!</definedName>
    <definedName name="HCBS_BM11" localSheetId="21">#REF!</definedName>
    <definedName name="HCBS_BM11" localSheetId="11">#REF!</definedName>
    <definedName name="HCBS_BM11" localSheetId="17">#REF!</definedName>
    <definedName name="HCBS_BM11" localSheetId="16">#REF!</definedName>
    <definedName name="HCBS_BM11" localSheetId="22">#REF!</definedName>
    <definedName name="HCBS_BM11" localSheetId="9">#REF!</definedName>
    <definedName name="HCBS_BM11" localSheetId="13">#REF!</definedName>
    <definedName name="HCBS_BM11" localSheetId="23">#REF!</definedName>
    <definedName name="HCBS_BM11">#REF!</definedName>
    <definedName name="HCBS_BM110" localSheetId="4">#REF!</definedName>
    <definedName name="HCBS_BM110" localSheetId="5">#REF!</definedName>
    <definedName name="HCBS_BM110" localSheetId="15">#REF!</definedName>
    <definedName name="HCBS_BM110" localSheetId="19">#REF!</definedName>
    <definedName name="HCBS_BM110" localSheetId="18">#REF!</definedName>
    <definedName name="HCBS_BM110" localSheetId="14">#REF!</definedName>
    <definedName name="HCBS_BM110" localSheetId="12">#REF!</definedName>
    <definedName name="HCBS_BM110" localSheetId="24">#REF!</definedName>
    <definedName name="HCBS_BM110" localSheetId="7">#REF!</definedName>
    <definedName name="HCBS_BM110" localSheetId="20">#REF!</definedName>
    <definedName name="HCBS_BM110" localSheetId="21">#REF!</definedName>
    <definedName name="HCBS_BM110" localSheetId="11">#REF!</definedName>
    <definedName name="HCBS_BM110" localSheetId="17">#REF!</definedName>
    <definedName name="HCBS_BM110" localSheetId="16">#REF!</definedName>
    <definedName name="HCBS_BM110" localSheetId="22">#REF!</definedName>
    <definedName name="HCBS_BM110" localSheetId="9">#REF!</definedName>
    <definedName name="HCBS_BM110" localSheetId="13">#REF!</definedName>
    <definedName name="HCBS_BM110" localSheetId="23">#REF!</definedName>
    <definedName name="HCBS_BM110">#REF!</definedName>
    <definedName name="HCBS_BM111" localSheetId="4">#REF!</definedName>
    <definedName name="HCBS_BM111" localSheetId="5">#REF!</definedName>
    <definedName name="HCBS_BM111" localSheetId="15">#REF!</definedName>
    <definedName name="HCBS_BM111" localSheetId="19">#REF!</definedName>
    <definedName name="HCBS_BM111" localSheetId="18">#REF!</definedName>
    <definedName name="HCBS_BM111" localSheetId="14">#REF!</definedName>
    <definedName name="HCBS_BM111" localSheetId="12">#REF!</definedName>
    <definedName name="HCBS_BM111" localSheetId="24">#REF!</definedName>
    <definedName name="HCBS_BM111" localSheetId="7">#REF!</definedName>
    <definedName name="HCBS_BM111" localSheetId="20">#REF!</definedName>
    <definedName name="HCBS_BM111" localSheetId="21">#REF!</definedName>
    <definedName name="HCBS_BM111" localSheetId="11">#REF!</definedName>
    <definedName name="HCBS_BM111" localSheetId="17">#REF!</definedName>
    <definedName name="HCBS_BM111" localSheetId="16">#REF!</definedName>
    <definedName name="HCBS_BM111" localSheetId="22">#REF!</definedName>
    <definedName name="HCBS_BM111" localSheetId="9">#REF!</definedName>
    <definedName name="HCBS_BM111" localSheetId="13">#REF!</definedName>
    <definedName name="HCBS_BM111" localSheetId="23">#REF!</definedName>
    <definedName name="HCBS_BM111">#REF!</definedName>
    <definedName name="HCBS_BM112" localSheetId="4">#REF!</definedName>
    <definedName name="HCBS_BM112" localSheetId="9">#REF!</definedName>
    <definedName name="HCBS_BM112">#REF!</definedName>
    <definedName name="HCBS_BM113" localSheetId="4">#REF!</definedName>
    <definedName name="HCBS_BM113" localSheetId="9">#REF!</definedName>
    <definedName name="HCBS_BM113">#REF!</definedName>
    <definedName name="HCBS_BM114" localSheetId="4">#REF!</definedName>
    <definedName name="HCBS_BM114" localSheetId="9">#REF!</definedName>
    <definedName name="HCBS_BM114">#REF!</definedName>
    <definedName name="HCBS_BM115" localSheetId="4">#REF!</definedName>
    <definedName name="HCBS_BM115" localSheetId="9">#REF!</definedName>
    <definedName name="HCBS_BM115">#REF!</definedName>
    <definedName name="HCBS_BM116" localSheetId="4">#REF!</definedName>
    <definedName name="HCBS_BM116" localSheetId="9">#REF!</definedName>
    <definedName name="HCBS_BM116">#REF!</definedName>
    <definedName name="HCBS_BM117" localSheetId="4">#REF!</definedName>
    <definedName name="HCBS_BM117" localSheetId="9">#REF!</definedName>
    <definedName name="HCBS_BM117">#REF!</definedName>
    <definedName name="HCBS_BM118" localSheetId="4">#REF!</definedName>
    <definedName name="HCBS_BM118" localSheetId="9">#REF!</definedName>
    <definedName name="HCBS_BM118">#REF!</definedName>
    <definedName name="HCBS_BM119" localSheetId="4">#REF!</definedName>
    <definedName name="HCBS_BM119" localSheetId="9">#REF!</definedName>
    <definedName name="HCBS_BM119">#REF!</definedName>
    <definedName name="HCBS_BM12" localSheetId="4">#REF!</definedName>
    <definedName name="HCBS_BM12" localSheetId="9">#REF!</definedName>
    <definedName name="HCBS_BM12">#REF!</definedName>
    <definedName name="HCBS_BM120" localSheetId="4">#REF!</definedName>
    <definedName name="HCBS_BM120" localSheetId="9">#REF!</definedName>
    <definedName name="HCBS_BM120">#REF!</definedName>
    <definedName name="HCBS_BM121" localSheetId="4">#REF!</definedName>
    <definedName name="HCBS_BM121" localSheetId="9">#REF!</definedName>
    <definedName name="HCBS_BM121">#REF!</definedName>
    <definedName name="HCBS_BM122" localSheetId="4">#REF!</definedName>
    <definedName name="HCBS_BM122" localSheetId="9">#REF!</definedName>
    <definedName name="HCBS_BM122">#REF!</definedName>
    <definedName name="HCBS_BM123" localSheetId="4">#REF!</definedName>
    <definedName name="HCBS_BM123" localSheetId="9">#REF!</definedName>
    <definedName name="HCBS_BM123">#REF!</definedName>
    <definedName name="HCBS_BM124" localSheetId="4">#REF!</definedName>
    <definedName name="HCBS_BM124" localSheetId="9">#REF!</definedName>
    <definedName name="HCBS_BM124">#REF!</definedName>
    <definedName name="HCBS_BM125" localSheetId="4">#REF!</definedName>
    <definedName name="HCBS_BM125" localSheetId="9">#REF!</definedName>
    <definedName name="HCBS_BM125">#REF!</definedName>
    <definedName name="HCBS_BM13" localSheetId="4">#REF!</definedName>
    <definedName name="HCBS_BM13" localSheetId="9">#REF!</definedName>
    <definedName name="HCBS_BM13">#REF!</definedName>
    <definedName name="HCBS_BM14" localSheetId="4">#REF!</definedName>
    <definedName name="HCBS_BM14" localSheetId="9">#REF!</definedName>
    <definedName name="HCBS_BM14">#REF!</definedName>
    <definedName name="HCBS_BM15" localSheetId="4">#REF!</definedName>
    <definedName name="HCBS_BM15" localSheetId="9">#REF!</definedName>
    <definedName name="HCBS_BM15">#REF!</definedName>
    <definedName name="HCBS_BM16" localSheetId="4">#REF!</definedName>
    <definedName name="HCBS_BM16" localSheetId="9">#REF!</definedName>
    <definedName name="HCBS_BM16">#REF!</definedName>
    <definedName name="HCBS_BM17" localSheetId="4">#REF!</definedName>
    <definedName name="HCBS_BM17" localSheetId="9">#REF!</definedName>
    <definedName name="HCBS_BM17">#REF!</definedName>
    <definedName name="HCBS_BM18" localSheetId="4">#REF!</definedName>
    <definedName name="HCBS_BM18" localSheetId="9">#REF!</definedName>
    <definedName name="HCBS_BM18">#REF!</definedName>
    <definedName name="HCBS_BM19" localSheetId="4">#REF!</definedName>
    <definedName name="HCBS_BM19" localSheetId="9">#REF!</definedName>
    <definedName name="HCBS_BM19">#REF!</definedName>
    <definedName name="HCBS_BM21" localSheetId="4">#REF!</definedName>
    <definedName name="HCBS_BM21" localSheetId="9">#REF!</definedName>
    <definedName name="HCBS_BM21">#REF!</definedName>
    <definedName name="HCBS_BM210_N0" localSheetId="4">#REF!</definedName>
    <definedName name="HCBS_BM210_N0" localSheetId="9">#REF!</definedName>
    <definedName name="HCBS_BM210_N0">#REF!</definedName>
    <definedName name="HCBS_BM211_N0" localSheetId="4">#REF!</definedName>
    <definedName name="HCBS_BM211_N0" localSheetId="9">#REF!</definedName>
    <definedName name="HCBS_BM211_N0">#REF!</definedName>
    <definedName name="HCBS_BM212_N0" localSheetId="4">#REF!</definedName>
    <definedName name="HCBS_BM212_N0" localSheetId="9">#REF!</definedName>
    <definedName name="HCBS_BM212_N0">#REF!</definedName>
    <definedName name="HCBS_BM213_N0" localSheetId="4">#REF!</definedName>
    <definedName name="HCBS_BM213_N0" localSheetId="9">#REF!</definedName>
    <definedName name="HCBS_BM213_N0">#REF!</definedName>
    <definedName name="HCBS_BM214_N0" localSheetId="4">#REF!</definedName>
    <definedName name="HCBS_BM214_N0" localSheetId="9">#REF!</definedName>
    <definedName name="HCBS_BM214_N0">#REF!</definedName>
    <definedName name="HCBS_BM215_N0" localSheetId="4">#REF!</definedName>
    <definedName name="HCBS_BM215_N0" localSheetId="9">#REF!</definedName>
    <definedName name="HCBS_BM215_N0">#REF!</definedName>
    <definedName name="HCBS_BM216_N0" localSheetId="4">#REF!</definedName>
    <definedName name="HCBS_BM216_N0" localSheetId="9">#REF!</definedName>
    <definedName name="HCBS_BM216_N0">#REF!</definedName>
    <definedName name="HCBS_BM217_N0" localSheetId="4">#REF!</definedName>
    <definedName name="HCBS_BM217_N0" localSheetId="9">#REF!</definedName>
    <definedName name="HCBS_BM217_N0">#REF!</definedName>
    <definedName name="HCBS_BM218_N0" localSheetId="4">#REF!</definedName>
    <definedName name="HCBS_BM218_N0" localSheetId="9">#REF!</definedName>
    <definedName name="HCBS_BM218_N0">#REF!</definedName>
    <definedName name="HCBS_BM219_N0" localSheetId="4">#REF!</definedName>
    <definedName name="HCBS_BM219_N0" localSheetId="9">#REF!</definedName>
    <definedName name="HCBS_BM219_N0">#REF!</definedName>
    <definedName name="HCBS_BM22_N0" localSheetId="4">#REF!</definedName>
    <definedName name="HCBS_BM22_N0" localSheetId="9">#REF!</definedName>
    <definedName name="HCBS_BM22_N0">#REF!</definedName>
    <definedName name="HCBS_BM220_N1" localSheetId="4">#REF!</definedName>
    <definedName name="HCBS_BM220_N1" localSheetId="9">#REF!</definedName>
    <definedName name="HCBS_BM220_N1">#REF!</definedName>
    <definedName name="HCBS_BM221_N1" localSheetId="4">#REF!</definedName>
    <definedName name="HCBS_BM221_N1" localSheetId="9">#REF!</definedName>
    <definedName name="HCBS_BM221_N1">#REF!</definedName>
    <definedName name="HCBS_BM222_N1" localSheetId="4">#REF!</definedName>
    <definedName name="HCBS_BM222_N1" localSheetId="9">#REF!</definedName>
    <definedName name="HCBS_BM222_N1">#REF!</definedName>
    <definedName name="HCBS_BM223_N1" localSheetId="4">#REF!</definedName>
    <definedName name="HCBS_BM223_N1" localSheetId="9">#REF!</definedName>
    <definedName name="HCBS_BM223_N1">#REF!</definedName>
    <definedName name="HCBS_BM224_N1" localSheetId="4">#REF!</definedName>
    <definedName name="HCBS_BM224_N1" localSheetId="9">#REF!</definedName>
    <definedName name="HCBS_BM224_N1">#REF!</definedName>
    <definedName name="HCBS_BM225_N1" localSheetId="4">#REF!</definedName>
    <definedName name="HCBS_BM225_N1" localSheetId="9">#REF!</definedName>
    <definedName name="HCBS_BM225_N1">#REF!</definedName>
    <definedName name="HCBS_BM23_N0" localSheetId="4">#REF!</definedName>
    <definedName name="HCBS_BM23_N0" localSheetId="9">#REF!</definedName>
    <definedName name="HCBS_BM23_N0">#REF!</definedName>
    <definedName name="HCBS_BM24_N0" localSheetId="4">#REF!</definedName>
    <definedName name="HCBS_BM24_N0" localSheetId="9">#REF!</definedName>
    <definedName name="HCBS_BM24_N0">#REF!</definedName>
    <definedName name="HCBS_BM25_N0" localSheetId="4">#REF!</definedName>
    <definedName name="HCBS_BM25_N0" localSheetId="9">#REF!</definedName>
    <definedName name="HCBS_BM25_N0">#REF!</definedName>
    <definedName name="HCBS_BM26_N0" localSheetId="4">#REF!</definedName>
    <definedName name="HCBS_BM26_N0" localSheetId="9">#REF!</definedName>
    <definedName name="HCBS_BM26_N0">#REF!</definedName>
    <definedName name="HCBS_BM27_N0" localSheetId="4">#REF!</definedName>
    <definedName name="HCBS_BM27_N0" localSheetId="9">#REF!</definedName>
    <definedName name="HCBS_BM27_N0">#REF!</definedName>
    <definedName name="HCBS_BM28_N0" localSheetId="4">#REF!</definedName>
    <definedName name="HCBS_BM28_N0" localSheetId="9">#REF!</definedName>
    <definedName name="HCBS_BM28_N0">#REF!</definedName>
    <definedName name="HCBS_BM29_N0" localSheetId="4">#REF!</definedName>
    <definedName name="HCBS_BM29_N0" localSheetId="9">#REF!</definedName>
    <definedName name="HCBS_BM29_N0">#REF!</definedName>
    <definedName name="HCBS_BM31" localSheetId="4">#REF!</definedName>
    <definedName name="HCBS_BM31" localSheetId="9">#REF!</definedName>
    <definedName name="HCBS_BM31">#REF!</definedName>
    <definedName name="HCBS_BM310_N0" localSheetId="4">#REF!</definedName>
    <definedName name="HCBS_BM310_N0" localSheetId="9">#REF!</definedName>
    <definedName name="HCBS_BM310_N0">#REF!</definedName>
    <definedName name="HCBS_BM311_N0" localSheetId="4">#REF!</definedName>
    <definedName name="HCBS_BM311_N0" localSheetId="9">#REF!</definedName>
    <definedName name="HCBS_BM311_N0">#REF!</definedName>
    <definedName name="HCBS_BM312_N0" localSheetId="4">#REF!</definedName>
    <definedName name="HCBS_BM312_N0" localSheetId="9">#REF!</definedName>
    <definedName name="HCBS_BM312_N0">#REF!</definedName>
    <definedName name="HCBS_BM313_N0" localSheetId="4">#REF!</definedName>
    <definedName name="HCBS_BM313_N0" localSheetId="9">#REF!</definedName>
    <definedName name="HCBS_BM313_N0">#REF!</definedName>
    <definedName name="HCBS_BM314_N0" localSheetId="4">#REF!</definedName>
    <definedName name="HCBS_BM314_N0" localSheetId="9">#REF!</definedName>
    <definedName name="HCBS_BM314_N0">#REF!</definedName>
    <definedName name="HCBS_BM315_N0" localSheetId="4">#REF!</definedName>
    <definedName name="HCBS_BM315_N0" localSheetId="9">#REF!</definedName>
    <definedName name="HCBS_BM315_N0">#REF!</definedName>
    <definedName name="HCBS_BM316_N0" localSheetId="4">#REF!</definedName>
    <definedName name="HCBS_BM316_N0" localSheetId="9">#REF!</definedName>
    <definedName name="HCBS_BM316_N0">#REF!</definedName>
    <definedName name="HCBS_BM317_N0" localSheetId="4">#REF!</definedName>
    <definedName name="HCBS_BM317_N0" localSheetId="9">#REF!</definedName>
    <definedName name="HCBS_BM317_N0">#REF!</definedName>
    <definedName name="HCBS_BM318_N0" localSheetId="4">#REF!</definedName>
    <definedName name="HCBS_BM318_N0" localSheetId="9">#REF!</definedName>
    <definedName name="HCBS_BM318_N0">#REF!</definedName>
    <definedName name="HCBS_BM319_N0" localSheetId="4">#REF!</definedName>
    <definedName name="HCBS_BM319_N0" localSheetId="9">#REF!</definedName>
    <definedName name="HCBS_BM319_N0">#REF!</definedName>
    <definedName name="HCBS_BM32_N0" localSheetId="4">#REF!</definedName>
    <definedName name="HCBS_BM32_N0" localSheetId="9">#REF!</definedName>
    <definedName name="HCBS_BM32_N0">#REF!</definedName>
    <definedName name="HCBS_BM320_N1" localSheetId="4">#REF!</definedName>
    <definedName name="HCBS_BM320_N1" localSheetId="9">#REF!</definedName>
    <definedName name="HCBS_BM320_N1">#REF!</definedName>
    <definedName name="HCBS_BM321_N1" localSheetId="4">#REF!</definedName>
    <definedName name="HCBS_BM321_N1" localSheetId="9">#REF!</definedName>
    <definedName name="HCBS_BM321_N1">#REF!</definedName>
    <definedName name="HCBS_BM322_N1" localSheetId="4">#REF!</definedName>
    <definedName name="HCBS_BM322_N1" localSheetId="9">#REF!</definedName>
    <definedName name="HCBS_BM322_N1">#REF!</definedName>
    <definedName name="HCBS_BM323_N1" localSheetId="4">#REF!</definedName>
    <definedName name="HCBS_BM323_N1" localSheetId="9">#REF!</definedName>
    <definedName name="HCBS_BM323_N1">#REF!</definedName>
    <definedName name="HCBS_BM324_N1" localSheetId="4">#REF!</definedName>
    <definedName name="HCBS_BM324_N1" localSheetId="9">#REF!</definedName>
    <definedName name="HCBS_BM324_N1">#REF!</definedName>
    <definedName name="HCBS_BM325_N1" localSheetId="4">#REF!</definedName>
    <definedName name="HCBS_BM325_N1" localSheetId="9">#REF!</definedName>
    <definedName name="HCBS_BM325_N1">#REF!</definedName>
    <definedName name="HCBS_BM33_N0" localSheetId="4">#REF!</definedName>
    <definedName name="HCBS_BM33_N0" localSheetId="9">#REF!</definedName>
    <definedName name="HCBS_BM33_N0">#REF!</definedName>
    <definedName name="HCBS_BM34_N0" localSheetId="4">#REF!</definedName>
    <definedName name="HCBS_BM34_N0" localSheetId="9">#REF!</definedName>
    <definedName name="HCBS_BM34_N0">#REF!</definedName>
    <definedName name="HCBS_BM35_N0" localSheetId="4">#REF!</definedName>
    <definedName name="HCBS_BM35_N0" localSheetId="9">#REF!</definedName>
    <definedName name="HCBS_BM35_N0">#REF!</definedName>
    <definedName name="HCBS_BM36_N0" localSheetId="4">#REF!</definedName>
    <definedName name="HCBS_BM36_N0" localSheetId="9">#REF!</definedName>
    <definedName name="HCBS_BM36_N0">#REF!</definedName>
    <definedName name="HCBS_BM37_N0" localSheetId="4">#REF!</definedName>
    <definedName name="HCBS_BM37_N0" localSheetId="9">#REF!</definedName>
    <definedName name="HCBS_BM37_N0">#REF!</definedName>
    <definedName name="HCBS_BM38_N0" localSheetId="4">#REF!</definedName>
    <definedName name="HCBS_BM38_N0" localSheetId="9">#REF!</definedName>
    <definedName name="HCBS_BM38_N0">#REF!</definedName>
    <definedName name="HCBS_BM39_N0" localSheetId="4">#REF!</definedName>
    <definedName name="HCBS_BM39_N0" localSheetId="9">#REF!</definedName>
    <definedName name="HCBS_BM39_N0">#REF!</definedName>
    <definedName name="HCBS_BM41" localSheetId="4">#REF!</definedName>
    <definedName name="HCBS_BM41" localSheetId="9">#REF!</definedName>
    <definedName name="HCBS_BM41">#REF!</definedName>
    <definedName name="HCBS_BM410_N0" localSheetId="4">#REF!</definedName>
    <definedName name="HCBS_BM410_N0" localSheetId="9">#REF!</definedName>
    <definedName name="HCBS_BM410_N0">#REF!</definedName>
    <definedName name="HCBS_BM411_N0" localSheetId="4">#REF!</definedName>
    <definedName name="HCBS_BM411_N0" localSheetId="9">#REF!</definedName>
    <definedName name="HCBS_BM411_N0">#REF!</definedName>
    <definedName name="HCBS_BM412_N0" localSheetId="4">#REF!</definedName>
    <definedName name="HCBS_BM412_N0" localSheetId="9">#REF!</definedName>
    <definedName name="HCBS_BM412_N0">#REF!</definedName>
    <definedName name="HCBS_BM413_N0" localSheetId="4">#REF!</definedName>
    <definedName name="HCBS_BM413_N0" localSheetId="9">#REF!</definedName>
    <definedName name="HCBS_BM413_N0">#REF!</definedName>
    <definedName name="HCBS_BM414_N0" localSheetId="4">#REF!</definedName>
    <definedName name="HCBS_BM414_N0" localSheetId="9">#REF!</definedName>
    <definedName name="HCBS_BM414_N0">#REF!</definedName>
    <definedName name="HCBS_BM415_N0" localSheetId="4">#REF!</definedName>
    <definedName name="HCBS_BM415_N0" localSheetId="9">#REF!</definedName>
    <definedName name="HCBS_BM415_N0">#REF!</definedName>
    <definedName name="HCBS_BM416_N0" localSheetId="4">#REF!</definedName>
    <definedName name="HCBS_BM416_N0" localSheetId="9">#REF!</definedName>
    <definedName name="HCBS_BM416_N0">#REF!</definedName>
    <definedName name="HCBS_BM417_N0" localSheetId="4">#REF!</definedName>
    <definedName name="HCBS_BM417_N0" localSheetId="9">#REF!</definedName>
    <definedName name="HCBS_BM417_N0">#REF!</definedName>
    <definedName name="HCBS_BM418_N0" localSheetId="4">#REF!</definedName>
    <definedName name="HCBS_BM418_N0" localSheetId="9">#REF!</definedName>
    <definedName name="HCBS_BM418_N0">#REF!</definedName>
    <definedName name="HCBS_BM419_N0" localSheetId="4">#REF!</definedName>
    <definedName name="HCBS_BM419_N0" localSheetId="9">#REF!</definedName>
    <definedName name="HCBS_BM419_N0">#REF!</definedName>
    <definedName name="HCBS_BM42_N0" localSheetId="4">#REF!</definedName>
    <definedName name="HCBS_BM42_N0" localSheetId="9">#REF!</definedName>
    <definedName name="HCBS_BM42_N0">#REF!</definedName>
    <definedName name="HCBS_BM420_N1" localSheetId="4">#REF!</definedName>
    <definedName name="HCBS_BM420_N1" localSheetId="9">#REF!</definedName>
    <definedName name="HCBS_BM420_N1">#REF!</definedName>
    <definedName name="HCBS_BM421_N1" localSheetId="4">#REF!</definedName>
    <definedName name="HCBS_BM421_N1" localSheetId="9">#REF!</definedName>
    <definedName name="HCBS_BM421_N1">#REF!</definedName>
    <definedName name="HCBS_BM422_N1" localSheetId="4">#REF!</definedName>
    <definedName name="HCBS_BM422_N1" localSheetId="9">#REF!</definedName>
    <definedName name="HCBS_BM422_N1">#REF!</definedName>
    <definedName name="HCBS_BM423_N1" localSheetId="4">#REF!</definedName>
    <definedName name="HCBS_BM423_N1" localSheetId="9">#REF!</definedName>
    <definedName name="HCBS_BM423_N1">#REF!</definedName>
    <definedName name="HCBS_BM424_N1" localSheetId="4">#REF!</definedName>
    <definedName name="HCBS_BM424_N1" localSheetId="9">#REF!</definedName>
    <definedName name="HCBS_BM424_N1">#REF!</definedName>
    <definedName name="HCBS_BM425_N1" localSheetId="4">#REF!</definedName>
    <definedName name="HCBS_BM425_N1" localSheetId="9">#REF!</definedName>
    <definedName name="HCBS_BM425_N1">#REF!</definedName>
    <definedName name="HCBS_BM43_N0" localSheetId="4">#REF!</definedName>
    <definedName name="HCBS_BM43_N0" localSheetId="9">#REF!</definedName>
    <definedName name="HCBS_BM43_N0">#REF!</definedName>
    <definedName name="HCBS_BM44_N0" localSheetId="4">#REF!</definedName>
    <definedName name="HCBS_BM44_N0" localSheetId="9">#REF!</definedName>
    <definedName name="HCBS_BM44_N0">#REF!</definedName>
    <definedName name="HCBS_BM45_N0" localSheetId="4">#REF!</definedName>
    <definedName name="HCBS_BM45_N0" localSheetId="9">#REF!</definedName>
    <definedName name="HCBS_BM45_N0">#REF!</definedName>
    <definedName name="HCBS_BM46_N0" localSheetId="4">#REF!</definedName>
    <definedName name="HCBS_BM46_N0" localSheetId="9">#REF!</definedName>
    <definedName name="HCBS_BM46_N0">#REF!</definedName>
    <definedName name="HCBS_BM47_N0" localSheetId="4">#REF!</definedName>
    <definedName name="HCBS_BM47_N0" localSheetId="9">#REF!</definedName>
    <definedName name="HCBS_BM47_N0">#REF!</definedName>
    <definedName name="HCBS_BM48_N0" localSheetId="4">#REF!</definedName>
    <definedName name="HCBS_BM48_N0" localSheetId="9">#REF!</definedName>
    <definedName name="HCBS_BM48_N0">#REF!</definedName>
    <definedName name="HCBS_BM49_N0" localSheetId="4">#REF!</definedName>
    <definedName name="HCBS_BM49_N0" localSheetId="9">#REF!</definedName>
    <definedName name="HCBS_BM49_N0">#REF!</definedName>
    <definedName name="HCBS_BM51" localSheetId="4">#REF!</definedName>
    <definedName name="HCBS_BM51" localSheetId="9">#REF!</definedName>
    <definedName name="HCBS_BM51">#REF!</definedName>
    <definedName name="HCBS_BM510_N0" localSheetId="4">#REF!</definedName>
    <definedName name="HCBS_BM510_N0" localSheetId="9">#REF!</definedName>
    <definedName name="HCBS_BM510_N0">#REF!</definedName>
    <definedName name="HCBS_BM511_N0" localSheetId="4">#REF!</definedName>
    <definedName name="HCBS_BM511_N0" localSheetId="9">#REF!</definedName>
    <definedName name="HCBS_BM511_N0">#REF!</definedName>
    <definedName name="HCBS_BM512_N0" localSheetId="4">#REF!</definedName>
    <definedName name="HCBS_BM512_N0" localSheetId="9">#REF!</definedName>
    <definedName name="HCBS_BM512_N0">#REF!</definedName>
    <definedName name="HCBS_BM513_N0" localSheetId="4">#REF!</definedName>
    <definedName name="HCBS_BM513_N0" localSheetId="9">#REF!</definedName>
    <definedName name="HCBS_BM513_N0">#REF!</definedName>
    <definedName name="HCBS_BM514_N0" localSheetId="4">#REF!</definedName>
    <definedName name="HCBS_BM514_N0" localSheetId="9">#REF!</definedName>
    <definedName name="HCBS_BM514_N0">#REF!</definedName>
    <definedName name="HCBS_BM515_N0" localSheetId="4">#REF!</definedName>
    <definedName name="HCBS_BM515_N0" localSheetId="9">#REF!</definedName>
    <definedName name="HCBS_BM515_N0">#REF!</definedName>
    <definedName name="HCBS_BM516_N0" localSheetId="4">#REF!</definedName>
    <definedName name="HCBS_BM516_N0" localSheetId="9">#REF!</definedName>
    <definedName name="HCBS_BM516_N0">#REF!</definedName>
    <definedName name="HCBS_BM517_N0" localSheetId="4">#REF!</definedName>
    <definedName name="HCBS_BM517_N0" localSheetId="9">#REF!</definedName>
    <definedName name="HCBS_BM517_N0">#REF!</definedName>
    <definedName name="HCBS_BM518_N0" localSheetId="4">#REF!</definedName>
    <definedName name="HCBS_BM518_N0" localSheetId="9">#REF!</definedName>
    <definedName name="HCBS_BM518_N0">#REF!</definedName>
    <definedName name="HCBS_BM519_N0" localSheetId="4">#REF!</definedName>
    <definedName name="HCBS_BM519_N0" localSheetId="9">#REF!</definedName>
    <definedName name="HCBS_BM519_N0">#REF!</definedName>
    <definedName name="HCBS_BM52_N0" localSheetId="4">#REF!</definedName>
    <definedName name="HCBS_BM52_N0" localSheetId="9">#REF!</definedName>
    <definedName name="HCBS_BM52_N0">#REF!</definedName>
    <definedName name="HCBS_BM520_N1" localSheetId="4">#REF!</definedName>
    <definedName name="HCBS_BM520_N1" localSheetId="9">#REF!</definedName>
    <definedName name="HCBS_BM520_N1">#REF!</definedName>
    <definedName name="HCBS_BM521_N1" localSheetId="4">#REF!</definedName>
    <definedName name="HCBS_BM521_N1" localSheetId="9">#REF!</definedName>
    <definedName name="HCBS_BM521_N1">#REF!</definedName>
    <definedName name="HCBS_BM522_N1" localSheetId="4">#REF!</definedName>
    <definedName name="HCBS_BM522_N1" localSheetId="9">#REF!</definedName>
    <definedName name="HCBS_BM522_N1">#REF!</definedName>
    <definedName name="HCBS_BM523_N1" localSheetId="4">#REF!</definedName>
    <definedName name="HCBS_BM523_N1" localSheetId="9">#REF!</definedName>
    <definedName name="HCBS_BM523_N1">#REF!</definedName>
    <definedName name="HCBS_BM524_N1" localSheetId="4">#REF!</definedName>
    <definedName name="HCBS_BM524_N1" localSheetId="9">#REF!</definedName>
    <definedName name="HCBS_BM524_N1">#REF!</definedName>
    <definedName name="HCBS_BM525_N1" localSheetId="4">#REF!</definedName>
    <definedName name="HCBS_BM525_N1" localSheetId="9">#REF!</definedName>
    <definedName name="HCBS_BM525_N1">#REF!</definedName>
    <definedName name="HCBS_BM53_N0" localSheetId="4">#REF!</definedName>
    <definedName name="HCBS_BM53_N0" localSheetId="9">#REF!</definedName>
    <definedName name="HCBS_BM53_N0">#REF!</definedName>
    <definedName name="HCBS_BM54_N0" localSheetId="4">#REF!</definedName>
    <definedName name="HCBS_BM54_N0" localSheetId="9">#REF!</definedName>
    <definedName name="HCBS_BM54_N0">#REF!</definedName>
    <definedName name="HCBS_BM55_N0" localSheetId="4">#REF!</definedName>
    <definedName name="HCBS_BM55_N0" localSheetId="9">#REF!</definedName>
    <definedName name="HCBS_BM55_N0">#REF!</definedName>
    <definedName name="HCBS_BM56_N0" localSheetId="4">#REF!</definedName>
    <definedName name="HCBS_BM56_N0" localSheetId="9">#REF!</definedName>
    <definedName name="HCBS_BM56_N0">#REF!</definedName>
    <definedName name="HCBS_BM57_N0" localSheetId="4">#REF!</definedName>
    <definedName name="HCBS_BM57_N0" localSheetId="9">#REF!</definedName>
    <definedName name="HCBS_BM57_N0">#REF!</definedName>
    <definedName name="HCBS_BM58_N0" localSheetId="4">#REF!</definedName>
    <definedName name="HCBS_BM58_N0" localSheetId="9">#REF!</definedName>
    <definedName name="HCBS_BM58_N0">#REF!</definedName>
    <definedName name="HCBS_BM59_N0" localSheetId="4">#REF!</definedName>
    <definedName name="HCBS_BM59_N0" localSheetId="9">#REF!</definedName>
    <definedName name="HCBS_BM59_N0">#REF!</definedName>
    <definedName name="HCCF_BM11" localSheetId="4">#REF!</definedName>
    <definedName name="HCCF_BM11" localSheetId="9">#REF!</definedName>
    <definedName name="HCCF_BM11">#REF!</definedName>
    <definedName name="HCCF_BM110" localSheetId="4">#REF!</definedName>
    <definedName name="HCCF_BM110" localSheetId="9">#REF!</definedName>
    <definedName name="HCCF_BM110">#REF!</definedName>
    <definedName name="HCCF_BM111" localSheetId="4">#REF!</definedName>
    <definedName name="HCCF_BM111" localSheetId="9">#REF!</definedName>
    <definedName name="HCCF_BM111">#REF!</definedName>
    <definedName name="HCCF_BM112" localSheetId="4">#REF!</definedName>
    <definedName name="HCCF_BM112" localSheetId="9">#REF!</definedName>
    <definedName name="HCCF_BM112">#REF!</definedName>
    <definedName name="HCCF_BM113" localSheetId="4">#REF!</definedName>
    <definedName name="HCCF_BM113" localSheetId="9">#REF!</definedName>
    <definedName name="HCCF_BM113">#REF!</definedName>
    <definedName name="HCCF_BM114" localSheetId="4">#REF!</definedName>
    <definedName name="HCCF_BM114" localSheetId="9">#REF!</definedName>
    <definedName name="HCCF_BM114">#REF!</definedName>
    <definedName name="HCCF_BM115" localSheetId="4">#REF!</definedName>
    <definedName name="HCCF_BM115" localSheetId="9">#REF!</definedName>
    <definedName name="HCCF_BM115">#REF!</definedName>
    <definedName name="HCCF_BM116" localSheetId="4">#REF!</definedName>
    <definedName name="HCCF_BM116" localSheetId="9">#REF!</definedName>
    <definedName name="HCCF_BM116">#REF!</definedName>
    <definedName name="HCCF_BM117" localSheetId="4">#REF!</definedName>
    <definedName name="HCCF_BM117" localSheetId="9">#REF!</definedName>
    <definedName name="HCCF_BM117">#REF!</definedName>
    <definedName name="HCCF_BM118" localSheetId="4">#REF!</definedName>
    <definedName name="HCCF_BM118" localSheetId="9">#REF!</definedName>
    <definedName name="HCCF_BM118">#REF!</definedName>
    <definedName name="HCCF_BM120" localSheetId="4">#REF!</definedName>
    <definedName name="HCCF_BM120" localSheetId="9">#REF!</definedName>
    <definedName name="HCCF_BM120">#REF!</definedName>
    <definedName name="HCCF_BM121" localSheetId="4">#REF!</definedName>
    <definedName name="HCCF_BM121" localSheetId="9">#REF!</definedName>
    <definedName name="HCCF_BM121">#REF!</definedName>
    <definedName name="HCCF_BM122" localSheetId="4">#REF!</definedName>
    <definedName name="HCCF_BM122" localSheetId="9">#REF!</definedName>
    <definedName name="HCCF_BM122">#REF!</definedName>
    <definedName name="HCCF_BM123" localSheetId="4">#REF!</definedName>
    <definedName name="HCCF_BM123" localSheetId="9">#REF!</definedName>
    <definedName name="HCCF_BM123">#REF!</definedName>
    <definedName name="HCCF_BM124" localSheetId="4">#REF!</definedName>
    <definedName name="HCCF_BM124" localSheetId="9">#REF!</definedName>
    <definedName name="HCCF_BM124">#REF!</definedName>
    <definedName name="HCCF_BM125" localSheetId="4">#REF!</definedName>
    <definedName name="HCCF_BM125" localSheetId="9">#REF!</definedName>
    <definedName name="HCCF_BM125">#REF!</definedName>
    <definedName name="HCCF_BM126" localSheetId="4">#REF!</definedName>
    <definedName name="HCCF_BM126" localSheetId="9">#REF!</definedName>
    <definedName name="HCCF_BM126">#REF!</definedName>
    <definedName name="HCCF_BM13" localSheetId="4">#REF!</definedName>
    <definedName name="HCCF_BM13" localSheetId="9">#REF!</definedName>
    <definedName name="HCCF_BM13">#REF!</definedName>
    <definedName name="HCCF_BM14" localSheetId="4">#REF!</definedName>
    <definedName name="HCCF_BM14" localSheetId="9">#REF!</definedName>
    <definedName name="HCCF_BM14">#REF!</definedName>
    <definedName name="HCCF_BM15" localSheetId="4">#REF!</definedName>
    <definedName name="HCCF_BM15" localSheetId="9">#REF!</definedName>
    <definedName name="HCCF_BM15">#REF!</definedName>
    <definedName name="HCCF_BM16" localSheetId="4">#REF!</definedName>
    <definedName name="HCCF_BM16" localSheetId="9">#REF!</definedName>
    <definedName name="HCCF_BM16">#REF!</definedName>
    <definedName name="HCCF_BM17" localSheetId="4">#REF!</definedName>
    <definedName name="HCCF_BM17" localSheetId="9">#REF!</definedName>
    <definedName name="HCCF_BM17">#REF!</definedName>
    <definedName name="HCCF_BM18" localSheetId="4">#REF!</definedName>
    <definedName name="HCCF_BM18" localSheetId="9">#REF!</definedName>
    <definedName name="HCCF_BM18">#REF!</definedName>
    <definedName name="HCCF_BM19" localSheetId="4">#REF!</definedName>
    <definedName name="HCCF_BM19" localSheetId="9">#REF!</definedName>
    <definedName name="HCCF_BM19">#REF!</definedName>
    <definedName name="HCCF_BM21" localSheetId="4">#REF!</definedName>
    <definedName name="HCCF_BM21" localSheetId="9">#REF!</definedName>
    <definedName name="HCCF_BM21">#REF!</definedName>
    <definedName name="HCCF_BM210_N0" localSheetId="4">#REF!</definedName>
    <definedName name="HCCF_BM210_N0" localSheetId="9">#REF!</definedName>
    <definedName name="HCCF_BM210_N0">#REF!</definedName>
    <definedName name="HCCF_BM211_N0" localSheetId="4">#REF!</definedName>
    <definedName name="HCCF_BM211_N0" localSheetId="9">#REF!</definedName>
    <definedName name="HCCF_BM211_N0">#REF!</definedName>
    <definedName name="HCCF_BM212_N0" localSheetId="4">#REF!</definedName>
    <definedName name="HCCF_BM212_N0" localSheetId="9">#REF!</definedName>
    <definedName name="HCCF_BM212_N0">#REF!</definedName>
    <definedName name="HCCF_BM213_N0" localSheetId="4">#REF!</definedName>
    <definedName name="HCCF_BM213_N0" localSheetId="9">#REF!</definedName>
    <definedName name="HCCF_BM213_N0">#REF!</definedName>
    <definedName name="HCCF_BM214_N0" localSheetId="4">#REF!</definedName>
    <definedName name="HCCF_BM214_N0" localSheetId="9">#REF!</definedName>
    <definedName name="HCCF_BM214_N0">#REF!</definedName>
    <definedName name="HCCF_BM215_N0" localSheetId="4">#REF!</definedName>
    <definedName name="HCCF_BM215_N0" localSheetId="9">#REF!</definedName>
    <definedName name="HCCF_BM215_N0">#REF!</definedName>
    <definedName name="HCCF_BM216_N0" localSheetId="4">#REF!</definedName>
    <definedName name="HCCF_BM216_N0" localSheetId="9">#REF!</definedName>
    <definedName name="HCCF_BM216_N0">#REF!</definedName>
    <definedName name="HCCF_BM217_P0" localSheetId="4">#REF!</definedName>
    <definedName name="HCCF_BM217_P0" localSheetId="9">#REF!</definedName>
    <definedName name="HCCF_BM217_P0">#REF!</definedName>
    <definedName name="HCCF_BM218" localSheetId="4">#REF!</definedName>
    <definedName name="HCCF_BM218" localSheetId="9">#REF!</definedName>
    <definedName name="HCCF_BM218">#REF!</definedName>
    <definedName name="HCCF_BM218_P0" localSheetId="4">#REF!</definedName>
    <definedName name="HCCF_BM218_P0" localSheetId="9">#REF!</definedName>
    <definedName name="HCCF_BM218_P0">#REF!</definedName>
    <definedName name="HCCF_BM219_P0" localSheetId="4">#REF!</definedName>
    <definedName name="HCCF_BM219_P0" localSheetId="9">#REF!</definedName>
    <definedName name="HCCF_BM219_P0">#REF!</definedName>
    <definedName name="HCCF_BM22_N0" localSheetId="4">#REF!</definedName>
    <definedName name="HCCF_BM22_N0" localSheetId="9">#REF!</definedName>
    <definedName name="HCCF_BM22_N0">#REF!</definedName>
    <definedName name="HCCF_BM220_P0" localSheetId="4">#REF!</definedName>
    <definedName name="HCCF_BM220_P0" localSheetId="9">#REF!</definedName>
    <definedName name="HCCF_BM220_P0">#REF!</definedName>
    <definedName name="HCCF_BM221_N1" localSheetId="4">#REF!</definedName>
    <definedName name="HCCF_BM221_N1" localSheetId="9">#REF!</definedName>
    <definedName name="HCCF_BM221_N1">#REF!</definedName>
    <definedName name="HCCF_BM222_N1" localSheetId="4">#REF!</definedName>
    <definedName name="HCCF_BM222_N1" localSheetId="9">#REF!</definedName>
    <definedName name="HCCF_BM222_N1">#REF!</definedName>
    <definedName name="HCCF_BM223_N1" localSheetId="4">#REF!</definedName>
    <definedName name="HCCF_BM223_N1" localSheetId="9">#REF!</definedName>
    <definedName name="HCCF_BM223_N1">#REF!</definedName>
    <definedName name="HCCF_BM224_N1" localSheetId="4">#REF!</definedName>
    <definedName name="HCCF_BM224_N1" localSheetId="9">#REF!</definedName>
    <definedName name="HCCF_BM224_N1">#REF!</definedName>
    <definedName name="HCCF_BM225_N1" localSheetId="4">#REF!</definedName>
    <definedName name="HCCF_BM225_N1" localSheetId="9">#REF!</definedName>
    <definedName name="HCCF_BM225_N1">#REF!</definedName>
    <definedName name="HCCF_BM226_P1" localSheetId="4">#REF!</definedName>
    <definedName name="HCCF_BM226_P1" localSheetId="9">#REF!</definedName>
    <definedName name="HCCF_BM226_P1">#REF!</definedName>
    <definedName name="HCCF_BM23_N0" localSheetId="4">#REF!</definedName>
    <definedName name="HCCF_BM23_N0" localSheetId="9">#REF!</definedName>
    <definedName name="HCCF_BM23_N0">#REF!</definedName>
    <definedName name="HCCF_BM24_N0" localSheetId="4">#REF!</definedName>
    <definedName name="HCCF_BM24_N0" localSheetId="9">#REF!</definedName>
    <definedName name="HCCF_BM24_N0">#REF!</definedName>
    <definedName name="HCCF_BM25_N0" localSheetId="4">#REF!</definedName>
    <definedName name="HCCF_BM25_N0" localSheetId="9">#REF!</definedName>
    <definedName name="HCCF_BM25_N0">#REF!</definedName>
    <definedName name="HCCF_BM26_N0" localSheetId="4">#REF!</definedName>
    <definedName name="HCCF_BM26_N0" localSheetId="9">#REF!</definedName>
    <definedName name="HCCF_BM26_N0">#REF!</definedName>
    <definedName name="HCCF_BM27_N0" localSheetId="4">#REF!</definedName>
    <definedName name="HCCF_BM27_N0" localSheetId="9">#REF!</definedName>
    <definedName name="HCCF_BM27_N0">#REF!</definedName>
    <definedName name="HCCF_BM28_N0" localSheetId="4">#REF!</definedName>
    <definedName name="HCCF_BM28_N0" localSheetId="9">#REF!</definedName>
    <definedName name="HCCF_BM28_N0">#REF!</definedName>
    <definedName name="HCCF_BM29_N0" localSheetId="4">#REF!</definedName>
    <definedName name="HCCF_BM29_N0" localSheetId="9">#REF!</definedName>
    <definedName name="HCCF_BM29_N0">#REF!</definedName>
    <definedName name="HCCF_BM31" localSheetId="4">#REF!</definedName>
    <definedName name="HCCF_BM31" localSheetId="9">#REF!</definedName>
    <definedName name="HCCF_BM31">#REF!</definedName>
    <definedName name="HCCF_BM310_N0" localSheetId="4">#REF!</definedName>
    <definedName name="HCCF_BM310_N0" localSheetId="9">#REF!</definedName>
    <definedName name="HCCF_BM310_N0">#REF!</definedName>
    <definedName name="HCCF_BM311_N0" localSheetId="4">#REF!</definedName>
    <definedName name="HCCF_BM311_N0" localSheetId="9">#REF!</definedName>
    <definedName name="HCCF_BM311_N0">#REF!</definedName>
    <definedName name="HCCF_BM312_N0" localSheetId="4">#REF!</definedName>
    <definedName name="HCCF_BM312_N0" localSheetId="9">#REF!</definedName>
    <definedName name="HCCF_BM312_N0">#REF!</definedName>
    <definedName name="HCCF_BM313_N0" localSheetId="4">#REF!</definedName>
    <definedName name="HCCF_BM313_N0" localSheetId="9">#REF!</definedName>
    <definedName name="HCCF_BM313_N0">#REF!</definedName>
    <definedName name="HCCF_BM314_N0" localSheetId="4">#REF!</definedName>
    <definedName name="HCCF_BM314_N0" localSheetId="9">#REF!</definedName>
    <definedName name="HCCF_BM314_N0">#REF!</definedName>
    <definedName name="HCCF_BM315_N0" localSheetId="4">#REF!</definedName>
    <definedName name="HCCF_BM315_N0" localSheetId="9">#REF!</definedName>
    <definedName name="HCCF_BM315_N0">#REF!</definedName>
    <definedName name="HCCF_BM316_N0" localSheetId="4">#REF!</definedName>
    <definedName name="HCCF_BM316_N0" localSheetId="9">#REF!</definedName>
    <definedName name="HCCF_BM316_N0">#REF!</definedName>
    <definedName name="HCCF_BM317_P0" localSheetId="4">#REF!</definedName>
    <definedName name="HCCF_BM317_P0" localSheetId="9">#REF!</definedName>
    <definedName name="HCCF_BM317_P0">#REF!</definedName>
    <definedName name="HCCF_BM318" localSheetId="4">#REF!</definedName>
    <definedName name="HCCF_BM318" localSheetId="9">#REF!</definedName>
    <definedName name="HCCF_BM318">#REF!</definedName>
    <definedName name="HCCF_BM318_P0" localSheetId="4">#REF!</definedName>
    <definedName name="HCCF_BM318_P0" localSheetId="9">#REF!</definedName>
    <definedName name="HCCF_BM318_P0">#REF!</definedName>
    <definedName name="HCCF_BM319_P0" localSheetId="4">#REF!</definedName>
    <definedName name="HCCF_BM319_P0" localSheetId="9">#REF!</definedName>
    <definedName name="HCCF_BM319_P0">#REF!</definedName>
    <definedName name="HCCF_BM32_N0" localSheetId="4">#REF!</definedName>
    <definedName name="HCCF_BM32_N0" localSheetId="9">#REF!</definedName>
    <definedName name="HCCF_BM32_N0">#REF!</definedName>
    <definedName name="HCCF_BM320_P0" localSheetId="4">#REF!</definedName>
    <definedName name="HCCF_BM320_P0" localSheetId="9">#REF!</definedName>
    <definedName name="HCCF_BM320_P0">#REF!</definedName>
    <definedName name="HCCF_BM321_N1" localSheetId="4">#REF!</definedName>
    <definedName name="HCCF_BM321_N1" localSheetId="9">#REF!</definedName>
    <definedName name="HCCF_BM321_N1">#REF!</definedName>
    <definedName name="HCCF_BM322_N1" localSheetId="4">#REF!</definedName>
    <definedName name="HCCF_BM322_N1" localSheetId="9">#REF!</definedName>
    <definedName name="HCCF_BM322_N1">#REF!</definedName>
    <definedName name="HCCF_BM323_N1" localSheetId="4">#REF!</definedName>
    <definedName name="HCCF_BM323_N1" localSheetId="9">#REF!</definedName>
    <definedName name="HCCF_BM323_N1">#REF!</definedName>
    <definedName name="HCCF_BM324_N1" localSheetId="4">#REF!</definedName>
    <definedName name="HCCF_BM324_N1" localSheetId="9">#REF!</definedName>
    <definedName name="HCCF_BM324_N1">#REF!</definedName>
    <definedName name="HCCF_BM325_N1" localSheetId="4">#REF!</definedName>
    <definedName name="HCCF_BM325_N1" localSheetId="9">#REF!</definedName>
    <definedName name="HCCF_BM325_N1">#REF!</definedName>
    <definedName name="HCCF_BM326_P1" localSheetId="4">#REF!</definedName>
    <definedName name="HCCF_BM326_P1" localSheetId="9">#REF!</definedName>
    <definedName name="HCCF_BM326_P1">#REF!</definedName>
    <definedName name="HCCF_BM33_N0" localSheetId="4">#REF!</definedName>
    <definedName name="HCCF_BM33_N0" localSheetId="9">#REF!</definedName>
    <definedName name="HCCF_BM33_N0">#REF!</definedName>
    <definedName name="HCCF_BM34_N0" localSheetId="4">#REF!</definedName>
    <definedName name="HCCF_BM34_N0" localSheetId="9">#REF!</definedName>
    <definedName name="HCCF_BM34_N0">#REF!</definedName>
    <definedName name="HCCF_BM35_N0" localSheetId="4">#REF!</definedName>
    <definedName name="HCCF_BM35_N0" localSheetId="9">#REF!</definedName>
    <definedName name="HCCF_BM35_N0">#REF!</definedName>
    <definedName name="HCCF_BM36_N0" localSheetId="4">#REF!</definedName>
    <definedName name="HCCF_BM36_N0" localSheetId="9">#REF!</definedName>
    <definedName name="HCCF_BM36_N0">#REF!</definedName>
    <definedName name="HCCF_BM37_N0" localSheetId="4">#REF!</definedName>
    <definedName name="HCCF_BM37_N0" localSheetId="9">#REF!</definedName>
    <definedName name="HCCF_BM37_N0">#REF!</definedName>
    <definedName name="HCCF_BM38_N0" localSheetId="4">#REF!</definedName>
    <definedName name="HCCF_BM38_N0" localSheetId="9">#REF!</definedName>
    <definedName name="HCCF_BM38_N0">#REF!</definedName>
    <definedName name="HCCF_BM39_N0" localSheetId="4">#REF!</definedName>
    <definedName name="HCCF_BM39_N0" localSheetId="9">#REF!</definedName>
    <definedName name="HCCF_BM39_N0">#REF!</definedName>
    <definedName name="HCCF_BM41" localSheetId="4">#REF!</definedName>
    <definedName name="HCCF_BM41" localSheetId="9">#REF!</definedName>
    <definedName name="HCCF_BM41">#REF!</definedName>
    <definedName name="HCCF_BM410_N0" localSheetId="4">#REF!</definedName>
    <definedName name="HCCF_BM410_N0" localSheetId="9">#REF!</definedName>
    <definedName name="HCCF_BM410_N0">#REF!</definedName>
    <definedName name="HCCF_BM411_N0" localSheetId="4">#REF!</definedName>
    <definedName name="HCCF_BM411_N0" localSheetId="9">#REF!</definedName>
    <definedName name="HCCF_BM411_N0">#REF!</definedName>
    <definedName name="HCCF_BM412_N0" localSheetId="4">#REF!</definedName>
    <definedName name="HCCF_BM412_N0" localSheetId="9">#REF!</definedName>
    <definedName name="HCCF_BM412_N0">#REF!</definedName>
    <definedName name="HCCF_BM413_N0" localSheetId="4">#REF!</definedName>
    <definedName name="HCCF_BM413_N0" localSheetId="9">#REF!</definedName>
    <definedName name="HCCF_BM413_N0">#REF!</definedName>
    <definedName name="HCCF_BM414_N0" localSheetId="4">#REF!</definedName>
    <definedName name="HCCF_BM414_N0" localSheetId="9">#REF!</definedName>
    <definedName name="HCCF_BM414_N0">#REF!</definedName>
    <definedName name="HCCF_BM415_N0" localSheetId="4">#REF!</definedName>
    <definedName name="HCCF_BM415_N0" localSheetId="9">#REF!</definedName>
    <definedName name="HCCF_BM415_N0">#REF!</definedName>
    <definedName name="HCCF_BM416_N0" localSheetId="4">#REF!</definedName>
    <definedName name="HCCF_BM416_N0" localSheetId="9">#REF!</definedName>
    <definedName name="HCCF_BM416_N0">#REF!</definedName>
    <definedName name="HCCF_BM417_P0" localSheetId="4">#REF!</definedName>
    <definedName name="HCCF_BM417_P0" localSheetId="9">#REF!</definedName>
    <definedName name="HCCF_BM417_P0">#REF!</definedName>
    <definedName name="HCCF_BM418" localSheetId="4">#REF!</definedName>
    <definedName name="HCCF_BM418" localSheetId="9">#REF!</definedName>
    <definedName name="HCCF_BM418">#REF!</definedName>
    <definedName name="HCCF_BM418_P0" localSheetId="4">#REF!</definedName>
    <definedName name="HCCF_BM418_P0" localSheetId="9">#REF!</definedName>
    <definedName name="HCCF_BM418_P0">#REF!</definedName>
    <definedName name="HCCF_BM419_P0" localSheetId="4">#REF!</definedName>
    <definedName name="HCCF_BM419_P0" localSheetId="9">#REF!</definedName>
    <definedName name="HCCF_BM419_P0">#REF!</definedName>
    <definedName name="HCCF_BM42_N0" localSheetId="4">#REF!</definedName>
    <definedName name="HCCF_BM42_N0" localSheetId="9">#REF!</definedName>
    <definedName name="HCCF_BM42_N0">#REF!</definedName>
    <definedName name="HCCF_BM420_P0" localSheetId="4">#REF!</definedName>
    <definedName name="HCCF_BM420_P0" localSheetId="9">#REF!</definedName>
    <definedName name="HCCF_BM420_P0">#REF!</definedName>
    <definedName name="HCCF_BM421_N1" localSheetId="4">#REF!</definedName>
    <definedName name="HCCF_BM421_N1" localSheetId="9">#REF!</definedName>
    <definedName name="HCCF_BM421_N1">#REF!</definedName>
    <definedName name="HCCF_BM422_N1" localSheetId="4">#REF!</definedName>
    <definedName name="HCCF_BM422_N1" localSheetId="9">#REF!</definedName>
    <definedName name="HCCF_BM422_N1">#REF!</definedName>
    <definedName name="HCCF_BM423_N1" localSheetId="4">#REF!</definedName>
    <definedName name="HCCF_BM423_N1" localSheetId="9">#REF!</definedName>
    <definedName name="HCCF_BM423_N1">#REF!</definedName>
    <definedName name="HCCF_BM424_N1" localSheetId="4">#REF!</definedName>
    <definedName name="HCCF_BM424_N1" localSheetId="9">#REF!</definedName>
    <definedName name="HCCF_BM424_N1">#REF!</definedName>
    <definedName name="HCCF_BM425_N1" localSheetId="4">#REF!</definedName>
    <definedName name="HCCF_BM425_N1" localSheetId="9">#REF!</definedName>
    <definedName name="HCCF_BM425_N1">#REF!</definedName>
    <definedName name="HCCF_BM426_P1" localSheetId="4">#REF!</definedName>
    <definedName name="HCCF_BM426_P1" localSheetId="9">#REF!</definedName>
    <definedName name="HCCF_BM426_P1">#REF!</definedName>
    <definedName name="HCCF_BM43_N0" localSheetId="4">#REF!</definedName>
    <definedName name="HCCF_BM43_N0" localSheetId="9">#REF!</definedName>
    <definedName name="HCCF_BM43_N0">#REF!</definedName>
    <definedName name="HCCF_BM44_N0" localSheetId="4">#REF!</definedName>
    <definedName name="HCCF_BM44_N0" localSheetId="9">#REF!</definedName>
    <definedName name="HCCF_BM44_N0">#REF!</definedName>
    <definedName name="HCCF_BM45_N0" localSheetId="4">#REF!</definedName>
    <definedName name="HCCF_BM45_N0" localSheetId="9">#REF!</definedName>
    <definedName name="HCCF_BM45_N0">#REF!</definedName>
    <definedName name="HCCF_BM46_N0" localSheetId="4">#REF!</definedName>
    <definedName name="HCCF_BM46_N0" localSheetId="9">#REF!</definedName>
    <definedName name="HCCF_BM46_N0">#REF!</definedName>
    <definedName name="HCCF_BM47_N0" localSheetId="4">#REF!</definedName>
    <definedName name="HCCF_BM47_N0" localSheetId="9">#REF!</definedName>
    <definedName name="HCCF_BM47_N0">#REF!</definedName>
    <definedName name="HCCF_BM48_N0" localSheetId="4">#REF!</definedName>
    <definedName name="HCCF_BM48_N0" localSheetId="9">#REF!</definedName>
    <definedName name="HCCF_BM48_N0">#REF!</definedName>
    <definedName name="HCCF_BM49_N0" localSheetId="4">#REF!</definedName>
    <definedName name="HCCF_BM49_N0" localSheetId="9">#REF!</definedName>
    <definedName name="HCCF_BM49_N0">#REF!</definedName>
    <definedName name="HCCF_BM51" localSheetId="4">#REF!</definedName>
    <definedName name="HCCF_BM51" localSheetId="9">#REF!</definedName>
    <definedName name="HCCF_BM51">#REF!</definedName>
    <definedName name="HCCF_BM510_N0" localSheetId="4">#REF!</definedName>
    <definedName name="HCCF_BM510_N0" localSheetId="9">#REF!</definedName>
    <definedName name="HCCF_BM510_N0">#REF!</definedName>
    <definedName name="HCCF_BM511_N0" localSheetId="4">#REF!</definedName>
    <definedName name="HCCF_BM511_N0" localSheetId="9">#REF!</definedName>
    <definedName name="HCCF_BM511_N0">#REF!</definedName>
    <definedName name="HCCF_BM512_N0" localSheetId="4">#REF!</definedName>
    <definedName name="HCCF_BM512_N0" localSheetId="9">#REF!</definedName>
    <definedName name="HCCF_BM512_N0">#REF!</definedName>
    <definedName name="HCCF_BM513_N0" localSheetId="4">#REF!</definedName>
    <definedName name="HCCF_BM513_N0" localSheetId="9">#REF!</definedName>
    <definedName name="HCCF_BM513_N0">#REF!</definedName>
    <definedName name="HCCF_BM514_N0" localSheetId="4">#REF!</definedName>
    <definedName name="HCCF_BM514_N0" localSheetId="9">#REF!</definedName>
    <definedName name="HCCF_BM514_N0">#REF!</definedName>
    <definedName name="HCCF_BM515_N0" localSheetId="4">#REF!</definedName>
    <definedName name="HCCF_BM515_N0" localSheetId="9">#REF!</definedName>
    <definedName name="HCCF_BM515_N0">#REF!</definedName>
    <definedName name="HCCF_BM516_N0" localSheetId="4">#REF!</definedName>
    <definedName name="HCCF_BM516_N0" localSheetId="9">#REF!</definedName>
    <definedName name="HCCF_BM516_N0">#REF!</definedName>
    <definedName name="HCCF_BM517_P0" localSheetId="4">#REF!</definedName>
    <definedName name="HCCF_BM517_P0" localSheetId="9">#REF!</definedName>
    <definedName name="HCCF_BM517_P0">#REF!</definedName>
    <definedName name="HCCF_BM518" localSheetId="4">#REF!</definedName>
    <definedName name="HCCF_BM518" localSheetId="9">#REF!</definedName>
    <definedName name="HCCF_BM518">#REF!</definedName>
    <definedName name="HCCF_BM518_P0" localSheetId="4">#REF!</definedName>
    <definedName name="HCCF_BM518_P0" localSheetId="9">#REF!</definedName>
    <definedName name="HCCF_BM518_P0">#REF!</definedName>
    <definedName name="HCCF_BM519_P0" localSheetId="4">#REF!</definedName>
    <definedName name="HCCF_BM519_P0" localSheetId="9">#REF!</definedName>
    <definedName name="HCCF_BM519_P0">#REF!</definedName>
    <definedName name="HCCF_BM52_N0" localSheetId="4">#REF!</definedName>
    <definedName name="HCCF_BM52_N0" localSheetId="9">#REF!</definedName>
    <definedName name="HCCF_BM52_N0">#REF!</definedName>
    <definedName name="HCCF_BM520_P0" localSheetId="4">#REF!</definedName>
    <definedName name="HCCF_BM520_P0" localSheetId="9">#REF!</definedName>
    <definedName name="HCCF_BM520_P0">#REF!</definedName>
    <definedName name="HCCF_BM521_N1" localSheetId="4">#REF!</definedName>
    <definedName name="HCCF_BM521_N1" localSheetId="9">#REF!</definedName>
    <definedName name="HCCF_BM521_N1">#REF!</definedName>
    <definedName name="HCCF_BM522_N1" localSheetId="4">#REF!</definedName>
    <definedName name="HCCF_BM522_N1" localSheetId="9">#REF!</definedName>
    <definedName name="HCCF_BM522_N1">#REF!</definedName>
    <definedName name="HCCF_BM523_N1" localSheetId="4">#REF!</definedName>
    <definedName name="HCCF_BM523_N1" localSheetId="9">#REF!</definedName>
    <definedName name="HCCF_BM523_N1">#REF!</definedName>
    <definedName name="HCCF_BM524_N1" localSheetId="4">#REF!</definedName>
    <definedName name="HCCF_BM524_N1" localSheetId="9">#REF!</definedName>
    <definedName name="HCCF_BM524_N1">#REF!</definedName>
    <definedName name="HCCF_BM525_N1" localSheetId="4">#REF!</definedName>
    <definedName name="HCCF_BM525_N1" localSheetId="9">#REF!</definedName>
    <definedName name="HCCF_BM525_N1">#REF!</definedName>
    <definedName name="HCCF_BM526_P1" localSheetId="4">#REF!</definedName>
    <definedName name="HCCF_BM526_P1" localSheetId="9">#REF!</definedName>
    <definedName name="HCCF_BM526_P1">#REF!</definedName>
    <definedName name="HCCF_BM53_N0" localSheetId="4">#REF!</definedName>
    <definedName name="HCCF_BM53_N0" localSheetId="9">#REF!</definedName>
    <definedName name="HCCF_BM53_N0">#REF!</definedName>
    <definedName name="HCCF_BM54_N0" localSheetId="4">#REF!</definedName>
    <definedName name="HCCF_BM54_N0" localSheetId="9">#REF!</definedName>
    <definedName name="HCCF_BM54_N0">#REF!</definedName>
    <definedName name="HCCF_BM55_N0" localSheetId="4">#REF!</definedName>
    <definedName name="HCCF_BM55_N0" localSheetId="9">#REF!</definedName>
    <definedName name="HCCF_BM55_N0">#REF!</definedName>
    <definedName name="HCCF_BM56_N0" localSheetId="4">#REF!</definedName>
    <definedName name="HCCF_BM56_N0" localSheetId="9">#REF!</definedName>
    <definedName name="HCCF_BM56_N0">#REF!</definedName>
    <definedName name="HCCF_BM57_N0" localSheetId="4">#REF!</definedName>
    <definedName name="HCCF_BM57_N0" localSheetId="9">#REF!</definedName>
    <definedName name="HCCF_BM57_N0">#REF!</definedName>
    <definedName name="HCCF_BM58_N0" localSheetId="4">#REF!</definedName>
    <definedName name="HCCF_BM58_N0" localSheetId="9">#REF!</definedName>
    <definedName name="HCCF_BM58_N0">#REF!</definedName>
    <definedName name="HCCF_BM59_N0" localSheetId="4">#REF!</definedName>
    <definedName name="HCCF_BM59_N0" localSheetId="9">#REF!</definedName>
    <definedName name="HCCF_BM59_N0">#REF!</definedName>
    <definedName name="HCPL_BM11" localSheetId="4">#REF!</definedName>
    <definedName name="HCPL_BM11" localSheetId="9">#REF!</definedName>
    <definedName name="HCPL_BM11">#REF!</definedName>
    <definedName name="HCPL_BM110" localSheetId="4">#REF!</definedName>
    <definedName name="HCPL_BM110" localSheetId="9">#REF!</definedName>
    <definedName name="HCPL_BM110">#REF!</definedName>
    <definedName name="HCPL_BM111" localSheetId="4">#REF!</definedName>
    <definedName name="HCPL_BM111" localSheetId="9">#REF!</definedName>
    <definedName name="HCPL_BM111">#REF!</definedName>
    <definedName name="HCPL_BM112" localSheetId="4">#REF!</definedName>
    <definedName name="HCPL_BM112" localSheetId="9">#REF!</definedName>
    <definedName name="HCPL_BM112">#REF!</definedName>
    <definedName name="HCPL_BM113" localSheetId="4">#REF!</definedName>
    <definedName name="HCPL_BM113" localSheetId="9">#REF!</definedName>
    <definedName name="HCPL_BM113">#REF!</definedName>
    <definedName name="HCPL_BM114" localSheetId="4">#REF!</definedName>
    <definedName name="HCPL_BM114" localSheetId="9">#REF!</definedName>
    <definedName name="HCPL_BM114">#REF!</definedName>
    <definedName name="HCPL_BM115" localSheetId="4">#REF!</definedName>
    <definedName name="HCPL_BM115" localSheetId="9">#REF!</definedName>
    <definedName name="HCPL_BM115">#REF!</definedName>
    <definedName name="HCPL_BM116" localSheetId="4">#REF!</definedName>
    <definedName name="HCPL_BM116" localSheetId="9">#REF!</definedName>
    <definedName name="HCPL_BM116">#REF!</definedName>
    <definedName name="HCPL_BM117" localSheetId="4">#REF!</definedName>
    <definedName name="HCPL_BM117" localSheetId="9">#REF!</definedName>
    <definedName name="HCPL_BM117">#REF!</definedName>
    <definedName name="HCPL_BM118" localSheetId="4">#REF!</definedName>
    <definedName name="HCPL_BM118" localSheetId="9">#REF!</definedName>
    <definedName name="HCPL_BM118">#REF!</definedName>
    <definedName name="HCPL_BM120" localSheetId="4">#REF!</definedName>
    <definedName name="HCPL_BM120" localSheetId="9">#REF!</definedName>
    <definedName name="HCPL_BM120">#REF!</definedName>
    <definedName name="HCPL_BM121" localSheetId="4">#REF!</definedName>
    <definedName name="HCPL_BM121" localSheetId="9">#REF!</definedName>
    <definedName name="HCPL_BM121">#REF!</definedName>
    <definedName name="HCPL_BM122" localSheetId="4">#REF!</definedName>
    <definedName name="HCPL_BM122" localSheetId="9">#REF!</definedName>
    <definedName name="HCPL_BM122">#REF!</definedName>
    <definedName name="HCPL_BM123" localSheetId="4">#REF!</definedName>
    <definedName name="HCPL_BM123" localSheetId="9">#REF!</definedName>
    <definedName name="HCPL_BM123">#REF!</definedName>
    <definedName name="HCPL_BM124" localSheetId="4">#REF!</definedName>
    <definedName name="HCPL_BM124" localSheetId="9">#REF!</definedName>
    <definedName name="HCPL_BM124">#REF!</definedName>
    <definedName name="HCPL_BM125" localSheetId="4">#REF!</definedName>
    <definedName name="HCPL_BM125" localSheetId="9">#REF!</definedName>
    <definedName name="HCPL_BM125">#REF!</definedName>
    <definedName name="HCPL_BM126" localSheetId="4">#REF!</definedName>
    <definedName name="HCPL_BM126" localSheetId="9">#REF!</definedName>
    <definedName name="HCPL_BM126">#REF!</definedName>
    <definedName name="HCPL_BM13" localSheetId="4">#REF!</definedName>
    <definedName name="HCPL_BM13" localSheetId="9">#REF!</definedName>
    <definedName name="HCPL_BM13">#REF!</definedName>
    <definedName name="HCPL_BM14" localSheetId="4">#REF!</definedName>
    <definedName name="HCPL_BM14" localSheetId="9">#REF!</definedName>
    <definedName name="HCPL_BM14">#REF!</definedName>
    <definedName name="HCPL_BM15" localSheetId="4">#REF!</definedName>
    <definedName name="HCPL_BM15" localSheetId="9">#REF!</definedName>
    <definedName name="HCPL_BM15">#REF!</definedName>
    <definedName name="HCPL_BM16" localSheetId="4">#REF!</definedName>
    <definedName name="HCPL_BM16" localSheetId="9">#REF!</definedName>
    <definedName name="HCPL_BM16">#REF!</definedName>
    <definedName name="HCPL_BM17" localSheetId="4">#REF!</definedName>
    <definedName name="HCPL_BM17" localSheetId="9">#REF!</definedName>
    <definedName name="HCPL_BM17">#REF!</definedName>
    <definedName name="HCPL_BM18" localSheetId="4">#REF!</definedName>
    <definedName name="HCPL_BM18" localSheetId="9">#REF!</definedName>
    <definedName name="HCPL_BM18">#REF!</definedName>
    <definedName name="HCPL_BM19" localSheetId="4">#REF!</definedName>
    <definedName name="HCPL_BM19" localSheetId="9">#REF!</definedName>
    <definedName name="HCPL_BM19">#REF!</definedName>
    <definedName name="HCPL_BM21" localSheetId="4">#REF!</definedName>
    <definedName name="HCPL_BM21" localSheetId="9">#REF!</definedName>
    <definedName name="HCPL_BM21">#REF!</definedName>
    <definedName name="HCPL_BM210_N0" localSheetId="4">#REF!</definedName>
    <definedName name="HCPL_BM210_N0" localSheetId="9">#REF!</definedName>
    <definedName name="HCPL_BM210_N0">#REF!</definedName>
    <definedName name="HCPL_BM211_N0" localSheetId="4">#REF!</definedName>
    <definedName name="HCPL_BM211_N0" localSheetId="9">#REF!</definedName>
    <definedName name="HCPL_BM211_N0">#REF!</definedName>
    <definedName name="HCPL_BM212_N0" localSheetId="4">#REF!</definedName>
    <definedName name="HCPL_BM212_N0" localSheetId="9">#REF!</definedName>
    <definedName name="HCPL_BM212_N0">#REF!</definedName>
    <definedName name="HCPL_BM213_N0" localSheetId="4">#REF!</definedName>
    <definedName name="HCPL_BM213_N0" localSheetId="9">#REF!</definedName>
    <definedName name="HCPL_BM213_N0">#REF!</definedName>
    <definedName name="HCPL_BM214_N0" localSheetId="4">#REF!</definedName>
    <definedName name="HCPL_BM214_N0" localSheetId="9">#REF!</definedName>
    <definedName name="HCPL_BM214_N0">#REF!</definedName>
    <definedName name="HCPL_BM214_N1">#REF!</definedName>
    <definedName name="HCPL_BM215_N0" localSheetId="4">#REF!</definedName>
    <definedName name="HCPL_BM215_N0" localSheetId="5">#REF!</definedName>
    <definedName name="HCPL_BM215_N0" localSheetId="15">#REF!</definedName>
    <definedName name="HCPL_BM215_N0" localSheetId="19">#REF!</definedName>
    <definedName name="HCPL_BM215_N0" localSheetId="18">#REF!</definedName>
    <definedName name="HCPL_BM215_N0" localSheetId="14">#REF!</definedName>
    <definedName name="HCPL_BM215_N0" localSheetId="12">#REF!</definedName>
    <definedName name="HCPL_BM215_N0" localSheetId="24">#REF!</definedName>
    <definedName name="HCPL_BM215_N0" localSheetId="7">#REF!</definedName>
    <definedName name="HCPL_BM215_N0" localSheetId="20">#REF!</definedName>
    <definedName name="HCPL_BM215_N0" localSheetId="21">#REF!</definedName>
    <definedName name="HCPL_BM215_N0" localSheetId="11">#REF!</definedName>
    <definedName name="HCPL_BM215_N0" localSheetId="17">#REF!</definedName>
    <definedName name="HCPL_BM215_N0" localSheetId="16">#REF!</definedName>
    <definedName name="HCPL_BM215_N0" localSheetId="22">#REF!</definedName>
    <definedName name="HCPL_BM215_N0" localSheetId="9">#REF!</definedName>
    <definedName name="HCPL_BM215_N0" localSheetId="13">#REF!</definedName>
    <definedName name="HCPL_BM215_N0" localSheetId="23">#REF!</definedName>
    <definedName name="HCPL_BM215_N0">#REF!</definedName>
    <definedName name="HCPL_BM215_N1">#REF!</definedName>
    <definedName name="HCPL_BM216_N0" localSheetId="4">#REF!</definedName>
    <definedName name="HCPL_BM216_N0" localSheetId="5">#REF!</definedName>
    <definedName name="HCPL_BM216_N0" localSheetId="15">#REF!</definedName>
    <definedName name="HCPL_BM216_N0" localSheetId="19">#REF!</definedName>
    <definedName name="HCPL_BM216_N0" localSheetId="18">#REF!</definedName>
    <definedName name="HCPL_BM216_N0" localSheetId="14">#REF!</definedName>
    <definedName name="HCPL_BM216_N0" localSheetId="12">#REF!</definedName>
    <definedName name="HCPL_BM216_N0" localSheetId="24">#REF!</definedName>
    <definedName name="HCPL_BM216_N0" localSheetId="7">#REF!</definedName>
    <definedName name="HCPL_BM216_N0" localSheetId="20">#REF!</definedName>
    <definedName name="HCPL_BM216_N0" localSheetId="21">#REF!</definedName>
    <definedName name="HCPL_BM216_N0" localSheetId="11">#REF!</definedName>
    <definedName name="HCPL_BM216_N0" localSheetId="17">#REF!</definedName>
    <definedName name="HCPL_BM216_N0" localSheetId="16">#REF!</definedName>
    <definedName name="HCPL_BM216_N0" localSheetId="22">#REF!</definedName>
    <definedName name="HCPL_BM216_N0" localSheetId="9">#REF!</definedName>
    <definedName name="HCPL_BM216_N0" localSheetId="13">#REF!</definedName>
    <definedName name="HCPL_BM216_N0" localSheetId="23">#REF!</definedName>
    <definedName name="HCPL_BM216_N0">#REF!</definedName>
    <definedName name="HCPL_BM217_N1" localSheetId="4">#REF!</definedName>
    <definedName name="HCPL_BM217_N1" localSheetId="5">#REF!</definedName>
    <definedName name="HCPL_BM217_N1" localSheetId="15">#REF!</definedName>
    <definedName name="HCPL_BM217_N1" localSheetId="19">#REF!</definedName>
    <definedName name="HCPL_BM217_N1" localSheetId="18">#REF!</definedName>
    <definedName name="HCPL_BM217_N1" localSheetId="14">#REF!</definedName>
    <definedName name="HCPL_BM217_N1" localSheetId="12">#REF!</definedName>
    <definedName name="HCPL_BM217_N1" localSheetId="24">#REF!</definedName>
    <definedName name="HCPL_BM217_N1" localSheetId="7">#REF!</definedName>
    <definedName name="HCPL_BM217_N1" localSheetId="20">#REF!</definedName>
    <definedName name="HCPL_BM217_N1" localSheetId="21">#REF!</definedName>
    <definedName name="HCPL_BM217_N1" localSheetId="11">#REF!</definedName>
    <definedName name="HCPL_BM217_N1" localSheetId="17">#REF!</definedName>
    <definedName name="HCPL_BM217_N1" localSheetId="16">#REF!</definedName>
    <definedName name="HCPL_BM217_N1" localSheetId="22">#REF!</definedName>
    <definedName name="HCPL_BM217_N1" localSheetId="9">#REF!</definedName>
    <definedName name="HCPL_BM217_N1" localSheetId="13">#REF!</definedName>
    <definedName name="HCPL_BM217_N1" localSheetId="23">#REF!</definedName>
    <definedName name="HCPL_BM217_N1">#REF!</definedName>
    <definedName name="HCPL_BM218" localSheetId="4">#REF!</definedName>
    <definedName name="HCPL_BM218" localSheetId="5">#REF!</definedName>
    <definedName name="HCPL_BM218" localSheetId="15">#REF!</definedName>
    <definedName name="HCPL_BM218" localSheetId="19">#REF!</definedName>
    <definedName name="HCPL_BM218" localSheetId="18">#REF!</definedName>
    <definedName name="HCPL_BM218" localSheetId="14">#REF!</definedName>
    <definedName name="HCPL_BM218" localSheetId="12">#REF!</definedName>
    <definedName name="HCPL_BM218" localSheetId="24">#REF!</definedName>
    <definedName name="HCPL_BM218" localSheetId="7">#REF!</definedName>
    <definedName name="HCPL_BM218" localSheetId="20">#REF!</definedName>
    <definedName name="HCPL_BM218" localSheetId="21">#REF!</definedName>
    <definedName name="HCPL_BM218" localSheetId="11">#REF!</definedName>
    <definedName name="HCPL_BM218" localSheetId="17">#REF!</definedName>
    <definedName name="HCPL_BM218" localSheetId="16">#REF!</definedName>
    <definedName name="HCPL_BM218" localSheetId="22">#REF!</definedName>
    <definedName name="HCPL_BM218" localSheetId="9">#REF!</definedName>
    <definedName name="HCPL_BM218" localSheetId="13">#REF!</definedName>
    <definedName name="HCPL_BM218" localSheetId="23">#REF!</definedName>
    <definedName name="HCPL_BM218">#REF!</definedName>
    <definedName name="HCPL_BM218_N1" localSheetId="4">#REF!</definedName>
    <definedName name="HCPL_BM218_N1" localSheetId="9">#REF!</definedName>
    <definedName name="HCPL_BM218_N1">#REF!</definedName>
    <definedName name="HCPL_BM219_N1" localSheetId="4">#REF!</definedName>
    <definedName name="HCPL_BM219_N1" localSheetId="9">#REF!</definedName>
    <definedName name="HCPL_BM219_N1">#REF!</definedName>
    <definedName name="HCPL_BM22_N0" localSheetId="4">#REF!</definedName>
    <definedName name="HCPL_BM22_N0" localSheetId="9">#REF!</definedName>
    <definedName name="HCPL_BM22_N0">#REF!</definedName>
    <definedName name="HCPL_BM220_N1" localSheetId="4">#REF!</definedName>
    <definedName name="HCPL_BM220_N1" localSheetId="9">#REF!</definedName>
    <definedName name="HCPL_BM220_N1">#REF!</definedName>
    <definedName name="HCPL_BM221_N1" localSheetId="4">#REF!</definedName>
    <definedName name="HCPL_BM221_N1" localSheetId="9">#REF!</definedName>
    <definedName name="HCPL_BM221_N1">#REF!</definedName>
    <definedName name="HCPL_BM222_P0" localSheetId="4">#REF!</definedName>
    <definedName name="HCPL_BM222_P0" localSheetId="9">#REF!</definedName>
    <definedName name="HCPL_BM222_P0">#REF!</definedName>
    <definedName name="HCPL_BM223_P0" localSheetId="4">#REF!</definedName>
    <definedName name="HCPL_BM223_P0" localSheetId="9">#REF!</definedName>
    <definedName name="HCPL_BM223_P0">#REF!</definedName>
    <definedName name="HCPL_BM224_P0" localSheetId="4">#REF!</definedName>
    <definedName name="HCPL_BM224_P0" localSheetId="9">#REF!</definedName>
    <definedName name="HCPL_BM224_P0">#REF!</definedName>
    <definedName name="HCPL_BM225_P0" localSheetId="4">#REF!</definedName>
    <definedName name="HCPL_BM225_P0" localSheetId="9">#REF!</definedName>
    <definedName name="HCPL_BM225_P0">#REF!</definedName>
    <definedName name="HCPL_BM226_P0" localSheetId="4">#REF!</definedName>
    <definedName name="HCPL_BM226_P0" localSheetId="9">#REF!</definedName>
    <definedName name="HCPL_BM226_P0">#REF!</definedName>
    <definedName name="HCPL_BM23_N0" localSheetId="4">#REF!</definedName>
    <definedName name="HCPL_BM23_N0" localSheetId="9">#REF!</definedName>
    <definedName name="HCPL_BM23_N0">#REF!</definedName>
    <definedName name="HCPL_BM24_N0" localSheetId="4">#REF!</definedName>
    <definedName name="HCPL_BM24_N0" localSheetId="9">#REF!</definedName>
    <definedName name="HCPL_BM24_N0">#REF!</definedName>
    <definedName name="HCPL_BM25_N0" localSheetId="4">#REF!</definedName>
    <definedName name="HCPL_BM25_N0" localSheetId="9">#REF!</definedName>
    <definedName name="HCPL_BM25_N0">#REF!</definedName>
    <definedName name="HCPL_BM26_N0" localSheetId="4">#REF!</definedName>
    <definedName name="HCPL_BM26_N0" localSheetId="9">#REF!</definedName>
    <definedName name="HCPL_BM26_N0">#REF!</definedName>
    <definedName name="HCPL_BM27_N0" localSheetId="4">#REF!</definedName>
    <definedName name="HCPL_BM27_N0" localSheetId="9">#REF!</definedName>
    <definedName name="HCPL_BM27_N0">#REF!</definedName>
    <definedName name="HCPL_BM28_N0" localSheetId="4">#REF!</definedName>
    <definedName name="HCPL_BM28_N0" localSheetId="9">#REF!</definedName>
    <definedName name="HCPL_BM28_N0">#REF!</definedName>
    <definedName name="HCPL_BM29_N0" localSheetId="4">#REF!</definedName>
    <definedName name="HCPL_BM29_N0" localSheetId="9">#REF!</definedName>
    <definedName name="HCPL_BM29_N0">#REF!</definedName>
    <definedName name="HCPL_BM31" localSheetId="4">#REF!</definedName>
    <definedName name="HCPL_BM31" localSheetId="9">#REF!</definedName>
    <definedName name="HCPL_BM31">#REF!</definedName>
    <definedName name="HCPL_BM310_N0" localSheetId="4">#REF!</definedName>
    <definedName name="HCPL_BM310_N0" localSheetId="9">#REF!</definedName>
    <definedName name="HCPL_BM310_N0">#REF!</definedName>
    <definedName name="HCPL_BM311_N0" localSheetId="4">#REF!</definedName>
    <definedName name="HCPL_BM311_N0" localSheetId="9">#REF!</definedName>
    <definedName name="HCPL_BM311_N0">#REF!</definedName>
    <definedName name="HCPL_BM312_N0" localSheetId="4">#REF!</definedName>
    <definedName name="HCPL_BM312_N0" localSheetId="9">#REF!</definedName>
    <definedName name="HCPL_BM312_N0">#REF!</definedName>
    <definedName name="HCPL_BM313_N0" localSheetId="4">#REF!</definedName>
    <definedName name="HCPL_BM313_N0" localSheetId="9">#REF!</definedName>
    <definedName name="HCPL_BM313_N0">#REF!</definedName>
    <definedName name="HCPL_BM314_N0" localSheetId="4">#REF!</definedName>
    <definedName name="HCPL_BM314_N0" localSheetId="9">#REF!</definedName>
    <definedName name="HCPL_BM314_N0">#REF!</definedName>
    <definedName name="HCPL_BM314_N1">#REF!</definedName>
    <definedName name="HCPL_BM315_N0" localSheetId="4">#REF!</definedName>
    <definedName name="HCPL_BM315_N0" localSheetId="5">#REF!</definedName>
    <definedName name="HCPL_BM315_N0" localSheetId="15">#REF!</definedName>
    <definedName name="HCPL_BM315_N0" localSheetId="19">#REF!</definedName>
    <definedName name="HCPL_BM315_N0" localSheetId="18">#REF!</definedName>
    <definedName name="HCPL_BM315_N0" localSheetId="14">#REF!</definedName>
    <definedName name="HCPL_BM315_N0" localSheetId="12">#REF!</definedName>
    <definedName name="HCPL_BM315_N0" localSheetId="24">#REF!</definedName>
    <definedName name="HCPL_BM315_N0" localSheetId="7">#REF!</definedName>
    <definedName name="HCPL_BM315_N0" localSheetId="20">#REF!</definedName>
    <definedName name="HCPL_BM315_N0" localSheetId="21">#REF!</definedName>
    <definedName name="HCPL_BM315_N0" localSheetId="11">#REF!</definedName>
    <definedName name="HCPL_BM315_N0" localSheetId="17">#REF!</definedName>
    <definedName name="HCPL_BM315_N0" localSheetId="16">#REF!</definedName>
    <definedName name="HCPL_BM315_N0" localSheetId="22">#REF!</definedName>
    <definedName name="HCPL_BM315_N0" localSheetId="9">#REF!</definedName>
    <definedName name="HCPL_BM315_N0" localSheetId="13">#REF!</definedName>
    <definedName name="HCPL_BM315_N0" localSheetId="23">#REF!</definedName>
    <definedName name="HCPL_BM315_N0">#REF!</definedName>
    <definedName name="HCPL_BM315_N1">#REF!</definedName>
    <definedName name="HCPL_BM316_N0" localSheetId="4">#REF!</definedName>
    <definedName name="HCPL_BM316_N0" localSheetId="5">#REF!</definedName>
    <definedName name="HCPL_BM316_N0" localSheetId="15">#REF!</definedName>
    <definedName name="HCPL_BM316_N0" localSheetId="19">#REF!</definedName>
    <definedName name="HCPL_BM316_N0" localSheetId="18">#REF!</definedName>
    <definedName name="HCPL_BM316_N0" localSheetId="14">#REF!</definedName>
    <definedName name="HCPL_BM316_N0" localSheetId="12">#REF!</definedName>
    <definedName name="HCPL_BM316_N0" localSheetId="24">#REF!</definedName>
    <definedName name="HCPL_BM316_N0" localSheetId="7">#REF!</definedName>
    <definedName name="HCPL_BM316_N0" localSheetId="20">#REF!</definedName>
    <definedName name="HCPL_BM316_N0" localSheetId="21">#REF!</definedName>
    <definedName name="HCPL_BM316_N0" localSheetId="11">#REF!</definedName>
    <definedName name="HCPL_BM316_N0" localSheetId="17">#REF!</definedName>
    <definedName name="HCPL_BM316_N0" localSheetId="16">#REF!</definedName>
    <definedName name="HCPL_BM316_N0" localSheetId="22">#REF!</definedName>
    <definedName name="HCPL_BM316_N0" localSheetId="9">#REF!</definedName>
    <definedName name="HCPL_BM316_N0" localSheetId="13">#REF!</definedName>
    <definedName name="HCPL_BM316_N0" localSheetId="23">#REF!</definedName>
    <definedName name="HCPL_BM316_N0">#REF!</definedName>
    <definedName name="HCPL_BM317_N1" localSheetId="4">#REF!</definedName>
    <definedName name="HCPL_BM317_N1" localSheetId="5">#REF!</definedName>
    <definedName name="HCPL_BM317_N1" localSheetId="15">#REF!</definedName>
    <definedName name="HCPL_BM317_N1" localSheetId="19">#REF!</definedName>
    <definedName name="HCPL_BM317_N1" localSheetId="18">#REF!</definedName>
    <definedName name="HCPL_BM317_N1" localSheetId="14">#REF!</definedName>
    <definedName name="HCPL_BM317_N1" localSheetId="12">#REF!</definedName>
    <definedName name="HCPL_BM317_N1" localSheetId="24">#REF!</definedName>
    <definedName name="HCPL_BM317_N1" localSheetId="7">#REF!</definedName>
    <definedName name="HCPL_BM317_N1" localSheetId="20">#REF!</definedName>
    <definedName name="HCPL_BM317_N1" localSheetId="21">#REF!</definedName>
    <definedName name="HCPL_BM317_N1" localSheetId="11">#REF!</definedName>
    <definedName name="HCPL_BM317_N1" localSheetId="17">#REF!</definedName>
    <definedName name="HCPL_BM317_N1" localSheetId="16">#REF!</definedName>
    <definedName name="HCPL_BM317_N1" localSheetId="22">#REF!</definedName>
    <definedName name="HCPL_BM317_N1" localSheetId="9">#REF!</definedName>
    <definedName name="HCPL_BM317_N1" localSheetId="13">#REF!</definedName>
    <definedName name="HCPL_BM317_N1" localSheetId="23">#REF!</definedName>
    <definedName name="HCPL_BM317_N1">#REF!</definedName>
    <definedName name="HCPL_BM318" localSheetId="4">#REF!</definedName>
    <definedName name="HCPL_BM318" localSheetId="5">#REF!</definedName>
    <definedName name="HCPL_BM318" localSheetId="15">#REF!</definedName>
    <definedName name="HCPL_BM318" localSheetId="19">#REF!</definedName>
    <definedName name="HCPL_BM318" localSheetId="18">#REF!</definedName>
    <definedName name="HCPL_BM318" localSheetId="14">#REF!</definedName>
    <definedName name="HCPL_BM318" localSheetId="12">#REF!</definedName>
    <definedName name="HCPL_BM318" localSheetId="24">#REF!</definedName>
    <definedName name="HCPL_BM318" localSheetId="7">#REF!</definedName>
    <definedName name="HCPL_BM318" localSheetId="20">#REF!</definedName>
    <definedName name="HCPL_BM318" localSheetId="21">#REF!</definedName>
    <definedName name="HCPL_BM318" localSheetId="11">#REF!</definedName>
    <definedName name="HCPL_BM318" localSheetId="17">#REF!</definedName>
    <definedName name="HCPL_BM318" localSheetId="16">#REF!</definedName>
    <definedName name="HCPL_BM318" localSheetId="22">#REF!</definedName>
    <definedName name="HCPL_BM318" localSheetId="9">#REF!</definedName>
    <definedName name="HCPL_BM318" localSheetId="13">#REF!</definedName>
    <definedName name="HCPL_BM318" localSheetId="23">#REF!</definedName>
    <definedName name="HCPL_BM318">#REF!</definedName>
    <definedName name="HCPL_BM318_N1" localSheetId="4">#REF!</definedName>
    <definedName name="HCPL_BM318_N1" localSheetId="9">#REF!</definedName>
    <definedName name="HCPL_BM318_N1">#REF!</definedName>
    <definedName name="HCPL_BM319_N1" localSheetId="4">#REF!</definedName>
    <definedName name="HCPL_BM319_N1" localSheetId="9">#REF!</definedName>
    <definedName name="HCPL_BM319_N1">#REF!</definedName>
    <definedName name="HCPL_BM32_N0" localSheetId="4">#REF!</definedName>
    <definedName name="HCPL_BM32_N0" localSheetId="9">#REF!</definedName>
    <definedName name="HCPL_BM32_N0">#REF!</definedName>
    <definedName name="HCPL_BM320_N1" localSheetId="4">#REF!</definedName>
    <definedName name="HCPL_BM320_N1" localSheetId="9">#REF!</definedName>
    <definedName name="HCPL_BM320_N1">#REF!</definedName>
    <definedName name="HCPL_BM321_N1" localSheetId="4">#REF!</definedName>
    <definedName name="HCPL_BM321_N1" localSheetId="9">#REF!</definedName>
    <definedName name="HCPL_BM321_N1">#REF!</definedName>
    <definedName name="HCPL_BM322_P0" localSheetId="4">#REF!</definedName>
    <definedName name="HCPL_BM322_P0" localSheetId="9">#REF!</definedName>
    <definedName name="HCPL_BM322_P0">#REF!</definedName>
    <definedName name="HCPL_BM323_P0" localSheetId="4">#REF!</definedName>
    <definedName name="HCPL_BM323_P0" localSheetId="9">#REF!</definedName>
    <definedName name="HCPL_BM323_P0">#REF!</definedName>
    <definedName name="HCPL_BM324_P0" localSheetId="4">#REF!</definedName>
    <definedName name="HCPL_BM324_P0" localSheetId="9">#REF!</definedName>
    <definedName name="HCPL_BM324_P0">#REF!</definedName>
    <definedName name="HCPL_BM325_P0" localSheetId="4">#REF!</definedName>
    <definedName name="HCPL_BM325_P0" localSheetId="9">#REF!</definedName>
    <definedName name="HCPL_BM325_P0">#REF!</definedName>
    <definedName name="HCPL_BM326_P0" localSheetId="4">#REF!</definedName>
    <definedName name="HCPL_BM326_P0" localSheetId="9">#REF!</definedName>
    <definedName name="HCPL_BM326_P0">#REF!</definedName>
    <definedName name="HCPL_BM33_N0" localSheetId="4">#REF!</definedName>
    <definedName name="HCPL_BM33_N0" localSheetId="9">#REF!</definedName>
    <definedName name="HCPL_BM33_N0">#REF!</definedName>
    <definedName name="HCPL_BM34_N0" localSheetId="4">#REF!</definedName>
    <definedName name="HCPL_BM34_N0" localSheetId="9">#REF!</definedName>
    <definedName name="HCPL_BM34_N0">#REF!</definedName>
    <definedName name="HCPL_BM35_N0" localSheetId="4">#REF!</definedName>
    <definedName name="HCPL_BM35_N0" localSheetId="9">#REF!</definedName>
    <definedName name="HCPL_BM35_N0">#REF!</definedName>
    <definedName name="HCPL_BM36_N0" localSheetId="4">#REF!</definedName>
    <definedName name="HCPL_BM36_N0" localSheetId="9">#REF!</definedName>
    <definedName name="HCPL_BM36_N0">#REF!</definedName>
    <definedName name="HCPL_BM37_N0" localSheetId="4">#REF!</definedName>
    <definedName name="HCPL_BM37_N0" localSheetId="9">#REF!</definedName>
    <definedName name="HCPL_BM37_N0">#REF!</definedName>
    <definedName name="HCPL_BM38_N0" localSheetId="4">#REF!</definedName>
    <definedName name="HCPL_BM38_N0" localSheetId="9">#REF!</definedName>
    <definedName name="HCPL_BM38_N0">#REF!</definedName>
    <definedName name="HCPL_BM39_N0" localSheetId="4">#REF!</definedName>
    <definedName name="HCPL_BM39_N0" localSheetId="9">#REF!</definedName>
    <definedName name="HCPL_BM39_N0">#REF!</definedName>
    <definedName name="HCPL_BM41" localSheetId="4">#REF!</definedName>
    <definedName name="HCPL_BM41" localSheetId="9">#REF!</definedName>
    <definedName name="HCPL_BM41">#REF!</definedName>
    <definedName name="HCPL_BM410_N0" localSheetId="4">#REF!</definedName>
    <definedName name="HCPL_BM410_N0" localSheetId="9">#REF!</definedName>
    <definedName name="HCPL_BM410_N0">#REF!</definedName>
    <definedName name="HCPL_BM411_N0" localSheetId="4">#REF!</definedName>
    <definedName name="HCPL_BM411_N0" localSheetId="9">#REF!</definedName>
    <definedName name="HCPL_BM411_N0">#REF!</definedName>
    <definedName name="HCPL_BM412_N0" localSheetId="4">#REF!</definedName>
    <definedName name="HCPL_BM412_N0" localSheetId="9">#REF!</definedName>
    <definedName name="HCPL_BM412_N0">#REF!</definedName>
    <definedName name="HCPL_BM413_N0" localSheetId="4">#REF!</definedName>
    <definedName name="HCPL_BM413_N0" localSheetId="9">#REF!</definedName>
    <definedName name="HCPL_BM413_N0">#REF!</definedName>
    <definedName name="HCPL_BM414_N0" localSheetId="4">#REF!</definedName>
    <definedName name="HCPL_BM414_N0" localSheetId="9">#REF!</definedName>
    <definedName name="HCPL_BM414_N0">#REF!</definedName>
    <definedName name="HCPL_BM414_N1">#REF!</definedName>
    <definedName name="HCPL_BM415_N0" localSheetId="4">#REF!</definedName>
    <definedName name="HCPL_BM415_N0" localSheetId="5">#REF!</definedName>
    <definedName name="HCPL_BM415_N0" localSheetId="15">#REF!</definedName>
    <definedName name="HCPL_BM415_N0" localSheetId="19">#REF!</definedName>
    <definedName name="HCPL_BM415_N0" localSheetId="18">#REF!</definedName>
    <definedName name="HCPL_BM415_N0" localSheetId="14">#REF!</definedName>
    <definedName name="HCPL_BM415_N0" localSheetId="12">#REF!</definedName>
    <definedName name="HCPL_BM415_N0" localSheetId="24">#REF!</definedName>
    <definedName name="HCPL_BM415_N0" localSheetId="7">#REF!</definedName>
    <definedName name="HCPL_BM415_N0" localSheetId="20">#REF!</definedName>
    <definedName name="HCPL_BM415_N0" localSheetId="21">#REF!</definedName>
    <definedName name="HCPL_BM415_N0" localSheetId="11">#REF!</definedName>
    <definedName name="HCPL_BM415_N0" localSheetId="17">#REF!</definedName>
    <definedName name="HCPL_BM415_N0" localSheetId="16">#REF!</definedName>
    <definedName name="HCPL_BM415_N0" localSheetId="22">#REF!</definedName>
    <definedName name="HCPL_BM415_N0" localSheetId="9">#REF!</definedName>
    <definedName name="HCPL_BM415_N0" localSheetId="13">#REF!</definedName>
    <definedName name="HCPL_BM415_N0" localSheetId="23">#REF!</definedName>
    <definedName name="HCPL_BM415_N0">#REF!</definedName>
    <definedName name="HCPL_BM415_N1">#REF!</definedName>
    <definedName name="HCPL_BM416_N0" localSheetId="4">#REF!</definedName>
    <definedName name="HCPL_BM416_N0" localSheetId="5">#REF!</definedName>
    <definedName name="HCPL_BM416_N0" localSheetId="15">#REF!</definedName>
    <definedName name="HCPL_BM416_N0" localSheetId="19">#REF!</definedName>
    <definedName name="HCPL_BM416_N0" localSheetId="18">#REF!</definedName>
    <definedName name="HCPL_BM416_N0" localSheetId="14">#REF!</definedName>
    <definedName name="HCPL_BM416_N0" localSheetId="12">#REF!</definedName>
    <definedName name="HCPL_BM416_N0" localSheetId="24">#REF!</definedName>
    <definedName name="HCPL_BM416_N0" localSheetId="7">#REF!</definedName>
    <definedName name="HCPL_BM416_N0" localSheetId="20">#REF!</definedName>
    <definedName name="HCPL_BM416_N0" localSheetId="21">#REF!</definedName>
    <definedName name="HCPL_BM416_N0" localSheetId="11">#REF!</definedName>
    <definedName name="HCPL_BM416_N0" localSheetId="17">#REF!</definedName>
    <definedName name="HCPL_BM416_N0" localSheetId="16">#REF!</definedName>
    <definedName name="HCPL_BM416_N0" localSheetId="22">#REF!</definedName>
    <definedName name="HCPL_BM416_N0" localSheetId="9">#REF!</definedName>
    <definedName name="HCPL_BM416_N0" localSheetId="13">#REF!</definedName>
    <definedName name="HCPL_BM416_N0" localSheetId="23">#REF!</definedName>
    <definedName name="HCPL_BM416_N0">#REF!</definedName>
    <definedName name="HCPL_BM417_N1" localSheetId="4">#REF!</definedName>
    <definedName name="HCPL_BM417_N1" localSheetId="5">#REF!</definedName>
    <definedName name="HCPL_BM417_N1" localSheetId="15">#REF!</definedName>
    <definedName name="HCPL_BM417_N1" localSheetId="19">#REF!</definedName>
    <definedName name="HCPL_BM417_N1" localSheetId="18">#REF!</definedName>
    <definedName name="HCPL_BM417_N1" localSheetId="14">#REF!</definedName>
    <definedName name="HCPL_BM417_N1" localSheetId="12">#REF!</definedName>
    <definedName name="HCPL_BM417_N1" localSheetId="24">#REF!</definedName>
    <definedName name="HCPL_BM417_N1" localSheetId="7">#REF!</definedName>
    <definedName name="HCPL_BM417_N1" localSheetId="20">#REF!</definedName>
    <definedName name="HCPL_BM417_N1" localSheetId="21">#REF!</definedName>
    <definedName name="HCPL_BM417_N1" localSheetId="11">#REF!</definedName>
    <definedName name="HCPL_BM417_N1" localSheetId="17">#REF!</definedName>
    <definedName name="HCPL_BM417_N1" localSheetId="16">#REF!</definedName>
    <definedName name="HCPL_BM417_N1" localSheetId="22">#REF!</definedName>
    <definedName name="HCPL_BM417_N1" localSheetId="9">#REF!</definedName>
    <definedName name="HCPL_BM417_N1" localSheetId="13">#REF!</definedName>
    <definedName name="HCPL_BM417_N1" localSheetId="23">#REF!</definedName>
    <definedName name="HCPL_BM417_N1">#REF!</definedName>
    <definedName name="HCPL_BM418" localSheetId="4">#REF!</definedName>
    <definedName name="HCPL_BM418" localSheetId="5">#REF!</definedName>
    <definedName name="HCPL_BM418" localSheetId="15">#REF!</definedName>
    <definedName name="HCPL_BM418" localSheetId="19">#REF!</definedName>
    <definedName name="HCPL_BM418" localSheetId="18">#REF!</definedName>
    <definedName name="HCPL_BM418" localSheetId="14">#REF!</definedName>
    <definedName name="HCPL_BM418" localSheetId="12">#REF!</definedName>
    <definedName name="HCPL_BM418" localSheetId="24">#REF!</definedName>
    <definedName name="HCPL_BM418" localSheetId="7">#REF!</definedName>
    <definedName name="HCPL_BM418" localSheetId="20">#REF!</definedName>
    <definedName name="HCPL_BM418" localSheetId="21">#REF!</definedName>
    <definedName name="HCPL_BM418" localSheetId="11">#REF!</definedName>
    <definedName name="HCPL_BM418" localSheetId="17">#REF!</definedName>
    <definedName name="HCPL_BM418" localSheetId="16">#REF!</definedName>
    <definedName name="HCPL_BM418" localSheetId="22">#REF!</definedName>
    <definedName name="HCPL_BM418" localSheetId="9">#REF!</definedName>
    <definedName name="HCPL_BM418" localSheetId="13">#REF!</definedName>
    <definedName name="HCPL_BM418" localSheetId="23">#REF!</definedName>
    <definedName name="HCPL_BM418">#REF!</definedName>
    <definedName name="HCPL_BM418_N1" localSheetId="4">#REF!</definedName>
    <definedName name="HCPL_BM418_N1" localSheetId="9">#REF!</definedName>
    <definedName name="HCPL_BM418_N1">#REF!</definedName>
    <definedName name="HCPL_BM419_N1" localSheetId="4">#REF!</definedName>
    <definedName name="HCPL_BM419_N1" localSheetId="9">#REF!</definedName>
    <definedName name="HCPL_BM419_N1">#REF!</definedName>
    <definedName name="HCPL_BM42_N0" localSheetId="4">#REF!</definedName>
    <definedName name="HCPL_BM42_N0" localSheetId="9">#REF!</definedName>
    <definedName name="HCPL_BM42_N0">#REF!</definedName>
    <definedName name="HCPL_BM420_N1" localSheetId="4">#REF!</definedName>
    <definedName name="HCPL_BM420_N1" localSheetId="9">#REF!</definedName>
    <definedName name="HCPL_BM420_N1">#REF!</definedName>
    <definedName name="HCPL_BM421_N1" localSheetId="4">#REF!</definedName>
    <definedName name="HCPL_BM421_N1" localSheetId="9">#REF!</definedName>
    <definedName name="HCPL_BM421_N1">#REF!</definedName>
    <definedName name="HCPL_BM422_P0" localSheetId="4">#REF!</definedName>
    <definedName name="HCPL_BM422_P0" localSheetId="9">#REF!</definedName>
    <definedName name="HCPL_BM422_P0">#REF!</definedName>
    <definedName name="HCPL_BM423_P0" localSheetId="4">#REF!</definedName>
    <definedName name="HCPL_BM423_P0" localSheetId="9">#REF!</definedName>
    <definedName name="HCPL_BM423_P0">#REF!</definedName>
    <definedName name="HCPL_BM424_P0" localSheetId="4">#REF!</definedName>
    <definedName name="HCPL_BM424_P0" localSheetId="9">#REF!</definedName>
    <definedName name="HCPL_BM424_P0">#REF!</definedName>
    <definedName name="HCPL_BM425_P0" localSheetId="4">#REF!</definedName>
    <definedName name="HCPL_BM425_P0" localSheetId="9">#REF!</definedName>
    <definedName name="HCPL_BM425_P0">#REF!</definedName>
    <definedName name="HCPL_BM426_P0" localSheetId="4">#REF!</definedName>
    <definedName name="HCPL_BM426_P0" localSheetId="9">#REF!</definedName>
    <definedName name="HCPL_BM426_P0">#REF!</definedName>
    <definedName name="HCPL_BM43_N0" localSheetId="4">#REF!</definedName>
    <definedName name="HCPL_BM43_N0" localSheetId="9">#REF!</definedName>
    <definedName name="HCPL_BM43_N0">#REF!</definedName>
    <definedName name="HCPL_BM44_N0" localSheetId="4">#REF!</definedName>
    <definedName name="HCPL_BM44_N0" localSheetId="9">#REF!</definedName>
    <definedName name="HCPL_BM44_N0">#REF!</definedName>
    <definedName name="HCPL_BM45_N0" localSheetId="4">#REF!</definedName>
    <definedName name="HCPL_BM45_N0" localSheetId="9">#REF!</definedName>
    <definedName name="HCPL_BM45_N0">#REF!</definedName>
    <definedName name="HCPL_BM46_N0" localSheetId="4">#REF!</definedName>
    <definedName name="HCPL_BM46_N0" localSheetId="9">#REF!</definedName>
    <definedName name="HCPL_BM46_N0">#REF!</definedName>
    <definedName name="HCPL_BM47_N0" localSheetId="4">#REF!</definedName>
    <definedName name="HCPL_BM47_N0" localSheetId="9">#REF!</definedName>
    <definedName name="HCPL_BM47_N0">#REF!</definedName>
    <definedName name="HCPL_BM48_N0" localSheetId="4">#REF!</definedName>
    <definedName name="HCPL_BM48_N0" localSheetId="9">#REF!</definedName>
    <definedName name="HCPL_BM48_N0">#REF!</definedName>
    <definedName name="HCPL_BM49_N0" localSheetId="4">#REF!</definedName>
    <definedName name="HCPL_BM49_N0" localSheetId="9">#REF!</definedName>
    <definedName name="HCPL_BM49_N0">#REF!</definedName>
    <definedName name="HCPL_BM51" localSheetId="4">#REF!</definedName>
    <definedName name="HCPL_BM51" localSheetId="9">#REF!</definedName>
    <definedName name="HCPL_BM51">#REF!</definedName>
    <definedName name="HCPL_BM510_N0" localSheetId="4">#REF!</definedName>
    <definedName name="HCPL_BM510_N0" localSheetId="9">#REF!</definedName>
    <definedName name="HCPL_BM510_N0">#REF!</definedName>
    <definedName name="HCPL_BM511_N0" localSheetId="4">#REF!</definedName>
    <definedName name="HCPL_BM511_N0" localSheetId="9">#REF!</definedName>
    <definedName name="HCPL_BM511_N0">#REF!</definedName>
    <definedName name="HCPL_BM512_N0" localSheetId="4">#REF!</definedName>
    <definedName name="HCPL_BM512_N0" localSheetId="9">#REF!</definedName>
    <definedName name="HCPL_BM512_N0">#REF!</definedName>
    <definedName name="HCPL_BM513_N0" localSheetId="4">#REF!</definedName>
    <definedName name="HCPL_BM513_N0" localSheetId="9">#REF!</definedName>
    <definedName name="HCPL_BM513_N0">#REF!</definedName>
    <definedName name="HCPL_BM514_N0" localSheetId="4">#REF!</definedName>
    <definedName name="HCPL_BM514_N0" localSheetId="9">#REF!</definedName>
    <definedName name="HCPL_BM514_N0">#REF!</definedName>
    <definedName name="HCPL_BM515_N0" localSheetId="4">#REF!</definedName>
    <definedName name="HCPL_BM515_N0" localSheetId="9">#REF!</definedName>
    <definedName name="HCPL_BM515_N0">#REF!</definedName>
    <definedName name="HCPL_BM516_N0" localSheetId="4">#REF!</definedName>
    <definedName name="HCPL_BM516_N0" localSheetId="9">#REF!</definedName>
    <definedName name="HCPL_BM516_N0">#REF!</definedName>
    <definedName name="HCPL_BM517_N1" localSheetId="4">#REF!</definedName>
    <definedName name="HCPL_BM517_N1" localSheetId="9">#REF!</definedName>
    <definedName name="HCPL_BM517_N1">#REF!</definedName>
    <definedName name="HCPL_BM518" localSheetId="4">#REF!</definedName>
    <definedName name="HCPL_BM518" localSheetId="9">#REF!</definedName>
    <definedName name="HCPL_BM518">#REF!</definedName>
    <definedName name="HCPL_BM518_N1" localSheetId="4">#REF!</definedName>
    <definedName name="HCPL_BM518_N1" localSheetId="9">#REF!</definedName>
    <definedName name="HCPL_BM518_N1">#REF!</definedName>
    <definedName name="HCPL_BM519_N1" localSheetId="4">#REF!</definedName>
    <definedName name="HCPL_BM519_N1" localSheetId="9">#REF!</definedName>
    <definedName name="HCPL_BM519_N1">#REF!</definedName>
    <definedName name="HCPL_BM52_N0" localSheetId="4">#REF!</definedName>
    <definedName name="HCPL_BM52_N0" localSheetId="9">#REF!</definedName>
    <definedName name="HCPL_BM52_N0">#REF!</definedName>
    <definedName name="HCPL_BM520_N1" localSheetId="4">#REF!</definedName>
    <definedName name="HCPL_BM520_N1" localSheetId="9">#REF!</definedName>
    <definedName name="HCPL_BM520_N1">#REF!</definedName>
    <definedName name="HCPL_BM521_N1" localSheetId="4">#REF!</definedName>
    <definedName name="HCPL_BM521_N1" localSheetId="9">#REF!</definedName>
    <definedName name="HCPL_BM521_N1">#REF!</definedName>
    <definedName name="HCPL_BM522_P0" localSheetId="4">#REF!</definedName>
    <definedName name="HCPL_BM522_P0" localSheetId="9">#REF!</definedName>
    <definedName name="HCPL_BM522_P0">#REF!</definedName>
    <definedName name="HCPL_BM523_P0" localSheetId="4">#REF!</definedName>
    <definedName name="HCPL_BM523_P0" localSheetId="9">#REF!</definedName>
    <definedName name="HCPL_BM523_P0">#REF!</definedName>
    <definedName name="HCPL_BM524_P0" localSheetId="4">#REF!</definedName>
    <definedName name="HCPL_BM524_P0" localSheetId="9">#REF!</definedName>
    <definedName name="HCPL_BM524_P0">#REF!</definedName>
    <definedName name="HCPL_BM525_P0" localSheetId="4">#REF!</definedName>
    <definedName name="HCPL_BM525_P0" localSheetId="9">#REF!</definedName>
    <definedName name="HCPL_BM525_P0">#REF!</definedName>
    <definedName name="HCPL_BM526_P0" localSheetId="4">#REF!</definedName>
    <definedName name="HCPL_BM526_P0" localSheetId="9">#REF!</definedName>
    <definedName name="HCPL_BM526_P0">#REF!</definedName>
    <definedName name="HCPL_BM53_N0" localSheetId="4">#REF!</definedName>
    <definedName name="HCPL_BM53_N0" localSheetId="9">#REF!</definedName>
    <definedName name="HCPL_BM53_N0">#REF!</definedName>
    <definedName name="HCPL_BM54_N0" localSheetId="4">#REF!</definedName>
    <definedName name="HCPL_BM54_N0" localSheetId="9">#REF!</definedName>
    <definedName name="HCPL_BM54_N0">#REF!</definedName>
    <definedName name="HCPL_BM55_N0" localSheetId="4">#REF!</definedName>
    <definedName name="HCPL_BM55_N0" localSheetId="9">#REF!</definedName>
    <definedName name="HCPL_BM55_N0">#REF!</definedName>
    <definedName name="HCPL_BM56_N0" localSheetId="4">#REF!</definedName>
    <definedName name="HCPL_BM56_N0" localSheetId="9">#REF!</definedName>
    <definedName name="HCPL_BM56_N0">#REF!</definedName>
    <definedName name="HCPL_BM57_N0" localSheetId="4">#REF!</definedName>
    <definedName name="HCPL_BM57_N0" localSheetId="9">#REF!</definedName>
    <definedName name="HCPL_BM57_N0">#REF!</definedName>
    <definedName name="HCPL_BM58_N0" localSheetId="4">#REF!</definedName>
    <definedName name="HCPL_BM58_N0" localSheetId="9">#REF!</definedName>
    <definedName name="HCPL_BM58_N0">#REF!</definedName>
    <definedName name="HCPL_BM59_N0" localSheetId="4">#REF!</definedName>
    <definedName name="HCPL_BM59_N0" localSheetId="9">#REF!</definedName>
    <definedName name="HCPL_BM59_N0">#REF!</definedName>
    <definedName name="hdfcwgt">#REF!</definedName>
    <definedName name="HE1.0" localSheetId="4">#REF!</definedName>
    <definedName name="HE1.0" localSheetId="9">#REF!</definedName>
    <definedName name="HE1.0">#REF!</definedName>
    <definedName name="HE2.0" localSheetId="4">#REF!,#REF!,#REF!</definedName>
    <definedName name="HE2.0" localSheetId="5">#REF!,#REF!,#REF!</definedName>
    <definedName name="HE2.0" localSheetId="15">#REF!,#REF!,#REF!</definedName>
    <definedName name="HE2.0" localSheetId="19">#REF!,#REF!,#REF!</definedName>
    <definedName name="HE2.0" localSheetId="18">#REF!,#REF!,#REF!</definedName>
    <definedName name="HE2.0" localSheetId="14">#REF!,#REF!,#REF!</definedName>
    <definedName name="HE2.0" localSheetId="12">#REF!,#REF!,#REF!</definedName>
    <definedName name="HE2.0" localSheetId="24">#REF!,#REF!,#REF!</definedName>
    <definedName name="HE2.0" localSheetId="7">#REF!,#REF!,#REF!</definedName>
    <definedName name="HE2.0" localSheetId="20">#REF!,#REF!,#REF!</definedName>
    <definedName name="HE2.0" localSheetId="21">#REF!,#REF!,#REF!</definedName>
    <definedName name="HE2.0" localSheetId="11">#REF!,#REF!,#REF!</definedName>
    <definedName name="HE2.0" localSheetId="17">#REF!,#REF!,#REF!</definedName>
    <definedName name="HE2.0" localSheetId="16">#REF!,#REF!,#REF!</definedName>
    <definedName name="HE2.0" localSheetId="22">#REF!,#REF!,#REF!</definedName>
    <definedName name="HE2.0" localSheetId="9">#REF!,#REF!,#REF!</definedName>
    <definedName name="HE2.0" localSheetId="13">#REF!,#REF!,#REF!</definedName>
    <definedName name="HE2.0" localSheetId="23">#REF!,#REF!,#REF!</definedName>
    <definedName name="HE2.0">#REF!,#REF!,#REF!</definedName>
    <definedName name="HE3.0" localSheetId="4">#REF!,#REF!,#REF!</definedName>
    <definedName name="HE3.0" localSheetId="5">#REF!,#REF!,#REF!</definedName>
    <definedName name="HE3.0" localSheetId="15">#REF!,#REF!,#REF!</definedName>
    <definedName name="HE3.0" localSheetId="19">#REF!,#REF!,#REF!</definedName>
    <definedName name="HE3.0" localSheetId="18">#REF!,#REF!,#REF!</definedName>
    <definedName name="HE3.0" localSheetId="14">#REF!,#REF!,#REF!</definedName>
    <definedName name="HE3.0" localSheetId="12">#REF!,#REF!,#REF!</definedName>
    <definedName name="HE3.0" localSheetId="24">#REF!,#REF!,#REF!</definedName>
    <definedName name="HE3.0" localSheetId="7">#REF!,#REF!,#REF!</definedName>
    <definedName name="HE3.0" localSheetId="20">#REF!,#REF!,#REF!</definedName>
    <definedName name="HE3.0" localSheetId="21">#REF!,#REF!,#REF!</definedName>
    <definedName name="HE3.0" localSheetId="11">#REF!,#REF!,#REF!</definedName>
    <definedName name="HE3.0" localSheetId="17">#REF!,#REF!,#REF!</definedName>
    <definedName name="HE3.0" localSheetId="16">#REF!,#REF!,#REF!</definedName>
    <definedName name="HE3.0" localSheetId="22">#REF!,#REF!,#REF!</definedName>
    <definedName name="HE3.0" localSheetId="9">#REF!,#REF!,#REF!</definedName>
    <definedName name="HE3.0" localSheetId="13">#REF!,#REF!,#REF!</definedName>
    <definedName name="HE3.0" localSheetId="23">#REF!,#REF!,#REF!</definedName>
    <definedName name="HE3.0">#REF!,#REF!,#REF!</definedName>
    <definedName name="HE4.0" localSheetId="4">#REF!,#REF!,#REF!</definedName>
    <definedName name="HE4.0" localSheetId="5">#REF!,#REF!,#REF!</definedName>
    <definedName name="HE4.0" localSheetId="15">#REF!,#REF!,#REF!</definedName>
    <definedName name="HE4.0" localSheetId="19">#REF!,#REF!,#REF!</definedName>
    <definedName name="HE4.0" localSheetId="18">#REF!,#REF!,#REF!</definedName>
    <definedName name="HE4.0" localSheetId="14">#REF!,#REF!,#REF!</definedName>
    <definedName name="HE4.0" localSheetId="12">#REF!,#REF!,#REF!</definedName>
    <definedName name="HE4.0" localSheetId="24">#REF!,#REF!,#REF!</definedName>
    <definedName name="HE4.0" localSheetId="7">#REF!,#REF!,#REF!</definedName>
    <definedName name="HE4.0" localSheetId="20">#REF!,#REF!,#REF!</definedName>
    <definedName name="HE4.0" localSheetId="21">#REF!,#REF!,#REF!</definedName>
    <definedName name="HE4.0" localSheetId="11">#REF!,#REF!,#REF!</definedName>
    <definedName name="HE4.0" localSheetId="17">#REF!,#REF!,#REF!</definedName>
    <definedName name="HE4.0" localSheetId="16">#REF!,#REF!,#REF!</definedName>
    <definedName name="HE4.0" localSheetId="22">#REF!,#REF!,#REF!</definedName>
    <definedName name="HE4.0" localSheetId="9">#REF!,#REF!,#REF!</definedName>
    <definedName name="HE4.0" localSheetId="13">#REF!,#REF!,#REF!</definedName>
    <definedName name="HE4.0" localSheetId="23">#REF!,#REF!,#REF!</definedName>
    <definedName name="HE4.0">#REF!,#REF!,#REF!</definedName>
    <definedName name="HE5.0" localSheetId="4">#REF!,#REF!,#REF!</definedName>
    <definedName name="HE5.0" localSheetId="9">#REF!,#REF!,#REF!</definedName>
    <definedName name="HE5.0">#REF!,#REF!,#REF!</definedName>
    <definedName name="hfhfh">#REF!</definedName>
    <definedName name="HFINANCE" localSheetId="4">#REF!</definedName>
    <definedName name="HFINANCE" localSheetId="9">#REF!</definedName>
    <definedName name="HFINANCE">#REF!</definedName>
    <definedName name="HFREE_CASH" localSheetId="4">#REF!</definedName>
    <definedName name="HFREE_CASH" localSheetId="9">#REF!</definedName>
    <definedName name="HFREE_CASH">#REF!</definedName>
    <definedName name="hgghfgh" hidden="1">#N/A</definedName>
    <definedName name="hggj" localSheetId="4" hidden="1">#REF!</definedName>
    <definedName name="hggj" localSheetId="5" hidden="1">#REF!</definedName>
    <definedName name="hggj" localSheetId="15" hidden="1">#REF!</definedName>
    <definedName name="hggj" localSheetId="19" hidden="1">#REF!</definedName>
    <definedName name="hggj" localSheetId="18" hidden="1">#REF!</definedName>
    <definedName name="hggj" localSheetId="14" hidden="1">#REF!</definedName>
    <definedName name="hggj" localSheetId="12" hidden="1">#REF!</definedName>
    <definedName name="hggj" localSheetId="24" hidden="1">#REF!</definedName>
    <definedName name="hggj" localSheetId="7" hidden="1">#REF!</definedName>
    <definedName name="hggj" localSheetId="20" hidden="1">#REF!</definedName>
    <definedName name="hggj" localSheetId="21" hidden="1">#REF!</definedName>
    <definedName name="hggj" localSheetId="11" hidden="1">#REF!</definedName>
    <definedName name="hggj" localSheetId="17" hidden="1">#REF!</definedName>
    <definedName name="hggj" localSheetId="16" hidden="1">#REF!</definedName>
    <definedName name="hggj" localSheetId="22" hidden="1">#REF!</definedName>
    <definedName name="hggj" localSheetId="9" hidden="1">#REF!</definedName>
    <definedName name="hggj" localSheetId="13" hidden="1">#REF!</definedName>
    <definedName name="hggj" localSheetId="23" hidden="1">#REF!</definedName>
    <definedName name="hggj" hidden="1">#REF!</definedName>
    <definedName name="hgty6"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gty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h" localSheetId="4">#REF!</definedName>
    <definedName name="hh" localSheetId="5">#REF!</definedName>
    <definedName name="hh" localSheetId="15">#REF!</definedName>
    <definedName name="hh" localSheetId="19">#REF!</definedName>
    <definedName name="hh" localSheetId="18">#REF!</definedName>
    <definedName name="hh" localSheetId="14">#REF!</definedName>
    <definedName name="hh" localSheetId="12">#REF!</definedName>
    <definedName name="hh" localSheetId="24">#REF!</definedName>
    <definedName name="hh" localSheetId="7">#REF!</definedName>
    <definedName name="hh" localSheetId="20">#REF!</definedName>
    <definedName name="hh" localSheetId="21">#REF!</definedName>
    <definedName name="hh" localSheetId="11">#REF!</definedName>
    <definedName name="hh" localSheetId="17">#REF!</definedName>
    <definedName name="hh" localSheetId="16">#REF!</definedName>
    <definedName name="hh" localSheetId="22">#REF!</definedName>
    <definedName name="hh" localSheetId="9">#REF!</definedName>
    <definedName name="hh" localSheetId="13">#REF!</definedName>
    <definedName name="hh" localSheetId="23">#REF!</definedName>
    <definedName name="hh">#REF!</definedName>
    <definedName name="HHFL">#REF!</definedName>
    <definedName name="hhh" localSheetId="4" hidden="1">{"Print Summary",#N/A,FALSE,"Bal_Graphs";"Print Summary",#N/A,FALSE,"DCF";"Print Summary",#N/A,FALSE,"Graphs";"Print Summary",#N/A,FALSE,"Summary"}</definedName>
    <definedName name="hhh" localSheetId="5" hidden="1">{"Print Summary",#N/A,FALSE,"Bal_Graphs";"Print Summary",#N/A,FALSE,"DCF";"Print Summary",#N/A,FALSE,"Graphs";"Print Summary",#N/A,FALSE,"Summary"}</definedName>
    <definedName name="hhh" localSheetId="15" hidden="1">{"Print Summary",#N/A,FALSE,"Bal_Graphs";"Print Summary",#N/A,FALSE,"DCF";"Print Summary",#N/A,FALSE,"Graphs";"Print Summary",#N/A,FALSE,"Summary"}</definedName>
    <definedName name="hhh" localSheetId="19" hidden="1">{"Print Summary",#N/A,FALSE,"Bal_Graphs";"Print Summary",#N/A,FALSE,"DCF";"Print Summary",#N/A,FALSE,"Graphs";"Print Summary",#N/A,FALSE,"Summary"}</definedName>
    <definedName name="hhh" localSheetId="18" hidden="1">{"Print Summary",#N/A,FALSE,"Bal_Graphs";"Print Summary",#N/A,FALSE,"DCF";"Print Summary",#N/A,FALSE,"Graphs";"Print Summary",#N/A,FALSE,"Summary"}</definedName>
    <definedName name="hhh" localSheetId="14" hidden="1">{"Print Summary",#N/A,FALSE,"Bal_Graphs";"Print Summary",#N/A,FALSE,"DCF";"Print Summary",#N/A,FALSE,"Graphs";"Print Summary",#N/A,FALSE,"Summary"}</definedName>
    <definedName name="hhh" localSheetId="12" hidden="1">{"Print Summary",#N/A,FALSE,"Bal_Graphs";"Print Summary",#N/A,FALSE,"DCF";"Print Summary",#N/A,FALSE,"Graphs";"Print Summary",#N/A,FALSE,"Summary"}</definedName>
    <definedName name="hhh" localSheetId="24" hidden="1">{"Print Summary",#N/A,FALSE,"Bal_Graphs";"Print Summary",#N/A,FALSE,"DCF";"Print Summary",#N/A,FALSE,"Graphs";"Print Summary",#N/A,FALSE,"Summary"}</definedName>
    <definedName name="hhh" localSheetId="7" hidden="1">{"Print Summary",#N/A,FALSE,"Bal_Graphs";"Print Summary",#N/A,FALSE,"DCF";"Print Summary",#N/A,FALSE,"Graphs";"Print Summary",#N/A,FALSE,"Summary"}</definedName>
    <definedName name="hhh" localSheetId="20" hidden="1">{"Print Summary",#N/A,FALSE,"Bal_Graphs";"Print Summary",#N/A,FALSE,"DCF";"Print Summary",#N/A,FALSE,"Graphs";"Print Summary",#N/A,FALSE,"Summary"}</definedName>
    <definedName name="hhh" localSheetId="21" hidden="1">{"Print Summary",#N/A,FALSE,"Bal_Graphs";"Print Summary",#N/A,FALSE,"DCF";"Print Summary",#N/A,FALSE,"Graphs";"Print Summary",#N/A,FALSE,"Summary"}</definedName>
    <definedName name="hhh" localSheetId="11" hidden="1">{"Print Summary",#N/A,FALSE,"Bal_Graphs";"Print Summary",#N/A,FALSE,"DCF";"Print Summary",#N/A,FALSE,"Graphs";"Print Summary",#N/A,FALSE,"Summary"}</definedName>
    <definedName name="hhh" localSheetId="17" hidden="1">{"Print Summary",#N/A,FALSE,"Bal_Graphs";"Print Summary",#N/A,FALSE,"DCF";"Print Summary",#N/A,FALSE,"Graphs";"Print Summary",#N/A,FALSE,"Summary"}</definedName>
    <definedName name="hhh" localSheetId="16" hidden="1">{"Print Summary",#N/A,FALSE,"Bal_Graphs";"Print Summary",#N/A,FALSE,"DCF";"Print Summary",#N/A,FALSE,"Graphs";"Print Summary",#N/A,FALSE,"Summary"}</definedName>
    <definedName name="hhh" localSheetId="22" hidden="1">{"Print Summary",#N/A,FALSE,"Bal_Graphs";"Print Summary",#N/A,FALSE,"DCF";"Print Summary",#N/A,FALSE,"Graphs";"Print Summary",#N/A,FALSE,"Summary"}</definedName>
    <definedName name="hhh" localSheetId="9" hidden="1">{"Print Summary",#N/A,FALSE,"Bal_Graphs";"Print Summary",#N/A,FALSE,"DCF";"Print Summary",#N/A,FALSE,"Graphs";"Print Summary",#N/A,FALSE,"Summary"}</definedName>
    <definedName name="hhh" localSheetId="13" hidden="1">{"Print Summary",#N/A,FALSE,"Bal_Graphs";"Print Summary",#N/A,FALSE,"DCF";"Print Summary",#N/A,FALSE,"Graphs";"Print Summary",#N/A,FALSE,"Summary"}</definedName>
    <definedName name="hhh" localSheetId="23" hidden="1">{"Print Summary",#N/A,FALSE,"Bal_Graphs";"Print Summary",#N/A,FALSE,"DCF";"Print Summary",#N/A,FALSE,"Graphs";"Print Summary",#N/A,FALSE,"Summary"}</definedName>
    <definedName name="hhh" hidden="1">{"Print Summary",#N/A,FALSE,"Bal_Graphs";"Print Summary",#N/A,FALSE,"DCF";"Print Summary",#N/A,FALSE,"Graphs";"Print Summary",#N/A,FALSE,"Summary"}</definedName>
    <definedName name="hhhhh" localSheetId="4" hidden="1">{#N/A,#N/A,FALSE,"Status of Projects";#N/A,#N/A,FALSE,"CEA-TEC";#N/A,#N/A,FALSE,"U-Constr.";#N/A,#N/A,FALSE,"summary";#N/A,#N/A,FALSE,"PPP-3 yrs"}</definedName>
    <definedName name="hhhhh" localSheetId="9" hidden="1">{#N/A,#N/A,FALSE,"Status of Projects";#N/A,#N/A,FALSE,"CEA-TEC";#N/A,#N/A,FALSE,"U-Constr.";#N/A,#N/A,FALSE,"summary";#N/A,#N/A,FALSE,"PPP-3 yrs"}</definedName>
    <definedName name="hhhhh" hidden="1">{#N/A,#N/A,FALSE,"Status of Projects";#N/A,#N/A,FALSE,"CEA-TEC";#N/A,#N/A,FALSE,"U-Constr.";#N/A,#N/A,FALSE,"summary";#N/A,#N/A,FALSE,"PPP-3 yrs"}</definedName>
    <definedName name="hhhhhhh"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1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1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2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2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2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1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1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2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localSheetId="2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hhhhhh"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hire" localSheetId="4">#REF!</definedName>
    <definedName name="hire" localSheetId="5">#REF!</definedName>
    <definedName name="hire" localSheetId="15">#REF!</definedName>
    <definedName name="hire" localSheetId="19">#REF!</definedName>
    <definedName name="hire" localSheetId="18">#REF!</definedName>
    <definedName name="hire" localSheetId="14">#REF!</definedName>
    <definedName name="hire" localSheetId="12">#REF!</definedName>
    <definedName name="hire" localSheetId="24">#REF!</definedName>
    <definedName name="hire" localSheetId="7">#REF!</definedName>
    <definedName name="hire" localSheetId="20">#REF!</definedName>
    <definedName name="hire" localSheetId="21">#REF!</definedName>
    <definedName name="hire" localSheetId="11">#REF!</definedName>
    <definedName name="hire" localSheetId="17">#REF!</definedName>
    <definedName name="hire" localSheetId="16">#REF!</definedName>
    <definedName name="hire" localSheetId="22">#REF!</definedName>
    <definedName name="hire" localSheetId="9">#REF!</definedName>
    <definedName name="hire" localSheetId="13">#REF!</definedName>
    <definedName name="hire" localSheetId="23">#REF!</definedName>
    <definedName name="hire">#REF!</definedName>
    <definedName name="HIST_ALL" localSheetId="4">#REF!</definedName>
    <definedName name="HIST_ALL" localSheetId="9">#REF!</definedName>
    <definedName name="HIST_ALL">#REF!</definedName>
    <definedName name="Historical_Economic_Profit" localSheetId="4">#REF!</definedName>
    <definedName name="Historical_Economic_Profit" localSheetId="9">#REF!</definedName>
    <definedName name="Historical_Economic_Profit">#REF!</definedName>
    <definedName name="Historical_Incremental_ROIC" localSheetId="4">#REF!</definedName>
    <definedName name="Historical_Incremental_ROIC" localSheetId="9">#REF!</definedName>
    <definedName name="Historical_Incremental_ROIC">#REF!</definedName>
    <definedName name="hj" hidden="1">#REF!</definedName>
    <definedName name="hjggj" localSheetId="4">#REF!,#REF!,#REF!</definedName>
    <definedName name="hjggj" localSheetId="5">#REF!,#REF!,#REF!</definedName>
    <definedName name="hjggj" localSheetId="15">#REF!,#REF!,#REF!</definedName>
    <definedName name="hjggj" localSheetId="19">#REF!,#REF!,#REF!</definedName>
    <definedName name="hjggj" localSheetId="18">#REF!,#REF!,#REF!</definedName>
    <definedName name="hjggj" localSheetId="14">#REF!,#REF!,#REF!</definedName>
    <definedName name="hjggj" localSheetId="12">#REF!,#REF!,#REF!</definedName>
    <definedName name="hjggj" localSheetId="24">#REF!,#REF!,#REF!</definedName>
    <definedName name="hjggj" localSheetId="7">#REF!,#REF!,#REF!</definedName>
    <definedName name="hjggj" localSheetId="20">#REF!,#REF!,#REF!</definedName>
    <definedName name="hjggj" localSheetId="21">#REF!,#REF!,#REF!</definedName>
    <definedName name="hjggj" localSheetId="11">#REF!,#REF!,#REF!</definedName>
    <definedName name="hjggj" localSheetId="17">#REF!,#REF!,#REF!</definedName>
    <definedName name="hjggj" localSheetId="16">#REF!,#REF!,#REF!</definedName>
    <definedName name="hjggj" localSheetId="22">#REF!,#REF!,#REF!</definedName>
    <definedName name="hjggj" localSheetId="9">#REF!,#REF!,#REF!</definedName>
    <definedName name="hjggj" localSheetId="13">#REF!,#REF!,#REF!</definedName>
    <definedName name="hjggj" localSheetId="23">#REF!,#REF!,#REF!</definedName>
    <definedName name="hjggj">#REF!,#REF!,#REF!</definedName>
    <definedName name="HK_RESULT" localSheetId="4">#REF!</definedName>
    <definedName name="HK_RESULT" localSheetId="9">#REF!</definedName>
    <definedName name="HK_RESULT">#REF!</definedName>
    <definedName name="hkcbwgt">#REF!</definedName>
    <definedName name="HL1.0" localSheetId="4">#REF!</definedName>
    <definedName name="HL1.0" localSheetId="5">#REF!</definedName>
    <definedName name="HL1.0" localSheetId="15">#REF!</definedName>
    <definedName name="HL1.0" localSheetId="19">#REF!</definedName>
    <definedName name="HL1.0" localSheetId="18">#REF!</definedName>
    <definedName name="HL1.0" localSheetId="14">#REF!</definedName>
    <definedName name="HL1.0" localSheetId="12">#REF!</definedName>
    <definedName name="HL1.0" localSheetId="24">#REF!</definedName>
    <definedName name="HL1.0" localSheetId="7">#REF!</definedName>
    <definedName name="HL1.0" localSheetId="20">#REF!</definedName>
    <definedName name="HL1.0" localSheetId="21">#REF!</definedName>
    <definedName name="HL1.0" localSheetId="11">#REF!</definedName>
    <definedName name="HL1.0" localSheetId="17">#REF!</definedName>
    <definedName name="HL1.0" localSheetId="16">#REF!</definedName>
    <definedName name="HL1.0" localSheetId="22">#REF!</definedName>
    <definedName name="HL1.0" localSheetId="9">#REF!</definedName>
    <definedName name="HL1.0" localSheetId="13">#REF!</definedName>
    <definedName name="HL1.0" localSheetId="23">#REF!</definedName>
    <definedName name="HL1.0">#REF!</definedName>
    <definedName name="HL1.1" localSheetId="4">#REF!</definedName>
    <definedName name="HL1.1" localSheetId="5">#REF!</definedName>
    <definedName name="HL1.1" localSheetId="15">#REF!</definedName>
    <definedName name="HL1.1" localSheetId="19">#REF!</definedName>
    <definedName name="HL1.1" localSheetId="18">#REF!</definedName>
    <definedName name="HL1.1" localSheetId="14">#REF!</definedName>
    <definedName name="HL1.1" localSheetId="12">#REF!</definedName>
    <definedName name="HL1.1" localSheetId="24">#REF!</definedName>
    <definedName name="HL1.1" localSheetId="7">#REF!</definedName>
    <definedName name="HL1.1" localSheetId="20">#REF!</definedName>
    <definedName name="HL1.1" localSheetId="21">#REF!</definedName>
    <definedName name="HL1.1" localSheetId="11">#REF!</definedName>
    <definedName name="HL1.1" localSheetId="17">#REF!</definedName>
    <definedName name="HL1.1" localSheetId="16">#REF!</definedName>
    <definedName name="HL1.1" localSheetId="22">#REF!</definedName>
    <definedName name="HL1.1" localSheetId="9">#REF!</definedName>
    <definedName name="HL1.1" localSheetId="13">#REF!</definedName>
    <definedName name="HL1.1" localSheetId="23">#REF!</definedName>
    <definedName name="HL1.1">#REF!</definedName>
    <definedName name="HL1.2" localSheetId="4">#REF!,#REF!</definedName>
    <definedName name="HL1.2" localSheetId="5">#REF!,#REF!</definedName>
    <definedName name="HL1.2" localSheetId="15">#REF!,#REF!</definedName>
    <definedName name="HL1.2" localSheetId="19">#REF!,#REF!</definedName>
    <definedName name="HL1.2" localSheetId="18">#REF!,#REF!</definedName>
    <definedName name="HL1.2" localSheetId="14">#REF!,#REF!</definedName>
    <definedName name="HL1.2" localSheetId="12">#REF!,#REF!</definedName>
    <definedName name="HL1.2" localSheetId="24">#REF!,#REF!</definedName>
    <definedName name="HL1.2" localSheetId="7">#REF!,#REF!</definedName>
    <definedName name="HL1.2" localSheetId="20">#REF!,#REF!</definedName>
    <definedName name="HL1.2" localSheetId="21">#REF!,#REF!</definedName>
    <definedName name="HL1.2" localSheetId="11">#REF!,#REF!</definedName>
    <definedName name="HL1.2" localSheetId="17">#REF!,#REF!</definedName>
    <definedName name="HL1.2" localSheetId="16">#REF!,#REF!</definedName>
    <definedName name="HL1.2" localSheetId="22">#REF!,#REF!</definedName>
    <definedName name="HL1.2" localSheetId="9">#REF!,#REF!</definedName>
    <definedName name="HL1.2" localSheetId="13">#REF!,#REF!</definedName>
    <definedName name="HL1.2" localSheetId="23">#REF!,#REF!</definedName>
    <definedName name="HL1.2">#REF!,#REF!</definedName>
    <definedName name="HL2.0" localSheetId="4">#REF!,#REF!,#REF!</definedName>
    <definedName name="HL2.0" localSheetId="5">#REF!,#REF!,#REF!</definedName>
    <definedName name="HL2.0" localSheetId="15">#REF!,#REF!,#REF!</definedName>
    <definedName name="HL2.0" localSheetId="19">#REF!,#REF!,#REF!</definedName>
    <definedName name="HL2.0" localSheetId="18">#REF!,#REF!,#REF!</definedName>
    <definedName name="HL2.0" localSheetId="14">#REF!,#REF!,#REF!</definedName>
    <definedName name="HL2.0" localSheetId="12">#REF!,#REF!,#REF!</definedName>
    <definedName name="HL2.0" localSheetId="24">#REF!,#REF!,#REF!</definedName>
    <definedName name="HL2.0" localSheetId="7">#REF!,#REF!,#REF!</definedName>
    <definedName name="HL2.0" localSheetId="20">#REF!,#REF!,#REF!</definedName>
    <definedName name="HL2.0" localSheetId="21">#REF!,#REF!,#REF!</definedName>
    <definedName name="HL2.0" localSheetId="11">#REF!,#REF!,#REF!</definedName>
    <definedName name="HL2.0" localSheetId="17">#REF!,#REF!,#REF!</definedName>
    <definedName name="HL2.0" localSheetId="16">#REF!,#REF!,#REF!</definedName>
    <definedName name="HL2.0" localSheetId="22">#REF!,#REF!,#REF!</definedName>
    <definedName name="HL2.0" localSheetId="9">#REF!,#REF!,#REF!</definedName>
    <definedName name="HL2.0" localSheetId="13">#REF!,#REF!,#REF!</definedName>
    <definedName name="HL2.0" localSheetId="23">#REF!,#REF!,#REF!</definedName>
    <definedName name="HL2.0">#REF!,#REF!,#REF!</definedName>
    <definedName name="HL2.1" localSheetId="4">#REF!,#REF!</definedName>
    <definedName name="HL2.1" localSheetId="5">#REF!,#REF!</definedName>
    <definedName name="HL2.1" localSheetId="15">#REF!,#REF!</definedName>
    <definedName name="HL2.1" localSheetId="19">#REF!,#REF!</definedName>
    <definedName name="HL2.1" localSheetId="18">#REF!,#REF!</definedName>
    <definedName name="HL2.1" localSheetId="14">#REF!,#REF!</definedName>
    <definedName name="HL2.1" localSheetId="12">#REF!,#REF!</definedName>
    <definedName name="HL2.1" localSheetId="24">#REF!,#REF!</definedName>
    <definedName name="HL2.1" localSheetId="7">#REF!,#REF!</definedName>
    <definedName name="HL2.1" localSheetId="20">#REF!,#REF!</definedName>
    <definedName name="HL2.1" localSheetId="21">#REF!,#REF!</definedName>
    <definedName name="HL2.1" localSheetId="11">#REF!,#REF!</definedName>
    <definedName name="HL2.1" localSheetId="17">#REF!,#REF!</definedName>
    <definedName name="HL2.1" localSheetId="16">#REF!,#REF!</definedName>
    <definedName name="HL2.1" localSheetId="22">#REF!,#REF!</definedName>
    <definedName name="HL2.1" localSheetId="9">#REF!,#REF!</definedName>
    <definedName name="HL2.1" localSheetId="13">#REF!,#REF!</definedName>
    <definedName name="HL2.1" localSheetId="23">#REF!,#REF!</definedName>
    <definedName name="HL2.1">#REF!,#REF!</definedName>
    <definedName name="HL2.2" localSheetId="4">#REF!,#REF!</definedName>
    <definedName name="HL2.2" localSheetId="5">#REF!,#REF!</definedName>
    <definedName name="HL2.2" localSheetId="15">#REF!,#REF!</definedName>
    <definedName name="HL2.2" localSheetId="19">#REF!,#REF!</definedName>
    <definedName name="HL2.2" localSheetId="18">#REF!,#REF!</definedName>
    <definedName name="HL2.2" localSheetId="14">#REF!,#REF!</definedName>
    <definedName name="HL2.2" localSheetId="12">#REF!,#REF!</definedName>
    <definedName name="HL2.2" localSheetId="24">#REF!,#REF!</definedName>
    <definedName name="HL2.2" localSheetId="7">#REF!,#REF!</definedName>
    <definedName name="HL2.2" localSheetId="20">#REF!,#REF!</definedName>
    <definedName name="HL2.2" localSheetId="21">#REF!,#REF!</definedName>
    <definedName name="HL2.2" localSheetId="11">#REF!,#REF!</definedName>
    <definedName name="HL2.2" localSheetId="17">#REF!,#REF!</definedName>
    <definedName name="HL2.2" localSheetId="16">#REF!,#REF!</definedName>
    <definedName name="HL2.2" localSheetId="22">#REF!,#REF!</definedName>
    <definedName name="HL2.2" localSheetId="9">#REF!,#REF!</definedName>
    <definedName name="HL2.2" localSheetId="13">#REF!,#REF!</definedName>
    <definedName name="HL2.2" localSheetId="23">#REF!,#REF!</definedName>
    <definedName name="HL2.2">#REF!,#REF!</definedName>
    <definedName name="HL3.0" localSheetId="4">#REF!,#REF!,#REF!</definedName>
    <definedName name="HL3.0" localSheetId="5">#REF!,#REF!,#REF!</definedName>
    <definedName name="HL3.0" localSheetId="15">#REF!,#REF!,#REF!</definedName>
    <definedName name="HL3.0" localSheetId="19">#REF!,#REF!,#REF!</definedName>
    <definedName name="HL3.0" localSheetId="18">#REF!,#REF!,#REF!</definedName>
    <definedName name="HL3.0" localSheetId="14">#REF!,#REF!,#REF!</definedName>
    <definedName name="HL3.0" localSheetId="12">#REF!,#REF!,#REF!</definedName>
    <definedName name="HL3.0" localSheetId="24">#REF!,#REF!,#REF!</definedName>
    <definedName name="HL3.0" localSheetId="7">#REF!,#REF!,#REF!</definedName>
    <definedName name="HL3.0" localSheetId="20">#REF!,#REF!,#REF!</definedName>
    <definedName name="HL3.0" localSheetId="21">#REF!,#REF!,#REF!</definedName>
    <definedName name="HL3.0" localSheetId="11">#REF!,#REF!,#REF!</definedName>
    <definedName name="HL3.0" localSheetId="17">#REF!,#REF!,#REF!</definedName>
    <definedName name="HL3.0" localSheetId="16">#REF!,#REF!,#REF!</definedName>
    <definedName name="HL3.0" localSheetId="22">#REF!,#REF!,#REF!</definedName>
    <definedName name="HL3.0" localSheetId="9">#REF!,#REF!,#REF!</definedName>
    <definedName name="HL3.0" localSheetId="13">#REF!,#REF!,#REF!</definedName>
    <definedName name="HL3.0" localSheetId="23">#REF!,#REF!,#REF!</definedName>
    <definedName name="HL3.0">#REF!,#REF!,#REF!</definedName>
    <definedName name="HL4.0" localSheetId="4">#REF!,#REF!,#REF!</definedName>
    <definedName name="HL4.0" localSheetId="5">#REF!,#REF!,#REF!</definedName>
    <definedName name="HL4.0" localSheetId="15">#REF!,#REF!,#REF!</definedName>
    <definedName name="HL4.0" localSheetId="19">#REF!,#REF!,#REF!</definedName>
    <definedName name="HL4.0" localSheetId="18">#REF!,#REF!,#REF!</definedName>
    <definedName name="HL4.0" localSheetId="14">#REF!,#REF!,#REF!</definedName>
    <definedName name="HL4.0" localSheetId="12">#REF!,#REF!,#REF!</definedName>
    <definedName name="HL4.0" localSheetId="24">#REF!,#REF!,#REF!</definedName>
    <definedName name="HL4.0" localSheetId="7">#REF!,#REF!,#REF!</definedName>
    <definedName name="HL4.0" localSheetId="20">#REF!,#REF!,#REF!</definedName>
    <definedName name="HL4.0" localSheetId="21">#REF!,#REF!,#REF!</definedName>
    <definedName name="HL4.0" localSheetId="11">#REF!,#REF!,#REF!</definedName>
    <definedName name="HL4.0" localSheetId="17">#REF!,#REF!,#REF!</definedName>
    <definedName name="HL4.0" localSheetId="16">#REF!,#REF!,#REF!</definedName>
    <definedName name="HL4.0" localSheetId="22">#REF!,#REF!,#REF!</definedName>
    <definedName name="HL4.0" localSheetId="9">#REF!,#REF!,#REF!</definedName>
    <definedName name="HL4.0" localSheetId="13">#REF!,#REF!,#REF!</definedName>
    <definedName name="HL4.0" localSheetId="23">#REF!,#REF!,#REF!</definedName>
    <definedName name="HL4.0">#REF!,#REF!,#REF!</definedName>
    <definedName name="HL5.0" localSheetId="4">#REF!,#REF!,#REF!</definedName>
    <definedName name="HL5.0" localSheetId="5">#REF!,#REF!,#REF!</definedName>
    <definedName name="HL5.0" localSheetId="15">#REF!,#REF!,#REF!</definedName>
    <definedName name="HL5.0" localSheetId="19">#REF!,#REF!,#REF!</definedName>
    <definedName name="HL5.0" localSheetId="18">#REF!,#REF!,#REF!</definedName>
    <definedName name="HL5.0" localSheetId="14">#REF!,#REF!,#REF!</definedName>
    <definedName name="HL5.0" localSheetId="12">#REF!,#REF!,#REF!</definedName>
    <definedName name="HL5.0" localSheetId="24">#REF!,#REF!,#REF!</definedName>
    <definedName name="HL5.0" localSheetId="7">#REF!,#REF!,#REF!</definedName>
    <definedName name="HL5.0" localSheetId="20">#REF!,#REF!,#REF!</definedName>
    <definedName name="HL5.0" localSheetId="21">#REF!,#REF!,#REF!</definedName>
    <definedName name="HL5.0" localSheetId="11">#REF!,#REF!,#REF!</definedName>
    <definedName name="HL5.0" localSheetId="17">#REF!,#REF!,#REF!</definedName>
    <definedName name="HL5.0" localSheetId="16">#REF!,#REF!,#REF!</definedName>
    <definedName name="HL5.0" localSheetId="22">#REF!,#REF!,#REF!</definedName>
    <definedName name="HL5.0" localSheetId="9">#REF!,#REF!,#REF!</definedName>
    <definedName name="HL5.0" localSheetId="13">#REF!,#REF!,#REF!</definedName>
    <definedName name="HL5.0" localSheetId="23">#REF!,#REF!,#REF!</definedName>
    <definedName name="HL5.0">#REF!,#REF!,#REF!</definedName>
    <definedName name="HLCL" localSheetId="4">#REF!</definedName>
    <definedName name="HLCL" localSheetId="5">#REF!</definedName>
    <definedName name="HLCL" localSheetId="15">#REF!</definedName>
    <definedName name="HLCL" localSheetId="19">#REF!</definedName>
    <definedName name="HLCL" localSheetId="18">#REF!</definedName>
    <definedName name="HLCL" localSheetId="14">#REF!</definedName>
    <definedName name="HLCL" localSheetId="12">#REF!</definedName>
    <definedName name="HLCL" localSheetId="24">#REF!</definedName>
    <definedName name="HLCL" localSheetId="7">#REF!</definedName>
    <definedName name="HLCL" localSheetId="20">#REF!</definedName>
    <definedName name="HLCL" localSheetId="21">#REF!</definedName>
    <definedName name="HLCL" localSheetId="11">#REF!</definedName>
    <definedName name="HLCL" localSheetId="17">#REF!</definedName>
    <definedName name="HLCL" localSheetId="16">#REF!</definedName>
    <definedName name="HLCL" localSheetId="22">#REF!</definedName>
    <definedName name="HLCL" localSheetId="9">#REF!</definedName>
    <definedName name="HLCL" localSheetId="13">#REF!</definedName>
    <definedName name="HLCL" localSheetId="23">#REF!</definedName>
    <definedName name="HLCL">#REF!</definedName>
    <definedName name="hll_pond" localSheetId="4">#REF!</definedName>
    <definedName name="hll_pond" localSheetId="5">#REF!</definedName>
    <definedName name="hll_pond" localSheetId="15">#REF!</definedName>
    <definedName name="hll_pond" localSheetId="19">#REF!</definedName>
    <definedName name="hll_pond" localSheetId="18">#REF!</definedName>
    <definedName name="hll_pond" localSheetId="14">#REF!</definedName>
    <definedName name="hll_pond" localSheetId="12">#REF!</definedName>
    <definedName name="hll_pond" localSheetId="24">#REF!</definedName>
    <definedName name="hll_pond" localSheetId="7">#REF!</definedName>
    <definedName name="hll_pond" localSheetId="20">#REF!</definedName>
    <definedName name="hll_pond" localSheetId="21">#REF!</definedName>
    <definedName name="hll_pond" localSheetId="11">#REF!</definedName>
    <definedName name="hll_pond" localSheetId="17">#REF!</definedName>
    <definedName name="hll_pond" localSheetId="16">#REF!</definedName>
    <definedName name="hll_pond" localSheetId="22">#REF!</definedName>
    <definedName name="hll_pond" localSheetId="9">#REF!</definedName>
    <definedName name="hll_pond" localSheetId="13">#REF!</definedName>
    <definedName name="hll_pond" localSheetId="23">#REF!</definedName>
    <definedName name="hll_pond">#REF!</definedName>
    <definedName name="HNOPLAT" localSheetId="4">#REF!</definedName>
    <definedName name="HNOPLAT" localSheetId="9">#REF!</definedName>
    <definedName name="HNOPLAT">#REF!</definedName>
    <definedName name="Home" localSheetId="4">#REF!</definedName>
    <definedName name="Home" localSheetId="5">#REF!</definedName>
    <definedName name="Home" localSheetId="15">#REF!</definedName>
    <definedName name="Home" localSheetId="19">#REF!</definedName>
    <definedName name="Home" localSheetId="18">#REF!</definedName>
    <definedName name="Home" localSheetId="14">#REF!</definedName>
    <definedName name="Home" localSheetId="12">#REF!</definedName>
    <definedName name="Home" localSheetId="24">#REF!</definedName>
    <definedName name="Home" localSheetId="7">#REF!</definedName>
    <definedName name="Home" localSheetId="20">#REF!</definedName>
    <definedName name="Home" localSheetId="21">#REF!</definedName>
    <definedName name="Home" localSheetId="11">#REF!</definedName>
    <definedName name="Home" localSheetId="17">#REF!</definedName>
    <definedName name="Home" localSheetId="16">#REF!</definedName>
    <definedName name="Home" localSheetId="22">#REF!</definedName>
    <definedName name="Home" localSheetId="9">#REF!</definedName>
    <definedName name="Home" localSheetId="13">#REF!</definedName>
    <definedName name="Home" localSheetId="23">#REF!</definedName>
    <definedName name="Home">#REF!</definedName>
    <definedName name="hongkong">#REF!</definedName>
    <definedName name="HOPERATING" localSheetId="4">#REF!</definedName>
    <definedName name="HOPERATING" localSheetId="9">#REF!</definedName>
    <definedName name="HOPERATING">#REF!</definedName>
    <definedName name="house_groups">#REF!</definedName>
    <definedName name="hsbc">#REF!</definedName>
    <definedName name="hsbc_cash_flow" localSheetId="4">#REF!</definedName>
    <definedName name="hsbc_cash_flow" localSheetId="5">#REF!</definedName>
    <definedName name="hsbc_cash_flow" localSheetId="15">#REF!</definedName>
    <definedName name="hsbc_cash_flow" localSheetId="19">#REF!</definedName>
    <definedName name="hsbc_cash_flow" localSheetId="18">#REF!</definedName>
    <definedName name="hsbc_cash_flow" localSheetId="14">#REF!</definedName>
    <definedName name="hsbc_cash_flow" localSheetId="12">#REF!</definedName>
    <definedName name="hsbc_cash_flow" localSheetId="24">#REF!</definedName>
    <definedName name="hsbc_cash_flow" localSheetId="7">#REF!</definedName>
    <definedName name="hsbc_cash_flow" localSheetId="20">#REF!</definedName>
    <definedName name="hsbc_cash_flow" localSheetId="21">#REF!</definedName>
    <definedName name="hsbc_cash_flow" localSheetId="11">#REF!</definedName>
    <definedName name="hsbc_cash_flow" localSheetId="17">#REF!</definedName>
    <definedName name="hsbc_cash_flow" localSheetId="16">#REF!</definedName>
    <definedName name="hsbc_cash_flow" localSheetId="22">#REF!</definedName>
    <definedName name="hsbc_cash_flow" localSheetId="9">#REF!</definedName>
    <definedName name="hsbc_cash_flow" localSheetId="13">#REF!</definedName>
    <definedName name="hsbc_cash_flow" localSheetId="23">#REF!</definedName>
    <definedName name="hsbc_cash_flow">#REF!</definedName>
    <definedName name="hsbc_eps" localSheetId="4">#REF!</definedName>
    <definedName name="hsbc_eps" localSheetId="5">#REF!</definedName>
    <definedName name="hsbc_eps" localSheetId="15">#REF!</definedName>
    <definedName name="hsbc_eps" localSheetId="19">#REF!</definedName>
    <definedName name="hsbc_eps" localSheetId="18">#REF!</definedName>
    <definedName name="hsbc_eps" localSheetId="14">#REF!</definedName>
    <definedName name="hsbc_eps" localSheetId="12">#REF!</definedName>
    <definedName name="hsbc_eps" localSheetId="24">#REF!</definedName>
    <definedName name="hsbc_eps" localSheetId="7">#REF!</definedName>
    <definedName name="hsbc_eps" localSheetId="20">#REF!</definedName>
    <definedName name="hsbc_eps" localSheetId="21">#REF!</definedName>
    <definedName name="hsbc_eps" localSheetId="11">#REF!</definedName>
    <definedName name="hsbc_eps" localSheetId="17">#REF!</definedName>
    <definedName name="hsbc_eps" localSheetId="16">#REF!</definedName>
    <definedName name="hsbc_eps" localSheetId="22">#REF!</definedName>
    <definedName name="hsbc_eps" localSheetId="9">#REF!</definedName>
    <definedName name="hsbc_eps" localSheetId="13">#REF!</definedName>
    <definedName name="hsbc_eps" localSheetId="23">#REF!</definedName>
    <definedName name="hsbc_eps">#REF!</definedName>
    <definedName name="hsbc_net_profit" localSheetId="4">#REF!</definedName>
    <definedName name="hsbc_net_profit" localSheetId="5">#REF!</definedName>
    <definedName name="hsbc_net_profit" localSheetId="15">#REF!</definedName>
    <definedName name="hsbc_net_profit" localSheetId="19">#REF!</definedName>
    <definedName name="hsbc_net_profit" localSheetId="18">#REF!</definedName>
    <definedName name="hsbc_net_profit" localSheetId="14">#REF!</definedName>
    <definedName name="hsbc_net_profit" localSheetId="12">#REF!</definedName>
    <definedName name="hsbc_net_profit" localSheetId="24">#REF!</definedName>
    <definedName name="hsbc_net_profit" localSheetId="7">#REF!</definedName>
    <definedName name="hsbc_net_profit" localSheetId="20">#REF!</definedName>
    <definedName name="hsbc_net_profit" localSheetId="21">#REF!</definedName>
    <definedName name="hsbc_net_profit" localSheetId="11">#REF!</definedName>
    <definedName name="hsbc_net_profit" localSheetId="17">#REF!</definedName>
    <definedName name="hsbc_net_profit" localSheetId="16">#REF!</definedName>
    <definedName name="hsbc_net_profit" localSheetId="22">#REF!</definedName>
    <definedName name="hsbc_net_profit" localSheetId="9">#REF!</definedName>
    <definedName name="hsbc_net_profit" localSheetId="13">#REF!</definedName>
    <definedName name="hsbc_net_profit" localSheetId="23">#REF!</definedName>
    <definedName name="hsbc_net_profit">#REF!</definedName>
    <definedName name="hsbcwgt">#REF!</definedName>
    <definedName name="hsbwgt">#REF!</definedName>
    <definedName name="HSUP_CALC" localSheetId="4">#REF!</definedName>
    <definedName name="HSUP_CALC" localSheetId="9">#REF!</definedName>
    <definedName name="HSUP_CALC">#REF!</definedName>
    <definedName name="ht" hidden="1">"joel.lou@eia.doe.gov"</definedName>
    <definedName name="htm" hidden="1">"World Rotary Rigs in Operation, 1991-2000"</definedName>
    <definedName name="HTML_CodePage" hidden="1">1252</definedName>
    <definedName name="HTML_Control" localSheetId="4" hidden="1">{"'PS-SOTM'!$A$1","'PS-SOTM'!$A$2:$M$30","'PS-SOTM'!$A$31:$A$38"}</definedName>
    <definedName name="HTML_Control" localSheetId="5" hidden="1">{"'Input'!$D$3"}</definedName>
    <definedName name="HTML_Control" localSheetId="15" hidden="1">{"'Input'!$D$3"}</definedName>
    <definedName name="HTML_Control" localSheetId="19" hidden="1">{"'Input'!$D$3"}</definedName>
    <definedName name="HTML_Control" localSheetId="18" hidden="1">{"'Input'!$D$3"}</definedName>
    <definedName name="HTML_Control" localSheetId="14" hidden="1">{"'Input'!$D$3"}</definedName>
    <definedName name="HTML_Control" localSheetId="12" hidden="1">{"'Input'!$D$3"}</definedName>
    <definedName name="HTML_Control" localSheetId="24" hidden="1">{"'Input'!$D$3"}</definedName>
    <definedName name="HTML_Control" localSheetId="7" hidden="1">{"'Input'!$D$3"}</definedName>
    <definedName name="HTML_Control" localSheetId="20" hidden="1">{"'Input'!$D$3"}</definedName>
    <definedName name="HTML_Control" localSheetId="21" hidden="1">{"'Input'!$D$3"}</definedName>
    <definedName name="HTML_Control" localSheetId="11" hidden="1">{"'Input'!$D$3"}</definedName>
    <definedName name="HTML_Control" localSheetId="17" hidden="1">{"'Input'!$D$3"}</definedName>
    <definedName name="HTML_Control" localSheetId="16" hidden="1">{"'Input'!$D$3"}</definedName>
    <definedName name="HTML_Control" localSheetId="22" hidden="1">{"'Input'!$D$3"}</definedName>
    <definedName name="HTML_Control" localSheetId="9" hidden="1">{"'PS-SOTM'!$A$1","'PS-SOTM'!$A$2:$M$30","'PS-SOTM'!$A$31:$A$38"}</definedName>
    <definedName name="HTML_Control" localSheetId="13" hidden="1">{"'Input'!$D$3"}</definedName>
    <definedName name="HTML_Control" localSheetId="23" hidden="1">{"'Input'!$D$3"}</definedName>
    <definedName name="HTML_Control" hidden="1">{"'Input'!$D$3"}</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"\\swati\macro\IN_Notes_MM.html"</definedName>
    <definedName name="HTML_PathTemplate" hidden="1">"C:\infac\pricewth\Aug99\Page06e.htm"</definedName>
    <definedName name="HTML_Title" hidden="1">""</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uawgt">#REF!</definedName>
    <definedName name="huy" localSheetId="4" hidden="1">{"'Sheet1'!$L$16"}</definedName>
    <definedName name="huy" localSheetId="5" hidden="1">{"'Sheet1'!$L$16"}</definedName>
    <definedName name="huy" localSheetId="15" hidden="1">{"'Sheet1'!$L$16"}</definedName>
    <definedName name="huy" localSheetId="19" hidden="1">{"'Sheet1'!$L$16"}</definedName>
    <definedName name="huy" localSheetId="18" hidden="1">{"'Sheet1'!$L$16"}</definedName>
    <definedName name="huy" localSheetId="14" hidden="1">{"'Sheet1'!$L$16"}</definedName>
    <definedName name="huy" localSheetId="12" hidden="1">{"'Sheet1'!$L$16"}</definedName>
    <definedName name="huy" localSheetId="24" hidden="1">{"'Sheet1'!$L$16"}</definedName>
    <definedName name="huy" localSheetId="7" hidden="1">{"'Sheet1'!$L$16"}</definedName>
    <definedName name="huy" localSheetId="20" hidden="1">{"'Sheet1'!$L$16"}</definedName>
    <definedName name="huy" localSheetId="21" hidden="1">{"'Sheet1'!$L$16"}</definedName>
    <definedName name="huy" localSheetId="11" hidden="1">{"'Sheet1'!$L$16"}</definedName>
    <definedName name="huy" localSheetId="17" hidden="1">{"'Sheet1'!$L$16"}</definedName>
    <definedName name="huy" localSheetId="16" hidden="1">{"'Sheet1'!$L$16"}</definedName>
    <definedName name="huy" localSheetId="22" hidden="1">{"'Sheet1'!$L$16"}</definedName>
    <definedName name="huy" localSheetId="9" hidden="1">{"'Sheet1'!$L$16"}</definedName>
    <definedName name="huy" localSheetId="13" hidden="1">{"'Sheet1'!$L$16"}</definedName>
    <definedName name="huy" localSheetId="23" hidden="1">{"'Sheet1'!$L$16"}</definedName>
    <definedName name="huy" hidden="1">{"'Sheet1'!$L$16"}</definedName>
    <definedName name="hydexp" localSheetId="4">#REF!</definedName>
    <definedName name="hydexp" localSheetId="5">#REF!</definedName>
    <definedName name="hydexp" localSheetId="15">#REF!</definedName>
    <definedName name="hydexp" localSheetId="19">#REF!</definedName>
    <definedName name="hydexp" localSheetId="18">#REF!</definedName>
    <definedName name="hydexp" localSheetId="14">#REF!</definedName>
    <definedName name="hydexp" localSheetId="12">#REF!</definedName>
    <definedName name="hydexp" localSheetId="24">#REF!</definedName>
    <definedName name="hydexp" localSheetId="7">#REF!</definedName>
    <definedName name="hydexp" localSheetId="20">#REF!</definedName>
    <definedName name="hydexp" localSheetId="21">#REF!</definedName>
    <definedName name="hydexp" localSheetId="11">#REF!</definedName>
    <definedName name="hydexp" localSheetId="17">#REF!</definedName>
    <definedName name="hydexp" localSheetId="16">#REF!</definedName>
    <definedName name="hydexp" localSheetId="22">#REF!</definedName>
    <definedName name="hydexp" localSheetId="9">#REF!</definedName>
    <definedName name="hydexp" localSheetId="13">#REF!</definedName>
    <definedName name="hydexp" localSheetId="23">#REF!</definedName>
    <definedName name="hydexp">#REF!</definedName>
    <definedName name="I" localSheetId="4">#REF!</definedName>
    <definedName name="I" localSheetId="5">#REF!</definedName>
    <definedName name="I" localSheetId="15">#REF!</definedName>
    <definedName name="I" localSheetId="19">#REF!</definedName>
    <definedName name="I" localSheetId="18">#REF!</definedName>
    <definedName name="I" localSheetId="14">#REF!</definedName>
    <definedName name="I" localSheetId="12">#REF!</definedName>
    <definedName name="I" localSheetId="24">#REF!</definedName>
    <definedName name="I" localSheetId="7">#REF!</definedName>
    <definedName name="I" localSheetId="20">#REF!</definedName>
    <definedName name="I" localSheetId="21">#REF!</definedName>
    <definedName name="I" localSheetId="11">#REF!</definedName>
    <definedName name="I" localSheetId="17">#REF!</definedName>
    <definedName name="I" localSheetId="16">#REF!</definedName>
    <definedName name="I" localSheetId="22">#REF!</definedName>
    <definedName name="I" localSheetId="9">#REF!</definedName>
    <definedName name="I" localSheetId="13">#REF!</definedName>
    <definedName name="I" localSheetId="23">#REF!</definedName>
    <definedName name="I">#REF!</definedName>
    <definedName name="ian" localSheetId="4">#REF!</definedName>
    <definedName name="ian" localSheetId="5">#REF!</definedName>
    <definedName name="ian" localSheetId="15">#REF!</definedName>
    <definedName name="ian" localSheetId="19">#REF!</definedName>
    <definedName name="ian" localSheetId="18">#REF!</definedName>
    <definedName name="ian" localSheetId="14">#REF!</definedName>
    <definedName name="ian" localSheetId="12">#REF!</definedName>
    <definedName name="ian" localSheetId="24">#REF!</definedName>
    <definedName name="ian" localSheetId="7">#REF!</definedName>
    <definedName name="ian" localSheetId="20">#REF!</definedName>
    <definedName name="ian" localSheetId="21">#REF!</definedName>
    <definedName name="ian" localSheetId="11">#REF!</definedName>
    <definedName name="ian" localSheetId="17">#REF!</definedName>
    <definedName name="ian" localSheetId="16">#REF!</definedName>
    <definedName name="ian" localSheetId="22">#REF!</definedName>
    <definedName name="ian" localSheetId="9">#REF!</definedName>
    <definedName name="ian" localSheetId="13">#REF!</definedName>
    <definedName name="ian" localSheetId="23">#REF!</definedName>
    <definedName name="ian">#REF!</definedName>
    <definedName name="ibawgt">#REF!</definedName>
    <definedName name="ibc" localSheetId="4">#REF!</definedName>
    <definedName name="ibc" localSheetId="9">#REF!</definedName>
    <definedName name="ibc">#REF!</definedName>
    <definedName name="ibf" localSheetId="4">#REF!</definedName>
    <definedName name="ibf" localSheetId="9">#REF!</definedName>
    <definedName name="ibf">#REF!</definedName>
    <definedName name="IC" localSheetId="4">#REF!</definedName>
    <definedName name="IC" localSheetId="9">#REF!</definedName>
    <definedName name="IC">#REF!</definedName>
    <definedName name="IC_1" localSheetId="4">#REF!</definedName>
    <definedName name="IC_1" localSheetId="9">#REF!</definedName>
    <definedName name="IC_1">#REF!</definedName>
    <definedName name="IC_10" localSheetId="4">#REF!</definedName>
    <definedName name="IC_10" localSheetId="9">#REF!</definedName>
    <definedName name="IC_10">#REF!</definedName>
    <definedName name="IC_11" localSheetId="4">#REF!</definedName>
    <definedName name="IC_11" localSheetId="9">#REF!</definedName>
    <definedName name="IC_11">#REF!</definedName>
    <definedName name="IC_12" localSheetId="4">#REF!</definedName>
    <definedName name="IC_12" localSheetId="9">#REF!</definedName>
    <definedName name="IC_12">#REF!</definedName>
    <definedName name="IC_13" localSheetId="4">#REF!</definedName>
    <definedName name="IC_13" localSheetId="9">#REF!</definedName>
    <definedName name="IC_13">#REF!</definedName>
    <definedName name="IC_14" localSheetId="4">#REF!</definedName>
    <definedName name="IC_14" localSheetId="9">#REF!</definedName>
    <definedName name="IC_14">#REF!</definedName>
    <definedName name="IC_2" localSheetId="4">#REF!</definedName>
    <definedName name="IC_2" localSheetId="9">#REF!</definedName>
    <definedName name="IC_2">#REF!</definedName>
    <definedName name="IC_3" localSheetId="4">#REF!</definedName>
    <definedName name="IC_3" localSheetId="9">#REF!</definedName>
    <definedName name="IC_3">#REF!</definedName>
    <definedName name="IC_4" localSheetId="4">#REF!</definedName>
    <definedName name="IC_4" localSheetId="9">#REF!</definedName>
    <definedName name="IC_4">#REF!</definedName>
    <definedName name="IC_5" localSheetId="4">#REF!</definedName>
    <definedName name="IC_5" localSheetId="9">#REF!</definedName>
    <definedName name="IC_5">#REF!</definedName>
    <definedName name="IC_6" localSheetId="4">#REF!</definedName>
    <definedName name="IC_6" localSheetId="9">#REF!</definedName>
    <definedName name="IC_6">#REF!</definedName>
    <definedName name="IC_7" localSheetId="4">#REF!</definedName>
    <definedName name="IC_7" localSheetId="9">#REF!</definedName>
    <definedName name="IC_7">#REF!</definedName>
    <definedName name="IC_8" localSheetId="4">#REF!</definedName>
    <definedName name="IC_8" localSheetId="9">#REF!</definedName>
    <definedName name="IC_8">#REF!</definedName>
    <definedName name="IC_9" localSheetId="4">#REF!</definedName>
    <definedName name="IC_9" localSheetId="9">#REF!</definedName>
    <definedName name="IC_9">#REF!</definedName>
    <definedName name="IC_P" localSheetId="4">#REF!</definedName>
    <definedName name="IC_P" localSheetId="9">#REF!</definedName>
    <definedName name="IC_P">#REF!</definedName>
    <definedName name="IC_P1" localSheetId="4">#REF!</definedName>
    <definedName name="IC_P1" localSheetId="9">#REF!</definedName>
    <definedName name="IC_P1">#REF!</definedName>
    <definedName name="IC_P2" localSheetId="4">#REF!</definedName>
    <definedName name="IC_P2" localSheetId="9">#REF!</definedName>
    <definedName name="IC_P2">#REF!</definedName>
    <definedName name="IC_P3" localSheetId="4">#REF!</definedName>
    <definedName name="IC_P3" localSheetId="9">#REF!</definedName>
    <definedName name="IC_P3">#REF!</definedName>
    <definedName name="icd" localSheetId="4">#REF!</definedName>
    <definedName name="icd" localSheetId="5">#REF!</definedName>
    <definedName name="icd" localSheetId="15">#REF!</definedName>
    <definedName name="icd" localSheetId="19">#REF!</definedName>
    <definedName name="icd" localSheetId="18">#REF!</definedName>
    <definedName name="icd" localSheetId="14">#REF!</definedName>
    <definedName name="icd" localSheetId="12">#REF!</definedName>
    <definedName name="icd" localSheetId="24">#REF!</definedName>
    <definedName name="icd" localSheetId="7">#REF!</definedName>
    <definedName name="icd" localSheetId="20">#REF!</definedName>
    <definedName name="icd" localSheetId="21">#REF!</definedName>
    <definedName name="icd" localSheetId="11">#REF!</definedName>
    <definedName name="icd" localSheetId="17">#REF!</definedName>
    <definedName name="icd" localSheetId="16">#REF!</definedName>
    <definedName name="icd" localSheetId="22">#REF!</definedName>
    <definedName name="icd" localSheetId="9">#REF!</definedName>
    <definedName name="icd" localSheetId="13">#REF!</definedName>
    <definedName name="icd" localSheetId="23">#REF!</definedName>
    <definedName name="icd">#REF!</definedName>
    <definedName name="ICDInv">#REF!</definedName>
    <definedName name="ICICI_Bank_bonds_Investment" localSheetId="4">#REF!</definedName>
    <definedName name="ICICI_Bank_bonds_Investment" localSheetId="5">#REF!</definedName>
    <definedName name="ICICI_Bank_bonds_Investment" localSheetId="15">#REF!</definedName>
    <definedName name="ICICI_Bank_bonds_Investment" localSheetId="19">#REF!</definedName>
    <definedName name="ICICI_Bank_bonds_Investment" localSheetId="18">#REF!</definedName>
    <definedName name="ICICI_Bank_bonds_Investment" localSheetId="14">#REF!</definedName>
    <definedName name="ICICI_Bank_bonds_Investment" localSheetId="12">#REF!</definedName>
    <definedName name="ICICI_Bank_bonds_Investment" localSheetId="24">#REF!</definedName>
    <definedName name="ICICI_Bank_bonds_Investment" localSheetId="7">#REF!</definedName>
    <definedName name="ICICI_Bank_bonds_Investment" localSheetId="20">#REF!</definedName>
    <definedName name="ICICI_Bank_bonds_Investment" localSheetId="21">#REF!</definedName>
    <definedName name="ICICI_Bank_bonds_Investment" localSheetId="11">#REF!</definedName>
    <definedName name="ICICI_Bank_bonds_Investment" localSheetId="17">#REF!</definedName>
    <definedName name="ICICI_Bank_bonds_Investment" localSheetId="16">#REF!</definedName>
    <definedName name="ICICI_Bank_bonds_Investment" localSheetId="22">#REF!</definedName>
    <definedName name="ICICI_Bank_bonds_Investment" localSheetId="9">#REF!</definedName>
    <definedName name="ICICI_Bank_bonds_Investment" localSheetId="13">#REF!</definedName>
    <definedName name="ICICI_Bank_bonds_Investment" localSheetId="23">#REF!</definedName>
    <definedName name="ICICI_Bank_bonds_Investment">#REF!</definedName>
    <definedName name="ICICI2Cast">#REF!</definedName>
    <definedName name="iciciwgt">#REF!</definedName>
    <definedName name="ict" localSheetId="4">#REF!</definedName>
    <definedName name="ict" localSheetId="5">#REF!</definedName>
    <definedName name="ict" localSheetId="15">#REF!</definedName>
    <definedName name="ict" localSheetId="19">#REF!</definedName>
    <definedName name="ict" localSheetId="18">#REF!</definedName>
    <definedName name="ict" localSheetId="14">#REF!</definedName>
    <definedName name="ict" localSheetId="12">#REF!</definedName>
    <definedName name="ict" localSheetId="24">#REF!</definedName>
    <definedName name="ict" localSheetId="7">#REF!</definedName>
    <definedName name="ict" localSheetId="20">#REF!</definedName>
    <definedName name="ict" localSheetId="21">#REF!</definedName>
    <definedName name="ict" localSheetId="11">#REF!</definedName>
    <definedName name="ict" localSheetId="17">#REF!</definedName>
    <definedName name="ict" localSheetId="16">#REF!</definedName>
    <definedName name="ict" localSheetId="22">#REF!</definedName>
    <definedName name="ict" localSheetId="9">#REF!</definedName>
    <definedName name="ict" localSheetId="13">#REF!</definedName>
    <definedName name="ict" localSheetId="23">#REF!</definedName>
    <definedName name="ict">#REF!</definedName>
    <definedName name="ictsymbol">"Rs"</definedName>
    <definedName name="icu" localSheetId="4">#REF!</definedName>
    <definedName name="icu" localSheetId="5">#REF!</definedName>
    <definedName name="icu" localSheetId="15">#REF!</definedName>
    <definedName name="icu" localSheetId="19">#REF!</definedName>
    <definedName name="icu" localSheetId="18">#REF!</definedName>
    <definedName name="icu" localSheetId="14">#REF!</definedName>
    <definedName name="icu" localSheetId="12">#REF!</definedName>
    <definedName name="icu" localSheetId="24">#REF!</definedName>
    <definedName name="icu" localSheetId="7">#REF!</definedName>
    <definedName name="icu" localSheetId="20">#REF!</definedName>
    <definedName name="icu" localSheetId="21">#REF!</definedName>
    <definedName name="icu" localSheetId="11">#REF!</definedName>
    <definedName name="icu" localSheetId="17">#REF!</definedName>
    <definedName name="icu" localSheetId="16">#REF!</definedName>
    <definedName name="icu" localSheetId="22">#REF!</definedName>
    <definedName name="icu" localSheetId="9">#REF!</definedName>
    <definedName name="icu" localSheetId="13">#REF!</definedName>
    <definedName name="icu" localSheetId="23">#REF!</definedName>
    <definedName name="icu">#REF!</definedName>
    <definedName name="icusymbol">"Rs"</definedName>
    <definedName name="ida" localSheetId="4">#REF!</definedName>
    <definedName name="ida" localSheetId="5">#REF!</definedName>
    <definedName name="ida" localSheetId="15">#REF!</definedName>
    <definedName name="ida" localSheetId="19">#REF!</definedName>
    <definedName name="ida" localSheetId="18">#REF!</definedName>
    <definedName name="ida" localSheetId="14">#REF!</definedName>
    <definedName name="ida" localSheetId="12">#REF!</definedName>
    <definedName name="ida" localSheetId="24">#REF!</definedName>
    <definedName name="ida" localSheetId="7">#REF!</definedName>
    <definedName name="ida" localSheetId="20">#REF!</definedName>
    <definedName name="ida" localSheetId="21">#REF!</definedName>
    <definedName name="ida" localSheetId="11">#REF!</definedName>
    <definedName name="ida" localSheetId="17">#REF!</definedName>
    <definedName name="ida" localSheetId="16">#REF!</definedName>
    <definedName name="ida" localSheetId="22">#REF!</definedName>
    <definedName name="ida" localSheetId="9">#REF!</definedName>
    <definedName name="ida" localSheetId="13">#REF!</definedName>
    <definedName name="ida" localSheetId="23">#REF!</definedName>
    <definedName name="ida">#REF!</definedName>
    <definedName name="idbiwgt">#REF!</definedName>
    <definedName name="IDReference" hidden="1">"A1"</definedName>
    <definedName name="iex" localSheetId="4">#REF!</definedName>
    <definedName name="iex" localSheetId="5">#REF!</definedName>
    <definedName name="iex" localSheetId="15">#REF!</definedName>
    <definedName name="iex" localSheetId="19">#REF!</definedName>
    <definedName name="iex" localSheetId="18">#REF!</definedName>
    <definedName name="iex" localSheetId="14">#REF!</definedName>
    <definedName name="iex" localSheetId="12">#REF!</definedName>
    <definedName name="iex" localSheetId="24">#REF!</definedName>
    <definedName name="iex" localSheetId="7">#REF!</definedName>
    <definedName name="iex" localSheetId="20">#REF!</definedName>
    <definedName name="iex" localSheetId="21">#REF!</definedName>
    <definedName name="iex" localSheetId="11">#REF!</definedName>
    <definedName name="iex" localSheetId="17">#REF!</definedName>
    <definedName name="iex" localSheetId="16">#REF!</definedName>
    <definedName name="iex" localSheetId="22">#REF!</definedName>
    <definedName name="iex" localSheetId="9">#REF!</definedName>
    <definedName name="iex" localSheetId="13">#REF!</definedName>
    <definedName name="iex" localSheetId="23">#REF!</definedName>
    <definedName name="iex">#REF!</definedName>
    <definedName name="ifd" localSheetId="4">#REF!</definedName>
    <definedName name="ifd" localSheetId="5">#REF!</definedName>
    <definedName name="ifd" localSheetId="15">#REF!</definedName>
    <definedName name="ifd" localSheetId="19">#REF!</definedName>
    <definedName name="ifd" localSheetId="18">#REF!</definedName>
    <definedName name="ifd" localSheetId="14">#REF!</definedName>
    <definedName name="ifd" localSheetId="12">#REF!</definedName>
    <definedName name="ifd" localSheetId="24">#REF!</definedName>
    <definedName name="ifd" localSheetId="7">#REF!</definedName>
    <definedName name="ifd" localSheetId="20">#REF!</definedName>
    <definedName name="ifd" localSheetId="21">#REF!</definedName>
    <definedName name="ifd" localSheetId="11">#REF!</definedName>
    <definedName name="ifd" localSheetId="17">#REF!</definedName>
    <definedName name="ifd" localSheetId="16">#REF!</definedName>
    <definedName name="ifd" localSheetId="22">#REF!</definedName>
    <definedName name="ifd" localSheetId="9">#REF!</definedName>
    <definedName name="ifd" localSheetId="13">#REF!</definedName>
    <definedName name="ifd" localSheetId="23">#REF!</definedName>
    <definedName name="ifd">#REF!</definedName>
    <definedName name="iff" localSheetId="4">#REF!</definedName>
    <definedName name="iff" localSheetId="5">#REF!</definedName>
    <definedName name="iff" localSheetId="15">#REF!</definedName>
    <definedName name="iff" localSheetId="19">#REF!</definedName>
    <definedName name="iff" localSheetId="18">#REF!</definedName>
    <definedName name="iff" localSheetId="14">#REF!</definedName>
    <definedName name="iff" localSheetId="12">#REF!</definedName>
    <definedName name="iff" localSheetId="24">#REF!</definedName>
    <definedName name="iff" localSheetId="7">#REF!</definedName>
    <definedName name="iff" localSheetId="20">#REF!</definedName>
    <definedName name="iff" localSheetId="21">#REF!</definedName>
    <definedName name="iff" localSheetId="11">#REF!</definedName>
    <definedName name="iff" localSheetId="17">#REF!</definedName>
    <definedName name="iff" localSheetId="16">#REF!</definedName>
    <definedName name="iff" localSheetId="22">#REF!</definedName>
    <definedName name="iff" localSheetId="9">#REF!</definedName>
    <definedName name="iff" localSheetId="13">#REF!</definedName>
    <definedName name="iff" localSheetId="23">#REF!</definedName>
    <definedName name="iff">#REF!</definedName>
    <definedName name="ifl" localSheetId="4">#REF!</definedName>
    <definedName name="ifl" localSheetId="9">#REF!</definedName>
    <definedName name="ifl">#REF!</definedName>
    <definedName name="ifn" localSheetId="4">#REF!</definedName>
    <definedName name="ifn" localSheetId="9">#REF!</definedName>
    <definedName name="ifn">#REF!</definedName>
    <definedName name="ifo" localSheetId="4">#REF!</definedName>
    <definedName name="ifo" localSheetId="9">#REF!</definedName>
    <definedName name="ifo">#REF!</definedName>
    <definedName name="ihd" localSheetId="4">#REF!</definedName>
    <definedName name="ihd" localSheetId="9">#REF!</definedName>
    <definedName name="ihd">#REF!</definedName>
    <definedName name="ime" localSheetId="4">#REF!</definedName>
    <definedName name="ime" localSheetId="9">#REF!</definedName>
    <definedName name="ime">#REF!</definedName>
    <definedName name="Img_ML_4d2b6f6f" hidden="1">"IMG_10"</definedName>
    <definedName name="Img_ML_5e7g5e5e" hidden="1">"IMG_10"</definedName>
    <definedName name="Img_ML_5e9i9i2b" hidden="1">"IMG_10"</definedName>
    <definedName name="Img_ML_5k8y2t3m" hidden="1">"IMG_10"</definedName>
    <definedName name="Img_ML_6d9u6u7z" hidden="1">"IMG_10"</definedName>
    <definedName name="Img_ML_7g5e5e2b" hidden="1">"IMG_2"</definedName>
    <definedName name="Img_ML_7k5v5m3i" hidden="1">"IMG_10"</definedName>
    <definedName name="Img_ML_8h5e9i3c" hidden="1">"IMG_10"</definedName>
    <definedName name="Img_ML_8h7g3c9i" hidden="1">"IMG_1"</definedName>
    <definedName name="Img_ML_8h7g4d4d" hidden="1">"IMG_10"</definedName>
    <definedName name="IMP" localSheetId="4">#REF!</definedName>
    <definedName name="IMP" localSheetId="5">#REF!</definedName>
    <definedName name="IMP" localSheetId="15">#REF!</definedName>
    <definedName name="IMP" localSheetId="19">#REF!</definedName>
    <definedName name="IMP" localSheetId="18">#REF!</definedName>
    <definedName name="IMP" localSheetId="14">#REF!</definedName>
    <definedName name="IMP" localSheetId="12">#REF!</definedName>
    <definedName name="IMP" localSheetId="24">#REF!</definedName>
    <definedName name="IMP" localSheetId="7">#REF!</definedName>
    <definedName name="IMP" localSheetId="20">#REF!</definedName>
    <definedName name="IMP" localSheetId="21">#REF!</definedName>
    <definedName name="IMP" localSheetId="11">#REF!</definedName>
    <definedName name="IMP" localSheetId="17">#REF!</definedName>
    <definedName name="IMP" localSheetId="16">#REF!</definedName>
    <definedName name="IMP" localSheetId="22">#REF!</definedName>
    <definedName name="IMP" localSheetId="9">#REF!</definedName>
    <definedName name="IMP" localSheetId="13">#REF!</definedName>
    <definedName name="IMP" localSheetId="23">#REF!</definedName>
    <definedName name="IMP">#REF!</definedName>
    <definedName name="impairment_of_assets_Q">#REF!</definedName>
    <definedName name="imports">#REF!</definedName>
    <definedName name="Inc_cap_RnD_fore" localSheetId="4">#REF!</definedName>
    <definedName name="Inc_cap_RnD_fore" localSheetId="5">#REF!</definedName>
    <definedName name="Inc_cap_RnD_fore" localSheetId="15">#REF!</definedName>
    <definedName name="Inc_cap_RnD_fore" localSheetId="19">#REF!</definedName>
    <definedName name="Inc_cap_RnD_fore" localSheetId="18">#REF!</definedName>
    <definedName name="Inc_cap_RnD_fore" localSheetId="14">#REF!</definedName>
    <definedName name="Inc_cap_RnD_fore" localSheetId="12">#REF!</definedName>
    <definedName name="Inc_cap_RnD_fore" localSheetId="24">#REF!</definedName>
    <definedName name="Inc_cap_RnD_fore" localSheetId="7">#REF!</definedName>
    <definedName name="Inc_cap_RnD_fore" localSheetId="20">#REF!</definedName>
    <definedName name="Inc_cap_RnD_fore" localSheetId="21">#REF!</definedName>
    <definedName name="Inc_cap_RnD_fore" localSheetId="11">#REF!</definedName>
    <definedName name="Inc_cap_RnD_fore" localSheetId="17">#REF!</definedName>
    <definedName name="Inc_cap_RnD_fore" localSheetId="16">#REF!</definedName>
    <definedName name="Inc_cap_RnD_fore" localSheetId="22">#REF!</definedName>
    <definedName name="Inc_cap_RnD_fore" localSheetId="9">#REF!</definedName>
    <definedName name="Inc_cap_RnD_fore" localSheetId="13">#REF!</definedName>
    <definedName name="Inc_cap_RnD_fore" localSheetId="23">#REF!</definedName>
    <definedName name="Inc_cap_RnD_fore">#REF!</definedName>
    <definedName name="inc_model" localSheetId="4">#REF!</definedName>
    <definedName name="inc_model" localSheetId="5">#REF!</definedName>
    <definedName name="inc_model" localSheetId="15">#REF!</definedName>
    <definedName name="inc_model" localSheetId="19">#REF!</definedName>
    <definedName name="inc_model" localSheetId="18">#REF!</definedName>
    <definedName name="inc_model" localSheetId="14">#REF!</definedName>
    <definedName name="inc_model" localSheetId="12">#REF!</definedName>
    <definedName name="inc_model" localSheetId="24">#REF!</definedName>
    <definedName name="inc_model" localSheetId="7">#REF!</definedName>
    <definedName name="inc_model" localSheetId="20">#REF!</definedName>
    <definedName name="inc_model" localSheetId="21">#REF!</definedName>
    <definedName name="inc_model" localSheetId="11">#REF!</definedName>
    <definedName name="inc_model" localSheetId="17">#REF!</definedName>
    <definedName name="inc_model" localSheetId="16">#REF!</definedName>
    <definedName name="inc_model" localSheetId="22">#REF!</definedName>
    <definedName name="inc_model" localSheetId="9">#REF!</definedName>
    <definedName name="inc_model" localSheetId="13">#REF!</definedName>
    <definedName name="inc_model" localSheetId="23">#REF!</definedName>
    <definedName name="inc_model">#REF!</definedName>
    <definedName name="INCENTIVES">#REF!</definedName>
    <definedName name="INCOME" localSheetId="4">#REF!</definedName>
    <definedName name="INCOME" localSheetId="9">#REF!</definedName>
    <definedName name="INCOME">#REF!</definedName>
    <definedName name="Income_before_taxes">#REF!</definedName>
    <definedName name="Income_equivalents" localSheetId="4">#REF!</definedName>
    <definedName name="Income_equivalents" localSheetId="9">#REF!</definedName>
    <definedName name="Income_equivalents">#REF!</definedName>
    <definedName name="Income_equivalents_fore" localSheetId="4">#REF!</definedName>
    <definedName name="Income_equivalents_fore" localSheetId="5">#REF!</definedName>
    <definedName name="Income_equivalents_fore" localSheetId="15">#REF!</definedName>
    <definedName name="Income_equivalents_fore" localSheetId="19">#REF!</definedName>
    <definedName name="Income_equivalents_fore" localSheetId="18">#REF!</definedName>
    <definedName name="Income_equivalents_fore" localSheetId="14">#REF!</definedName>
    <definedName name="Income_equivalents_fore" localSheetId="12">#REF!</definedName>
    <definedName name="Income_equivalents_fore" localSheetId="24">#REF!</definedName>
    <definedName name="Income_equivalents_fore" localSheetId="7">#REF!</definedName>
    <definedName name="Income_equivalents_fore" localSheetId="20">#REF!</definedName>
    <definedName name="Income_equivalents_fore" localSheetId="21">#REF!</definedName>
    <definedName name="Income_equivalents_fore" localSheetId="11">#REF!</definedName>
    <definedName name="Income_equivalents_fore" localSheetId="17">#REF!</definedName>
    <definedName name="Income_equivalents_fore" localSheetId="16">#REF!</definedName>
    <definedName name="Income_equivalents_fore" localSheetId="22">#REF!</definedName>
    <definedName name="Income_equivalents_fore" localSheetId="9">#REF!</definedName>
    <definedName name="Income_equivalents_fore" localSheetId="13">#REF!</definedName>
    <definedName name="Income_equivalents_fore" localSheetId="23">#REF!</definedName>
    <definedName name="Income_equivalents_fore">#REF!</definedName>
    <definedName name="Income_form_uncons_subs_fore" localSheetId="4">#REF!</definedName>
    <definedName name="Income_form_uncons_subs_fore" localSheetId="5">#REF!</definedName>
    <definedName name="Income_form_uncons_subs_fore" localSheetId="15">#REF!</definedName>
    <definedName name="Income_form_uncons_subs_fore" localSheetId="19">#REF!</definedName>
    <definedName name="Income_form_uncons_subs_fore" localSheetId="18">#REF!</definedName>
    <definedName name="Income_form_uncons_subs_fore" localSheetId="14">#REF!</definedName>
    <definedName name="Income_form_uncons_subs_fore" localSheetId="12">#REF!</definedName>
    <definedName name="Income_form_uncons_subs_fore" localSheetId="24">#REF!</definedName>
    <definedName name="Income_form_uncons_subs_fore" localSheetId="7">#REF!</definedName>
    <definedName name="Income_form_uncons_subs_fore" localSheetId="20">#REF!</definedName>
    <definedName name="Income_form_uncons_subs_fore" localSheetId="21">#REF!</definedName>
    <definedName name="Income_form_uncons_subs_fore" localSheetId="11">#REF!</definedName>
    <definedName name="Income_form_uncons_subs_fore" localSheetId="17">#REF!</definedName>
    <definedName name="Income_form_uncons_subs_fore" localSheetId="16">#REF!</definedName>
    <definedName name="Income_form_uncons_subs_fore" localSheetId="22">#REF!</definedName>
    <definedName name="Income_form_uncons_subs_fore" localSheetId="9">#REF!</definedName>
    <definedName name="Income_form_uncons_subs_fore" localSheetId="13">#REF!</definedName>
    <definedName name="Income_form_uncons_subs_fore" localSheetId="23">#REF!</definedName>
    <definedName name="Income_form_uncons_subs_fore">#REF!</definedName>
    <definedName name="Income_from_Unconsolidated_Subs" localSheetId="4">#REF!</definedName>
    <definedName name="Income_from_Unconsolidated_Subs" localSheetId="9">#REF!</definedName>
    <definedName name="Income_from_Unconsolidated_Subs">#REF!</definedName>
    <definedName name="Income_others">#REF!</definedName>
    <definedName name="Income_tax" localSheetId="4">#REF!</definedName>
    <definedName name="Income_tax" localSheetId="9">#REF!</definedName>
    <definedName name="Income_tax">#REF!</definedName>
    <definedName name="Income_tax_fore" localSheetId="4">#REF!</definedName>
    <definedName name="Income_tax_fore" localSheetId="5">#REF!</definedName>
    <definedName name="Income_tax_fore" localSheetId="15">#REF!</definedName>
    <definedName name="Income_tax_fore" localSheetId="19">#REF!</definedName>
    <definedName name="Income_tax_fore" localSheetId="18">#REF!</definedName>
    <definedName name="Income_tax_fore" localSheetId="14">#REF!</definedName>
    <definedName name="Income_tax_fore" localSheetId="12">#REF!</definedName>
    <definedName name="Income_tax_fore" localSheetId="24">#REF!</definedName>
    <definedName name="Income_tax_fore" localSheetId="7">#REF!</definedName>
    <definedName name="Income_tax_fore" localSheetId="20">#REF!</definedName>
    <definedName name="Income_tax_fore" localSheetId="21">#REF!</definedName>
    <definedName name="Income_tax_fore" localSheetId="11">#REF!</definedName>
    <definedName name="Income_tax_fore" localSheetId="17">#REF!</definedName>
    <definedName name="Income_tax_fore" localSheetId="16">#REF!</definedName>
    <definedName name="Income_tax_fore" localSheetId="22">#REF!</definedName>
    <definedName name="Income_tax_fore" localSheetId="9">#REF!</definedName>
    <definedName name="Income_tax_fore" localSheetId="13">#REF!</definedName>
    <definedName name="Income_tax_fore" localSheetId="23">#REF!</definedName>
    <definedName name="Income_tax_fore">#REF!</definedName>
    <definedName name="Income_tax_growth_fore" localSheetId="4">#REF!</definedName>
    <definedName name="Income_tax_growth_fore" localSheetId="5">#REF!</definedName>
    <definedName name="Income_tax_growth_fore" localSheetId="15">#REF!</definedName>
    <definedName name="Income_tax_growth_fore" localSheetId="19">#REF!</definedName>
    <definedName name="Income_tax_growth_fore" localSheetId="18">#REF!</definedName>
    <definedName name="Income_tax_growth_fore" localSheetId="14">#REF!</definedName>
    <definedName name="Income_tax_growth_fore" localSheetId="12">#REF!</definedName>
    <definedName name="Income_tax_growth_fore" localSheetId="24">#REF!</definedName>
    <definedName name="Income_tax_growth_fore" localSheetId="7">#REF!</definedName>
    <definedName name="Income_tax_growth_fore" localSheetId="20">#REF!</definedName>
    <definedName name="Income_tax_growth_fore" localSheetId="21">#REF!</definedName>
    <definedName name="Income_tax_growth_fore" localSheetId="11">#REF!</definedName>
    <definedName name="Income_tax_growth_fore" localSheetId="17">#REF!</definedName>
    <definedName name="Income_tax_growth_fore" localSheetId="16">#REF!</definedName>
    <definedName name="Income_tax_growth_fore" localSheetId="22">#REF!</definedName>
    <definedName name="Income_tax_growth_fore" localSheetId="9">#REF!</definedName>
    <definedName name="Income_tax_growth_fore" localSheetId="13">#REF!</definedName>
    <definedName name="Income_tax_growth_fore" localSheetId="23">#REF!</definedName>
    <definedName name="Income_tax_growth_fore">#REF!</definedName>
    <definedName name="Income_tax_rate" localSheetId="4">#REF!</definedName>
    <definedName name="Income_tax_rate" localSheetId="9">#REF!</definedName>
    <definedName name="Income_tax_rate">#REF!</definedName>
    <definedName name="Income_taxes_payable" localSheetId="4">#REF!</definedName>
    <definedName name="Income_taxes_payable" localSheetId="9">#REF!</definedName>
    <definedName name="Income_taxes_payable">#REF!</definedName>
    <definedName name="Income_taxes_payable_growth_fore" localSheetId="4">#REF!</definedName>
    <definedName name="Income_taxes_payable_growth_fore" localSheetId="5">#REF!</definedName>
    <definedName name="Income_taxes_payable_growth_fore" localSheetId="15">#REF!</definedName>
    <definedName name="Income_taxes_payable_growth_fore" localSheetId="19">#REF!</definedName>
    <definedName name="Income_taxes_payable_growth_fore" localSheetId="18">#REF!</definedName>
    <definedName name="Income_taxes_payable_growth_fore" localSheetId="14">#REF!</definedName>
    <definedName name="Income_taxes_payable_growth_fore" localSheetId="12">#REF!</definedName>
    <definedName name="Income_taxes_payable_growth_fore" localSheetId="24">#REF!</definedName>
    <definedName name="Income_taxes_payable_growth_fore" localSheetId="7">#REF!</definedName>
    <definedName name="Income_taxes_payable_growth_fore" localSheetId="20">#REF!</definedName>
    <definedName name="Income_taxes_payable_growth_fore" localSheetId="21">#REF!</definedName>
    <definedName name="Income_taxes_payable_growth_fore" localSheetId="11">#REF!</definedName>
    <definedName name="Income_taxes_payable_growth_fore" localSheetId="17">#REF!</definedName>
    <definedName name="Income_taxes_payable_growth_fore" localSheetId="16">#REF!</definedName>
    <definedName name="Income_taxes_payable_growth_fore" localSheetId="22">#REF!</definedName>
    <definedName name="Income_taxes_payable_growth_fore" localSheetId="9">#REF!</definedName>
    <definedName name="Income_taxes_payable_growth_fore" localSheetId="13">#REF!</definedName>
    <definedName name="Income_taxes_payable_growth_fore" localSheetId="23">#REF!</definedName>
    <definedName name="Income_taxes_payable_growth_fore">#REF!</definedName>
    <definedName name="Increase_cap_RnD_fore" localSheetId="4">#REF!</definedName>
    <definedName name="Increase_cap_RnD_fore" localSheetId="5">#REF!</definedName>
    <definedName name="Increase_cap_RnD_fore" localSheetId="15">#REF!</definedName>
    <definedName name="Increase_cap_RnD_fore" localSheetId="19">#REF!</definedName>
    <definedName name="Increase_cap_RnD_fore" localSheetId="18">#REF!</definedName>
    <definedName name="Increase_cap_RnD_fore" localSheetId="14">#REF!</definedName>
    <definedName name="Increase_cap_RnD_fore" localSheetId="12">#REF!</definedName>
    <definedName name="Increase_cap_RnD_fore" localSheetId="24">#REF!</definedName>
    <definedName name="Increase_cap_RnD_fore" localSheetId="7">#REF!</definedName>
    <definedName name="Increase_cap_RnD_fore" localSheetId="20">#REF!</definedName>
    <definedName name="Increase_cap_RnD_fore" localSheetId="21">#REF!</definedName>
    <definedName name="Increase_cap_RnD_fore" localSheetId="11">#REF!</definedName>
    <definedName name="Increase_cap_RnD_fore" localSheetId="17">#REF!</definedName>
    <definedName name="Increase_cap_RnD_fore" localSheetId="16">#REF!</definedName>
    <definedName name="Increase_cap_RnD_fore" localSheetId="22">#REF!</definedName>
    <definedName name="Increase_cap_RnD_fore" localSheetId="9">#REF!</definedName>
    <definedName name="Increase_cap_RnD_fore" localSheetId="13">#REF!</definedName>
    <definedName name="Increase_cap_RnD_fore" localSheetId="23">#REF!</definedName>
    <definedName name="Increase_cap_RnD_fore">#REF!</definedName>
    <definedName name="Increase_Capitalized_R_D_net" localSheetId="4">#REF!</definedName>
    <definedName name="Increase_Capitalized_R_D_net" localSheetId="9">#REF!</definedName>
    <definedName name="Increase_Capitalized_R_D_net">#REF!</definedName>
    <definedName name="Increase_Deferred_Taxes" localSheetId="4">#REF!</definedName>
    <definedName name="Increase_Deferred_Taxes" localSheetId="9">#REF!</definedName>
    <definedName name="Increase_Deferred_Taxes">#REF!</definedName>
    <definedName name="Increase_in_Deferred_tax_liabilities" localSheetId="4">#REF!</definedName>
    <definedName name="Increase_in_Deferred_tax_liabilities" localSheetId="5">#REF!</definedName>
    <definedName name="Increase_in_Deferred_tax_liabilities" localSheetId="15">#REF!</definedName>
    <definedName name="Increase_in_Deferred_tax_liabilities" localSheetId="19">#REF!</definedName>
    <definedName name="Increase_in_Deferred_tax_liabilities" localSheetId="18">#REF!</definedName>
    <definedName name="Increase_in_Deferred_tax_liabilities" localSheetId="14">#REF!</definedName>
    <definedName name="Increase_in_Deferred_tax_liabilities" localSheetId="12">#REF!</definedName>
    <definedName name="Increase_in_Deferred_tax_liabilities" localSheetId="24">#REF!</definedName>
    <definedName name="Increase_in_Deferred_tax_liabilities" localSheetId="7">#REF!</definedName>
    <definedName name="Increase_in_Deferred_tax_liabilities" localSheetId="20">#REF!</definedName>
    <definedName name="Increase_in_Deferred_tax_liabilities" localSheetId="21">#REF!</definedName>
    <definedName name="Increase_in_Deferred_tax_liabilities" localSheetId="11">#REF!</definedName>
    <definedName name="Increase_in_Deferred_tax_liabilities" localSheetId="17">#REF!</definedName>
    <definedName name="Increase_in_Deferred_tax_liabilities" localSheetId="16">#REF!</definedName>
    <definedName name="Increase_in_Deferred_tax_liabilities" localSheetId="22">#REF!</definedName>
    <definedName name="Increase_in_Deferred_tax_liabilities" localSheetId="9">#REF!</definedName>
    <definedName name="Increase_in_Deferred_tax_liabilities" localSheetId="13">#REF!</definedName>
    <definedName name="Increase_in_Deferred_tax_liabilities" localSheetId="23">#REF!</definedName>
    <definedName name="Increase_in_Deferred_tax_liabilities">#REF!</definedName>
    <definedName name="Increase_in_other_liabilities" localSheetId="4">#REF!</definedName>
    <definedName name="Increase_in_other_liabilities" localSheetId="5">#REF!</definedName>
    <definedName name="Increase_in_other_liabilities" localSheetId="15">#REF!</definedName>
    <definedName name="Increase_in_other_liabilities" localSheetId="19">#REF!</definedName>
    <definedName name="Increase_in_other_liabilities" localSheetId="18">#REF!</definedName>
    <definedName name="Increase_in_other_liabilities" localSheetId="14">#REF!</definedName>
    <definedName name="Increase_in_other_liabilities" localSheetId="12">#REF!</definedName>
    <definedName name="Increase_in_other_liabilities" localSheetId="24">#REF!</definedName>
    <definedName name="Increase_in_other_liabilities" localSheetId="7">#REF!</definedName>
    <definedName name="Increase_in_other_liabilities" localSheetId="20">#REF!</definedName>
    <definedName name="Increase_in_other_liabilities" localSheetId="21">#REF!</definedName>
    <definedName name="Increase_in_other_liabilities" localSheetId="11">#REF!</definedName>
    <definedName name="Increase_in_other_liabilities" localSheetId="17">#REF!</definedName>
    <definedName name="Increase_in_other_liabilities" localSheetId="16">#REF!</definedName>
    <definedName name="Increase_in_other_liabilities" localSheetId="22">#REF!</definedName>
    <definedName name="Increase_in_other_liabilities" localSheetId="9">#REF!</definedName>
    <definedName name="Increase_in_other_liabilities" localSheetId="13">#REF!</definedName>
    <definedName name="Increase_in_other_liabilities" localSheetId="23">#REF!</definedName>
    <definedName name="Increase_in_other_liabilities">#REF!</definedName>
    <definedName name="Increase_in_other_reserves" localSheetId="4">#REF!</definedName>
    <definedName name="Increase_in_other_reserves" localSheetId="9">#REF!</definedName>
    <definedName name="Increase_in_other_reserves">#REF!</definedName>
    <definedName name="Increase_LIFO_Reserve" localSheetId="4">#REF!</definedName>
    <definedName name="Increase_LIFO_Reserve" localSheetId="9">#REF!</definedName>
    <definedName name="Increase_LIFO_Reserve">#REF!</definedName>
    <definedName name="INCREASED" localSheetId="4">#REF!</definedName>
    <definedName name="INCREASED" localSheetId="5">#REF!</definedName>
    <definedName name="INCREASED" localSheetId="15">#REF!</definedName>
    <definedName name="INCREASED" localSheetId="19">#REF!</definedName>
    <definedName name="INCREASED" localSheetId="18">#REF!</definedName>
    <definedName name="INCREASED" localSheetId="14">#REF!</definedName>
    <definedName name="INCREASED" localSheetId="12">#REF!</definedName>
    <definedName name="INCREASED" localSheetId="24">#REF!</definedName>
    <definedName name="INCREASED" localSheetId="7">#REF!</definedName>
    <definedName name="INCREASED" localSheetId="20">#REF!</definedName>
    <definedName name="INCREASED" localSheetId="21">#REF!</definedName>
    <definedName name="INCREASED" localSheetId="11">#REF!</definedName>
    <definedName name="INCREASED" localSheetId="17">#REF!</definedName>
    <definedName name="INCREASED" localSheetId="16">#REF!</definedName>
    <definedName name="INCREASED" localSheetId="22">#REF!</definedName>
    <definedName name="INCREASED" localSheetId="9">#REF!</definedName>
    <definedName name="INCREASED" localSheetId="13">#REF!</definedName>
    <definedName name="INCREASED" localSheetId="23">#REF!</definedName>
    <definedName name="INCREASED">#REF!</definedName>
    <definedName name="IncreaseInCashAndCashEquivalents" localSheetId="4">#REF!</definedName>
    <definedName name="IncreaseInCashAndCashEquivalents" localSheetId="9">#REF!</definedName>
    <definedName name="IncreaseInCashAndCashEquivalents">#REF!</definedName>
    <definedName name="IncreaseInStocks" localSheetId="4">#REF!</definedName>
    <definedName name="IncreaseInStocks" localSheetId="9">#REF!</definedName>
    <definedName name="IncreaseInStocks">#REF!</definedName>
    <definedName name="incremental_capital_employed_A">#REF!</definedName>
    <definedName name="incremental_ebit_A">#REF!</definedName>
    <definedName name="Incremental_investment" localSheetId="4">#REF!</definedName>
    <definedName name="Incremental_investment" localSheetId="9">#REF!</definedName>
    <definedName name="Incremental_investment">#REF!</definedName>
    <definedName name="Incremental_ROIC" localSheetId="4">#REF!</definedName>
    <definedName name="Incremental_ROIC" localSheetId="9">#REF!</definedName>
    <definedName name="Incremental_ROIC">#REF!</definedName>
    <definedName name="Incremental_ROIC_DCF" localSheetId="4">#REF!</definedName>
    <definedName name="Incremental_ROIC_DCF" localSheetId="9">#REF!</definedName>
    <definedName name="Incremental_ROIC_DCF">#REF!</definedName>
    <definedName name="IND" localSheetId="4">#REF!</definedName>
    <definedName name="IND" localSheetId="5">#REF!</definedName>
    <definedName name="IND" localSheetId="15">#REF!</definedName>
    <definedName name="IND" localSheetId="19">#REF!</definedName>
    <definedName name="IND" localSheetId="18">#REF!</definedName>
    <definedName name="IND" localSheetId="14">#REF!</definedName>
    <definedName name="IND" localSheetId="12">#REF!</definedName>
    <definedName name="IND" localSheetId="24">#REF!</definedName>
    <definedName name="IND" localSheetId="7">#REF!</definedName>
    <definedName name="IND" localSheetId="20">#REF!</definedName>
    <definedName name="IND" localSheetId="21">#REF!</definedName>
    <definedName name="IND" localSheetId="11">#REF!</definedName>
    <definedName name="IND" localSheetId="17">#REF!</definedName>
    <definedName name="IND" localSheetId="16">#REF!</definedName>
    <definedName name="IND" localSheetId="22">#REF!</definedName>
    <definedName name="IND" localSheetId="9">#REF!</definedName>
    <definedName name="IND" localSheetId="13">#REF!</definedName>
    <definedName name="IND" localSheetId="23">#REF!</definedName>
    <definedName name="IND">#REF!</definedName>
    <definedName name="INDEX">#REF!</definedName>
    <definedName name="india">#REF!</definedName>
    <definedName name="indonesia">#REF!</definedName>
    <definedName name="Industry">#REF!</definedName>
    <definedName name="INETOTHER" localSheetId="4">#REF!</definedName>
    <definedName name="INETOTHER" localSheetId="5">#REF!</definedName>
    <definedName name="INETOTHER" localSheetId="15">#REF!</definedName>
    <definedName name="INETOTHER" localSheetId="19">#REF!</definedName>
    <definedName name="INETOTHER" localSheetId="18">#REF!</definedName>
    <definedName name="INETOTHER" localSheetId="14">#REF!</definedName>
    <definedName name="INETOTHER" localSheetId="12">#REF!</definedName>
    <definedName name="INETOTHER" localSheetId="24">#REF!</definedName>
    <definedName name="INETOTHER" localSheetId="7">#REF!</definedName>
    <definedName name="INETOTHER" localSheetId="20">#REF!</definedName>
    <definedName name="INETOTHER" localSheetId="21">#REF!</definedName>
    <definedName name="INETOTHER" localSheetId="11">#REF!</definedName>
    <definedName name="INETOTHER" localSheetId="17">#REF!</definedName>
    <definedName name="INETOTHER" localSheetId="16">#REF!</definedName>
    <definedName name="INETOTHER" localSheetId="22">#REF!</definedName>
    <definedName name="INETOTHER" localSheetId="9">#REF!</definedName>
    <definedName name="INETOTHER" localSheetId="13">#REF!</definedName>
    <definedName name="INETOTHER" localSheetId="23">#REF!</definedName>
    <definedName name="INETOTHER">#REF!</definedName>
    <definedName name="INETPPE" localSheetId="4">#REF!</definedName>
    <definedName name="INETPPE" localSheetId="9">#REF!</definedName>
    <definedName name="INETPPE">#REF!</definedName>
    <definedName name="Infrastructure" localSheetId="4">#REF!</definedName>
    <definedName name="Infrastructure" localSheetId="5">#REF!</definedName>
    <definedName name="Infrastructure" localSheetId="15">#REF!</definedName>
    <definedName name="Infrastructure" localSheetId="19">#REF!</definedName>
    <definedName name="Infrastructure" localSheetId="18">#REF!</definedName>
    <definedName name="Infrastructure" localSheetId="14">#REF!</definedName>
    <definedName name="Infrastructure" localSheetId="12">#REF!</definedName>
    <definedName name="Infrastructure" localSheetId="24">#REF!</definedName>
    <definedName name="Infrastructure" localSheetId="7">#REF!</definedName>
    <definedName name="Infrastructure" localSheetId="20">#REF!</definedName>
    <definedName name="Infrastructure" localSheetId="21">#REF!</definedName>
    <definedName name="Infrastructure" localSheetId="11">#REF!</definedName>
    <definedName name="Infrastructure" localSheetId="17">#REF!</definedName>
    <definedName name="Infrastructure" localSheetId="16">#REF!</definedName>
    <definedName name="Infrastructure" localSheetId="22">#REF!</definedName>
    <definedName name="Infrastructure" localSheetId="9">#REF!</definedName>
    <definedName name="Infrastructure" localSheetId="13">#REF!</definedName>
    <definedName name="Infrastructure" localSheetId="23">#REF!</definedName>
    <definedName name="Infrastructure">#REF!</definedName>
    <definedName name="INIT" localSheetId="4">#REF!</definedName>
    <definedName name="INIT" localSheetId="5">#REF!</definedName>
    <definedName name="INIT" localSheetId="15">#REF!</definedName>
    <definedName name="INIT" localSheetId="19">#REF!</definedName>
    <definedName name="INIT" localSheetId="18">#REF!</definedName>
    <definedName name="INIT" localSheetId="14">#REF!</definedName>
    <definedName name="INIT" localSheetId="12">#REF!</definedName>
    <definedName name="INIT" localSheetId="24">#REF!</definedName>
    <definedName name="INIT" localSheetId="7">#REF!</definedName>
    <definedName name="INIT" localSheetId="20">#REF!</definedName>
    <definedName name="INIT" localSheetId="21">#REF!</definedName>
    <definedName name="INIT" localSheetId="11">#REF!</definedName>
    <definedName name="INIT" localSheetId="17">#REF!</definedName>
    <definedName name="INIT" localSheetId="16">#REF!</definedName>
    <definedName name="INIT" localSheetId="22">#REF!</definedName>
    <definedName name="INIT" localSheetId="9">#REF!</definedName>
    <definedName name="INIT" localSheetId="13">#REF!</definedName>
    <definedName name="INIT" localSheetId="23">#REF!</definedName>
    <definedName name="INIT">#REF!</definedName>
    <definedName name="inm" localSheetId="4">#REF!</definedName>
    <definedName name="inm" localSheetId="5">#REF!</definedName>
    <definedName name="inm" localSheetId="15">#REF!</definedName>
    <definedName name="inm" localSheetId="19">#REF!</definedName>
    <definedName name="inm" localSheetId="18">#REF!</definedName>
    <definedName name="inm" localSheetId="14">#REF!</definedName>
    <definedName name="inm" localSheetId="12">#REF!</definedName>
    <definedName name="inm" localSheetId="24">#REF!</definedName>
    <definedName name="inm" localSheetId="7">#REF!</definedName>
    <definedName name="inm" localSheetId="20">#REF!</definedName>
    <definedName name="inm" localSheetId="21">#REF!</definedName>
    <definedName name="inm" localSheetId="11">#REF!</definedName>
    <definedName name="inm" localSheetId="17">#REF!</definedName>
    <definedName name="inm" localSheetId="16">#REF!</definedName>
    <definedName name="inm" localSheetId="22">#REF!</definedName>
    <definedName name="inm" localSheetId="9">#REF!</definedName>
    <definedName name="inm" localSheetId="13">#REF!</definedName>
    <definedName name="inm" localSheetId="23">#REF!</definedName>
    <definedName name="inm">#REF!</definedName>
    <definedName name="inputs" localSheetId="4">#REF!</definedName>
    <definedName name="inputs" localSheetId="9">#REF!</definedName>
    <definedName name="inputs">#REF!</definedName>
    <definedName name="INR_USD_Avg">#REF!</definedName>
    <definedName name="INR_USD_Cls">#REF!</definedName>
    <definedName name="Installments_peryear" localSheetId="4">#REF!</definedName>
    <definedName name="Installments_peryear" localSheetId="5">#REF!</definedName>
    <definedName name="Installments_peryear" localSheetId="15">#REF!</definedName>
    <definedName name="Installments_peryear" localSheetId="19">#REF!</definedName>
    <definedName name="Installments_peryear" localSheetId="18">#REF!</definedName>
    <definedName name="Installments_peryear" localSheetId="14">#REF!</definedName>
    <definedName name="Installments_peryear" localSheetId="12">#REF!</definedName>
    <definedName name="Installments_peryear" localSheetId="24">#REF!</definedName>
    <definedName name="Installments_peryear" localSheetId="7">#REF!</definedName>
    <definedName name="Installments_peryear" localSheetId="20">#REF!</definedName>
    <definedName name="Installments_peryear" localSheetId="21">#REF!</definedName>
    <definedName name="Installments_peryear" localSheetId="11">#REF!</definedName>
    <definedName name="Installments_peryear" localSheetId="17">#REF!</definedName>
    <definedName name="Installments_peryear" localSheetId="16">#REF!</definedName>
    <definedName name="Installments_peryear" localSheetId="22">#REF!</definedName>
    <definedName name="Installments_peryear" localSheetId="9">#REF!</definedName>
    <definedName name="Installments_peryear" localSheetId="13">#REF!</definedName>
    <definedName name="Installments_peryear" localSheetId="23">#REF!</definedName>
    <definedName name="Installments_peryear">#REF!</definedName>
    <definedName name="InstCap" localSheetId="4" hidden="1">#REF!,#REF!,#REF!,#REF!,#REF!,#REF!,#REF!,#REF!</definedName>
    <definedName name="InstCap" localSheetId="9" hidden="1">#REF!,#REF!,#REF!,#REF!,#REF!,#REF!,#REF!,#REF!</definedName>
    <definedName name="InstCap" hidden="1">#REF!,#REF!,#REF!,#REF!,#REF!,#REF!,#REF!,#REF!</definedName>
    <definedName name="Insurance">#REF!</definedName>
    <definedName name="INT_COV" localSheetId="4">#REF!</definedName>
    <definedName name="INT_COV" localSheetId="5">#REF!</definedName>
    <definedName name="INT_COV" localSheetId="15">#REF!</definedName>
    <definedName name="INT_COV" localSheetId="19">#REF!</definedName>
    <definedName name="INT_COV" localSheetId="18">#REF!</definedName>
    <definedName name="INT_COV" localSheetId="14">#REF!</definedName>
    <definedName name="INT_COV" localSheetId="12">#REF!</definedName>
    <definedName name="INT_COV" localSheetId="24">#REF!</definedName>
    <definedName name="INT_COV" localSheetId="7">#REF!</definedName>
    <definedName name="INT_COV" localSheetId="20">#REF!</definedName>
    <definedName name="INT_COV" localSheetId="21">#REF!</definedName>
    <definedName name="INT_COV" localSheetId="11">#REF!</definedName>
    <definedName name="INT_COV" localSheetId="17">#REF!</definedName>
    <definedName name="INT_COV" localSheetId="16">#REF!</definedName>
    <definedName name="INT_COV" localSheetId="22">#REF!</definedName>
    <definedName name="INT_COV" localSheetId="9">#REF!</definedName>
    <definedName name="INT_COV" localSheetId="13">#REF!</definedName>
    <definedName name="INT_COV" localSheetId="23">#REF!</definedName>
    <definedName name="INT_COV">#REF!</definedName>
    <definedName name="int_earned_on_advances_Q">#REF!</definedName>
    <definedName name="int_earned_on_investments_Q">#REF!</definedName>
    <definedName name="int_earned_on_others_Q">#REF!</definedName>
    <definedName name="int_earned_on_RBI_bank_bal_Q">#REF!</definedName>
    <definedName name="INT_EXP" localSheetId="4">#REF!</definedName>
    <definedName name="INT_EXP" localSheetId="5">#REF!</definedName>
    <definedName name="INT_EXP" localSheetId="15">#REF!</definedName>
    <definedName name="INT_EXP" localSheetId="19">#REF!</definedName>
    <definedName name="INT_EXP" localSheetId="18">#REF!</definedName>
    <definedName name="INT_EXP" localSheetId="14">#REF!</definedName>
    <definedName name="INT_EXP" localSheetId="12">#REF!</definedName>
    <definedName name="INT_EXP" localSheetId="24">#REF!</definedName>
    <definedName name="INT_EXP" localSheetId="7">#REF!</definedName>
    <definedName name="INT_EXP" localSheetId="20">#REF!</definedName>
    <definedName name="INT_EXP" localSheetId="21">#REF!</definedName>
    <definedName name="INT_EXP" localSheetId="11">#REF!</definedName>
    <definedName name="INT_EXP" localSheetId="17">#REF!</definedName>
    <definedName name="INT_EXP" localSheetId="16">#REF!</definedName>
    <definedName name="INT_EXP" localSheetId="22">#REF!</definedName>
    <definedName name="INT_EXP" localSheetId="9">#REF!</definedName>
    <definedName name="INT_EXP" localSheetId="13">#REF!</definedName>
    <definedName name="INT_EXP" localSheetId="23">#REF!</definedName>
    <definedName name="INT_EXP">#REF!</definedName>
    <definedName name="Int_exp_OL" localSheetId="4">#REF!</definedName>
    <definedName name="Int_exp_OL" localSheetId="9">#REF!</definedName>
    <definedName name="Int_exp_OL">#REF!</definedName>
    <definedName name="int_expenses_Q">#REF!</definedName>
    <definedName name="INT_INC" localSheetId="4">#REF!</definedName>
    <definedName name="INT_INC" localSheetId="5">#REF!</definedName>
    <definedName name="INT_INC" localSheetId="15">#REF!</definedName>
    <definedName name="INT_INC" localSheetId="19">#REF!</definedName>
    <definedName name="INT_INC" localSheetId="18">#REF!</definedName>
    <definedName name="INT_INC" localSheetId="14">#REF!</definedName>
    <definedName name="INT_INC" localSheetId="12">#REF!</definedName>
    <definedName name="INT_INC" localSheetId="24">#REF!</definedName>
    <definedName name="INT_INC" localSheetId="7">#REF!</definedName>
    <definedName name="INT_INC" localSheetId="20">#REF!</definedName>
    <definedName name="INT_INC" localSheetId="21">#REF!</definedName>
    <definedName name="INT_INC" localSheetId="11">#REF!</definedName>
    <definedName name="INT_INC" localSheetId="17">#REF!</definedName>
    <definedName name="INT_INC" localSheetId="16">#REF!</definedName>
    <definedName name="INT_INC" localSheetId="22">#REF!</definedName>
    <definedName name="INT_INC" localSheetId="9">#REF!</definedName>
    <definedName name="INT_INC" localSheetId="13">#REF!</definedName>
    <definedName name="INT_INC" localSheetId="23">#REF!</definedName>
    <definedName name="INT_INC">#REF!</definedName>
    <definedName name="int_income_Q">#REF!</definedName>
    <definedName name="Int_on_borrowings_Q">#REF!</definedName>
    <definedName name="Int_on_deposits_Q">#REF!</definedName>
    <definedName name="int_paid">#REF!</definedName>
    <definedName name="int_paid_A">#REF!</definedName>
    <definedName name="int_paid_qtr">#REF!</definedName>
    <definedName name="int_recd">#REF!</definedName>
    <definedName name="int_recd_A">#REF!</definedName>
    <definedName name="intangible_fixed_assets">#REF!</definedName>
    <definedName name="IntCap">#REF!</definedName>
    <definedName name="IntCost">#REF!</definedName>
    <definedName name="IntDivTrf">#REF!</definedName>
    <definedName name="inter_bank_repurchases_avg">#REF!</definedName>
    <definedName name="Inter_Corporate_Deposits_Given">#REF!</definedName>
    <definedName name="Inter_Corporate_Deposits_Unsecured">#REF!</definedName>
    <definedName name="interbank_repurchases">#REF!</definedName>
    <definedName name="Interest_accrued">#REF!</definedName>
    <definedName name="Interest_accrued_but_not_due">#REF!</definedName>
    <definedName name="Interest_and_other_charges">#REF!</definedName>
    <definedName name="interest_cover" localSheetId="4">#REF!</definedName>
    <definedName name="interest_cover" localSheetId="5">#REF!</definedName>
    <definedName name="interest_cover" localSheetId="15">#REF!</definedName>
    <definedName name="interest_cover" localSheetId="19">#REF!</definedName>
    <definedName name="interest_cover" localSheetId="18">#REF!</definedName>
    <definedName name="interest_cover" localSheetId="14">#REF!</definedName>
    <definedName name="interest_cover" localSheetId="12">#REF!</definedName>
    <definedName name="interest_cover" localSheetId="24">#REF!</definedName>
    <definedName name="interest_cover" localSheetId="7">#REF!</definedName>
    <definedName name="interest_cover" localSheetId="20">#REF!</definedName>
    <definedName name="interest_cover" localSheetId="21">#REF!</definedName>
    <definedName name="interest_cover" localSheetId="11">#REF!</definedName>
    <definedName name="interest_cover" localSheetId="17">#REF!</definedName>
    <definedName name="interest_cover" localSheetId="16">#REF!</definedName>
    <definedName name="interest_cover" localSheetId="22">#REF!</definedName>
    <definedName name="interest_cover" localSheetId="9">#REF!</definedName>
    <definedName name="interest_cover" localSheetId="13">#REF!</definedName>
    <definedName name="interest_cover" localSheetId="23">#REF!</definedName>
    <definedName name="interest_cover">#REF!</definedName>
    <definedName name="interest_earned_on_advances">#REF!</definedName>
    <definedName name="interest_earned_on_investments">#REF!</definedName>
    <definedName name="Interest_earned_on_Loans" localSheetId="4">#REF!</definedName>
    <definedName name="Interest_earned_on_Loans" localSheetId="5">#REF!</definedName>
    <definedName name="Interest_earned_on_Loans" localSheetId="15">#REF!</definedName>
    <definedName name="Interest_earned_on_Loans" localSheetId="19">#REF!</definedName>
    <definedName name="Interest_earned_on_Loans" localSheetId="18">#REF!</definedName>
    <definedName name="Interest_earned_on_Loans" localSheetId="14">#REF!</definedName>
    <definedName name="Interest_earned_on_Loans" localSheetId="12">#REF!</definedName>
    <definedName name="Interest_earned_on_Loans" localSheetId="24">#REF!</definedName>
    <definedName name="Interest_earned_on_Loans" localSheetId="7">#REF!</definedName>
    <definedName name="Interest_earned_on_Loans" localSheetId="20">#REF!</definedName>
    <definedName name="Interest_earned_on_Loans" localSheetId="21">#REF!</definedName>
    <definedName name="Interest_earned_on_Loans" localSheetId="11">#REF!</definedName>
    <definedName name="Interest_earned_on_Loans" localSheetId="17">#REF!</definedName>
    <definedName name="Interest_earned_on_Loans" localSheetId="16">#REF!</definedName>
    <definedName name="Interest_earned_on_Loans" localSheetId="22">#REF!</definedName>
    <definedName name="Interest_earned_on_Loans" localSheetId="9">#REF!</definedName>
    <definedName name="Interest_earned_on_Loans" localSheetId="13">#REF!</definedName>
    <definedName name="Interest_earned_on_Loans" localSheetId="23">#REF!</definedName>
    <definedName name="Interest_earned_on_Loans">#REF!</definedName>
    <definedName name="Interest_earned_Q" localSheetId="4">#REF!</definedName>
    <definedName name="Interest_earned_Q" localSheetId="5">#REF!</definedName>
    <definedName name="Interest_earned_Q" localSheetId="15">#REF!</definedName>
    <definedName name="Interest_earned_Q" localSheetId="19">#REF!</definedName>
    <definedName name="Interest_earned_Q" localSheetId="18">#REF!</definedName>
    <definedName name="Interest_earned_Q" localSheetId="14">#REF!</definedName>
    <definedName name="Interest_earned_Q" localSheetId="12">#REF!</definedName>
    <definedName name="Interest_earned_Q" localSheetId="24">#REF!</definedName>
    <definedName name="Interest_earned_Q" localSheetId="7">#REF!</definedName>
    <definedName name="Interest_earned_Q" localSheetId="20">#REF!</definedName>
    <definedName name="Interest_earned_Q" localSheetId="21">#REF!</definedName>
    <definedName name="Interest_earned_Q" localSheetId="11">#REF!</definedName>
    <definedName name="Interest_earned_Q" localSheetId="17">#REF!</definedName>
    <definedName name="Interest_earned_Q" localSheetId="16">#REF!</definedName>
    <definedName name="Interest_earned_Q" localSheetId="22">#REF!</definedName>
    <definedName name="Interest_earned_Q" localSheetId="9">#REF!</definedName>
    <definedName name="Interest_earned_Q" localSheetId="13">#REF!</definedName>
    <definedName name="Interest_earned_Q" localSheetId="23">#REF!</definedName>
    <definedName name="Interest_earned_Q">#REF!</definedName>
    <definedName name="Interest_exp_growth_fore" localSheetId="4">#REF!</definedName>
    <definedName name="Interest_exp_growth_fore" localSheetId="5">#REF!</definedName>
    <definedName name="Interest_exp_growth_fore" localSheetId="15">#REF!</definedName>
    <definedName name="Interest_exp_growth_fore" localSheetId="19">#REF!</definedName>
    <definedName name="Interest_exp_growth_fore" localSheetId="18">#REF!</definedName>
    <definedName name="Interest_exp_growth_fore" localSheetId="14">#REF!</definedName>
    <definedName name="Interest_exp_growth_fore" localSheetId="12">#REF!</definedName>
    <definedName name="Interest_exp_growth_fore" localSheetId="24">#REF!</definedName>
    <definedName name="Interest_exp_growth_fore" localSheetId="7">#REF!</definedName>
    <definedName name="Interest_exp_growth_fore" localSheetId="20">#REF!</definedName>
    <definedName name="Interest_exp_growth_fore" localSheetId="21">#REF!</definedName>
    <definedName name="Interest_exp_growth_fore" localSheetId="11">#REF!</definedName>
    <definedName name="Interest_exp_growth_fore" localSheetId="17">#REF!</definedName>
    <definedName name="Interest_exp_growth_fore" localSheetId="16">#REF!</definedName>
    <definedName name="Interest_exp_growth_fore" localSheetId="22">#REF!</definedName>
    <definedName name="Interest_exp_growth_fore" localSheetId="9">#REF!</definedName>
    <definedName name="Interest_exp_growth_fore" localSheetId="13">#REF!</definedName>
    <definedName name="Interest_exp_growth_fore" localSheetId="23">#REF!</definedName>
    <definedName name="Interest_exp_growth_fore">#REF!</definedName>
    <definedName name="Interest_exp_inc_fore" localSheetId="4">#REF!</definedName>
    <definedName name="Interest_exp_inc_fore" localSheetId="9">#REF!</definedName>
    <definedName name="Interest_exp_inc_fore">#REF!</definedName>
    <definedName name="Interest_expended_on_Debentures">#REF!</definedName>
    <definedName name="Interest_expended_on_fixed_loans">#REF!</definedName>
    <definedName name="Interest_expended_on_Others">#REF!</definedName>
    <definedName name="Interest_expended_Q" localSheetId="4">#REF!</definedName>
    <definedName name="Interest_expended_Q" localSheetId="5">#REF!</definedName>
    <definedName name="Interest_expended_Q" localSheetId="15">#REF!</definedName>
    <definedName name="Interest_expended_Q" localSheetId="19">#REF!</definedName>
    <definedName name="Interest_expended_Q" localSheetId="18">#REF!</definedName>
    <definedName name="Interest_expended_Q" localSheetId="14">#REF!</definedName>
    <definedName name="Interest_expended_Q" localSheetId="12">#REF!</definedName>
    <definedName name="Interest_expended_Q" localSheetId="24">#REF!</definedName>
    <definedName name="Interest_expended_Q" localSheetId="7">#REF!</definedName>
    <definedName name="Interest_expended_Q" localSheetId="20">#REF!</definedName>
    <definedName name="Interest_expended_Q" localSheetId="21">#REF!</definedName>
    <definedName name="Interest_expended_Q" localSheetId="11">#REF!</definedName>
    <definedName name="Interest_expended_Q" localSheetId="17">#REF!</definedName>
    <definedName name="Interest_expended_Q" localSheetId="16">#REF!</definedName>
    <definedName name="Interest_expended_Q" localSheetId="22">#REF!</definedName>
    <definedName name="Interest_expended_Q" localSheetId="9">#REF!</definedName>
    <definedName name="Interest_expended_Q" localSheetId="13">#REF!</definedName>
    <definedName name="Interest_expended_Q" localSheetId="23">#REF!</definedName>
    <definedName name="Interest_expended_Q">#REF!</definedName>
    <definedName name="Interest_expended_total">#REF!</definedName>
    <definedName name="interest_expense">#REF!</definedName>
    <definedName name="Interest_expense_after_taxes" localSheetId="4">#REF!</definedName>
    <definedName name="Interest_expense_after_taxes" localSheetId="9">#REF!</definedName>
    <definedName name="Interest_expense_after_taxes">#REF!</definedName>
    <definedName name="interest_expense_deposits">#REF!</definedName>
    <definedName name="Interest_expense_income" localSheetId="4">#REF!</definedName>
    <definedName name="Interest_expense_income" localSheetId="9">#REF!</definedName>
    <definedName name="Interest_expense_income">#REF!</definedName>
    <definedName name="Interest_expense_oper_leases" localSheetId="4">#REF!</definedName>
    <definedName name="Interest_expense_oper_leases" localSheetId="9">#REF!</definedName>
    <definedName name="Interest_expense_oper_leases">#REF!</definedName>
    <definedName name="interest_income">#REF!</definedName>
    <definedName name="Interest_income_on_Bills">#REF!</definedName>
    <definedName name="Interest_income_on_Hire_Purchase">#REF!</definedName>
    <definedName name="Interest_income_on_Lease">#REF!</definedName>
    <definedName name="Interest_income_on_Loan">#REF!</definedName>
    <definedName name="Interest_income_on_Securitisation">#REF!</definedName>
    <definedName name="Interest_income_total">#REF!</definedName>
    <definedName name="Interest_on_bonds" localSheetId="4">#REF!</definedName>
    <definedName name="Interest_on_bonds" localSheetId="5">#REF!</definedName>
    <definedName name="Interest_on_bonds" localSheetId="15">#REF!</definedName>
    <definedName name="Interest_on_bonds" localSheetId="19">#REF!</definedName>
    <definedName name="Interest_on_bonds" localSheetId="18">#REF!</definedName>
    <definedName name="Interest_on_bonds" localSheetId="14">#REF!</definedName>
    <definedName name="Interest_on_bonds" localSheetId="12">#REF!</definedName>
    <definedName name="Interest_on_bonds" localSheetId="24">#REF!</definedName>
    <definedName name="Interest_on_bonds" localSheetId="7">#REF!</definedName>
    <definedName name="Interest_on_bonds" localSheetId="20">#REF!</definedName>
    <definedName name="Interest_on_bonds" localSheetId="21">#REF!</definedName>
    <definedName name="Interest_on_bonds" localSheetId="11">#REF!</definedName>
    <definedName name="Interest_on_bonds" localSheetId="17">#REF!</definedName>
    <definedName name="Interest_on_bonds" localSheetId="16">#REF!</definedName>
    <definedName name="Interest_on_bonds" localSheetId="22">#REF!</definedName>
    <definedName name="Interest_on_bonds" localSheetId="9">#REF!</definedName>
    <definedName name="Interest_on_bonds" localSheetId="13">#REF!</definedName>
    <definedName name="Interest_on_bonds" localSheetId="23">#REF!</definedName>
    <definedName name="Interest_on_bonds">#REF!</definedName>
    <definedName name="Interest_on_Deposits" localSheetId="4">#REF!</definedName>
    <definedName name="Interest_on_Deposits" localSheetId="5">#REF!</definedName>
    <definedName name="Interest_on_Deposits" localSheetId="15">#REF!</definedName>
    <definedName name="Interest_on_Deposits" localSheetId="19">#REF!</definedName>
    <definedName name="Interest_on_Deposits" localSheetId="18">#REF!</definedName>
    <definedName name="Interest_on_Deposits" localSheetId="14">#REF!</definedName>
    <definedName name="Interest_on_Deposits" localSheetId="12">#REF!</definedName>
    <definedName name="Interest_on_Deposits" localSheetId="24">#REF!</definedName>
    <definedName name="Interest_on_Deposits" localSheetId="7">#REF!</definedName>
    <definedName name="Interest_on_Deposits" localSheetId="20">#REF!</definedName>
    <definedName name="Interest_on_Deposits" localSheetId="21">#REF!</definedName>
    <definedName name="Interest_on_Deposits" localSheetId="11">#REF!</definedName>
    <definedName name="Interest_on_Deposits" localSheetId="17">#REF!</definedName>
    <definedName name="Interest_on_Deposits" localSheetId="16">#REF!</definedName>
    <definedName name="Interest_on_Deposits" localSheetId="22">#REF!</definedName>
    <definedName name="Interest_on_Deposits" localSheetId="9">#REF!</definedName>
    <definedName name="Interest_on_Deposits" localSheetId="13">#REF!</definedName>
    <definedName name="Interest_on_Deposits" localSheetId="23">#REF!</definedName>
    <definedName name="Interest_on_Deposits">#REF!</definedName>
    <definedName name="Interest_on_Government_Securities">#REF!</definedName>
    <definedName name="Interest_on_Loans" localSheetId="4">#REF!</definedName>
    <definedName name="Interest_on_Loans" localSheetId="5">#REF!</definedName>
    <definedName name="Interest_on_Loans" localSheetId="15">#REF!</definedName>
    <definedName name="Interest_on_Loans" localSheetId="19">#REF!</definedName>
    <definedName name="Interest_on_Loans" localSheetId="18">#REF!</definedName>
    <definedName name="Interest_on_Loans" localSheetId="14">#REF!</definedName>
    <definedName name="Interest_on_Loans" localSheetId="12">#REF!</definedName>
    <definedName name="Interest_on_Loans" localSheetId="24">#REF!</definedName>
    <definedName name="Interest_on_Loans" localSheetId="7">#REF!</definedName>
    <definedName name="Interest_on_Loans" localSheetId="20">#REF!</definedName>
    <definedName name="Interest_on_Loans" localSheetId="21">#REF!</definedName>
    <definedName name="Interest_on_Loans" localSheetId="11">#REF!</definedName>
    <definedName name="Interest_on_Loans" localSheetId="17">#REF!</definedName>
    <definedName name="Interest_on_Loans" localSheetId="16">#REF!</definedName>
    <definedName name="Interest_on_Loans" localSheetId="22">#REF!</definedName>
    <definedName name="Interest_on_Loans" localSheetId="9">#REF!</definedName>
    <definedName name="Interest_on_Loans" localSheetId="13">#REF!</definedName>
    <definedName name="Interest_on_Loans" localSheetId="23">#REF!</definedName>
    <definedName name="Interest_on_Loans">#REF!</definedName>
    <definedName name="Interest_on_Term_Deposits_ICDs">#REF!</definedName>
    <definedName name="Interest_oper_lease" localSheetId="4">#REF!</definedName>
    <definedName name="Interest_oper_lease" localSheetId="9">#REF!</definedName>
    <definedName name="Interest_oper_lease">#REF!</definedName>
    <definedName name="Interest_rate" localSheetId="4">#REF!</definedName>
    <definedName name="Interest_rate" localSheetId="5">#REF!</definedName>
    <definedName name="Interest_rate" localSheetId="15">#REF!</definedName>
    <definedName name="Interest_rate" localSheetId="19">#REF!</definedName>
    <definedName name="Interest_rate" localSheetId="18">#REF!</definedName>
    <definedName name="Interest_rate" localSheetId="14">#REF!</definedName>
    <definedName name="Interest_rate" localSheetId="12">#REF!</definedName>
    <definedName name="Interest_rate" localSheetId="24">#REF!</definedName>
    <definedName name="Interest_rate" localSheetId="7">#REF!</definedName>
    <definedName name="Interest_rate" localSheetId="20">#REF!</definedName>
    <definedName name="Interest_rate" localSheetId="21">#REF!</definedName>
    <definedName name="Interest_rate" localSheetId="11">#REF!</definedName>
    <definedName name="Interest_rate" localSheetId="17">#REF!</definedName>
    <definedName name="Interest_rate" localSheetId="16">#REF!</definedName>
    <definedName name="Interest_rate" localSheetId="22">#REF!</definedName>
    <definedName name="Interest_rate" localSheetId="9">#REF!</definedName>
    <definedName name="Interest_rate" localSheetId="13">#REF!</definedName>
    <definedName name="Interest_rate" localSheetId="23">#REF!</definedName>
    <definedName name="Interest_rate">#REF!</definedName>
    <definedName name="Interest_rate_on_debentures">#REF!</definedName>
    <definedName name="Interest_rate_on_fixed_loans">#REF!</definedName>
    <definedName name="Interest_rate_on_other_loans">#REF!</definedName>
    <definedName name="interest_received">#REF!</definedName>
    <definedName name="Interest_received_on_Bank_A_c_Abroad" localSheetId="4">#REF!</definedName>
    <definedName name="Interest_received_on_Bank_A_c_Abroad" localSheetId="5">#REF!</definedName>
    <definedName name="Interest_received_on_Bank_A_c_Abroad" localSheetId="15">#REF!</definedName>
    <definedName name="Interest_received_on_Bank_A_c_Abroad" localSheetId="19">#REF!</definedName>
    <definedName name="Interest_received_on_Bank_A_c_Abroad" localSheetId="18">#REF!</definedName>
    <definedName name="Interest_received_on_Bank_A_c_Abroad" localSheetId="14">#REF!</definedName>
    <definedName name="Interest_received_on_Bank_A_c_Abroad" localSheetId="12">#REF!</definedName>
    <definedName name="Interest_received_on_Bank_A_c_Abroad" localSheetId="24">#REF!</definedName>
    <definedName name="Interest_received_on_Bank_A_c_Abroad" localSheetId="7">#REF!</definedName>
    <definedName name="Interest_received_on_Bank_A_c_Abroad" localSheetId="20">#REF!</definedName>
    <definedName name="Interest_received_on_Bank_A_c_Abroad" localSheetId="21">#REF!</definedName>
    <definedName name="Interest_received_on_Bank_A_c_Abroad" localSheetId="11">#REF!</definedName>
    <definedName name="Interest_received_on_Bank_A_c_Abroad" localSheetId="17">#REF!</definedName>
    <definedName name="Interest_received_on_Bank_A_c_Abroad" localSheetId="16">#REF!</definedName>
    <definedName name="Interest_received_on_Bank_A_c_Abroad" localSheetId="22">#REF!</definedName>
    <definedName name="Interest_received_on_Bank_A_c_Abroad" localSheetId="9">#REF!</definedName>
    <definedName name="Interest_received_on_Bank_A_c_Abroad" localSheetId="13">#REF!</definedName>
    <definedName name="Interest_received_on_Bank_A_c_Abroad" localSheetId="23">#REF!</definedName>
    <definedName name="Interest_received_on_Bank_A_c_Abroad">#REF!</definedName>
    <definedName name="Interest_Subsidy_Fund_Q" localSheetId="4">#REF!</definedName>
    <definedName name="Interest_Subsidy_Fund_Q" localSheetId="5">#REF!</definedName>
    <definedName name="Interest_Subsidy_Fund_Q" localSheetId="15">#REF!</definedName>
    <definedName name="Interest_Subsidy_Fund_Q" localSheetId="19">#REF!</definedName>
    <definedName name="Interest_Subsidy_Fund_Q" localSheetId="18">#REF!</definedName>
    <definedName name="Interest_Subsidy_Fund_Q" localSheetId="14">#REF!</definedName>
    <definedName name="Interest_Subsidy_Fund_Q" localSheetId="12">#REF!</definedName>
    <definedName name="Interest_Subsidy_Fund_Q" localSheetId="24">#REF!</definedName>
    <definedName name="Interest_Subsidy_Fund_Q" localSheetId="7">#REF!</definedName>
    <definedName name="Interest_Subsidy_Fund_Q" localSheetId="20">#REF!</definedName>
    <definedName name="Interest_Subsidy_Fund_Q" localSheetId="21">#REF!</definedName>
    <definedName name="Interest_Subsidy_Fund_Q" localSheetId="11">#REF!</definedName>
    <definedName name="Interest_Subsidy_Fund_Q" localSheetId="17">#REF!</definedName>
    <definedName name="Interest_Subsidy_Fund_Q" localSheetId="16">#REF!</definedName>
    <definedName name="Interest_Subsidy_Fund_Q" localSheetId="22">#REF!</definedName>
    <definedName name="Interest_Subsidy_Fund_Q" localSheetId="9">#REF!</definedName>
    <definedName name="Interest_Subsidy_Fund_Q" localSheetId="13">#REF!</definedName>
    <definedName name="Interest_Subsidy_Fund_Q" localSheetId="23">#REF!</definedName>
    <definedName name="Interest_Subsidy_Fund_Q">#REF!</definedName>
    <definedName name="Interest_to_GOI_on_Interest_Subsidy_Fund" localSheetId="4">#REF!</definedName>
    <definedName name="Interest_to_GOI_on_Interest_Subsidy_Fund" localSheetId="5">#REF!</definedName>
    <definedName name="Interest_to_GOI_on_Interest_Subsidy_Fund" localSheetId="15">#REF!</definedName>
    <definedName name="Interest_to_GOI_on_Interest_Subsidy_Fund" localSheetId="19">#REF!</definedName>
    <definedName name="Interest_to_GOI_on_Interest_Subsidy_Fund" localSheetId="18">#REF!</definedName>
    <definedName name="Interest_to_GOI_on_Interest_Subsidy_Fund" localSheetId="14">#REF!</definedName>
    <definedName name="Interest_to_GOI_on_Interest_Subsidy_Fund" localSheetId="12">#REF!</definedName>
    <definedName name="Interest_to_GOI_on_Interest_Subsidy_Fund" localSheetId="24">#REF!</definedName>
    <definedName name="Interest_to_GOI_on_Interest_Subsidy_Fund" localSheetId="7">#REF!</definedName>
    <definedName name="Interest_to_GOI_on_Interest_Subsidy_Fund" localSheetId="20">#REF!</definedName>
    <definedName name="Interest_to_GOI_on_Interest_Subsidy_Fund" localSheetId="21">#REF!</definedName>
    <definedName name="Interest_to_GOI_on_Interest_Subsidy_Fund" localSheetId="11">#REF!</definedName>
    <definedName name="Interest_to_GOI_on_Interest_Subsidy_Fund" localSheetId="17">#REF!</definedName>
    <definedName name="Interest_to_GOI_on_Interest_Subsidy_Fund" localSheetId="16">#REF!</definedName>
    <definedName name="Interest_to_GOI_on_Interest_Subsidy_Fund" localSheetId="22">#REF!</definedName>
    <definedName name="Interest_to_GOI_on_Interest_Subsidy_Fund" localSheetId="9">#REF!</definedName>
    <definedName name="Interest_to_GOI_on_Interest_Subsidy_Fund" localSheetId="13">#REF!</definedName>
    <definedName name="Interest_to_GOI_on_Interest_Subsidy_Fund" localSheetId="23">#REF!</definedName>
    <definedName name="Interest_to_GOI_on_Interest_Subsidy_Fund">#REF!</definedName>
    <definedName name="InterestAccruedButNotDue" localSheetId="4">#REF!</definedName>
    <definedName name="InterestAccruedButNotDue" localSheetId="9">#REF!</definedName>
    <definedName name="InterestAccruedButNotDue">#REF!</definedName>
    <definedName name="InterestCover" localSheetId="4">#REF!</definedName>
    <definedName name="InterestCover" localSheetId="9">#REF!</definedName>
    <definedName name="InterestCover">#REF!</definedName>
    <definedName name="InterestExpense" localSheetId="4">#REF!</definedName>
    <definedName name="InterestExpense" localSheetId="9">#REF!</definedName>
    <definedName name="InterestExpense">#REF!</definedName>
    <definedName name="InterestIncome">#REF!</definedName>
    <definedName name="Interim_Dividend_Paid">#REF!</definedName>
    <definedName name="Interim_Dividend_Paid_PL">#REF!</definedName>
    <definedName name="Interim_Dividend_Paid_Rate">#REF!</definedName>
    <definedName name="interset_expended_total">#REF!</definedName>
    <definedName name="inv" localSheetId="4">#REF!</definedName>
    <definedName name="inv" localSheetId="5">#REF!</definedName>
    <definedName name="inv" localSheetId="15">#REF!</definedName>
    <definedName name="inv" localSheetId="19">#REF!</definedName>
    <definedName name="inv" localSheetId="18">#REF!</definedName>
    <definedName name="inv" localSheetId="14">#REF!</definedName>
    <definedName name="inv" localSheetId="12">#REF!</definedName>
    <definedName name="inv" localSheetId="24">#REF!</definedName>
    <definedName name="inv" localSheetId="7">#REF!</definedName>
    <definedName name="inv" localSheetId="20">#REF!</definedName>
    <definedName name="inv" localSheetId="21">#REF!</definedName>
    <definedName name="inv" localSheetId="11">#REF!</definedName>
    <definedName name="inv" localSheetId="17">#REF!</definedName>
    <definedName name="inv" localSheetId="16">#REF!</definedName>
    <definedName name="inv" localSheetId="22">#REF!</definedName>
    <definedName name="inv" localSheetId="9">#REF!</definedName>
    <definedName name="inv" localSheetId="13">#REF!</definedName>
    <definedName name="inv" localSheetId="23">#REF!</definedName>
    <definedName name="inv">#REF!</definedName>
    <definedName name="InvChg" hidden="1">#REF!</definedName>
    <definedName name="inventory">#REF!</definedName>
    <definedName name="inventory_A">#REF!</definedName>
    <definedName name="inventory_days" localSheetId="4">#REF!</definedName>
    <definedName name="inventory_days" localSheetId="5">#REF!</definedName>
    <definedName name="inventory_days" localSheetId="15">#REF!</definedName>
    <definedName name="inventory_days" localSheetId="19">#REF!</definedName>
    <definedName name="inventory_days" localSheetId="18">#REF!</definedName>
    <definedName name="inventory_days" localSheetId="14">#REF!</definedName>
    <definedName name="inventory_days" localSheetId="12">#REF!</definedName>
    <definedName name="inventory_days" localSheetId="24">#REF!</definedName>
    <definedName name="inventory_days" localSheetId="7">#REF!</definedName>
    <definedName name="inventory_days" localSheetId="20">#REF!</definedName>
    <definedName name="inventory_days" localSheetId="21">#REF!</definedName>
    <definedName name="inventory_days" localSheetId="11">#REF!</definedName>
    <definedName name="inventory_days" localSheetId="17">#REF!</definedName>
    <definedName name="inventory_days" localSheetId="16">#REF!</definedName>
    <definedName name="inventory_days" localSheetId="22">#REF!</definedName>
    <definedName name="inventory_days" localSheetId="9">#REF!</definedName>
    <definedName name="inventory_days" localSheetId="13">#REF!</definedName>
    <definedName name="inventory_days" localSheetId="23">#REF!</definedName>
    <definedName name="inventory_days">#REF!</definedName>
    <definedName name="Inventory_growth_fore" localSheetId="4">#REF!</definedName>
    <definedName name="Inventory_growth_fore" localSheetId="5">#REF!</definedName>
    <definedName name="Inventory_growth_fore" localSheetId="15">#REF!</definedName>
    <definedName name="Inventory_growth_fore" localSheetId="19">#REF!</definedName>
    <definedName name="Inventory_growth_fore" localSheetId="18">#REF!</definedName>
    <definedName name="Inventory_growth_fore" localSheetId="14">#REF!</definedName>
    <definedName name="Inventory_growth_fore" localSheetId="12">#REF!</definedName>
    <definedName name="Inventory_growth_fore" localSheetId="24">#REF!</definedName>
    <definedName name="Inventory_growth_fore" localSheetId="7">#REF!</definedName>
    <definedName name="Inventory_growth_fore" localSheetId="20">#REF!</definedName>
    <definedName name="Inventory_growth_fore" localSheetId="21">#REF!</definedName>
    <definedName name="Inventory_growth_fore" localSheetId="11">#REF!</definedName>
    <definedName name="Inventory_growth_fore" localSheetId="17">#REF!</definedName>
    <definedName name="Inventory_growth_fore" localSheetId="16">#REF!</definedName>
    <definedName name="Inventory_growth_fore" localSheetId="22">#REF!</definedName>
    <definedName name="Inventory_growth_fore" localSheetId="9">#REF!</definedName>
    <definedName name="Inventory_growth_fore" localSheetId="13">#REF!</definedName>
    <definedName name="Inventory_growth_fore" localSheetId="23">#REF!</definedName>
    <definedName name="Inventory_growth_fore">#REF!</definedName>
    <definedName name="Inventory_turns" localSheetId="4">#REF!</definedName>
    <definedName name="Inventory_turns" localSheetId="9">#REF!</definedName>
    <definedName name="Inventory_turns">#REF!</definedName>
    <definedName name="InventoryAndWorkInProgress" localSheetId="4">#REF!</definedName>
    <definedName name="InventoryAndWorkInProgress" localSheetId="9">#REF!</definedName>
    <definedName name="InventoryAndWorkInProgress">#REF!</definedName>
    <definedName name="INVEST" localSheetId="4">#REF!</definedName>
    <definedName name="INVEST" localSheetId="9">#REF!</definedName>
    <definedName name="INVEST">#REF!</definedName>
    <definedName name="invested_capital">#REF!</definedName>
    <definedName name="invested_capital_avg">#REF!</definedName>
    <definedName name="Invested_capital_avg6">#REF!</definedName>
    <definedName name="Invested_Capital_Core" localSheetId="4">#REF!</definedName>
    <definedName name="Invested_Capital_Core" localSheetId="9">#REF!</definedName>
    <definedName name="Invested_Capital_Core">#REF!</definedName>
    <definedName name="Invested_capital_DCF" localSheetId="4">#REF!</definedName>
    <definedName name="Invested_capital_DCF" localSheetId="9">#REF!</definedName>
    <definedName name="Invested_capital_DCF">#REF!</definedName>
    <definedName name="Invested_capital_growth_fore" localSheetId="4">#REF!</definedName>
    <definedName name="Invested_capital_growth_fore" localSheetId="5">#REF!</definedName>
    <definedName name="Invested_capital_growth_fore" localSheetId="15">#REF!</definedName>
    <definedName name="Invested_capital_growth_fore" localSheetId="19">#REF!</definedName>
    <definedName name="Invested_capital_growth_fore" localSheetId="18">#REF!</definedName>
    <definedName name="Invested_capital_growth_fore" localSheetId="14">#REF!</definedName>
    <definedName name="Invested_capital_growth_fore" localSheetId="12">#REF!</definedName>
    <definedName name="Invested_capital_growth_fore" localSheetId="24">#REF!</definedName>
    <definedName name="Invested_capital_growth_fore" localSheetId="7">#REF!</definedName>
    <definedName name="Invested_capital_growth_fore" localSheetId="20">#REF!</definedName>
    <definedName name="Invested_capital_growth_fore" localSheetId="21">#REF!</definedName>
    <definedName name="Invested_capital_growth_fore" localSheetId="11">#REF!</definedName>
    <definedName name="Invested_capital_growth_fore" localSheetId="17">#REF!</definedName>
    <definedName name="Invested_capital_growth_fore" localSheetId="16">#REF!</definedName>
    <definedName name="Invested_capital_growth_fore" localSheetId="22">#REF!</definedName>
    <definedName name="Invested_capital_growth_fore" localSheetId="9">#REF!</definedName>
    <definedName name="Invested_capital_growth_fore" localSheetId="13">#REF!</definedName>
    <definedName name="Invested_capital_growth_fore" localSheetId="23">#REF!</definedName>
    <definedName name="Invested_capital_growth_fore">#REF!</definedName>
    <definedName name="Invested_capital_turns" localSheetId="4">#REF!</definedName>
    <definedName name="Invested_capital_turns" localSheetId="9">#REF!</definedName>
    <definedName name="Invested_capital_turns">#REF!</definedName>
    <definedName name="Invested_capital_turns_DCF" localSheetId="4">#REF!</definedName>
    <definedName name="Invested_capital_turns_DCF" localSheetId="9">#REF!</definedName>
    <definedName name="Invested_capital_turns_DCF">#REF!</definedName>
    <definedName name="Invested_capital_turns_fore" localSheetId="4">#REF!</definedName>
    <definedName name="Invested_capital_turns_fore" localSheetId="5">#REF!</definedName>
    <definedName name="Invested_capital_turns_fore" localSheetId="15">#REF!</definedName>
    <definedName name="Invested_capital_turns_fore" localSheetId="19">#REF!</definedName>
    <definedName name="Invested_capital_turns_fore" localSheetId="18">#REF!</definedName>
    <definedName name="Invested_capital_turns_fore" localSheetId="14">#REF!</definedName>
    <definedName name="Invested_capital_turns_fore" localSheetId="12">#REF!</definedName>
    <definedName name="Invested_capital_turns_fore" localSheetId="24">#REF!</definedName>
    <definedName name="Invested_capital_turns_fore" localSheetId="7">#REF!</definedName>
    <definedName name="Invested_capital_turns_fore" localSheetId="20">#REF!</definedName>
    <definedName name="Invested_capital_turns_fore" localSheetId="21">#REF!</definedName>
    <definedName name="Invested_capital_turns_fore" localSheetId="11">#REF!</definedName>
    <definedName name="Invested_capital_turns_fore" localSheetId="17">#REF!</definedName>
    <definedName name="Invested_capital_turns_fore" localSheetId="16">#REF!</definedName>
    <definedName name="Invested_capital_turns_fore" localSheetId="22">#REF!</definedName>
    <definedName name="Invested_capital_turns_fore" localSheetId="9">#REF!</definedName>
    <definedName name="Invested_capital_turns_fore" localSheetId="13">#REF!</definedName>
    <definedName name="Invested_capital_turns_fore" localSheetId="23">#REF!</definedName>
    <definedName name="Invested_capital_turns_fore">#REF!</definedName>
    <definedName name="Invested_capital6">#REF!</definedName>
    <definedName name="investment">#REF!</definedName>
    <definedName name="Investment_dep_Q">#REF!</definedName>
    <definedName name="Investment_equity">#REF!</definedName>
    <definedName name="Investment_others">#REF!</definedName>
    <definedName name="Investments" localSheetId="4">#REF!</definedName>
    <definedName name="Investments" localSheetId="9">#REF!</definedName>
    <definedName name="investments">#REF!</definedName>
    <definedName name="Investments_in_Unconsolidated_Subs" localSheetId="4">#REF!</definedName>
    <definedName name="Investments_in_Unconsolidated_Subs" localSheetId="9">#REF!</definedName>
    <definedName name="Investments_in_Unconsolidated_Subs">#REF!</definedName>
    <definedName name="Investments_Q">#REF!</definedName>
    <definedName name="Investments_total">#REF!</definedName>
    <definedName name="Invoice">#REF!</definedName>
    <definedName name="Invoice1">#REF!</definedName>
    <definedName name="invst_others" localSheetId="4">#REF!</definedName>
    <definedName name="invst_others" localSheetId="5">#REF!</definedName>
    <definedName name="invst_others" localSheetId="15">#REF!</definedName>
    <definedName name="invst_others" localSheetId="19">#REF!</definedName>
    <definedName name="invst_others" localSheetId="18">#REF!</definedName>
    <definedName name="invst_others" localSheetId="14">#REF!</definedName>
    <definedName name="invst_others" localSheetId="12">#REF!</definedName>
    <definedName name="invst_others" localSheetId="24">#REF!</definedName>
    <definedName name="invst_others" localSheetId="7">#REF!</definedName>
    <definedName name="invst_others" localSheetId="20">#REF!</definedName>
    <definedName name="invst_others" localSheetId="21">#REF!</definedName>
    <definedName name="invst_others" localSheetId="11">#REF!</definedName>
    <definedName name="invst_others" localSheetId="17">#REF!</definedName>
    <definedName name="invst_others" localSheetId="16">#REF!</definedName>
    <definedName name="invst_others" localSheetId="22">#REF!</definedName>
    <definedName name="invst_others" localSheetId="9">#REF!</definedName>
    <definedName name="invst_others" localSheetId="13">#REF!</definedName>
    <definedName name="invst_others" localSheetId="23">#REF!</definedName>
    <definedName name="invst_others">#REF!</definedName>
    <definedName name="Invt">#REF!</definedName>
    <definedName name="ip1_" localSheetId="4">#REF!</definedName>
    <definedName name="ip1_" localSheetId="5">#REF!</definedName>
    <definedName name="ip1_" localSheetId="15">#REF!</definedName>
    <definedName name="ip1_" localSheetId="19">#REF!</definedName>
    <definedName name="ip1_" localSheetId="18">#REF!</definedName>
    <definedName name="ip1_" localSheetId="14">#REF!</definedName>
    <definedName name="ip1_" localSheetId="12">#REF!</definedName>
    <definedName name="ip1_" localSheetId="24">#REF!</definedName>
    <definedName name="ip1_" localSheetId="7">#REF!</definedName>
    <definedName name="ip1_" localSheetId="20">#REF!</definedName>
    <definedName name="ip1_" localSheetId="21">#REF!</definedName>
    <definedName name="ip1_" localSheetId="11">#REF!</definedName>
    <definedName name="ip1_" localSheetId="17">#REF!</definedName>
    <definedName name="ip1_" localSheetId="16">#REF!</definedName>
    <definedName name="ip1_" localSheetId="22">#REF!</definedName>
    <definedName name="ip1_" localSheetId="9">#REF!</definedName>
    <definedName name="ip1_" localSheetId="13">#REF!</definedName>
    <definedName name="ip1_" localSheetId="23">#REF!</definedName>
    <definedName name="ip1_">#REF!</definedName>
    <definedName name="ip2_" localSheetId="4">#REF!</definedName>
    <definedName name="ip2_" localSheetId="5">#REF!</definedName>
    <definedName name="ip2_" localSheetId="15">#REF!</definedName>
    <definedName name="ip2_" localSheetId="19">#REF!</definedName>
    <definedName name="ip2_" localSheetId="18">#REF!</definedName>
    <definedName name="ip2_" localSheetId="14">#REF!</definedName>
    <definedName name="ip2_" localSheetId="12">#REF!</definedName>
    <definedName name="ip2_" localSheetId="24">#REF!</definedName>
    <definedName name="ip2_" localSheetId="7">#REF!</definedName>
    <definedName name="ip2_" localSheetId="20">#REF!</definedName>
    <definedName name="ip2_" localSheetId="21">#REF!</definedName>
    <definedName name="ip2_" localSheetId="11">#REF!</definedName>
    <definedName name="ip2_" localSheetId="17">#REF!</definedName>
    <definedName name="ip2_" localSheetId="16">#REF!</definedName>
    <definedName name="ip2_" localSheetId="22">#REF!</definedName>
    <definedName name="ip2_" localSheetId="9">#REF!</definedName>
    <definedName name="ip2_" localSheetId="13">#REF!</definedName>
    <definedName name="ip2_" localSheetId="23">#REF!</definedName>
    <definedName name="ip2_">#REF!</definedName>
    <definedName name="ip3_" localSheetId="4">#REF!</definedName>
    <definedName name="ip3_" localSheetId="5">#REF!</definedName>
    <definedName name="ip3_" localSheetId="15">#REF!</definedName>
    <definedName name="ip3_" localSheetId="19">#REF!</definedName>
    <definedName name="ip3_" localSheetId="18">#REF!</definedName>
    <definedName name="ip3_" localSheetId="14">#REF!</definedName>
    <definedName name="ip3_" localSheetId="12">#REF!</definedName>
    <definedName name="ip3_" localSheetId="24">#REF!</definedName>
    <definedName name="ip3_" localSheetId="7">#REF!</definedName>
    <definedName name="ip3_" localSheetId="20">#REF!</definedName>
    <definedName name="ip3_" localSheetId="21">#REF!</definedName>
    <definedName name="ip3_" localSheetId="11">#REF!</definedName>
    <definedName name="ip3_" localSheetId="17">#REF!</definedName>
    <definedName name="ip3_" localSheetId="16">#REF!</definedName>
    <definedName name="ip3_" localSheetId="22">#REF!</definedName>
    <definedName name="ip3_" localSheetId="9">#REF!</definedName>
    <definedName name="ip3_" localSheetId="13">#REF!</definedName>
    <definedName name="ip3_" localSheetId="23">#REF!</definedName>
    <definedName name="ip3_">#REF!</definedName>
    <definedName name="ip4_" localSheetId="4">#REF!</definedName>
    <definedName name="ip4_" localSheetId="9">#REF!</definedName>
    <definedName name="ip4_">#REF!</definedName>
    <definedName name="ip5_" localSheetId="4">#REF!</definedName>
    <definedName name="ip5_" localSheetId="9">#REF!</definedName>
    <definedName name="ip5_">#REF!</definedName>
    <definedName name="ipr" localSheetId="4">#REF!</definedName>
    <definedName name="ipr" localSheetId="9">#REF!</definedName>
    <definedName name="ipr">#REF!</definedName>
    <definedName name="ipu" localSheetId="4">#REF!</definedName>
    <definedName name="ipu" localSheetId="9">#REF!</definedName>
    <definedName name="ipu">#REF!</definedName>
    <definedName name="ipv" localSheetId="4">#REF!</definedName>
    <definedName name="ipv" localSheetId="9">#REF!</definedName>
    <definedName name="ipv">#REF!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OUNT_CHANGE" hidden="1">"c1449"</definedName>
    <definedName name="IQ_ACCOUNTING_FFIEC" hidden="1">"c13054"</definedName>
    <definedName name="IQ_ACCOUNTING_STANDARD" hidden="1">"c4539"</definedName>
    <definedName name="IQ_ACCOUNTING_STANDARD_CIQ" hidden="1">"c5092"</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CIQ" hidden="1">"c12103"</definedName>
    <definedName name="IQ_ANALYST_EMAIL" hidden="1">"c13738"</definedName>
    <definedName name="IQ_ANALYST_NAME" hidden="1">"c13736"</definedName>
    <definedName name="IQ_ANALYST_NON_PER_DET_EST" hidden="1">"c12755"</definedName>
    <definedName name="IQ_ANALYST_NON_PER_DET_EST_CIQ" hidden="1">"c12756"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localSheetId="4" hidden="1">"c11749"</definedName>
    <definedName name="IQ_BIG_INT_BEAR_CD" localSheetId="9" hidden="1">"c11749"</definedName>
    <definedName name="IQ_BIG_INT_BEAR_CD" hidden="1">"c89"</definedName>
    <definedName name="IQ_BOARD_MEMBER" hidden="1">"c96"</definedName>
    <definedName name="IQ_BOARD_MEMBER_BACKGROUND" hidden="1">"c2101"</definedName>
    <definedName name="IQ_BOARD_MEMBER_ID" hidden="1">"c13756"</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EST_CIQ" hidden="1">"c4737"</definedName>
    <definedName name="IQ_BV_HIGH_EST_CIQ" hidden="1">"c4739"</definedName>
    <definedName name="IQ_BV_LOW_EST_CIQ" hidden="1">"c4740"</definedName>
    <definedName name="IQ_BV_MEDIAN_EST_CIQ" hidden="1">"c4738"</definedName>
    <definedName name="IQ_BV_NUM_EST_CIQ" hidden="1">"c4741"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DET_EST" hidden="1">"c12047"</definedName>
    <definedName name="IQ_BV_SHARE_DET_EST_CIQ" hidden="1">"c12107"</definedName>
    <definedName name="IQ_BV_SHARE_DET_EST_CURRENCY" hidden="1">"c12456"</definedName>
    <definedName name="IQ_BV_SHARE_DET_EST_CURRENCY_CIQ" hidden="1">"c12500"</definedName>
    <definedName name="IQ_BV_SHARE_DET_EST_DATE" hidden="1">"c12200"</definedName>
    <definedName name="IQ_BV_SHARE_DET_EST_DATE_CIQ" hidden="1">"c12253"</definedName>
    <definedName name="IQ_BV_SHARE_DET_EST_INCL" hidden="1">"c12339"</definedName>
    <definedName name="IQ_BV_SHARE_DET_EST_INCL_CIQ" hidden="1">"c12383"</definedName>
    <definedName name="IQ_BV_SHARE_DET_EST_ORIGIN" hidden="1">"c12573"</definedName>
    <definedName name="IQ_BV_SHARE_DET_EST_ORIGIN_CIQ" hidden="1">"c12622"</definedName>
    <definedName name="IQ_BV_SHARE_EST" hidden="1">"c3541"</definedName>
    <definedName name="IQ_BV_SHARE_EST_CIQ" hidden="1">"c3800"</definedName>
    <definedName name="IQ_BV_SHARE_HIGH_EST" hidden="1">"c3542"</definedName>
    <definedName name="IQ_BV_SHARE_HIGH_EST_CIQ" hidden="1">"c3802"</definedName>
    <definedName name="IQ_BV_SHARE_LOW_EST" hidden="1">"c3543"</definedName>
    <definedName name="IQ_BV_SHARE_LOW_EST_CIQ" hidden="1">"c3803"</definedName>
    <definedName name="IQ_BV_SHARE_MEDIAN_EST" hidden="1">"c3544"</definedName>
    <definedName name="IQ_BV_SHARE_MEDIAN_EST_CIQ" hidden="1">"c3801"</definedName>
    <definedName name="IQ_BV_SHARE_NUM_EST" hidden="1">"c3539"</definedName>
    <definedName name="IQ_BV_SHARE_NUM_EST_CIQ" hidden="1">"c3804"</definedName>
    <definedName name="IQ_BV_SHARE_STDDEV_EST" hidden="1">"c3540"</definedName>
    <definedName name="IQ_BV_SHARE_STDDEV_EST_CIQ" hidden="1">"c3805"</definedName>
    <definedName name="IQ_BV_STDDEV_EST_CIQ" hidden="1">"c4742"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BNK" hidden="1">"c110"</definedName>
    <definedName name="IQ_CAPEX_BR" hidden="1">"c111"</definedName>
    <definedName name="IQ_CAPEX_DET_EST" hidden="1">"c12048"</definedName>
    <definedName name="IQ_CAPEX_DET_EST_CIQ" hidden="1">"c12108"</definedName>
    <definedName name="IQ_CAPEX_DET_EST_CURRENCY" hidden="1">"c12457"</definedName>
    <definedName name="IQ_CAPEX_DET_EST_CURRENCY_CIQ" hidden="1">"c12501"</definedName>
    <definedName name="IQ_CAPEX_DET_EST_DATE" hidden="1">"c12201"</definedName>
    <definedName name="IQ_CAPEX_DET_EST_DATE_CIQ" hidden="1">"c12254"</definedName>
    <definedName name="IQ_CAPEX_DET_EST_INCL" hidden="1">"c12340"</definedName>
    <definedName name="IQ_CAPEX_DET_EST_INCL_CIQ" hidden="1">"c12384"</definedName>
    <definedName name="IQ_CAPEX_DET_EST_ORIGIN" hidden="1">"c12765"</definedName>
    <definedName name="IQ_CAPEX_DET_EST_ORIGIN_CIQ" hidden="1">"c12766"</definedName>
    <definedName name="IQ_CAPEX_EST" hidden="1">"c3523"</definedName>
    <definedName name="IQ_CAPEX_EST_CIQ" hidden="1">"c3807"</definedName>
    <definedName name="IQ_CAPEX_FIN" hidden="1">"c112"</definedName>
    <definedName name="IQ_CAPEX_GUIDANCE" hidden="1">"c4150"</definedName>
    <definedName name="IQ_CAPEX_HIGH_EST" hidden="1">"c3524"</definedName>
    <definedName name="IQ_CAPEX_HIGH_EST_CIQ" hidden="1">"c3809"</definedName>
    <definedName name="IQ_CAPEX_HIGH_GUIDANCE" hidden="1">"c4180"</definedName>
    <definedName name="IQ_CAPEX_INS" hidden="1">"c113"</definedName>
    <definedName name="IQ_CAPEX_LOW_EST" hidden="1">"c3525"</definedName>
    <definedName name="IQ_CAPEX_LOW_EST_CIQ" hidden="1">"c3810"</definedName>
    <definedName name="IQ_CAPEX_LOW_GUIDANCE" hidden="1">"c4220"</definedName>
    <definedName name="IQ_CAPEX_MEDIAN_EST" hidden="1">"c3526"</definedName>
    <definedName name="IQ_CAPEX_MEDIAN_EST_CIQ" hidden="1">"c3808"</definedName>
    <definedName name="IQ_CAPEX_NUM_EST" hidden="1">"c3521"</definedName>
    <definedName name="IQ_CAPEX_NUM_EST_CIQ" hidden="1">"c3811"</definedName>
    <definedName name="IQ_CAPEX_STDDEV_EST" hidden="1">"c3522"</definedName>
    <definedName name="IQ_CAPEX_STDDEV_EST_CIQ" hidden="1">"c3812"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HIGH_EST" hidden="1">"c4156"</definedName>
    <definedName name="IQ_CASH_FLOW_HIGH_EST_CIQ" hidden="1">"c4568"</definedName>
    <definedName name="IQ_CASH_FLOW_LOW_EST" hidden="1">"c4157"</definedName>
    <definedName name="IQ_CASH_FLOW_LOW_EST_CIQ" hidden="1">"c4569"</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HIGH_EST" hidden="1">"c4166"</definedName>
    <definedName name="IQ_CASH_OPER_HIGH_EST_CIQ" hidden="1">"c4578"</definedName>
    <definedName name="IQ_CASH_OPER_HIGH_GUIDANCE" hidden="1">"c4185"</definedName>
    <definedName name="IQ_CASH_OPER_LOW_EST" hidden="1">"c4244"</definedName>
    <definedName name="IQ_CASH_OPER_LOW_EST_CIQ" hidden="1">"c4768"</definedName>
    <definedName name="IQ_CASH_OPER_LOW_GUIDANCE" hidden="1">"c4225"</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HIGH_EST" hidden="1">"c4251"</definedName>
    <definedName name="IQ_CASH_ST_INVEST_HIGH_EST_CIQ" hidden="1">"c4777"</definedName>
    <definedName name="IQ_CASH_ST_INVEST_LOW_EST" hidden="1">"c4252"</definedName>
    <definedName name="IQ_CASH_ST_INVEST_LOW_EST_CIQ" hidden="1">"c4778"</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DERIVATIVES_BENEFICIARY_FFIEC" hidden="1">"c13119"</definedName>
    <definedName name="IQ_CDS_DERIVATIVES_GUARANTOR_FFIEC" hidden="1">"c13112"</definedName>
    <definedName name="IQ_CDS_LIST" hidden="1">"c13510"</definedName>
    <definedName name="IQ_CDS_LOAN_LIST" hidden="1">"c13518"</definedName>
    <definedName name="IQ_CDS_SENIOR_LIST" hidden="1">"c13508"</definedName>
    <definedName name="IQ_CDS_SUB_LIST" hidden="1">"c13509"</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CIQ" hidden="1">"c5061"</definedName>
    <definedName name="IQ_CFPS_DET_EST" hidden="1">"c12049"</definedName>
    <definedName name="IQ_CFPS_DET_EST_CIQ" hidden="1">"c12109"</definedName>
    <definedName name="IQ_CFPS_DET_EST_CURRENCY" hidden="1">"c12458"</definedName>
    <definedName name="IQ_CFPS_DET_EST_CURRENCY_CIQ" hidden="1">"c12502"</definedName>
    <definedName name="IQ_CFPS_DET_EST_DATE" hidden="1">"c12202"</definedName>
    <definedName name="IQ_CFPS_DET_EST_DATE_CIQ" hidden="1">"c12255"</definedName>
    <definedName name="IQ_CFPS_DET_EST_INCL" hidden="1">"c12341"</definedName>
    <definedName name="IQ_CFPS_DET_EST_INCL_CIQ" hidden="1">"c12385"</definedName>
    <definedName name="IQ_CFPS_DET_EST_ORIGIN" hidden="1">"c12575"</definedName>
    <definedName name="IQ_CFPS_DET_EST_ORIGIN_CIQ" hidden="1">"c12624"</definedName>
    <definedName name="IQ_CFPS_EST" hidden="1">"c1667"</definedName>
    <definedName name="IQ_CFPS_EST_CIQ" hidden="1">"c3675"</definedName>
    <definedName name="IQ_CFPS_GUIDANCE" hidden="1">"c4256"</definedName>
    <definedName name="IQ_CFPS_HIGH_EST" hidden="1">"c1669"</definedName>
    <definedName name="IQ_CFPS_HIGH_EST_CIQ" hidden="1">"c3677"</definedName>
    <definedName name="IQ_CFPS_HIGH_GUIDANCE" hidden="1">"c4167"</definedName>
    <definedName name="IQ_CFPS_LOW_EST" hidden="1">"c1670"</definedName>
    <definedName name="IQ_CFPS_LOW_EST_CIQ" hidden="1">"c3678"</definedName>
    <definedName name="IQ_CFPS_LOW_GUIDANCE" hidden="1">"c4207"</definedName>
    <definedName name="IQ_CFPS_MEDIAN_EST" hidden="1">"c1668"</definedName>
    <definedName name="IQ_CFPS_MEDIAN_EST_CIQ" hidden="1">"c3676"</definedName>
    <definedName name="IQ_CFPS_NUM_EST" hidden="1">"c1671"</definedName>
    <definedName name="IQ_CFPS_NUM_EST_CIQ" hidden="1">"c3679"</definedName>
    <definedName name="IQ_CFPS_STDDEV_EST" hidden="1">"c1672"</definedName>
    <definedName name="IQ_CFPS_STDDEV_EST_CIQ" hidden="1">"c3680"</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ECTION_DOMESTIC_FDIC" hidden="1">"c6387"</definedName>
    <definedName name="IQ_COM_TARGET_PRICE" hidden="1">"c13606"</definedName>
    <definedName name="IQ_COM_TARGET_PRICE_CIQ" hidden="1">"c13599"</definedName>
    <definedName name="IQ_COM_TARGET_PRICE_DET_EST" hidden="1">"c13610"</definedName>
    <definedName name="IQ_COM_TARGET_PRICE_DET_EST_CIQ" hidden="1">"c13603"</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localSheetId="4" hidden="1">"c13596"</definedName>
    <definedName name="IQ_COMMON_PER_ADR" localSheetId="9" hidden="1">"c13596"</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LEASES_LL_REC_FFIEC" hidden="1">"c12895"</definedName>
    <definedName name="IQ_CONSUMER_LOANS" hidden="1">"c223"</definedName>
    <definedName name="IQ_CONSUMER_LOANS_LL_REC_DOM_FFIEC" hidden="1">"c12911"</definedName>
    <definedName name="IQ_CONSUMER_LOANS_TOT_LOANS_FFIEC" hidden="1">"c13875"</definedName>
    <definedName name="IQ_CONTRACTS_OTHER_COMMODITIES_EQUITIES_FDIC" hidden="1">"c6522"</definedName>
    <definedName name="IQ_CONTRIB_ID_DET_EST" hidden="1">"c12045"</definedName>
    <definedName name="IQ_CONTRIB_ID_DET_EST_CIQ" hidden="1">"c12105"</definedName>
    <definedName name="IQ_CONTRIB_ID_NON_PER_DET_EST" hidden="1">"c13824"</definedName>
    <definedName name="IQ_CONTRIB_ID_NON_PER_DET_EST_CIQ" hidden="1">"c13825"</definedName>
    <definedName name="IQ_CONTRIB_NAME_DET_EST" hidden="1">"c12046"</definedName>
    <definedName name="IQ_CONTRIB_NAME_DET_EST_CIQ" hidden="1">"c12106"</definedName>
    <definedName name="IQ_CONTRIB_NAME_NON_PER_DET_EST" hidden="1">"c12760"</definedName>
    <definedName name="IQ_CONTRIB_NAME_NON_PER_DET_EST_CIQ" hidden="1">"c12761"</definedName>
    <definedName name="IQ_CONTRIB_REC_DET_EST" hidden="1">"c12051"</definedName>
    <definedName name="IQ_CONTRIB_REC_DET_EST_CIQ" hidden="1">"c12111"</definedName>
    <definedName name="IQ_CONTRIB_REC_DET_EST_DATE" hidden="1">"c12204"</definedName>
    <definedName name="IQ_CONTRIB_REC_DET_EST_DATE_CIQ" hidden="1">"c12257"</definedName>
    <definedName name="IQ_CONTRIB_REC_DET_EST_ORIGIN" hidden="1">"c12577"</definedName>
    <definedName name="IQ_CONTRIB_REC_DET_EST_ORIGIN_CIQ" hidden="1">"c12626"</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HIGH_EST" hidden="1">"c4280"</definedName>
    <definedName name="IQ_DISTRIBUTABLE_CASH_HIGH_EST_CIQ" hidden="1">"c4805"</definedName>
    <definedName name="IQ_DISTRIBUTABLE_CASH_HIGH_GUIDANCE" hidden="1">"c4198"</definedName>
    <definedName name="IQ_DISTRIBUTABLE_CASH_LOW_EST" hidden="1">"c4281"</definedName>
    <definedName name="IQ_DISTRIBUTABLE_CASH_LOW_EST_CIQ" hidden="1">"c4806"</definedName>
    <definedName name="IQ_DISTRIBUTABLE_CASH_LOW_GUIDANCE" hidden="1">"c4238"</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DET_EST" hidden="1">"c12052"</definedName>
    <definedName name="IQ_DPS_DET_EST_CIQ" hidden="1">"c12112"</definedName>
    <definedName name="IQ_DPS_DET_EST_CURRENCY" hidden="1">"c12459"</definedName>
    <definedName name="IQ_DPS_DET_EST_CURRENCY_CIQ" hidden="1">"c12503"</definedName>
    <definedName name="IQ_DPS_DET_EST_DATE" hidden="1">"c12205"</definedName>
    <definedName name="IQ_DPS_DET_EST_DATE_CIQ" hidden="1">"c12258"</definedName>
    <definedName name="IQ_DPS_DET_EST_INCL" hidden="1">"c12342"</definedName>
    <definedName name="IQ_DPS_DET_EST_INCL_CIQ" hidden="1">"c12386"</definedName>
    <definedName name="IQ_DPS_DET_EST_ORIGIN" hidden="1">"c12578"</definedName>
    <definedName name="IQ_DPS_DET_EST_ORIGIN_CIQ" hidden="1">"c12627"</definedName>
    <definedName name="IQ_DPS_EST" hidden="1">"c1674"</definedName>
    <definedName name="IQ_DPS_EST_BOTTOM_UP" hidden="1">"c5493"</definedName>
    <definedName name="IQ_DPS_EST_BOTTOM_UP_CIQ" hidden="1">"c12030"</definedName>
    <definedName name="IQ_DPS_EST_CIQ" hidden="1">"c3682"</definedName>
    <definedName name="IQ_DPS_GUIDANCE" hidden="1">"c4302"</definedName>
    <definedName name="IQ_DPS_HIGH_EST" hidden="1">"c1676"</definedName>
    <definedName name="IQ_DPS_HIGH_EST_CIQ" hidden="1">"c3684"</definedName>
    <definedName name="IQ_DPS_HIGH_GUIDANCE" hidden="1">"c4168"</definedName>
    <definedName name="IQ_DPS_LOW_EST" hidden="1">"c1677"</definedName>
    <definedName name="IQ_DPS_LOW_EST_CIQ" hidden="1">"c3685"</definedName>
    <definedName name="IQ_DPS_LOW_GUIDANCE" hidden="1">"c4208"</definedName>
    <definedName name="IQ_DPS_MEDIAN_EST" hidden="1">"c1675"</definedName>
    <definedName name="IQ_DPS_MEDIAN_EST_CIQ" hidden="1">"c3683"</definedName>
    <definedName name="IQ_DPS_NUM_EST" hidden="1">"c1678"</definedName>
    <definedName name="IQ_DPS_NUM_EST_CIQ" hidden="1">"c3686"</definedName>
    <definedName name="IQ_DPS_STDDEV_EST" hidden="1">"c1679"</definedName>
    <definedName name="IQ_DPS_STDDEV_EST_CIQ" hidden="1">"c3687"</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DET_EST" hidden="1">"c12053"</definedName>
    <definedName name="IQ_EBIT_DET_EST_CIQ" hidden="1">"c12113"</definedName>
    <definedName name="IQ_EBIT_DET_EST_CURRENCY" hidden="1">"c12460"</definedName>
    <definedName name="IQ_EBIT_DET_EST_CURRENCY_CIQ" hidden="1">"c12504"</definedName>
    <definedName name="IQ_EBIT_DET_EST_DATE" hidden="1">"c12206"</definedName>
    <definedName name="IQ_EBIT_DET_EST_DATE_CIQ" hidden="1">"c12259"</definedName>
    <definedName name="IQ_EBIT_DET_EST_INCL" hidden="1">"c12343"</definedName>
    <definedName name="IQ_EBIT_DET_EST_INCL_CIQ" hidden="1">"c12387"</definedName>
    <definedName name="IQ_EBIT_DET_EST_ORIGIN" hidden="1">"c12579"</definedName>
    <definedName name="IQ_EBIT_DET_EST_ORIGIN_CIQ" hidden="1">"c12628"</definedName>
    <definedName name="IQ_EBIT_EQ_INC" hidden="1">"c3498"</definedName>
    <definedName name="IQ_EBIT_EQ_INC_EXCL_SBC" hidden="1">"c3502"</definedName>
    <definedName name="IQ_EBIT_EST" hidden="1">"c1681"</definedName>
    <definedName name="IQ_EBIT_EST_CIQ" hidden="1">"c4674"</definedName>
    <definedName name="IQ_EBIT_EXCL_SBC" hidden="1">"c3082"</definedName>
    <definedName name="IQ_EBIT_GUIDANCE" hidden="1">"c4303"</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HIGH_EST" hidden="1">"c4308"</definedName>
    <definedName name="IQ_EBIT_GW_HIGH_EST_CIQ" hidden="1">"c4833"</definedName>
    <definedName name="IQ_EBIT_GW_LOW_EST" hidden="1">"c4309"</definedName>
    <definedName name="IQ_EBIT_GW_LOW_EST_CIQ" hidden="1">"c4834"</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GUIDANCE" hidden="1">"c4172"</definedName>
    <definedName name="IQ_EBIT_INT" hidden="1">"c360"</definedName>
    <definedName name="IQ_EBIT_LOW_EST" hidden="1">"c1684"</definedName>
    <definedName name="IQ_EBIT_LOW_EST_CIQ" hidden="1">"c4677"</definedName>
    <definedName name="IQ_EBIT_LOW_GUIDANCE" hidden="1">"c4212"</definedName>
    <definedName name="IQ_EBIT_MARGIN" hidden="1">"c359"</definedName>
    <definedName name="IQ_EBIT_MEDIAN_EST" hidden="1">"c1682"</definedName>
    <definedName name="IQ_EBIT_MEDIAN_EST_CIQ" hidden="1">"c4675"</definedName>
    <definedName name="IQ_EBIT_NUM_EST" hidden="1">"c1685"</definedName>
    <definedName name="IQ_EBIT_NUM_EST_CIQ" hidden="1">"c4678"</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HIGH_EST" hidden="1">"c4322"</definedName>
    <definedName name="IQ_EBIT_SBC_GW_HIGH_EST_CIQ" hidden="1">"c4847"</definedName>
    <definedName name="IQ_EBIT_SBC_GW_LOW_EST" hidden="1">"c4323"</definedName>
    <definedName name="IQ_EBIT_SBC_GW_LOW_EST_CIQ" hidden="1">"c4848"</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LOW_EST" hidden="1">"c4329"</definedName>
    <definedName name="IQ_EBIT_SBC_LOW_EST_CIQ" hidden="1">"c4854"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DET_EST" hidden="1">"c12054"</definedName>
    <definedName name="IQ_EBITDA_DET_EST_CIQ" hidden="1">"c12114"</definedName>
    <definedName name="IQ_EBITDA_DET_EST_CURRENCY" hidden="1">"c12461"</definedName>
    <definedName name="IQ_EBITDA_DET_EST_CURRENCY_CIQ" hidden="1">"c12505"</definedName>
    <definedName name="IQ_EBITDA_DET_EST_DATE" hidden="1">"c12207"</definedName>
    <definedName name="IQ_EBITDA_DET_EST_DATE_CIQ" hidden="1">"c12260"</definedName>
    <definedName name="IQ_EBITDA_DET_EST_INCL" hidden="1">"c12344"</definedName>
    <definedName name="IQ_EBITDA_DET_EST_INCL_CIQ" hidden="1">"c12388"</definedName>
    <definedName name="IQ_EBITDA_DET_EST_ORIGIN" hidden="1">"c12580"</definedName>
    <definedName name="IQ_EBITDA_DET_EST_ORIGIN_CIQ" hidden="1">"c12629"</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GUIDANCE" hidden="1">"c4334"</definedName>
    <definedName name="IQ_EBITDA_HIGH_EST" hidden="1">"c370"</definedName>
    <definedName name="IQ_EBITDA_HIGH_EST_CIQ" hidden="1">"c3624"</definedName>
    <definedName name="IQ_EBITDA_HIGH_GUIDANCE" hidden="1">"c4170"</definedName>
    <definedName name="IQ_EBITDA_INT" hidden="1">"c373"</definedName>
    <definedName name="IQ_EBITDA_LOW_EST" hidden="1">"c371"</definedName>
    <definedName name="IQ_EBITDA_LOW_EST_CIQ" hidden="1">"c3625"</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NUM_EST" hidden="1">"c374"</definedName>
    <definedName name="IQ_EBITDA_NUM_EST_CIQ" hidden="1">"c3626"</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HIGH_EST" hidden="1">"c4339"</definedName>
    <definedName name="IQ_EBITDA_SBC_HIGH_EST_CIQ" hidden="1">"c4864"</definedName>
    <definedName name="IQ_EBITDA_SBC_LOW_EST" hidden="1">"c4340"</definedName>
    <definedName name="IQ_EBITDA_SBC_LOW_EST_CIQ" hidden="1">"c4865"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HIGH_EST" hidden="1">"c4356"</definedName>
    <definedName name="IQ_EBT_SBC_GW_HIGH_EST_CIQ" hidden="1">"c4881"</definedName>
    <definedName name="IQ_EBT_SBC_GW_LOW_EST" hidden="1">"c4357"</definedName>
    <definedName name="IQ_EBT_SBC_GW_LOW_EST_CIQ" hidden="1">"c4882"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LOW_EST" hidden="1">"c4363"</definedName>
    <definedName name="IQ_EBT_SBC_LOW_EST_CIQ" hidden="1">"c4888"</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EES" hidden="1">"c392"</definedName>
    <definedName name="IQ_EMPLOYEES_FFIEC" hidden="1">"c13035"</definedName>
    <definedName name="IQ_ENTERPRISE_VALUE" hidden="1">"c1348"</definedName>
    <definedName name="IQ_ENTITLEMENT_DET_EST" hidden="1">"c12044"</definedName>
    <definedName name="IQ_ENTITLEMENT_DET_EST_CIQ" hidden="1">"c12104"</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DET_EST" hidden="1">"c13571"</definedName>
    <definedName name="IQ_EPS_DET_EST_CIQ" hidden="1">"c13573"</definedName>
    <definedName name="IQ_EPS_DET_EST_CURRENCY" hidden="1">"c13583"</definedName>
    <definedName name="IQ_EPS_DET_EST_CURRENCY_CIQ" hidden="1">"c13585"</definedName>
    <definedName name="IQ_EPS_DET_EST_DATE" hidden="1">"c13575"</definedName>
    <definedName name="IQ_EPS_DET_EST_DATE_CIQ" hidden="1">"c13577"</definedName>
    <definedName name="IQ_EPS_DET_EST_INCL" hidden="1">"c13587"</definedName>
    <definedName name="IQ_EPS_DET_EST_INCL_CIQ" hidden="1">"c13589"</definedName>
    <definedName name="IQ_EPS_DET_EST_ORIGIN" hidden="1">"c13579"</definedName>
    <definedName name="IQ_EPS_DET_EST_ORIGIN_CIQ" hidden="1">"c13581"</definedName>
    <definedName name="IQ_EPS_EST" hidden="1">"c399"</definedName>
    <definedName name="IQ_EPS_EST_BOTTOM_UP" hidden="1">"c5489"</definedName>
    <definedName name="IQ_EPS_EST_BOTTOM_UP_CIQ" hidden="1">"c12026"</definedName>
    <definedName name="IQ_EPS_EST_CIQ" hidden="1">"c4994"</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ROWTH_GUIDANCE" hidden="1">"c13495"</definedName>
    <definedName name="IQ_EPS_GROWTH_HIGH_GUIDANCE" hidden="1">"c13496"</definedName>
    <definedName name="IQ_EPS_GROWTH_LOW_GUIDANCE" hidden="1">"c13497"</definedName>
    <definedName name="IQ_EPS_GW_ACT_OR_EST" hidden="1">"c2223"</definedName>
    <definedName name="IQ_EPS_GW_ACT_OR_EST_CIQ" hidden="1">"c5066"</definedName>
    <definedName name="IQ_EPS_GW_DET_EST" hidden="1">"c12056"</definedName>
    <definedName name="IQ_EPS_GW_DET_EST_CIQ" hidden="1">"c12118"</definedName>
    <definedName name="IQ_EPS_GW_DET_EST_CURRENCY" hidden="1">"c12463"</definedName>
    <definedName name="IQ_EPS_GW_DET_EST_CURRENCY_CIQ" hidden="1">"c12509"</definedName>
    <definedName name="IQ_EPS_GW_DET_EST_DATE" hidden="1">"c12209"</definedName>
    <definedName name="IQ_EPS_GW_DET_EST_DATE_CIQ" hidden="1">"c12264"</definedName>
    <definedName name="IQ_EPS_GW_DET_EST_INCL" hidden="1">"c12346"</definedName>
    <definedName name="IQ_EPS_GW_DET_EST_INCL_CIQ" hidden="1">"c12392"</definedName>
    <definedName name="IQ_EPS_GW_DET_EST_ORIGIN" hidden="1">"c12582"</definedName>
    <definedName name="IQ_EPS_GW_DET_EST_ORIGIN_CIQ" hidden="1">"c12633"</definedName>
    <definedName name="IQ_EPS_GW_EST" hidden="1">"c1737"</definedName>
    <definedName name="IQ_EPS_GW_EST_BOTTOM_UP" hidden="1">"c5491"</definedName>
    <definedName name="IQ_EPS_GW_EST_BOTTOM_UP_CIQ" hidden="1">"c12028"</definedName>
    <definedName name="IQ_EPS_GW_EST_CIQ" hidden="1">"c4723"</definedName>
    <definedName name="IQ_EPS_GW_GUIDANCE" hidden="1">"c4372"</definedName>
    <definedName name="IQ_EPS_GW_HIGH_EST" hidden="1">"c1739"</definedName>
    <definedName name="IQ_EPS_GW_HIGH_EST_CIQ" hidden="1">"c4725"</definedName>
    <definedName name="IQ_EPS_GW_HIGH_GUIDANCE" hidden="1">"c4373"</definedName>
    <definedName name="IQ_EPS_GW_LOW_EST" hidden="1">"c1740"</definedName>
    <definedName name="IQ_EPS_GW_LOW_EST_CIQ" hidden="1">"c4726"</definedName>
    <definedName name="IQ_EPS_GW_LOW_GUIDANCE" hidden="1">"c4206"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DET_EST" hidden="1">"c12058"</definedName>
    <definedName name="IQ_EPS_NORM_DET_EST_CIQ" hidden="1">"c12120"</definedName>
    <definedName name="IQ_EPS_NORM_DET_EST_CURRENCY" hidden="1">"c12465"</definedName>
    <definedName name="IQ_EPS_NORM_DET_EST_CURRENCY_CIQ" hidden="1">"c12511"</definedName>
    <definedName name="IQ_EPS_NORM_DET_EST_DATE" hidden="1">"c12211"</definedName>
    <definedName name="IQ_EPS_NORM_DET_EST_DATE_CIQ" hidden="1">"c12266"</definedName>
    <definedName name="IQ_EPS_NORM_DET_EST_INCL" hidden="1">"c12348"</definedName>
    <definedName name="IQ_EPS_NORM_DET_EST_INCL_CIQ" hidden="1">"c12394"</definedName>
    <definedName name="IQ_EPS_NORM_DET_EST_ORIGIN" hidden="1">"c12583"</definedName>
    <definedName name="IQ_EPS_NORM_DET_EST_ORIGIN_CIQ" hidden="1">"c12635"</definedName>
    <definedName name="IQ_EPS_NORM_EST" hidden="1">"c2226"</definedName>
    <definedName name="IQ_EPS_NORM_EST_BOTTOM_UP" hidden="1">"c5490"</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 hidden="1">"c2224"</definedName>
    <definedName name="IQ_EPS_REPORT_ACT_OR_EST_CIQ" hidden="1">"c5067"</definedName>
    <definedName name="IQ_EPS_REPORTED_DET_EST" hidden="1">"c12057"</definedName>
    <definedName name="IQ_EPS_REPORTED_DET_EST_CIQ" hidden="1">"c12119"</definedName>
    <definedName name="IQ_EPS_REPORTED_DET_EST_CURRENCY" hidden="1">"c12464"</definedName>
    <definedName name="IQ_EPS_REPORTED_DET_EST_CURRENCY_CIQ" hidden="1">"c12510"</definedName>
    <definedName name="IQ_EPS_REPORTED_DET_EST_DATE" hidden="1">"c12210"</definedName>
    <definedName name="IQ_EPS_REPORTED_DET_EST_DATE_CIQ" hidden="1">"c12265"</definedName>
    <definedName name="IQ_EPS_REPORTED_DET_EST_INCL" hidden="1">"c12347"</definedName>
    <definedName name="IQ_EPS_REPORTED_DET_EST_INCL_CIQ" hidden="1">"c12393"</definedName>
    <definedName name="IQ_EPS_REPORTED_DET_EST_ORIGIN" hidden="1">"c12772"</definedName>
    <definedName name="IQ_EPS_REPORTED_DET_EST_ORIGIN_CIQ" hidden="1">"c12634"</definedName>
    <definedName name="IQ_EPS_REPORTED_EST" hidden="1">"c1744"</definedName>
    <definedName name="IQ_EPS_REPORTED_EST_BOTTOM_UP" hidden="1">"c5492"</definedName>
    <definedName name="IQ_EPS_REPORTED_EST_BOTTOM_UP_CIQ" hidden="1">"c12029"</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HIGH_EST" hidden="1">"c4382"</definedName>
    <definedName name="IQ_EPS_SBC_GW_HIGH_EST_CIQ" hidden="1">"c4907"</definedName>
    <definedName name="IQ_EPS_SBC_GW_LOW_EST" hidden="1">"c4383"</definedName>
    <definedName name="IQ_EPS_SBC_GW_LOW_EST_CIQ" hidden="1">"c4908"</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LOW_EST" hidden="1">"c4389"</definedName>
    <definedName name="IQ_EPS_SBC_LOW_EST_CIQ" hidden="1">"c4914"</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_CIQ" hidden="1">"c4743"</definedName>
    <definedName name="IQ_EST_ACT_BV_SHARE" hidden="1">"c3549"</definedName>
    <definedName name="IQ_EST_ACT_BV_SHARE_CIQ" hidden="1">"c3806"</definedName>
    <definedName name="IQ_EST_ACT_CAPEX" hidden="1">"c3546"</definedName>
    <definedName name="IQ_EST_ACT_CAPEX_CIQ" hidden="1">"c3813"</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DA" hidden="1">"c1664"</definedName>
    <definedName name="IQ_EST_ACT_EBITDA_CIQ" hidden="1">"c3667"</definedName>
    <definedName name="IQ_EST_ACT_EBITDA_SBC" hidden="1">"c4401"</definedName>
    <definedName name="IQ_EST_ACT_EBITDA_SBC_CIQ" hidden="1">"c4926"</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FFO" hidden="1">"c4407"</definedName>
    <definedName name="IQ_EST_ACT_FFO_ADJ" hidden="1">"c4406"</definedName>
    <definedName name="IQ_EST_ACT_FFO_ADJ_CIQ" hidden="1">"c4931"</definedName>
    <definedName name="IQ_EST_ACT_FFO_CIQ" hidden="1">"c4932"</definedName>
    <definedName name="IQ_EST_ACT_FFO_SHARE" hidden="1">"c1666"</definedName>
    <definedName name="IQ_EST_ACT_FFO_SHARE_CIQ" hidden="1">"c3674"</definedName>
    <definedName name="IQ_EST_ACT_MAINT_CAPEX" hidden="1">"c4408"</definedName>
    <definedName name="IQ_EST_ACT_MAINT_CAPEX_CIQ" hidden="1">"c4933"</definedName>
    <definedName name="IQ_EST_ACT_NAV" hidden="1">"c1757"</definedName>
    <definedName name="IQ_EST_ACT_NAV_SHARE_CIQ" hidden="1">"c12031"</definedName>
    <definedName name="IQ_EST_ACT_NET_DEBT" hidden="1">"c3545"</definedName>
    <definedName name="IQ_EST_ACT_NET_DEBT_CIQ" hidden="1">"c3820"</definedName>
    <definedName name="IQ_EST_ACT_NI" hidden="1">"c1722"</definedName>
    <definedName name="IQ_EST_ACT_NI_CIQ" hidden="1">"c4708"</definedName>
    <definedName name="IQ_EST_ACT_NI_GW" hidden="1">"c1729"</definedName>
    <definedName name="IQ_EST_ACT_NI_GW_CIQ" hidden="1">"c4715"</definedName>
    <definedName name="IQ_EST_ACT_NI_REPORTED" hidden="1">"c1736"</definedName>
    <definedName name="IQ_EST_ACT_NI_REPORTED_CIQ" hidden="1">"c4722"</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OPER_INC" hidden="1">"c1694"</definedName>
    <definedName name="IQ_EST_ACT_OPER_INC_CIQ" hidden="1">"c12016"</definedName>
    <definedName name="IQ_EST_ACT_PRETAX_GW_INC" hidden="1">"c1708"</definedName>
    <definedName name="IQ_EST_ACT_PRETAX_GW_INC_CIQ" hidden="1">"c4694"</definedName>
    <definedName name="IQ_EST_ACT_PRETAX_INC" hidden="1">"c1701"</definedName>
    <definedName name="IQ_EST_ACT_PRETAX_INC_CIQ" hidden="1">"c4687"</definedName>
    <definedName name="IQ_EST_ACT_PRETAX_REPORT_INC" hidden="1">"c1715"</definedName>
    <definedName name="IQ_EST_ACT_PRETAX_REPORT_INC_CIQ" hidden="1">"c4701"</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EQUITY" hidden="1">"c3548"</definedName>
    <definedName name="IQ_EST_ACT_REV" hidden="1">"c2113"</definedName>
    <definedName name="IQ_EST_ACT_REV_CIQ" hidden="1">"c3666"</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2YR" hidden="1">"c3589"</definedName>
    <definedName name="IQ_EST_CAPEX_GROWTH_2YR_CIQ" hidden="1">"c4973"</definedName>
    <definedName name="IQ_EST_CAPEX_GROWTH_Q_1YR" hidden="1">"c3590"</definedName>
    <definedName name="IQ_EST_CAPEX_GROWTH_Q_1YR_CIQ" hidden="1">"c4974"</definedName>
    <definedName name="IQ_EST_CAPEX_SEQ_GROWTH_Q" hidden="1">"c3591"</definedName>
    <definedName name="IQ_EST_CAPEX_SEQ_GROWTH_Q_CIQ" hidden="1">"c4975"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GROWTH_1YR" hidden="1">"c1774"</definedName>
    <definedName name="IQ_EST_CFPS_GROWTH_1YR_CIQ" hidden="1">"c3709"</definedName>
    <definedName name="IQ_EST_CFPS_GROWTH_2YR" hidden="1">"c1775"</definedName>
    <definedName name="IQ_EST_CFPS_GROWTH_2YR_CIQ" hidden="1">"c3710"</definedName>
    <definedName name="IQ_EST_CFPS_GROWTH_Q_1YR" hidden="1">"c1776"</definedName>
    <definedName name="IQ_EST_CFPS_GROWTH_Q_1YR_CIQ" hidden="1">"c3711"</definedName>
    <definedName name="IQ_EST_CFPS_SEQ_GROWTH_Q" hidden="1">"c1777"</definedName>
    <definedName name="IQ_EST_CFPS_SEQ_GROWTH_Q_CIQ" hidden="1">"c3712"</definedName>
    <definedName name="IQ_EST_CFPS_SURPRISE_PERCENT" hidden="1">"c1872"</definedName>
    <definedName name="IQ_EST_CFPS_SURPRISE_PERCENT_CIQ" hidden="1">"c3724"</definedName>
    <definedName name="IQ_EST_CURRENCY" hidden="1">"c2140"</definedName>
    <definedName name="IQ_EST_CURRENCY_CIQ" hidden="1">"c4769"</definedName>
    <definedName name="IQ_EST_DATE" hidden="1">"c1634"</definedName>
    <definedName name="IQ_EST_DATE_CIQ" hidden="1">"c4770"</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GROWTH_1YR" hidden="1">"c1778"</definedName>
    <definedName name="IQ_EST_DPS_GROWTH_1YR_CIQ" hidden="1">"c3713"</definedName>
    <definedName name="IQ_EST_DPS_GROWTH_2YR" hidden="1">"c1779"</definedName>
    <definedName name="IQ_EST_DPS_GROWTH_2YR_CIQ" hidden="1">"c3714"</definedName>
    <definedName name="IQ_EST_DPS_GROWTH_Q_1YR" hidden="1">"c1780"</definedName>
    <definedName name="IQ_EST_DPS_GROWTH_Q_1YR_CIQ" hidden="1">"c3715"</definedName>
    <definedName name="IQ_EST_DPS_SEQ_GROWTH_Q" hidden="1">"c1781"</definedName>
    <definedName name="IQ_EST_DPS_SEQ_GROWTH_Q_CIQ" hidden="1">"c3716"</definedName>
    <definedName name="IQ_EST_DPS_SURPRISE_PERCENT" hidden="1">"c1874"</definedName>
    <definedName name="IQ_EST_DPS_SURPRISE_PERCENT_CIQ" hidden="1">"c3726"</definedName>
    <definedName name="IQ_EST_EBIT_DIFF" hidden="1">"c1875"</definedName>
    <definedName name="IQ_EST_EBIT_DIFF_CIQ" hidden="1">"c4747"</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2YR_CIQ" hidden="1">"c3689"</definedName>
    <definedName name="IQ_EST_EPS_GROWTH_5YR" hidden="1">"c1655"</definedName>
    <definedName name="IQ_EST_EPS_GROWTH_5YR_BOTTOM_UP" hidden="1">"c5487"</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"c4444"</definedName>
    <definedName name="IQ_EST_FFO_DIFF_CIQ" hidden="1">"c4969"</definedName>
    <definedName name="IQ_EST_FFO_GROWTH_1YR" hidden="1">"c4425"</definedName>
    <definedName name="IQ_EST_FFO_GROWTH_1YR_CIQ" hidden="1">"c4950"</definedName>
    <definedName name="IQ_EST_FFO_GROWTH_2YR" hidden="1">"c4426"</definedName>
    <definedName name="IQ_EST_FFO_GROWTH_2YR_CIQ" hidden="1">"c4951"</definedName>
    <definedName name="IQ_EST_FFO_GROWTH_Q_1YR" hidden="1">"c4427"</definedName>
    <definedName name="IQ_EST_FFO_GROWTH_Q_1YR_CIQ" hidden="1">"c4952"</definedName>
    <definedName name="IQ_EST_FFO_SEQ_GROWTH_Q" hidden="1">"c4428"</definedName>
    <definedName name="IQ_EST_FFO_SEQ_GROWTH_Q_CIQ" hidden="1">"c4953"</definedName>
    <definedName name="IQ_EST_FFO_SHARE_DIFF" hidden="1">"c1869"</definedName>
    <definedName name="IQ_EST_FFO_SHARE_DIFF_CIQ" hidden="1">"c3721"</definedName>
    <definedName name="IQ_EST_FFO_SHARE_GROWTH_1YR" hidden="1">"c1770"</definedName>
    <definedName name="IQ_EST_FFO_SHARE_GROWTH_1YR_CIQ" hidden="1">"c3705"</definedName>
    <definedName name="IQ_EST_FFO_SHARE_GROWTH_2YR" hidden="1">"c1771"</definedName>
    <definedName name="IQ_EST_FFO_SHARE_GROWTH_2YR_CIQ" hidden="1">"c3706"</definedName>
    <definedName name="IQ_EST_FFO_SHARE_GROWTH_Q_1YR" hidden="1">"c1772"</definedName>
    <definedName name="IQ_EST_FFO_SHARE_GROWTH_Q_1YR_CIQ" hidden="1">"c3707"</definedName>
    <definedName name="IQ_EST_FFO_SHARE_SEQ_GROWTH_Q" hidden="1">"c1773"</definedName>
    <definedName name="IQ_EST_FFO_SHARE_SEQ_GROWTH_Q_CIQ" hidden="1">"c3708"</definedName>
    <definedName name="IQ_EST_FFO_SHARE_SURPRISE_PERCENT" hidden="1">"c1870"</definedName>
    <definedName name="IQ_EST_FFO_SHARE_SURPRISE_PERCENT_CIQ" hidden="1">"c3722"</definedName>
    <definedName name="IQ_EST_FFO_SURPRISE_PERCENT" hidden="1">"c4453"</definedName>
    <definedName name="IQ_EST_FFO_SURPRISE_PERCENT_CIQ" hidden="1">"c4982"</definedName>
    <definedName name="IQ_EST_FOOTNOTE" hidden="1">"c4540"</definedName>
    <definedName name="IQ_EST_FOOTNOTE_CIQ" hidden="1">"c12022"</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GW_DIFF" hidden="1">"c1887"</definedName>
    <definedName name="IQ_EST_NI_GW_DIFF_CIQ" hidden="1">"c4757"</definedName>
    <definedName name="IQ_EST_NI_GW_SURPRISE_PERCENT" hidden="1">"c1888"</definedName>
    <definedName name="IQ_EST_NI_GW_SURPRISE_PERCENT_CIQ" hidden="1">"c4758"</definedName>
    <definedName name="IQ_EST_NI_REPORT_DIFF" hidden="1">"c1889"</definedName>
    <definedName name="IQ_EST_NI_REPORT_DIFF_CIQ" hidden="1">"c4759"</definedName>
    <definedName name="IQ_EST_NI_REPORT_SURPRISE_PERCENT" hidden="1">"c1890"</definedName>
    <definedName name="IQ_EST_NI_REPORT_SURPRISE_PERCENT_CIQ" hidden="1">"c4760"</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CIQ" hidden="1">"c12017"</definedName>
    <definedName name="IQ_EST_OPER_INC_SURPRISE_PERCENT" hidden="1">"c1878"</definedName>
    <definedName name="IQ_EST_OPER_INC_SURPRISE_PERCENT_CIQ" hidden="1">"c12018"</definedName>
    <definedName name="IQ_EST_PRE_TAX_DIFF" hidden="1">"c1879"</definedName>
    <definedName name="IQ_EST_PRE_TAX_DIFF_CIQ" hidden="1">"c4749"</definedName>
    <definedName name="IQ_EST_PRE_TAX_GW_DIFF" hidden="1">"c1881"</definedName>
    <definedName name="IQ_EST_PRE_TAX_GW_DIFF_CIQ" hidden="1">"c4751"</definedName>
    <definedName name="IQ_EST_PRE_TAX_GW_SURPRISE_PERCENT" hidden="1">"c1882"</definedName>
    <definedName name="IQ_EST_PRE_TAX_GW_SURPRISE_PERCENT_CIQ" hidden="1">"c4752"</definedName>
    <definedName name="IQ_EST_PRE_TAX_REPORT_DIFF" hidden="1">"c1883"</definedName>
    <definedName name="IQ_EST_PRE_TAX_REPORT_DIFF_CIQ" hidden="1">"c4753"</definedName>
    <definedName name="IQ_EST_PRE_TAX_REPORT_SURPRISE_PERCENT" hidden="1">"c1884"</definedName>
    <definedName name="IQ_EST_PRE_TAX_REPORT_SURPRISE_PERCENT_CIQ" hidden="1">"c4754"</definedName>
    <definedName name="IQ_EST_PRE_TAX_SURPRISE_PERCENT" hidden="1">"c1880"</definedName>
    <definedName name="IQ_EST_PRE_TAX_SURPRISE_PERCENT_CIQ" hidden="1">"c4750"</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CT_OR_EST" hidden="1">"c4446"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HIGH_EST" hidden="1">"c4437"</definedName>
    <definedName name="IQ_FFO_ADJ_HIGH_EST_CIQ" hidden="1">"c4962"</definedName>
    <definedName name="IQ_FFO_ADJ_HIGH_GUIDANCE" hidden="1">"c4202"</definedName>
    <definedName name="IQ_FFO_ADJ_LOW_EST" hidden="1">"c4438"</definedName>
    <definedName name="IQ_FFO_ADJ_LOW_EST_CIQ" hidden="1">"c4963"</definedName>
    <definedName name="IQ_FFO_ADJ_LOW_GUIDANCE" hidden="1">"c4242"</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"c4445"</definedName>
    <definedName name="IQ_FFO_EST_CIQ" hidden="1">"c4970"</definedName>
    <definedName name="IQ_FFO_GUIDANCE" hidden="1">"c4443"</definedName>
    <definedName name="IQ_FFO_HIGH_EST" hidden="1">"c4448"</definedName>
    <definedName name="IQ_FFO_HIGH_EST_CIQ" hidden="1">"c4977"</definedName>
    <definedName name="IQ_FFO_HIGH_GUIDANCE" hidden="1">"c4184"</definedName>
    <definedName name="IQ_FFO_LOW_EST" hidden="1">"c4449"</definedName>
    <definedName name="IQ_FFO_LOW_EST_CIQ" hidden="1">"c4978"</definedName>
    <definedName name="IQ_FFO_LOW_GUIDANCE" hidden="1">"c4224"</definedName>
    <definedName name="IQ_FFO_MEDIAN_EST" hidden="1">"c4450"</definedName>
    <definedName name="IQ_FFO_MEDIAN_EST_CIQ" hidden="1">"c4979"</definedName>
    <definedName name="IQ_FFO_NUM_EST" hidden="1">"c4451"</definedName>
    <definedName name="IQ_FFO_NUM_EST_CIQ" hidden="1">"c4980"</definedName>
    <definedName name="IQ_FFO_PAYOUT_RATIO" hidden="1">"c3492"</definedName>
    <definedName name="IQ_FFO_PER_SHARE_BASIC" hidden="1">"c8867"</definedName>
    <definedName name="IQ_FFO_PER_SHARE_DILUTED" hidden="1">"c8868"</definedName>
    <definedName name="IQ_FFO_SHARE_ACT_OR_EST" hidden="1">"c2216"</definedName>
    <definedName name="IQ_FFO_SHARE_ACT_OR_EST_CIQ" hidden="1">"c4971"</definedName>
    <definedName name="IQ_FFO_SHARE_EST" hidden="1">"c418"</definedName>
    <definedName name="IQ_FFO_SHARE_EST_CIQ" hidden="1">"c3668"</definedName>
    <definedName name="IQ_FFO_SHARE_EST_DET_EST" hidden="1">"c12059"</definedName>
    <definedName name="IQ_FFO_SHARE_EST_DET_EST_CIQ" hidden="1">"c12121"</definedName>
    <definedName name="IQ_FFO_SHARE_EST_DET_EST_CURRENCY" hidden="1">"c12466"</definedName>
    <definedName name="IQ_FFO_SHARE_EST_DET_EST_CURRENCY_CIQ" hidden="1">"c12512"</definedName>
    <definedName name="IQ_FFO_SHARE_EST_DET_EST_DATE" hidden="1">"c12212"</definedName>
    <definedName name="IQ_FFO_SHARE_EST_DET_EST_DATE_CIQ" hidden="1">"c12267"</definedName>
    <definedName name="IQ_FFO_SHARE_EST_DET_EST_INCL" hidden="1">"c12349"</definedName>
    <definedName name="IQ_FFO_SHARE_EST_DET_EST_INCL_CIQ" hidden="1">"c12395"</definedName>
    <definedName name="IQ_FFO_SHARE_EST_DET_EST_ORIGIN" hidden="1">"c12722"</definedName>
    <definedName name="IQ_FFO_SHARE_EST_DET_EST_ORIGIN_CIQ" hidden="1">"c12720"</definedName>
    <definedName name="IQ_FFO_SHARE_GUIDANCE" hidden="1">"c4447"</definedName>
    <definedName name="IQ_FFO_SHARE_HIGH_EST" hidden="1">"c419"</definedName>
    <definedName name="IQ_FFO_SHARE_HIGH_EST_CIQ" hidden="1">"c3670"</definedName>
    <definedName name="IQ_FFO_SHARE_HIGH_GUIDANCE" hidden="1">"c4203"</definedName>
    <definedName name="IQ_FFO_SHARE_LOW_EST" hidden="1">"c420"</definedName>
    <definedName name="IQ_FFO_SHARE_LOW_EST_CIQ" hidden="1">"c3671"</definedName>
    <definedName name="IQ_FFO_SHARE_LOW_GUIDANCE" hidden="1">"c4243"</definedName>
    <definedName name="IQ_FFO_SHARE_MEDIAN_EST" hidden="1">"c1665"</definedName>
    <definedName name="IQ_FFO_SHARE_MEDIAN_EST_CIQ" hidden="1">"c3669"</definedName>
    <definedName name="IQ_FFO_SHARE_NUM_EST" hidden="1">"c421"</definedName>
    <definedName name="IQ_FFO_SHARE_NUM_EST_CIQ" hidden="1">"c3672"</definedName>
    <definedName name="IQ_FFO_SHARE_STDDEV_EST" hidden="1">"c422"</definedName>
    <definedName name="IQ_FFO_SHARE_STDDEV_EST_CIQ" hidden="1">"c3673"</definedName>
    <definedName name="IQ_FFO_STDDEV_EST" hidden="1">"c4452"</definedName>
    <definedName name="IQ_FFO_STDDEV_EST_CIQ" hidden="1">"c4981"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COME_LIST" hidden="1">"c13504"</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AIRMENT_GW_SUPPLE" hidden="1">"c13811"</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"c1407"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CIQ" hidden="1">"c12122"</definedName>
    <definedName name="IQ_LT_GROWTH_DET_EST_DATE" hidden="1">"c12213"</definedName>
    <definedName name="IQ_LT_GROWTH_DET_EST_DATE_CIQ" hidden="1">"c12268"</definedName>
    <definedName name="IQ_LT_GROWTH_DET_EST_INCL" hidden="1">"c12350"</definedName>
    <definedName name="IQ_LT_GROWTH_DET_EST_INCL_CIQ" hidden="1">"c12396"</definedName>
    <definedName name="IQ_LT_GROWTH_DET_EST_ORIGIN" hidden="1">"c12725"</definedName>
    <definedName name="IQ_LT_GROWTH_DET_EST_ORIGIN_CIQ" hidden="1">"c12721"</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HIGH_EST" hidden="1">"c4460"</definedName>
    <definedName name="IQ_MAINT_CAPEX_HIGH_EST_CIQ" hidden="1">"c4989"</definedName>
    <definedName name="IQ_MAINT_CAPEX_HIGH_GUIDANCE" hidden="1">"c4197"</definedName>
    <definedName name="IQ_MAINT_CAPEX_LOW_EST" hidden="1">"c4461"</definedName>
    <definedName name="IQ_MAINT_CAPEX_LOW_EST_CIQ" hidden="1">"c4990"</definedName>
    <definedName name="IQ_MAINT_CAPEX_LOW_GUIDANCE" hidden="1">"c4237"</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localSheetId="4" hidden="1">40616.3842708333</definedName>
    <definedName name="IQ_NAMES_REVISION_DATE_" localSheetId="9" hidden="1">40616.3842708333</definedName>
    <definedName name="IQ_NAMES_REVISION_DATE_" hidden="1">"09/28/2014 04:28:11"</definedName>
    <definedName name="IQ_NATIVE_COMPANY_NAME" hidden="1">"c13822"</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CIQ" hidden="1">"c12038"</definedName>
    <definedName name="IQ_NAV_SHARE_DET_EST_CIQ" hidden="1">"c12123"</definedName>
    <definedName name="IQ_NAV_SHARE_DET_EST_CURRENCY_CIQ" hidden="1">"c12514"</definedName>
    <definedName name="IQ_NAV_SHARE_DET_EST_DATE_CIQ" hidden="1">"c12269"</definedName>
    <definedName name="IQ_NAV_SHARE_DET_EST_INCL_CIQ" hidden="1">"c12397"</definedName>
    <definedName name="IQ_NAV_SHARE_DET_EST_ORIGIN" hidden="1">"c12585"</definedName>
    <definedName name="IQ_NAV_SHARE_DET_EST_ORIGIN_CIQ" hidden="1">"c12638"</definedName>
    <definedName name="IQ_NAV_SHARE_EST_CIQ" hidden="1">"c12032"</definedName>
    <definedName name="IQ_NAV_SHARE_HIGH_EST_CIQ" hidden="1">"c12035"</definedName>
    <definedName name="IQ_NAV_SHARE_LOW_EST_CIQ" hidden="1">"c12036"</definedName>
    <definedName name="IQ_NAV_SHARE_MEDIAN_EST_CIQ" hidden="1">"c12033"</definedName>
    <definedName name="IQ_NAV_SHARE_NUM_EST_CIQ" hidden="1">"c12037"</definedName>
    <definedName name="IQ_NAV_SHARE_STDDEV_EST_CIQ" hidden="1">"c12034"</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DET_EST" hidden="1">"c12061"</definedName>
    <definedName name="IQ_NET_DEBT_DET_EST_CIQ" hidden="1">"c12124"</definedName>
    <definedName name="IQ_NET_DEBT_DET_EST_CURRENCY" hidden="1">"c12468"</definedName>
    <definedName name="IQ_NET_DEBT_DET_EST_CURRENCY_CIQ" hidden="1">"c12515"</definedName>
    <definedName name="IQ_NET_DEBT_DET_EST_DATE" hidden="1">"c12214"</definedName>
    <definedName name="IQ_NET_DEBT_DET_EST_DATE_CIQ" hidden="1">"c12270"</definedName>
    <definedName name="IQ_NET_DEBT_DET_EST_INCL" hidden="1">"c12351"</definedName>
    <definedName name="IQ_NET_DEBT_DET_EST_INCL_CIQ" hidden="1">"c12398"</definedName>
    <definedName name="IQ_NET_DEBT_DET_EST_ORIGIN" hidden="1">"c12586"</definedName>
    <definedName name="IQ_NET_DEBT_DET_EST_ORIGIN_CIQ" hidden="1">"c12639"</definedName>
    <definedName name="IQ_NET_DEBT_EBITDA" hidden="1">"c750"</definedName>
    <definedName name="IQ_NET_DEBT_EBITDA_CAPEX" hidden="1">"c2949"</definedName>
    <definedName name="IQ_NET_DEBT_EST" hidden="1">"c3517"</definedName>
    <definedName name="IQ_NET_DEBT_EST_CIQ" hidden="1">"c3814"</definedName>
    <definedName name="IQ_NET_DEBT_GUIDANCE" hidden="1">"c4467"</definedName>
    <definedName name="IQ_NET_DEBT_HIGH_EST" hidden="1">"c3518"</definedName>
    <definedName name="IQ_NET_DEBT_HIGH_EST_CIQ" hidden="1">"c3816"</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GUIDANCE" hidden="1">"c4221"</definedName>
    <definedName name="IQ_NET_DEBT_MEDIAN_EST" hidden="1">"c3520"</definedName>
    <definedName name="IQ_NET_DEBT_MEDIAN_EST_CIQ" hidden="1">"c3815"</definedName>
    <definedName name="IQ_NET_DEBT_NUM_EST" hidden="1">"c3515"</definedName>
    <definedName name="IQ_NET_DEBT_NUM_EST_CIQ" hidden="1">"c3818"</definedName>
    <definedName name="IQ_NET_DEBT_STDDEV_EST" hidden="1">"c3516"</definedName>
    <definedName name="IQ_NET_DEBT_STDDEV_EST_CIQ" hidden="1">"c3819"</definedName>
    <definedName name="IQ_NET_EARNED" hidden="1">"c2734"</definedName>
    <definedName name="IQ_NET_FUNDS_PURCHASED_ASSETS_TOT_FFIEC" hidden="1">"c13448"</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IQ" hidden="1">"c12125"</definedName>
    <definedName name="IQ_NI_DET_EST_CURRENCY" hidden="1">"c12469"</definedName>
    <definedName name="IQ_NI_DET_EST_CURRENCY_CIQ" hidden="1">"c12516"</definedName>
    <definedName name="IQ_NI_DET_EST_DATE" hidden="1">"c12215"</definedName>
    <definedName name="IQ_NI_DET_EST_DATE_CIQ" hidden="1">"c12271"</definedName>
    <definedName name="IQ_NI_DET_EST_INCL" hidden="1">"c12352"</definedName>
    <definedName name="IQ_NI_DET_EST_INCL_CIQ" hidden="1">"c12399"</definedName>
    <definedName name="IQ_NI_DET_EST_ORIGIN" hidden="1">"c12587"</definedName>
    <definedName name="IQ_NI_DET_EST_ORIGIN_CIQ" hidden="1">"c12640"</definedName>
    <definedName name="IQ_NI_EST" hidden="1">"c1716"</definedName>
    <definedName name="IQ_NI_EST_CIQ" hidden="1">"c4702"</definedName>
    <definedName name="IQ_NI_FFIEC" hidden="1">"c13034"</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DET_EST" hidden="1">"c12063"</definedName>
    <definedName name="IQ_NI_GW_DET_EST_CIQ" hidden="1">"c12126"</definedName>
    <definedName name="IQ_NI_GW_DET_EST_CURRENCY" hidden="1">"c12470"</definedName>
    <definedName name="IQ_NI_GW_DET_EST_CURRENCY_CIQ" hidden="1">"c12517"</definedName>
    <definedName name="IQ_NI_GW_DET_EST_DATE" hidden="1">"c12216"</definedName>
    <definedName name="IQ_NI_GW_DET_EST_DATE_CIQ" hidden="1">"c12272"</definedName>
    <definedName name="IQ_NI_GW_DET_EST_INCL" hidden="1">"c12353"</definedName>
    <definedName name="IQ_NI_GW_DET_EST_INCL_CIQ" hidden="1">"c12400"</definedName>
    <definedName name="IQ_NI_GW_DET_EST_ORIGIN_CIQ" hidden="1">"c12641"</definedName>
    <definedName name="IQ_NI_GW_EST" hidden="1">"c1723"</definedName>
    <definedName name="IQ_NI_GW_EST_CIQ" hidden="1">"c4709"</definedName>
    <definedName name="IQ_NI_GW_GUIDANCE" hidden="1">"c4471"</definedName>
    <definedName name="IQ_NI_GW_HIGH_EST" hidden="1">"c1725"</definedName>
    <definedName name="IQ_NI_GW_HIGH_EST_CIQ" hidden="1">"c4711"</definedName>
    <definedName name="IQ_NI_GW_HIGH_GUIDANCE" hidden="1">"c4178"</definedName>
    <definedName name="IQ_NI_GW_LOW_EST" hidden="1">"c1726"</definedName>
    <definedName name="IQ_NI_GW_LOW_EST_CIQ" hidden="1">"c4712"</definedName>
    <definedName name="IQ_NI_GW_LOW_GUIDANCE" hidden="1">"c4218"</definedName>
    <definedName name="IQ_NI_GW_MEDIAN_EST" hidden="1">"c1724"</definedName>
    <definedName name="IQ_NI_GW_MEDIAN_EST_CIQ" hidden="1">"c4710"</definedName>
    <definedName name="IQ_NI_GW_NUM_EST" hidden="1">"c1727"</definedName>
    <definedName name="IQ_NI_GW_NUM_EST_CIQ" hidden="1">"c4713"</definedName>
    <definedName name="IQ_NI_GW_STDDEV_EST" hidden="1">"c1728"</definedName>
    <definedName name="IQ_NI_GW_STDDEV_EST_CIQ" hidden="1">"c4714"</definedName>
    <definedName name="IQ_NI_HIGH_EST" hidden="1">"c1718"</definedName>
    <definedName name="IQ_NI_HIGH_EST_CIQ" hidden="1">"c4704"</definedName>
    <definedName name="IQ_NI_HIGH_GUIDANCE" hidden="1">"c4176"</definedName>
    <definedName name="IQ_NI_LOW_EST" hidden="1">"c1719"</definedName>
    <definedName name="IQ_NI_LOW_EST_CIQ" hidden="1">"c4705"</definedName>
    <definedName name="IQ_NI_LOW_GUIDANCE" hidden="1">"c4216"</definedName>
    <definedName name="IQ_NI_MARGIN" hidden="1">"c794"</definedName>
    <definedName name="IQ_NI_MEDIAN_EST" hidden="1">"c1717"</definedName>
    <definedName name="IQ_NI_MEDIAN_EST_CIQ" hidden="1">"c4703"</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REPORTED_DET_EST_CIQ" hidden="1">"c12127"</definedName>
    <definedName name="IQ_NI_REPORTED_DET_EST_CURRENCY_CIQ" hidden="1">"c12518"</definedName>
    <definedName name="IQ_NI_REPORTED_DET_EST_DATE_CIQ" hidden="1">"c12273"</definedName>
    <definedName name="IQ_NI_REPORTED_DET_EST_INCL_CIQ" hidden="1">"c12401"</definedName>
    <definedName name="IQ_NI_REPORTED_DET_EST_ORIGIN" hidden="1">"c12588"</definedName>
    <definedName name="IQ_NI_REPORTED_DET_EST_ORIGIN_CIQ" hidden="1">"c12642"</definedName>
    <definedName name="IQ_NI_REPORTED_EST" hidden="1">"c1730"</definedName>
    <definedName name="IQ_NI_REPORTED_EST_CIQ" hidden="1">"c4716"</definedName>
    <definedName name="IQ_NI_REPORTED_HIGH_EST" hidden="1">"c1732"</definedName>
    <definedName name="IQ_NI_REPORTED_HIGH_EST_CIQ" hidden="1">"c4718"</definedName>
    <definedName name="IQ_NI_REPORTED_LOW_EST" hidden="1">"c1733"</definedName>
    <definedName name="IQ_NI_REPORTED_LOW_EST_CIQ" hidden="1">"c4719"</definedName>
    <definedName name="IQ_NI_REPORTED_MEDIAN_EST" hidden="1">"c1731"</definedName>
    <definedName name="IQ_NI_REPORTED_MEDIAN_EST_CIQ" hidden="1">"c4717"</definedName>
    <definedName name="IQ_NI_REPORTED_NUM_EST" hidden="1">"c1734"</definedName>
    <definedName name="IQ_NI_REPORTED_NUM_EST_CIQ" hidden="1">"c4720"</definedName>
    <definedName name="IQ_NI_REPORTED_STDDEV_EST" hidden="1">"c1735"</definedName>
    <definedName name="IQ_NI_REPORTED_STDDEV_EST_CIQ" hidden="1">"c4721"</definedName>
    <definedName name="IQ_NI_SBC_ACT_OR_EST" hidden="1">"c4474"</definedName>
    <definedName name="IQ_NI_SBC_ACT_OR_EST_CIQ" hidden="1">"c5012"</definedName>
    <definedName name="IQ_NI_SBC_EST" hidden="1">"c4473"</definedName>
    <definedName name="IQ_NI_SBC_EST_CIQ" hidden="1">"c5011"</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HIGH_EST" hidden="1">"c4480"</definedName>
    <definedName name="IQ_NI_SBC_GW_HIGH_EST_CIQ" hidden="1">"c5018"</definedName>
    <definedName name="IQ_NI_SBC_GW_LOW_EST" hidden="1">"c4481"</definedName>
    <definedName name="IQ_NI_SBC_GW_LOW_EST_CIQ" hidden="1">"c5019"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LOW_EST" hidden="1">"c4487"</definedName>
    <definedName name="IQ_NI_SBC_LOW_EST_CIQ" hidden="1">"c5025"</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localSheetId="4" hidden="1">"c11750"</definedName>
    <definedName name="IQ_NON_INT_BEAR_CD" localSheetId="9" hidden="1">"c11750"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GROSS_LOANS_FFIEC" hidden="1">"c13405"</definedName>
    <definedName name="IQ_NONFARM_NONRES_LL_REC_DOM_FFIEC" hidden="1">"c13626"</definedName>
    <definedName name="IQ_NONFARM_NONRES_RISK_BASED_FFIEC" hidden="1">"c13426"</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CIQ" hidden="1">"c12019"</definedName>
    <definedName name="IQ_OPER_INC_BR" hidden="1">"c850"</definedName>
    <definedName name="IQ_OPER_INC_DET_EST" hidden="1">"c12064"</definedName>
    <definedName name="IQ_OPER_INC_DET_EST_CIQ" hidden="1">"c12128"</definedName>
    <definedName name="IQ_OPER_INC_DET_EST_CIQ_CURRENCY_CIQ" hidden="1">"c12519"</definedName>
    <definedName name="IQ_OPER_INC_DET_EST_CIQ_INCL_INCL_CIQ" hidden="1">"c12402"</definedName>
    <definedName name="IQ_OPER_INC_DET_EST_CURRENCY" hidden="1">"c12471"</definedName>
    <definedName name="IQ_OPER_INC_DET_EST_DATE" hidden="1">"c12217"</definedName>
    <definedName name="IQ_OPER_INC_DET_EST_DATE_CIQ" hidden="1">"c12274"</definedName>
    <definedName name="IQ_OPER_INC_DET_EST_INCL" hidden="1">"c12354"</definedName>
    <definedName name="IQ_OPER_INC_DET_EST_ORIGIN" hidden="1">"c12589"</definedName>
    <definedName name="IQ_OPER_INC_DET_EST_ORIGIN_CIQ" hidden="1">"c12643"</definedName>
    <definedName name="IQ_OPER_INC_EST" hidden="1">"c1688"</definedName>
    <definedName name="IQ_OPER_INC_EST_CIQ" hidden="1">"c12010"</definedName>
    <definedName name="IQ_OPER_INC_FIN" hidden="1">"c851"</definedName>
    <definedName name="IQ_OPER_INC_HIGH_EST" hidden="1">"c1690"</definedName>
    <definedName name="IQ_OPER_INC_HIGH_EST_CIQ" hidden="1">"c12012"</definedName>
    <definedName name="IQ_OPER_INC_INS" hidden="1">"c852"</definedName>
    <definedName name="IQ_OPER_INC_LOW_EST" hidden="1">"c1691"</definedName>
    <definedName name="IQ_OPER_INC_LOW_EST_CIQ" hidden="1">"c12013"</definedName>
    <definedName name="IQ_OPER_INC_MARGIN" hidden="1">"c1448"</definedName>
    <definedName name="IQ_OPER_INC_MEDIAN_EST" hidden="1">"c1689"</definedName>
    <definedName name="IQ_OPER_INC_MEDIAN_EST_CIQ" hidden="1">"c12011"</definedName>
    <definedName name="IQ_OPER_INC_NUM_EST" hidden="1">"c1692"</definedName>
    <definedName name="IQ_OPER_INC_NUM_EST_CIQ" hidden="1">"c12014"</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AX_EQUIVALENT_ADJUSTMENTS_FFIEC" hidden="1">"c13855"</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2MONTHS_CIQ" hidden="1">"c3755"</definedName>
    <definedName name="IQ_PERCENT_CHANGE_EST_CFPS_18MONTHS" hidden="1">"c1813"</definedName>
    <definedName name="IQ_PERCENT_CHANGE_EST_CFPS_18MONTHS_CIQ" hidden="1">"c3756"</definedName>
    <definedName name="IQ_PERCENT_CHANGE_EST_CFPS_3MONTHS" hidden="1">"c1809"</definedName>
    <definedName name="IQ_PERCENT_CHANGE_EST_CFPS_3MONTHS_CIQ" hidden="1">"c3752"</definedName>
    <definedName name="IQ_PERCENT_CHANGE_EST_CFPS_6MONTHS" hidden="1">"c1810"</definedName>
    <definedName name="IQ_PERCENT_CHANGE_EST_CFPS_6MONTHS_CIQ" hidden="1">"c3753"</definedName>
    <definedName name="IQ_PERCENT_CHANGE_EST_CFPS_9MONTHS" hidden="1">"c1811"</definedName>
    <definedName name="IQ_PERCENT_CHANGE_EST_CFPS_9MONTHS_CIQ" hidden="1">"c3754"</definedName>
    <definedName name="IQ_PERCENT_CHANGE_EST_CFPS_DAY" hidden="1">"c1806"</definedName>
    <definedName name="IQ_PERCENT_CHANGE_EST_CFPS_DAY_CIQ" hidden="1">"c3750"</definedName>
    <definedName name="IQ_PERCENT_CHANGE_EST_CFPS_MONTH" hidden="1">"c1808"</definedName>
    <definedName name="IQ_PERCENT_CHANGE_EST_CFPS_MONTH_CIQ" hidden="1">"c3751"</definedName>
    <definedName name="IQ_PERCENT_CHANGE_EST_CFPS_WEEK" hidden="1">"c1807"</definedName>
    <definedName name="IQ_PERCENT_CHANGE_EST_CFPS_WEEK_CIQ" hidden="1">"c3793"</definedName>
    <definedName name="IQ_PERCENT_CHANGE_EST_DPS_12MONTHS" hidden="1">"c1820"</definedName>
    <definedName name="IQ_PERCENT_CHANGE_EST_DPS_12MONTHS_CIQ" hidden="1">"c3762"</definedName>
    <definedName name="IQ_PERCENT_CHANGE_EST_DPS_18MONTHS" hidden="1">"c1821"</definedName>
    <definedName name="IQ_PERCENT_CHANGE_EST_DPS_18MONTHS_CIQ" hidden="1">"c3763"</definedName>
    <definedName name="IQ_PERCENT_CHANGE_EST_DPS_3MONTHS" hidden="1">"c1817"</definedName>
    <definedName name="IQ_PERCENT_CHANGE_EST_DPS_3MONTHS_CIQ" hidden="1">"c3759"</definedName>
    <definedName name="IQ_PERCENT_CHANGE_EST_DPS_6MONTHS" hidden="1">"c1818"</definedName>
    <definedName name="IQ_PERCENT_CHANGE_EST_DPS_6MONTHS_CIQ" hidden="1">"c3760"</definedName>
    <definedName name="IQ_PERCENT_CHANGE_EST_DPS_9MONTHS" hidden="1">"c1819"</definedName>
    <definedName name="IQ_PERCENT_CHANGE_EST_DPS_9MONTHS_CIQ" hidden="1">"c3761"</definedName>
    <definedName name="IQ_PERCENT_CHANGE_EST_DPS_DAY" hidden="1">"c1814"</definedName>
    <definedName name="IQ_PERCENT_CHANGE_EST_DPS_DAY_CIQ" hidden="1">"c3757"</definedName>
    <definedName name="IQ_PERCENT_CHANGE_EST_DPS_MONTH" hidden="1">"c1816"</definedName>
    <definedName name="IQ_PERCENT_CHANGE_EST_DPS_MONTH_CIQ" hidden="1">"c3758"</definedName>
    <definedName name="IQ_PERCENT_CHANGE_EST_DPS_WEEK" hidden="1">"c1815"</definedName>
    <definedName name="IQ_PERCENT_CHANGE_EST_DPS_WEEK_CIQ" hidden="1">"c3794"</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SHARE_12MONTHS" hidden="1">"c1828"</definedName>
    <definedName name="IQ_PERCENT_CHANGE_EST_FFO_SHARE_12MONTHS_CIQ" hidden="1">"c3769"</definedName>
    <definedName name="IQ_PERCENT_CHANGE_EST_FFO_SHARE_18MONTHS" hidden="1">"c1829"</definedName>
    <definedName name="IQ_PERCENT_CHANGE_EST_FFO_SHARE_18MONTHS_CIQ" hidden="1">"c3770"</definedName>
    <definedName name="IQ_PERCENT_CHANGE_EST_FFO_SHARE_3MONTHS" hidden="1">"c1825"</definedName>
    <definedName name="IQ_PERCENT_CHANGE_EST_FFO_SHARE_3MONTHS_CIQ" hidden="1">"c3766"</definedName>
    <definedName name="IQ_PERCENT_CHANGE_EST_FFO_SHARE_6MONTHS" hidden="1">"c1826"</definedName>
    <definedName name="IQ_PERCENT_CHANGE_EST_FFO_SHARE_6MONTHS_CIQ" hidden="1">"c3767"</definedName>
    <definedName name="IQ_PERCENT_CHANGE_EST_FFO_SHARE_9MONTHS" hidden="1">"c1827"</definedName>
    <definedName name="IQ_PERCENT_CHANGE_EST_FFO_SHARE_9MONTHS_CIQ" hidden="1">"c3768"</definedName>
    <definedName name="IQ_PERCENT_CHANGE_EST_FFO_SHARE_DAY" hidden="1">"c1822"</definedName>
    <definedName name="IQ_PERCENT_CHANGE_EST_FFO_SHARE_DAY_CIQ" hidden="1">"c3764"</definedName>
    <definedName name="IQ_PERCENT_CHANGE_EST_FFO_SHARE_MONTH" hidden="1">"c1824"</definedName>
    <definedName name="IQ_PERCENT_CHANGE_EST_FFO_SHARE_MONTH_CIQ" hidden="1">"c3765"</definedName>
    <definedName name="IQ_PERCENT_CHANGE_EST_FFO_SHARE_WEEK" hidden="1">"c1823"</definedName>
    <definedName name="IQ_PERCENT_CHANGE_EST_FFO_SHARE_WEEK_CIQ" hidden="1">"c3795"</definedName>
    <definedName name="IQ_PERCENT_CHANGE_EST_FFO_WEEK" hidden="1">"c1823"</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LEDGED_SEC_INVEST_SECURITIES_FFIEC" hidden="1">"c13467"</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RE_OPEN_COST" hidden="1">"c1040"</definedName>
    <definedName name="IQ_PRE_TAX_ACT_OR_EST" hidden="1">"c2221"</definedName>
    <definedName name="IQ_PRE_TAX_ACT_OR_EST_CIQ" hidden="1">"c5064"</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DET_EST_CIQ" hidden="1">"c12116"</definedName>
    <definedName name="IQ_PRETAX_GW_INC_DET_EST_CURRENCY_CIQ" hidden="1">"c12507"</definedName>
    <definedName name="IQ_PRETAX_GW_INC_DET_EST_DATE_CIQ" hidden="1">"c12262"</definedName>
    <definedName name="IQ_PRETAX_GW_INC_DET_EST_INCL_CIQ" hidden="1">"c12390"</definedName>
    <definedName name="IQ_PRETAX_GW_INC_DET_EST_ORIGIN_CIQ" hidden="1">"c12631"</definedName>
    <definedName name="IQ_PRETAX_GW_INC_EST" hidden="1">"c1702"</definedName>
    <definedName name="IQ_PRETAX_GW_INC_EST_CIQ" hidden="1">"c4688"</definedName>
    <definedName name="IQ_PRETAX_GW_INC_HIGH_EST" hidden="1">"c1704"</definedName>
    <definedName name="IQ_PRETAX_GW_INC_HIGH_EST_CIQ" hidden="1">"c4690"</definedName>
    <definedName name="IQ_PRETAX_GW_INC_LOW_EST" hidden="1">"c1705"</definedName>
    <definedName name="IQ_PRETAX_GW_INC_LOW_EST_CIQ" hidden="1">"c4691"</definedName>
    <definedName name="IQ_PRETAX_GW_INC_MEDIAN_EST" hidden="1">"c1703"</definedName>
    <definedName name="IQ_PRETAX_GW_INC_MEDIAN_EST_CIQ" hidden="1">"c4689"</definedName>
    <definedName name="IQ_PRETAX_GW_INC_NUM_EST" hidden="1">"c1706"</definedName>
    <definedName name="IQ_PRETAX_GW_INC_NUM_EST_CIQ" hidden="1">"c4692"</definedName>
    <definedName name="IQ_PRETAX_GW_INC_STDDEV_EST" hidden="1">"c1707"</definedName>
    <definedName name="IQ_PRETAX_GW_INC_STDDEV_EST_CIQ" hidden="1">"c4693"</definedName>
    <definedName name="IQ_PRETAX_INC_DET_EST" hidden="1">"c12055"</definedName>
    <definedName name="IQ_PRETAX_INC_DET_EST_CIQ" hidden="1">"c12115"</definedName>
    <definedName name="IQ_PRETAX_INC_DET_EST_CURRENCY" hidden="1">"c12462"</definedName>
    <definedName name="IQ_PRETAX_INC_DET_EST_CURRENCY_CIQ" hidden="1">"c12506"</definedName>
    <definedName name="IQ_PRETAX_INC_DET_EST_DATE" hidden="1">"c12208"</definedName>
    <definedName name="IQ_PRETAX_INC_DET_EST_DATE_CIQ" hidden="1">"c12261"</definedName>
    <definedName name="IQ_PRETAX_INC_DET_EST_INCL" hidden="1">"c12345"</definedName>
    <definedName name="IQ_PRETAX_INC_DET_EST_INCL_CIQ" hidden="1">"c12389"</definedName>
    <definedName name="IQ_PRETAX_INC_DET_EST_ORIGIN" hidden="1">"c12771"</definedName>
    <definedName name="IQ_PRETAX_INC_DET_EST_ORIGIN_CIQ" hidden="1">"c12630"</definedName>
    <definedName name="IQ_PRETAX_INC_EST" hidden="1">"c1695"</definedName>
    <definedName name="IQ_PRETAX_INC_EST_CIQ" hidden="1">"c4681"</definedName>
    <definedName name="IQ_PRETAX_INC_HIGH_EST" hidden="1">"c1697"</definedName>
    <definedName name="IQ_PRETAX_INC_HIGH_EST_CIQ" hidden="1">"c4683"</definedName>
    <definedName name="IQ_PRETAX_INC_LOW_EST" hidden="1">"c1698"</definedName>
    <definedName name="IQ_PRETAX_INC_LOW_EST_CIQ" hidden="1">"c4684"</definedName>
    <definedName name="IQ_PRETAX_INC_MEDIAN_EST" hidden="1">"c1696"</definedName>
    <definedName name="IQ_PRETAX_INC_MEDIAN_EST_CIQ" hidden="1">"c4682"</definedName>
    <definedName name="IQ_PRETAX_INC_NUM_EST" hidden="1">"c1699"</definedName>
    <definedName name="IQ_PRETAX_INC_NUM_EST_CIQ" hidden="1">"c4685"</definedName>
    <definedName name="IQ_PRETAX_INC_STDDEV_EST" hidden="1">"c1700"</definedName>
    <definedName name="IQ_PRETAX_INC_STDDEV_EST_CIQ" hidden="1">"c4686"</definedName>
    <definedName name="IQ_PRETAX_OPERATING_INC_AVG_ASSETS_FFIEC" hidden="1">"c13365"</definedName>
    <definedName name="IQ_PRETAX_REPORT_INC_DET_EST_CIQ" hidden="1">"c12117"</definedName>
    <definedName name="IQ_PRETAX_REPORT_INC_DET_EST_CURRENCY_CIQ" hidden="1">"c12508"</definedName>
    <definedName name="IQ_PRETAX_REPORT_INC_DET_EST_DATE_CIQ" hidden="1">"c12263"</definedName>
    <definedName name="IQ_PRETAX_REPORT_INC_DET_EST_INCL_CIQ" hidden="1">"c12391"</definedName>
    <definedName name="IQ_PRETAX_REPORT_INC_DET_EST_ORIGIN_CIQ" hidden="1">"c12719"</definedName>
    <definedName name="IQ_PRETAX_REPORT_INC_EST" hidden="1">"c1709"</definedName>
    <definedName name="IQ_PRETAX_REPORT_INC_EST_CIQ" hidden="1">"c4695"</definedName>
    <definedName name="IQ_PRETAX_REPORT_INC_HIGH_EST" hidden="1">"c1711"</definedName>
    <definedName name="IQ_PRETAX_REPORT_INC_HIGH_EST_CIQ" hidden="1">"c4697"</definedName>
    <definedName name="IQ_PRETAX_REPORT_INC_LOW_EST" hidden="1">"c1712"</definedName>
    <definedName name="IQ_PRETAX_REPORT_INC_LOW_EST_CIQ" hidden="1">"c4698"</definedName>
    <definedName name="IQ_PRETAX_REPORT_INC_MEDIAN_EST" hidden="1">"c1710"</definedName>
    <definedName name="IQ_PRETAX_REPORT_INC_MEDIAN_EST_CIQ" hidden="1">"c4696"</definedName>
    <definedName name="IQ_PRETAX_REPORT_INC_NUM_EST" hidden="1">"c1713"</definedName>
    <definedName name="IQ_PRETAX_REPORT_INC_NUM_EST_CIQ" hidden="1">"c4699"</definedName>
    <definedName name="IQ_PRETAX_REPORT_INC_STDDEV_EST" hidden="1">"c1714"</definedName>
    <definedName name="IQ_PRETAX_REPORT_INC_STDDEV_EST_CIQ" hidden="1">"c4700"</definedName>
    <definedName name="IQ_PRETAX_RETURN_ASSETS_FDIC" hidden="1">"c6731"</definedName>
    <definedName name="IQ_PRICE_CFPS_FWD" hidden="1">"c2237"</definedName>
    <definedName name="IQ_PRICE_CFPS_FWD_CIQ" hidden="1">"c4046"</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CIQ" hidden="1">"c12023"</definedName>
    <definedName name="IQ_PRICE_TARGET_CIQ" hidden="1">"c3613"</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ING_DATE" hidden="1">"c1613"</definedName>
    <definedName name="IQ_PRIMARY_EPS_TYPE" hidden="1">"c4498"</definedName>
    <definedName name="IQ_PRIMARY_EPS_TYPE_CIQ" hidden="1">"c5036"</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ID" hidden="1">"c13755"</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HIGH_EST" hidden="1">"c4501"</definedName>
    <definedName name="IQ_RECURRING_PROFIT_HIGH_EST_CIQ" hidden="1">"c5039"</definedName>
    <definedName name="IQ_RECURRING_PROFIT_LOW_EST" hidden="1">"c4502"</definedName>
    <definedName name="IQ_RECURRING_PROFIT_LOW_EST_CIQ" hidden="1">"c5040"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HIGH_EST" hidden="1">"c4510"</definedName>
    <definedName name="IQ_RECURRING_PROFIT_SHARE_HIGH_EST_CIQ" hidden="1">"c5048"</definedName>
    <definedName name="IQ_RECURRING_PROFIT_SHARE_LOW_EST" hidden="1">"c4511"</definedName>
    <definedName name="IQ_RECURRING_PROFIT_SHARE_LOW_EST_CIQ" hidden="1">"c5049"</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localSheetId="4" hidden="1">"c2895"</definedName>
    <definedName name="IQ_RETAIL_ACQUIRED_FRANCHISE_STORES" localSheetId="9" hidden="1">"c2895"</definedName>
    <definedName name="IQ_RETAIL_ACQUIRED_FRANCHISE_STORES" hidden="1">"c2903"</definedName>
    <definedName name="IQ_RETAIL_ACQUIRED_OWNED_STORES" localSheetId="4" hidden="1">"c2903"</definedName>
    <definedName name="IQ_RETAIL_ACQUIRED_OWNED_STORES" localSheetId="9"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_CATALOG" hidden="1">"c9903"</definedName>
    <definedName name="IQ_RETAIL_SALES_ONLINE" hidden="1">"c9904"</definedName>
    <definedName name="IQ_RETAIL_SALES_RETAIL" hidden="1">"c9902"</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CIQ" hidden="1">"c12020"</definedName>
    <definedName name="IQ_RETURN_ASSETS_BANK" hidden="1">"c1114"</definedName>
    <definedName name="IQ_RETURN_ASSETS_BROK" hidden="1">"c1115"</definedName>
    <definedName name="IQ_RETURN_ASSETS_DET_EST" hidden="1">"c12066"</definedName>
    <definedName name="IQ_RETURN_ASSETS_DET_EST_CIQ" hidden="1">"c12130"</definedName>
    <definedName name="IQ_RETURN_ASSETS_DET_EST_DATE" hidden="1">"c12219"</definedName>
    <definedName name="IQ_RETURN_ASSETS_DET_EST_DATE_CIQ" hidden="1">"c12276"</definedName>
    <definedName name="IQ_RETURN_ASSETS_DET_EST_INCL" hidden="1">"c12356"</definedName>
    <definedName name="IQ_RETURN_ASSETS_DET_EST_INCL_CIQ" hidden="1">"c12404"</definedName>
    <definedName name="IQ_RETURN_ASSETS_DET_EST_ORIGIN" hidden="1">"c12591"</definedName>
    <definedName name="IQ_RETURN_ASSETS_DET_EST_ORIGIN_CIQ" hidden="1">"c12645"</definedName>
    <definedName name="IQ_RETURN_ASSETS_EST" hidden="1">"c3529"</definedName>
    <definedName name="IQ_RETURN_ASSETS_EST_CIQ" hidden="1">"c3828"</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CIQ" hidden="1">"c3830"</definedName>
    <definedName name="IQ_RETURN_ASSETS_HIGH_GUIDANCE" hidden="1">"c4183"</definedName>
    <definedName name="IQ_RETURN_ASSETS_LOW_EST" hidden="1">"c3531"</definedName>
    <definedName name="IQ_RETURN_ASSETS_LOW_EST_CIQ" hidden="1">"c3831"</definedName>
    <definedName name="IQ_RETURN_ASSETS_LOW_GUIDANCE" hidden="1">"c4223"</definedName>
    <definedName name="IQ_RETURN_ASSETS_MEDIAN_EST" hidden="1">"c3532"</definedName>
    <definedName name="IQ_RETURN_ASSETS_MEDIAN_EST_CIQ" hidden="1">"c3829"</definedName>
    <definedName name="IQ_RETURN_ASSETS_NUM_EST" hidden="1">"c3527"</definedName>
    <definedName name="IQ_RETURN_ASSETS_NUM_EST_CIQ" hidden="1">"c3832"</definedName>
    <definedName name="IQ_RETURN_ASSETS_STDDEV_EST" hidden="1">"c3528"</definedName>
    <definedName name="IQ_RETURN_ASSETS_STDDEV_EST_CIQ" hidden="1">"c3833"</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BANK" hidden="1">"c1119"</definedName>
    <definedName name="IQ_RETURN_EQUITY_BROK" hidden="1">"c1120"</definedName>
    <definedName name="IQ_RETURN_EQUITY_DET_EST" hidden="1">"c12067"</definedName>
    <definedName name="IQ_RETURN_EQUITY_DET_EST_CIQ" hidden="1">"c12131"</definedName>
    <definedName name="IQ_RETURN_EQUITY_DET_EST_DATE" hidden="1">"c12220"</definedName>
    <definedName name="IQ_RETURN_EQUITY_DET_EST_DATE_CIQ" hidden="1">"c12277"</definedName>
    <definedName name="IQ_RETURN_EQUITY_DET_EST_INCL" hidden="1">"c12357"</definedName>
    <definedName name="IQ_RETURN_EQUITY_DET_EST_INCL_CIQ" hidden="1">"c12405"</definedName>
    <definedName name="IQ_RETURN_EQUITY_DET_EST_ORIGIN" hidden="1">"c12592"</definedName>
    <definedName name="IQ_RETURN_EQUITY_DET_EST_ORIGIN_CIQ" hidden="1">"c12646"</definedName>
    <definedName name="IQ_RETURN_EQUITY_EST" hidden="1">"c3535"</definedName>
    <definedName name="IQ_RETURN_EQUITY_EST_CIQ" hidden="1">"c3821"</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CIQ" hidden="1">"c3823"</definedName>
    <definedName name="IQ_RETURN_EQUITY_HIGH_GUIDANCE" hidden="1">"c4182"</definedName>
    <definedName name="IQ_RETURN_EQUITY_LOW_EST" hidden="1">"c3537"</definedName>
    <definedName name="IQ_RETURN_EQUITY_LOW_EST_CIQ" hidden="1">"c3824"</definedName>
    <definedName name="IQ_RETURN_EQUITY_LOW_GUIDANCE" hidden="1">"c4222"</definedName>
    <definedName name="IQ_RETURN_EQUITY_MEDIAN_EST" hidden="1">"c3538"</definedName>
    <definedName name="IQ_RETURN_EQUITY_MEDIAN_EST_CIQ" hidden="1">"c3822"</definedName>
    <definedName name="IQ_RETURN_EQUITY_NUM_EST" hidden="1">"c3533"</definedName>
    <definedName name="IQ_RETURN_EQUITY_NUM_EST_CIQ" hidden="1">"c3825"</definedName>
    <definedName name="IQ_RETURN_EQUITY_STDDEV_EST" hidden="1">"c3534"</definedName>
    <definedName name="IQ_RETURN_EQUITY_STDDEV_EST_CIQ" hidden="1">"c3826"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DET_EST" hidden="1">"c12065"</definedName>
    <definedName name="IQ_REV_DET_EST_CIQ" hidden="1">"c12129"</definedName>
    <definedName name="IQ_REV_DET_EST_CURRENCY" hidden="1">"c12472"</definedName>
    <definedName name="IQ_REV_DET_EST_CURRENCY_CIQ" hidden="1">"c12520"</definedName>
    <definedName name="IQ_REV_DET_EST_DATE" hidden="1">"c12218"</definedName>
    <definedName name="IQ_REV_DET_EST_DATE_CIQ" hidden="1">"c12275"</definedName>
    <definedName name="IQ_REV_DET_EST_INCL" hidden="1">"c12355"</definedName>
    <definedName name="IQ_REV_DET_EST_INCL_CIQ" hidden="1">"c12403"</definedName>
    <definedName name="IQ_REV_DET_EST_ORIGIN" hidden="1">"c12590"</definedName>
    <definedName name="IQ_REV_DET_EST_ORIGIN_CIQ" hidden="1">"c12644"</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BOTTOM_UP" hidden="1">"c5488"</definedName>
    <definedName name="IQ_REVENUE_EST_BOTTOM_UP_CIQ" hidden="1">"c12025"</definedName>
    <definedName name="IQ_REVENUE_EST_CIQ" hidden="1">"c3616"</definedName>
    <definedName name="IQ_REVENUE_GUIDANCE" hidden="1">"c4519"</definedName>
    <definedName name="IQ_REVENUE_HIGH_EST" hidden="1">"c1127"</definedName>
    <definedName name="IQ_REVENUE_HIGH_EST_CIQ" hidden="1">"c3618"</definedName>
    <definedName name="IQ_REVENUE_HIGH_GUIDANCE" hidden="1">"c4169"</definedName>
    <definedName name="IQ_REVENUE_LOW_EST" hidden="1">"c1128"</definedName>
    <definedName name="IQ_REVENUE_LOW_EST_CIQ" hidden="1">"c3619"</definedName>
    <definedName name="IQ_REVENUE_LOW_GUIDANCE" hidden="1">"c4209"</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ISION_DATE_" localSheetId="4" hidden="1">39994.5378819444</definedName>
    <definedName name="IQ_REVISION_DATE_" localSheetId="9" hidden="1">39994.5378819444</definedName>
    <definedName name="IQ_REVISION_DATE_" hidden="1">39244.5892013889</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ISK_ADJ_BANK_ASSETS" hidden="1">"c2670"</definedName>
    <definedName name="IQ_RISK_WEIGHTED_ASSETS_FDIC" hidden="1">"c6370"</definedName>
    <definedName name="IQ_RSI" hidden="1">"c12704"</definedName>
    <definedName name="IQ_RSI_ADJ" hidden="1">"c12705"</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localSheetId="4" hidden="1">"c11748"</definedName>
    <definedName name="IQ_SMALL_INT_BEAR_CD" localSheetId="9" hidden="1">"c11748"</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CIQ" hidden="1">"c12133"</definedName>
    <definedName name="IQ_STAND_REC_DET_EST_DATE" hidden="1">"c12222"</definedName>
    <definedName name="IQ_STAND_REC_DET_EST_DATE_CIQ" hidden="1">"c12279"</definedName>
    <definedName name="IQ_STAND_REC_DET_EST_ORIGIN" hidden="1">"c12594"</definedName>
    <definedName name="IQ_STAND_REC_DET_EST_ORIGIN_CIQ" hidden="1">"c12648"</definedName>
    <definedName name="IQ_STAND_REC_NUM_DET_EST" hidden="1">"c12068"</definedName>
    <definedName name="IQ_STAND_REC_NUM_DET_EST_CIQ" hidden="1">"c12132"</definedName>
    <definedName name="IQ_STAND_REC_NUM_DET_EST_DATE" hidden="1">"c12221"</definedName>
    <definedName name="IQ_STAND_REC_NUM_DET_EST_DATE_CIQ" hidden="1">"c12278"</definedName>
    <definedName name="IQ_STAND_REC_NUM_DET_EST_ORIGIN" hidden="1">"c12593"</definedName>
    <definedName name="IQ_STAND_REC_NUM_DET_EST_ORIGIN_CIQ" hidden="1">"c12647"</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IQ" hidden="1">"c12134"</definedName>
    <definedName name="IQ_TARGET_PRICE_DET_EST_CURRENCY" hidden="1">"c12475"</definedName>
    <definedName name="IQ_TARGET_PRICE_DET_EST_CURRENCY_CIQ" hidden="1">"c12523"</definedName>
    <definedName name="IQ_TARGET_PRICE_DET_EST_DATE" hidden="1">"c12223"</definedName>
    <definedName name="IQ_TARGET_PRICE_DET_EST_DATE_CIQ" hidden="1">"c12280"</definedName>
    <definedName name="IQ_TARGET_PRICE_DET_EST_INCL" hidden="1">"c12358"</definedName>
    <definedName name="IQ_TARGET_PRICE_DET_EST_INCL_CIQ" hidden="1">"c12406"</definedName>
    <definedName name="IQ_TARGET_PRICE_DET_EST_ORIGIN" hidden="1">"c12729"</definedName>
    <definedName name="IQ_TARGET_PRICE_DET_EST_ORIGIN_CIQ" hidden="1">"c12730"</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EST" hidden="1">"c4526"</definedName>
    <definedName name="IQ_TEV_EST_CIQ" hidden="1">"c5079"</definedName>
    <definedName name="IQ_TEV_HIGH_EST" hidden="1">"c4527"</definedName>
    <definedName name="IQ_TEV_HIGH_EST_CIQ" hidden="1">"c5080"</definedName>
    <definedName name="IQ_TEV_LOW_EST" hidden="1">"c4528"</definedName>
    <definedName name="IQ_TEV_LOW_EST_CIQ" hidden="1">"c5081"</definedName>
    <definedName name="IQ_TEV_MEDIAN_EST" hidden="1">"c4529"</definedName>
    <definedName name="IQ_TEV_MEDIAN_EST_CIQ" hidden="1">"c5082"</definedName>
    <definedName name="IQ_TEV_NUM_EST" hidden="1">"c4530"</definedName>
    <definedName name="IQ_TEV_NUM_EST_CIQ" hidden="1">"c5083"</definedName>
    <definedName name="IQ_TEV_STDDEV_EST" hidden="1">"c4531"</definedName>
    <definedName name="IQ_TEV_STDDEV_EST_CIQ" hidden="1">"c5084"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HIGH_EST" hidden="1">"c4534"</definedName>
    <definedName name="IQ_TOTAL_DEBT_HIGH_EST_CIQ" hidden="1">"c5087"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INT_EXPENSE_FFIEC" hidden="1">"c13000"</definedName>
    <definedName name="IQ_TOTAL_INT_INCOME_FFIEC" hidden="1">"c12989"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localSheetId="4" hidden="1">"c13642"</definedName>
    <definedName name="IQ_TR_SEC_FEES" localSheetId="9" hidden="1">"c13642"</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localSheetId="4" hidden="1">"c13640"</definedName>
    <definedName name="IQ_TR_TERM_FEE" localSheetId="9" hidden="1">"c13640"</definedName>
    <definedName name="IQ_TR_TERM_FEE" hidden="1">"c2298"</definedName>
    <definedName name="IQ_TR_TERM_FEE_PCT" localSheetId="4" hidden="1">"c13641"</definedName>
    <definedName name="IQ_TR_TERM_FEE_PCT" localSheetId="9" hidden="1">"c13641"</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localSheetId="4" hidden="1">"c2104"</definedName>
    <definedName name="IQ_XDIV_DATE" localSheetId="9" hidden="1">"c2104"</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"iQShowAnnual"</definedName>
    <definedName name="irc" localSheetId="4">#REF!</definedName>
    <definedName name="irc" localSheetId="5">#REF!</definedName>
    <definedName name="irc" localSheetId="15">#REF!</definedName>
    <definedName name="irc" localSheetId="19">#REF!</definedName>
    <definedName name="irc" localSheetId="18">#REF!</definedName>
    <definedName name="irc" localSheetId="14">#REF!</definedName>
    <definedName name="irc" localSheetId="12">#REF!</definedName>
    <definedName name="irc" localSheetId="24">#REF!</definedName>
    <definedName name="irc" localSheetId="7">#REF!</definedName>
    <definedName name="irc" localSheetId="20">#REF!</definedName>
    <definedName name="irc" localSheetId="21">#REF!</definedName>
    <definedName name="irc" localSheetId="11">#REF!</definedName>
    <definedName name="irc" localSheetId="17">#REF!</definedName>
    <definedName name="irc" localSheetId="16">#REF!</definedName>
    <definedName name="irc" localSheetId="22">#REF!</definedName>
    <definedName name="irc" localSheetId="9">#REF!</definedName>
    <definedName name="irc" localSheetId="13">#REF!</definedName>
    <definedName name="irc" localSheetId="23">#REF!</definedName>
    <definedName name="irc">#REF!</definedName>
    <definedName name="ire" localSheetId="4">#REF!</definedName>
    <definedName name="ire" localSheetId="5">#REF!</definedName>
    <definedName name="ire" localSheetId="15">#REF!</definedName>
    <definedName name="ire" localSheetId="19">#REF!</definedName>
    <definedName name="ire" localSheetId="18">#REF!</definedName>
    <definedName name="ire" localSheetId="14">#REF!</definedName>
    <definedName name="ire" localSheetId="12">#REF!</definedName>
    <definedName name="ire" localSheetId="24">#REF!</definedName>
    <definedName name="ire" localSheetId="7">#REF!</definedName>
    <definedName name="ire" localSheetId="20">#REF!</definedName>
    <definedName name="ire" localSheetId="21">#REF!</definedName>
    <definedName name="ire" localSheetId="11">#REF!</definedName>
    <definedName name="ire" localSheetId="17">#REF!</definedName>
    <definedName name="ire" localSheetId="16">#REF!</definedName>
    <definedName name="ire" localSheetId="22">#REF!</definedName>
    <definedName name="ire" localSheetId="9">#REF!</definedName>
    <definedName name="ire" localSheetId="13">#REF!</definedName>
    <definedName name="ire" localSheetId="23">#REF!</definedName>
    <definedName name="ire">#REF!</definedName>
    <definedName name="irf" localSheetId="4">#REF!</definedName>
    <definedName name="irf" localSheetId="5">#REF!</definedName>
    <definedName name="irf" localSheetId="15">#REF!</definedName>
    <definedName name="irf" localSheetId="19">#REF!</definedName>
    <definedName name="irf" localSheetId="18">#REF!</definedName>
    <definedName name="irf" localSheetId="14">#REF!</definedName>
    <definedName name="irf" localSheetId="12">#REF!</definedName>
    <definedName name="irf" localSheetId="24">#REF!</definedName>
    <definedName name="irf" localSheetId="7">#REF!</definedName>
    <definedName name="irf" localSheetId="20">#REF!</definedName>
    <definedName name="irf" localSheetId="21">#REF!</definedName>
    <definedName name="irf" localSheetId="11">#REF!</definedName>
    <definedName name="irf" localSheetId="17">#REF!</definedName>
    <definedName name="irf" localSheetId="16">#REF!</definedName>
    <definedName name="irf" localSheetId="22">#REF!</definedName>
    <definedName name="irf" localSheetId="9">#REF!</definedName>
    <definedName name="irf" localSheetId="13">#REF!</definedName>
    <definedName name="irf" localSheetId="23">#REF!</definedName>
    <definedName name="irf">#REF!</definedName>
    <definedName name="irg" localSheetId="4">#REF!</definedName>
    <definedName name="irg" localSheetId="9">#REF!</definedName>
    <definedName name="irg">#REF!</definedName>
    <definedName name="irp" localSheetId="4">#REF!</definedName>
    <definedName name="irp" localSheetId="9">#REF!</definedName>
    <definedName name="irp">#REF!</definedName>
    <definedName name="irs" localSheetId="4" hidden="1">{"'PS-SOTM'!$A$1","'PS-SOTM'!$A$2:$M$30","'PS-SOTM'!$A$31:$A$38"}</definedName>
    <definedName name="irs" localSheetId="9" hidden="1">{"'PS-SOTM'!$A$1","'PS-SOTM'!$A$2:$M$30","'PS-SOTM'!$A$31:$A$38"}</definedName>
    <definedName name="irs" hidden="1">{"'PS-SOTM'!$A$1","'PS-SOTM'!$A$2:$M$30","'PS-SOTM'!$A$31:$A$38"}</definedName>
    <definedName name="IS_1" localSheetId="4">#REF!</definedName>
    <definedName name="IS_1" localSheetId="5">#REF!</definedName>
    <definedName name="IS_1" localSheetId="15">#REF!</definedName>
    <definedName name="IS_1" localSheetId="19">#REF!</definedName>
    <definedName name="IS_1" localSheetId="18">#REF!</definedName>
    <definedName name="IS_1" localSheetId="14">#REF!</definedName>
    <definedName name="IS_1" localSheetId="12">#REF!</definedName>
    <definedName name="IS_1" localSheetId="24">#REF!</definedName>
    <definedName name="IS_1" localSheetId="7">#REF!</definedName>
    <definedName name="IS_1" localSheetId="20">#REF!</definedName>
    <definedName name="IS_1" localSheetId="21">#REF!</definedName>
    <definedName name="IS_1" localSheetId="11">#REF!</definedName>
    <definedName name="IS_1" localSheetId="17">#REF!</definedName>
    <definedName name="IS_1" localSheetId="16">#REF!</definedName>
    <definedName name="IS_1" localSheetId="22">#REF!</definedName>
    <definedName name="IS_1" localSheetId="9">#REF!</definedName>
    <definedName name="IS_1" localSheetId="13">#REF!</definedName>
    <definedName name="IS_1" localSheetId="23">#REF!</definedName>
    <definedName name="IS_1">#REF!</definedName>
    <definedName name="IS_10" localSheetId="4">#REF!</definedName>
    <definedName name="IS_10" localSheetId="9">#REF!</definedName>
    <definedName name="IS_10">#REF!</definedName>
    <definedName name="IS_11" localSheetId="4">#REF!</definedName>
    <definedName name="IS_11" localSheetId="9">#REF!</definedName>
    <definedName name="IS_11">#REF!</definedName>
    <definedName name="IS_12" localSheetId="4">#REF!</definedName>
    <definedName name="IS_12" localSheetId="9">#REF!</definedName>
    <definedName name="IS_12">#REF!</definedName>
    <definedName name="IS_13" localSheetId="4">#REF!</definedName>
    <definedName name="IS_13" localSheetId="9">#REF!</definedName>
    <definedName name="IS_13">#REF!</definedName>
    <definedName name="IS_14" localSheetId="4">#REF!</definedName>
    <definedName name="IS_14" localSheetId="9">#REF!</definedName>
    <definedName name="IS_14">#REF!</definedName>
    <definedName name="IS_2" localSheetId="4">#REF!</definedName>
    <definedName name="IS_2" localSheetId="9">#REF!</definedName>
    <definedName name="IS_2">#REF!</definedName>
    <definedName name="IS_3" localSheetId="4">#REF!</definedName>
    <definedName name="IS_3" localSheetId="9">#REF!</definedName>
    <definedName name="IS_3">#REF!</definedName>
    <definedName name="IS_4" localSheetId="4">#REF!</definedName>
    <definedName name="IS_4" localSheetId="9">#REF!</definedName>
    <definedName name="IS_4">#REF!</definedName>
    <definedName name="IS_5" localSheetId="4">#REF!</definedName>
    <definedName name="IS_5" localSheetId="9">#REF!</definedName>
    <definedName name="IS_5">#REF!</definedName>
    <definedName name="IS_6" localSheetId="4">#REF!</definedName>
    <definedName name="IS_6" localSheetId="9">#REF!</definedName>
    <definedName name="IS_6">#REF!</definedName>
    <definedName name="IS_7" localSheetId="4">#REF!</definedName>
    <definedName name="IS_7" localSheetId="9">#REF!</definedName>
    <definedName name="IS_7">#REF!</definedName>
    <definedName name="IS_8" localSheetId="4">#REF!</definedName>
    <definedName name="IS_8" localSheetId="9">#REF!</definedName>
    <definedName name="IS_8">#REF!</definedName>
    <definedName name="IS_9" localSheetId="4">#REF!</definedName>
    <definedName name="IS_9" localSheetId="9">#REF!</definedName>
    <definedName name="IS_9">#REF!</definedName>
    <definedName name="IS_p" localSheetId="4">#REF!</definedName>
    <definedName name="IS_p" localSheetId="9">#REF!</definedName>
    <definedName name="IS_p">#REF!</definedName>
    <definedName name="is1_" localSheetId="4">#REF!</definedName>
    <definedName name="is1_" localSheetId="9">#REF!</definedName>
    <definedName name="is1_">#REF!</definedName>
    <definedName name="is2_" localSheetId="4">#REF!</definedName>
    <definedName name="is2_" localSheetId="9">#REF!</definedName>
    <definedName name="is2_">#REF!</definedName>
    <definedName name="is3_" localSheetId="4">#REF!</definedName>
    <definedName name="is3_" localSheetId="9">#REF!</definedName>
    <definedName name="is3_">#REF!</definedName>
    <definedName name="is4_" localSheetId="4">#REF!</definedName>
    <definedName name="is4_" localSheetId="9">#REF!</definedName>
    <definedName name="is4_">#REF!</definedName>
    <definedName name="is5_" localSheetId="4">#REF!</definedName>
    <definedName name="is5_" localSheetId="9">#REF!</definedName>
    <definedName name="is5_">#REF!</definedName>
    <definedName name="isb" localSheetId="4">#REF!</definedName>
    <definedName name="isb" localSheetId="9">#REF!</definedName>
    <definedName name="isb">#REF!</definedName>
    <definedName name="isc" localSheetId="4">#REF!</definedName>
    <definedName name="isc" localSheetId="9">#REF!</definedName>
    <definedName name="isc">#REF!</definedName>
    <definedName name="ise" localSheetId="4">#REF!</definedName>
    <definedName name="ise" localSheetId="9">#REF!</definedName>
    <definedName name="ise">#REF!</definedName>
    <definedName name="isf" localSheetId="4">#REF!</definedName>
    <definedName name="isf" localSheetId="9">#REF!</definedName>
    <definedName name="isf">#REF!</definedName>
    <definedName name="isi" localSheetId="4">#REF!</definedName>
    <definedName name="isi" localSheetId="9">#REF!</definedName>
    <definedName name="isi">#REF!</definedName>
    <definedName name="isl" localSheetId="4">#REF!</definedName>
    <definedName name="isl" localSheetId="9">#REF!</definedName>
    <definedName name="isl">#REF!</definedName>
    <definedName name="IssueOfOrdinaryShareCapital" localSheetId="4">#REF!</definedName>
    <definedName name="IssueOfOrdinaryShareCapital" localSheetId="9">#REF!</definedName>
    <definedName name="IssueOfOrdinaryShareCapital">#REF!</definedName>
    <definedName name="ist" localSheetId="4">#REF!</definedName>
    <definedName name="ist" localSheetId="9">#REF!</definedName>
    <definedName name="ist">#REF!</definedName>
    <definedName name="ITDepr">#REF!</definedName>
    <definedName name="ITDepRt">#REF!</definedName>
    <definedName name="ItemA" localSheetId="4">#REF!</definedName>
    <definedName name="ItemA" localSheetId="9">#REF!</definedName>
    <definedName name="ItemA">#REF!</definedName>
    <definedName name="ItemB" localSheetId="4">#REF!</definedName>
    <definedName name="ItemB" localSheetId="9">#REF!</definedName>
    <definedName name="ItemB">#REF!</definedName>
    <definedName name="ItemC" localSheetId="4">#REF!</definedName>
    <definedName name="ItemC" localSheetId="9">#REF!</definedName>
    <definedName name="ItemC">#REF!</definedName>
    <definedName name="ItemD" localSheetId="4">#REF!</definedName>
    <definedName name="ItemD" localSheetId="9">#REF!</definedName>
    <definedName name="ItemD">#REF!</definedName>
    <definedName name="ITREE" localSheetId="4">#REF!</definedName>
    <definedName name="ITREE" localSheetId="9">#REF!</definedName>
    <definedName name="ITREE">#REF!</definedName>
    <definedName name="iue">1</definedName>
    <definedName name="iuesymbol">"Rs"</definedName>
    <definedName name="iun">1000000</definedName>
    <definedName name="iunsymbol">"Rsm"</definedName>
    <definedName name="ius">1000000</definedName>
    <definedName name="iva" localSheetId="4">#REF!</definedName>
    <definedName name="iva" localSheetId="5">#REF!</definedName>
    <definedName name="iva" localSheetId="15">#REF!</definedName>
    <definedName name="iva" localSheetId="19">#REF!</definedName>
    <definedName name="iva" localSheetId="18">#REF!</definedName>
    <definedName name="iva" localSheetId="14">#REF!</definedName>
    <definedName name="iva" localSheetId="12">#REF!</definedName>
    <definedName name="iva" localSheetId="24">#REF!</definedName>
    <definedName name="iva" localSheetId="7">#REF!</definedName>
    <definedName name="iva" localSheetId="20">#REF!</definedName>
    <definedName name="iva" localSheetId="21">#REF!</definedName>
    <definedName name="iva" localSheetId="11">#REF!</definedName>
    <definedName name="iva" localSheetId="17">#REF!</definedName>
    <definedName name="iva" localSheetId="16">#REF!</definedName>
    <definedName name="iva" localSheetId="22">#REF!</definedName>
    <definedName name="iva" localSheetId="9">#REF!</definedName>
    <definedName name="iva" localSheetId="13">#REF!</definedName>
    <definedName name="iva" localSheetId="23">#REF!</definedName>
    <definedName name="iva">#REF!</definedName>
    <definedName name="Ivnt">#REF!</definedName>
    <definedName name="IvntDays">#REF!</definedName>
    <definedName name="IWORKING" localSheetId="4">#REF!</definedName>
    <definedName name="IWORKING" localSheetId="9">#REF!</definedName>
    <definedName name="IWORKING">#REF!</definedName>
    <definedName name="janInv">#REF!</definedName>
    <definedName name="jbfcvf" localSheetId="4" hidden="1">#REF!</definedName>
    <definedName name="jbfcvf" localSheetId="9" hidden="1">#REF!</definedName>
    <definedName name="jbfcvf" hidden="1">#REF!</definedName>
    <definedName name="jbgcvc" localSheetId="4" hidden="1">#REF!</definedName>
    <definedName name="jbgcvc" localSheetId="9" hidden="1">#REF!</definedName>
    <definedName name="jbgcvc" hidden="1">#REF!</definedName>
    <definedName name="jhn"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jhn"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jhn"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jjj" localSheetId="4" hidden="1">{#N/A,#N/A,FALSE,"Status of Projects";#N/A,#N/A,FALSE,"CEA-TEC";#N/A,#N/A,FALSE,"U-Constr.";#N/A,#N/A,FALSE,"summary";#N/A,#N/A,FALSE,"PPP-3 yrs"}</definedName>
    <definedName name="jjj" localSheetId="9" hidden="1">{#N/A,#N/A,FALSE,"Status of Projects";#N/A,#N/A,FALSE,"CEA-TEC";#N/A,#N/A,FALSE,"U-Constr.";#N/A,#N/A,FALSE,"summary";#N/A,#N/A,FALSE,"PPP-3 yrs"}</definedName>
    <definedName name="jjj" hidden="1">{#N/A,#N/A,FALSE,"Status of Projects";#N/A,#N/A,FALSE,"CEA-TEC";#N/A,#N/A,FALSE,"U-Constr.";#N/A,#N/A,FALSE,"summary";#N/A,#N/A,FALSE,"PPP-3 yrs"}</definedName>
    <definedName name="jkk">#REF!</definedName>
    <definedName name="jsadjgadf" localSheetId="4" hidden="1">{#N/A,#N/A,FALSE,"Status of Projects";#N/A,#N/A,FALSE,"CEA-TEC";#N/A,#N/A,FALSE,"U-Constr.";#N/A,#N/A,FALSE,"summary";#N/A,#N/A,FALSE,"PPP-3 yrs"}</definedName>
    <definedName name="jsadjgadf" localSheetId="5" hidden="1">{#N/A,#N/A,FALSE,"Status of Projects";#N/A,#N/A,FALSE,"CEA-TEC";#N/A,#N/A,FALSE,"U-Constr.";#N/A,#N/A,FALSE,"summary";#N/A,#N/A,FALSE,"PPP-3 yrs"}</definedName>
    <definedName name="jsadjgadf" localSheetId="15" hidden="1">{#N/A,#N/A,FALSE,"Status of Projects";#N/A,#N/A,FALSE,"CEA-TEC";#N/A,#N/A,FALSE,"U-Constr.";#N/A,#N/A,FALSE,"summary";#N/A,#N/A,FALSE,"PPP-3 yrs"}</definedName>
    <definedName name="jsadjgadf" localSheetId="19" hidden="1">{#N/A,#N/A,FALSE,"Status of Projects";#N/A,#N/A,FALSE,"CEA-TEC";#N/A,#N/A,FALSE,"U-Constr.";#N/A,#N/A,FALSE,"summary";#N/A,#N/A,FALSE,"PPP-3 yrs"}</definedName>
    <definedName name="jsadjgadf" localSheetId="18" hidden="1">{#N/A,#N/A,FALSE,"Status of Projects";#N/A,#N/A,FALSE,"CEA-TEC";#N/A,#N/A,FALSE,"U-Constr.";#N/A,#N/A,FALSE,"summary";#N/A,#N/A,FALSE,"PPP-3 yrs"}</definedName>
    <definedName name="jsadjgadf" localSheetId="14" hidden="1">{#N/A,#N/A,FALSE,"Status of Projects";#N/A,#N/A,FALSE,"CEA-TEC";#N/A,#N/A,FALSE,"U-Constr.";#N/A,#N/A,FALSE,"summary";#N/A,#N/A,FALSE,"PPP-3 yrs"}</definedName>
    <definedName name="jsadjgadf" localSheetId="12" hidden="1">{#N/A,#N/A,FALSE,"Status of Projects";#N/A,#N/A,FALSE,"CEA-TEC";#N/A,#N/A,FALSE,"U-Constr.";#N/A,#N/A,FALSE,"summary";#N/A,#N/A,FALSE,"PPP-3 yrs"}</definedName>
    <definedName name="jsadjgadf" localSheetId="24" hidden="1">{#N/A,#N/A,FALSE,"Status of Projects";#N/A,#N/A,FALSE,"CEA-TEC";#N/A,#N/A,FALSE,"U-Constr.";#N/A,#N/A,FALSE,"summary";#N/A,#N/A,FALSE,"PPP-3 yrs"}</definedName>
    <definedName name="jsadjgadf" localSheetId="7" hidden="1">{#N/A,#N/A,FALSE,"Status of Projects";#N/A,#N/A,FALSE,"CEA-TEC";#N/A,#N/A,FALSE,"U-Constr.";#N/A,#N/A,FALSE,"summary";#N/A,#N/A,FALSE,"PPP-3 yrs"}</definedName>
    <definedName name="jsadjgadf" localSheetId="20" hidden="1">{#N/A,#N/A,FALSE,"Status of Projects";#N/A,#N/A,FALSE,"CEA-TEC";#N/A,#N/A,FALSE,"U-Constr.";#N/A,#N/A,FALSE,"summary";#N/A,#N/A,FALSE,"PPP-3 yrs"}</definedName>
    <definedName name="jsadjgadf" localSheetId="21" hidden="1">{#N/A,#N/A,FALSE,"Status of Projects";#N/A,#N/A,FALSE,"CEA-TEC";#N/A,#N/A,FALSE,"U-Constr.";#N/A,#N/A,FALSE,"summary";#N/A,#N/A,FALSE,"PPP-3 yrs"}</definedName>
    <definedName name="jsadjgadf" localSheetId="11" hidden="1">{#N/A,#N/A,FALSE,"Status of Projects";#N/A,#N/A,FALSE,"CEA-TEC";#N/A,#N/A,FALSE,"U-Constr.";#N/A,#N/A,FALSE,"summary";#N/A,#N/A,FALSE,"PPP-3 yrs"}</definedName>
    <definedName name="jsadjgadf" localSheetId="17" hidden="1">{#N/A,#N/A,FALSE,"Status of Projects";#N/A,#N/A,FALSE,"CEA-TEC";#N/A,#N/A,FALSE,"U-Constr.";#N/A,#N/A,FALSE,"summary";#N/A,#N/A,FALSE,"PPP-3 yrs"}</definedName>
    <definedName name="jsadjgadf" localSheetId="16" hidden="1">{#N/A,#N/A,FALSE,"Status of Projects";#N/A,#N/A,FALSE,"CEA-TEC";#N/A,#N/A,FALSE,"U-Constr.";#N/A,#N/A,FALSE,"summary";#N/A,#N/A,FALSE,"PPP-3 yrs"}</definedName>
    <definedName name="jsadjgadf" localSheetId="22" hidden="1">{#N/A,#N/A,FALSE,"Status of Projects";#N/A,#N/A,FALSE,"CEA-TEC";#N/A,#N/A,FALSE,"U-Constr.";#N/A,#N/A,FALSE,"summary";#N/A,#N/A,FALSE,"PPP-3 yrs"}</definedName>
    <definedName name="jsadjgadf" localSheetId="9" hidden="1">{#N/A,#N/A,FALSE,"Status of Projects";#N/A,#N/A,FALSE,"CEA-TEC";#N/A,#N/A,FALSE,"U-Constr.";#N/A,#N/A,FALSE,"summary";#N/A,#N/A,FALSE,"PPP-3 yrs"}</definedName>
    <definedName name="jsadjgadf" localSheetId="13" hidden="1">{#N/A,#N/A,FALSE,"Status of Projects";#N/A,#N/A,FALSE,"CEA-TEC";#N/A,#N/A,FALSE,"U-Constr.";#N/A,#N/A,FALSE,"summary";#N/A,#N/A,FALSE,"PPP-3 yrs"}</definedName>
    <definedName name="jsadjgadf" localSheetId="23" hidden="1">{#N/A,#N/A,FALSE,"Status of Projects";#N/A,#N/A,FALSE,"CEA-TEC";#N/A,#N/A,FALSE,"U-Constr.";#N/A,#N/A,FALSE,"summary";#N/A,#N/A,FALSE,"PPP-3 yrs"}</definedName>
    <definedName name="jsadjgadf" hidden="1">{#N/A,#N/A,FALSE,"Status of Projects";#N/A,#N/A,FALSE,"CEA-TEC";#N/A,#N/A,FALSE,"U-Constr.";#N/A,#N/A,FALSE,"summary";#N/A,#N/A,FALSE,"PPP-3 yrs"}</definedName>
    <definedName name="junk" hidden="1">#REF!</definedName>
    <definedName name="kawahwgt">#REF!</definedName>
    <definedName name="Kd" localSheetId="4">#REF!</definedName>
    <definedName name="Kd" localSheetId="9">#REF!</definedName>
    <definedName name="Kd">#REF!</definedName>
    <definedName name="Ke" localSheetId="4">#REF!</definedName>
    <definedName name="Ke" localSheetId="9">#REF!</definedName>
    <definedName name="Ke">#REF!</definedName>
    <definedName name="kebwgt">#REF!</definedName>
    <definedName name="kepwgt">#REF!</definedName>
    <definedName name="kfjbg" hidden="1">#REF!</definedName>
    <definedName name="kjbfdsf" hidden="1">#REF!</definedName>
    <definedName name="kjiiop" hidden="1">#N/A</definedName>
    <definedName name="kkkkk"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kkkkk"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kkkkk"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klll" localSheetId="4">#REF!,#REF!,#REF!</definedName>
    <definedName name="klll" localSheetId="5">#REF!,#REF!,#REF!</definedName>
    <definedName name="klll" localSheetId="15">#REF!,#REF!,#REF!</definedName>
    <definedName name="klll" localSheetId="19">#REF!,#REF!,#REF!</definedName>
    <definedName name="klll" localSheetId="18">#REF!,#REF!,#REF!</definedName>
    <definedName name="klll" localSheetId="14">#REF!,#REF!,#REF!</definedName>
    <definedName name="klll" localSheetId="12">#REF!,#REF!,#REF!</definedName>
    <definedName name="klll" localSheetId="24">#REF!,#REF!,#REF!</definedName>
    <definedName name="klll" localSheetId="7">#REF!,#REF!,#REF!</definedName>
    <definedName name="klll" localSheetId="20">#REF!,#REF!,#REF!</definedName>
    <definedName name="klll" localSheetId="21">#REF!,#REF!,#REF!</definedName>
    <definedName name="klll" localSheetId="11">#REF!,#REF!,#REF!</definedName>
    <definedName name="klll" localSheetId="17">#REF!,#REF!,#REF!</definedName>
    <definedName name="klll" localSheetId="16">#REF!,#REF!,#REF!</definedName>
    <definedName name="klll" localSheetId="22">#REF!,#REF!,#REF!</definedName>
    <definedName name="klll" localSheetId="9">#REF!,#REF!,#REF!</definedName>
    <definedName name="klll" localSheetId="13">#REF!,#REF!,#REF!</definedName>
    <definedName name="klll" localSheetId="23">#REF!,#REF!,#REF!</definedName>
    <definedName name="klll">#REF!,#REF!,#REF!</definedName>
    <definedName name="korea">#REF!</definedName>
    <definedName name="ktbwgt">#REF!</definedName>
    <definedName name="L" localSheetId="4">#REF!</definedName>
    <definedName name="L" localSheetId="5">#REF!</definedName>
    <definedName name="L" localSheetId="15">#REF!</definedName>
    <definedName name="L" localSheetId="19">#REF!</definedName>
    <definedName name="L" localSheetId="18">#REF!</definedName>
    <definedName name="L" localSheetId="14">#REF!</definedName>
    <definedName name="L" localSheetId="12">#REF!</definedName>
    <definedName name="L" localSheetId="24">#REF!</definedName>
    <definedName name="L" localSheetId="7">#REF!</definedName>
    <definedName name="L" localSheetId="20">#REF!</definedName>
    <definedName name="L" localSheetId="21">#REF!</definedName>
    <definedName name="L" localSheetId="11">#REF!</definedName>
    <definedName name="L" localSheetId="17">#REF!</definedName>
    <definedName name="L" localSheetId="16">#REF!</definedName>
    <definedName name="L" localSheetId="22">#REF!</definedName>
    <definedName name="L" localSheetId="9">#REF!</definedName>
    <definedName name="L" localSheetId="13">#REF!</definedName>
    <definedName name="L" localSheetId="23">#REF!</definedName>
    <definedName name="L">#REF!</definedName>
    <definedName name="L_and_A">#REF!</definedName>
    <definedName name="L_T_obligations_under_cap_leases" localSheetId="4">#REF!</definedName>
    <definedName name="L_T_obligations_under_cap_leases" localSheetId="9">#REF!</definedName>
    <definedName name="L_T_obligations_under_cap_leases">#REF!</definedName>
    <definedName name="L1L" localSheetId="4">#REF!,#REF!</definedName>
    <definedName name="L1L" localSheetId="5">#REF!,#REF!</definedName>
    <definedName name="L1L" localSheetId="15">#REF!,#REF!</definedName>
    <definedName name="L1L" localSheetId="19">#REF!,#REF!</definedName>
    <definedName name="L1L" localSheetId="18">#REF!,#REF!</definedName>
    <definedName name="L1L" localSheetId="14">#REF!,#REF!</definedName>
    <definedName name="L1L" localSheetId="12">#REF!,#REF!</definedName>
    <definedName name="L1L" localSheetId="24">#REF!,#REF!</definedName>
    <definedName name="L1L" localSheetId="7">#REF!,#REF!</definedName>
    <definedName name="L1L" localSheetId="20">#REF!,#REF!</definedName>
    <definedName name="L1L" localSheetId="21">#REF!,#REF!</definedName>
    <definedName name="L1L" localSheetId="11">#REF!,#REF!</definedName>
    <definedName name="L1L" localSheetId="17">#REF!,#REF!</definedName>
    <definedName name="L1L" localSheetId="16">#REF!,#REF!</definedName>
    <definedName name="L1L" localSheetId="22">#REF!,#REF!</definedName>
    <definedName name="L1L" localSheetId="9">#REF!,#REF!</definedName>
    <definedName name="L1L" localSheetId="13">#REF!,#REF!</definedName>
    <definedName name="L1L" localSheetId="23">#REF!,#REF!</definedName>
    <definedName name="L1L">#REF!,#REF!</definedName>
    <definedName name="L2L" localSheetId="4">#REF!,#REF!</definedName>
    <definedName name="L2L" localSheetId="5">#REF!,#REF!</definedName>
    <definedName name="L2L" localSheetId="15">#REF!,#REF!</definedName>
    <definedName name="L2L" localSheetId="19">#REF!,#REF!</definedName>
    <definedName name="L2L" localSheetId="18">#REF!,#REF!</definedName>
    <definedName name="L2L" localSheetId="14">#REF!,#REF!</definedName>
    <definedName name="L2L" localSheetId="12">#REF!,#REF!</definedName>
    <definedName name="L2L" localSheetId="24">#REF!,#REF!</definedName>
    <definedName name="L2L" localSheetId="7">#REF!,#REF!</definedName>
    <definedName name="L2L" localSheetId="20">#REF!,#REF!</definedName>
    <definedName name="L2L" localSheetId="21">#REF!,#REF!</definedName>
    <definedName name="L2L" localSheetId="11">#REF!,#REF!</definedName>
    <definedName name="L2L" localSheetId="17">#REF!,#REF!</definedName>
    <definedName name="L2L" localSheetId="16">#REF!,#REF!</definedName>
    <definedName name="L2L" localSheetId="22">#REF!,#REF!</definedName>
    <definedName name="L2L" localSheetId="9">#REF!,#REF!</definedName>
    <definedName name="L2L" localSheetId="13">#REF!,#REF!</definedName>
    <definedName name="L2L" localSheetId="23">#REF!,#REF!</definedName>
    <definedName name="L2L">#REF!,#REF!</definedName>
    <definedName name="L3L" localSheetId="4">#REF!,#REF!</definedName>
    <definedName name="L3L" localSheetId="5">#REF!,#REF!</definedName>
    <definedName name="L3L" localSheetId="15">#REF!,#REF!</definedName>
    <definedName name="L3L" localSheetId="19">#REF!,#REF!</definedName>
    <definedName name="L3L" localSheetId="18">#REF!,#REF!</definedName>
    <definedName name="L3L" localSheetId="14">#REF!,#REF!</definedName>
    <definedName name="L3L" localSheetId="12">#REF!,#REF!</definedName>
    <definedName name="L3L" localSheetId="24">#REF!,#REF!</definedName>
    <definedName name="L3L" localSheetId="7">#REF!,#REF!</definedName>
    <definedName name="L3L" localSheetId="20">#REF!,#REF!</definedName>
    <definedName name="L3L" localSheetId="21">#REF!,#REF!</definedName>
    <definedName name="L3L" localSheetId="11">#REF!,#REF!</definedName>
    <definedName name="L3L" localSheetId="17">#REF!,#REF!</definedName>
    <definedName name="L3L" localSheetId="16">#REF!,#REF!</definedName>
    <definedName name="L3L" localSheetId="22">#REF!,#REF!</definedName>
    <definedName name="L3L" localSheetId="9">#REF!,#REF!</definedName>
    <definedName name="L3L" localSheetId="13">#REF!,#REF!</definedName>
    <definedName name="L3L" localSheetId="23">#REF!,#REF!</definedName>
    <definedName name="L3L">#REF!,#REF!</definedName>
    <definedName name="L4L" localSheetId="4">#REF!,#REF!</definedName>
    <definedName name="L4L" localSheetId="9">#REF!,#REF!</definedName>
    <definedName name="L4L">#REF!,#REF!</definedName>
    <definedName name="L5L" localSheetId="4">#REF!,#REF!</definedName>
    <definedName name="L5L" localSheetId="9">#REF!,#REF!</definedName>
    <definedName name="L5L">#REF!,#REF!</definedName>
    <definedName name="land_buildings">#REF!</definedName>
    <definedName name="Last_Installment_Date" localSheetId="4">#REF!</definedName>
    <definedName name="Last_Installment_Date" localSheetId="5">#REF!</definedName>
    <definedName name="Last_Installment_Date" localSheetId="15">#REF!</definedName>
    <definedName name="Last_Installment_Date" localSheetId="19">#REF!</definedName>
    <definedName name="Last_Installment_Date" localSheetId="18">#REF!</definedName>
    <definedName name="Last_Installment_Date" localSheetId="14">#REF!</definedName>
    <definedName name="Last_Installment_Date" localSheetId="12">#REF!</definedName>
    <definedName name="Last_Installment_Date" localSheetId="24">#REF!</definedName>
    <definedName name="Last_Installment_Date" localSheetId="7">#REF!</definedName>
    <definedName name="Last_Installment_Date" localSheetId="20">#REF!</definedName>
    <definedName name="Last_Installment_Date" localSheetId="21">#REF!</definedName>
    <definedName name="Last_Installment_Date" localSheetId="11">#REF!</definedName>
    <definedName name="Last_Installment_Date" localSheetId="17">#REF!</definedName>
    <definedName name="Last_Installment_Date" localSheetId="16">#REF!</definedName>
    <definedName name="Last_Installment_Date" localSheetId="22">#REF!</definedName>
    <definedName name="Last_Installment_Date" localSheetId="9">#REF!</definedName>
    <definedName name="Last_Installment_Date" localSheetId="13">#REF!</definedName>
    <definedName name="Last_Installment_Date" localSheetId="23">#REF!</definedName>
    <definedName name="Last_Installment_Date">#REF!</definedName>
    <definedName name="LastCell" localSheetId="4">#REF!</definedName>
    <definedName name="LastCell" localSheetId="5">#REF!</definedName>
    <definedName name="LastCell" localSheetId="15">#REF!</definedName>
    <definedName name="LastCell" localSheetId="19">#REF!</definedName>
    <definedName name="LastCell" localSheetId="18">#REF!</definedName>
    <definedName name="LastCell" localSheetId="14">#REF!</definedName>
    <definedName name="LastCell" localSheetId="12">#REF!</definedName>
    <definedName name="LastCell" localSheetId="24">#REF!</definedName>
    <definedName name="LastCell" localSheetId="7">#REF!</definedName>
    <definedName name="LastCell" localSheetId="20">#REF!</definedName>
    <definedName name="LastCell" localSheetId="21">#REF!</definedName>
    <definedName name="LastCell" localSheetId="11">#REF!</definedName>
    <definedName name="LastCell" localSheetId="17">#REF!</definedName>
    <definedName name="LastCell" localSheetId="16">#REF!</definedName>
    <definedName name="LastCell" localSheetId="22">#REF!</definedName>
    <definedName name="LastCell" localSheetId="9">#REF!</definedName>
    <definedName name="LastCell" localSheetId="13">#REF!</definedName>
    <definedName name="LastCell" localSheetId="23">#REF!</definedName>
    <definedName name="LastCell">#REF!</definedName>
    <definedName name="lastdate">#REF!</definedName>
    <definedName name="LastOpenedWorkSheet">#REF!</definedName>
    <definedName name="LastRefreshed">#REF!</definedName>
    <definedName name="Lawyer_Fee" localSheetId="4">#REF!</definedName>
    <definedName name="Lawyer_Fee" localSheetId="5">#REF!</definedName>
    <definedName name="Lawyer_Fee" localSheetId="15">#REF!</definedName>
    <definedName name="Lawyer_Fee" localSheetId="19">#REF!</definedName>
    <definedName name="Lawyer_Fee" localSheetId="18">#REF!</definedName>
    <definedName name="Lawyer_Fee" localSheetId="14">#REF!</definedName>
    <definedName name="Lawyer_Fee" localSheetId="12">#REF!</definedName>
    <definedName name="Lawyer_Fee" localSheetId="24">#REF!</definedName>
    <definedName name="Lawyer_Fee" localSheetId="7">#REF!</definedName>
    <definedName name="Lawyer_Fee" localSheetId="20">#REF!</definedName>
    <definedName name="Lawyer_Fee" localSheetId="21">#REF!</definedName>
    <definedName name="Lawyer_Fee" localSheetId="11">#REF!</definedName>
    <definedName name="Lawyer_Fee" localSheetId="17">#REF!</definedName>
    <definedName name="Lawyer_Fee" localSheetId="16">#REF!</definedName>
    <definedName name="Lawyer_Fee" localSheetId="22">#REF!</definedName>
    <definedName name="Lawyer_Fee" localSheetId="9">#REF!</definedName>
    <definedName name="Lawyer_Fee" localSheetId="13">#REF!</definedName>
    <definedName name="Lawyer_Fee" localSheetId="23">#REF!</definedName>
    <definedName name="Lawyer_Fee">#REF!</definedName>
    <definedName name="Layup_02\03" localSheetId="4">#REF!</definedName>
    <definedName name="Layup_02\03" localSheetId="5">#REF!</definedName>
    <definedName name="Layup_02\03" localSheetId="15">#REF!</definedName>
    <definedName name="Layup_02\03" localSheetId="19">#REF!</definedName>
    <definedName name="Layup_02\03" localSheetId="18">#REF!</definedName>
    <definedName name="Layup_02\03" localSheetId="14">#REF!</definedName>
    <definedName name="Layup_02\03" localSheetId="12">#REF!</definedName>
    <definedName name="Layup_02\03" localSheetId="24">#REF!</definedName>
    <definedName name="Layup_02\03" localSheetId="7">#REF!</definedName>
    <definedName name="Layup_02\03" localSheetId="20">#REF!</definedName>
    <definedName name="Layup_02\03" localSheetId="21">#REF!</definedName>
    <definedName name="Layup_02\03" localSheetId="11">#REF!</definedName>
    <definedName name="Layup_02\03" localSheetId="17">#REF!</definedName>
    <definedName name="Layup_02\03" localSheetId="16">#REF!</definedName>
    <definedName name="Layup_02\03" localSheetId="22">#REF!</definedName>
    <definedName name="Layup_02\03" localSheetId="9">#REF!</definedName>
    <definedName name="Layup_02\03" localSheetId="13">#REF!</definedName>
    <definedName name="Layup_02\03" localSheetId="23">#REF!</definedName>
    <definedName name="Layup_02\03">#REF!</definedName>
    <definedName name="Layup_03\04" localSheetId="4">#REF!</definedName>
    <definedName name="Layup_03\04" localSheetId="5">#REF!</definedName>
    <definedName name="Layup_03\04" localSheetId="15">#REF!</definedName>
    <definedName name="Layup_03\04" localSheetId="19">#REF!</definedName>
    <definedName name="Layup_03\04" localSheetId="18">#REF!</definedName>
    <definedName name="Layup_03\04" localSheetId="14">#REF!</definedName>
    <definedName name="Layup_03\04" localSheetId="12">#REF!</definedName>
    <definedName name="Layup_03\04" localSheetId="24">#REF!</definedName>
    <definedName name="Layup_03\04" localSheetId="7">#REF!</definedName>
    <definedName name="Layup_03\04" localSheetId="20">#REF!</definedName>
    <definedName name="Layup_03\04" localSheetId="21">#REF!</definedName>
    <definedName name="Layup_03\04" localSheetId="11">#REF!</definedName>
    <definedName name="Layup_03\04" localSheetId="17">#REF!</definedName>
    <definedName name="Layup_03\04" localSheetId="16">#REF!</definedName>
    <definedName name="Layup_03\04" localSheetId="22">#REF!</definedName>
    <definedName name="Layup_03\04" localSheetId="9">#REF!</definedName>
    <definedName name="Layup_03\04" localSheetId="13">#REF!</definedName>
    <definedName name="Layup_03\04" localSheetId="23">#REF!</definedName>
    <definedName name="Layup_03\04">#REF!</definedName>
    <definedName name="Layup_04\05" localSheetId="4">#REF!</definedName>
    <definedName name="Layup_04\05" localSheetId="5">#REF!</definedName>
    <definedName name="Layup_04\05" localSheetId="15">#REF!</definedName>
    <definedName name="Layup_04\05" localSheetId="19">#REF!</definedName>
    <definedName name="Layup_04\05" localSheetId="18">#REF!</definedName>
    <definedName name="Layup_04\05" localSheetId="14">#REF!</definedName>
    <definedName name="Layup_04\05" localSheetId="12">#REF!</definedName>
    <definedName name="Layup_04\05" localSheetId="24">#REF!</definedName>
    <definedName name="Layup_04\05" localSheetId="7">#REF!</definedName>
    <definedName name="Layup_04\05" localSheetId="20">#REF!</definedName>
    <definedName name="Layup_04\05" localSheetId="21">#REF!</definedName>
    <definedName name="Layup_04\05" localSheetId="11">#REF!</definedName>
    <definedName name="Layup_04\05" localSheetId="17">#REF!</definedName>
    <definedName name="Layup_04\05" localSheetId="16">#REF!</definedName>
    <definedName name="Layup_04\05" localSheetId="22">#REF!</definedName>
    <definedName name="Layup_04\05" localSheetId="9">#REF!</definedName>
    <definedName name="Layup_04\05" localSheetId="13">#REF!</definedName>
    <definedName name="Layup_04\05" localSheetId="23">#REF!</definedName>
    <definedName name="Layup_04\05">#REF!</definedName>
    <definedName name="LBO">#REF!</definedName>
    <definedName name="lchwgt">#REF!</definedName>
    <definedName name="LEAP" localSheetId="4">#REF!</definedName>
    <definedName name="LEAP" localSheetId="5">#REF!</definedName>
    <definedName name="LEAP" localSheetId="15">#REF!</definedName>
    <definedName name="LEAP" localSheetId="19">#REF!</definedName>
    <definedName name="LEAP" localSheetId="18">#REF!</definedName>
    <definedName name="LEAP" localSheetId="14">#REF!</definedName>
    <definedName name="LEAP" localSheetId="12">#REF!</definedName>
    <definedName name="LEAP" localSheetId="24">#REF!</definedName>
    <definedName name="LEAP" localSheetId="7">#REF!</definedName>
    <definedName name="LEAP" localSheetId="20">#REF!</definedName>
    <definedName name="LEAP" localSheetId="21">#REF!</definedName>
    <definedName name="LEAP" localSheetId="11">#REF!</definedName>
    <definedName name="LEAP" localSheetId="17">#REF!</definedName>
    <definedName name="LEAP" localSheetId="16">#REF!</definedName>
    <definedName name="LEAP" localSheetId="22">#REF!</definedName>
    <definedName name="LEAP" localSheetId="9">#REF!</definedName>
    <definedName name="LEAP" localSheetId="13">#REF!</definedName>
    <definedName name="LEAP" localSheetId="23">#REF!</definedName>
    <definedName name="LEAP">#REF!</definedName>
    <definedName name="lease_depreciation">#REF!</definedName>
    <definedName name="lease_income">#REF!</definedName>
    <definedName name="Lease_thereafter" localSheetId="4">#REF!</definedName>
    <definedName name="Lease_thereafter" localSheetId="9">#REF!</definedName>
    <definedName name="Lease_thereafter">#REF!</definedName>
    <definedName name="Lease_years" localSheetId="4">#REF!</definedName>
    <definedName name="Lease_years" localSheetId="9">#REF!</definedName>
    <definedName name="Lease_years">#REF!</definedName>
    <definedName name="Lease_yr_1" localSheetId="4">#REF!</definedName>
    <definedName name="Lease_yr_1" localSheetId="9">#REF!</definedName>
    <definedName name="Lease_yr_1">#REF!</definedName>
    <definedName name="Lease_yr_2" localSheetId="4">#REF!</definedName>
    <definedName name="Lease_yr_2" localSheetId="9">#REF!</definedName>
    <definedName name="Lease_yr_2">#REF!</definedName>
    <definedName name="Lease_yr_3" localSheetId="4">#REF!</definedName>
    <definedName name="Lease_yr_3" localSheetId="9">#REF!</definedName>
    <definedName name="Lease_yr_3">#REF!</definedName>
    <definedName name="Lease_yr_4" localSheetId="4">#REF!</definedName>
    <definedName name="Lease_yr_4" localSheetId="9">#REF!</definedName>
    <definedName name="Lease_yr_4">#REF!</definedName>
    <definedName name="Lease_yr_5" localSheetId="4">#REF!</definedName>
    <definedName name="Lease_yr_5" localSheetId="9">#REF!</definedName>
    <definedName name="Lease_yr_5">#REF!</definedName>
    <definedName name="LeaseAdj" localSheetId="4">#REF!</definedName>
    <definedName name="LeaseAdj" localSheetId="5">#REF!</definedName>
    <definedName name="LeaseAdj" localSheetId="15">#REF!</definedName>
    <definedName name="LeaseAdj" localSheetId="19">#REF!</definedName>
    <definedName name="LeaseAdj" localSheetId="18">#REF!</definedName>
    <definedName name="LeaseAdj" localSheetId="14">#REF!</definedName>
    <definedName name="LeaseAdj" localSheetId="12">#REF!</definedName>
    <definedName name="LeaseAdj" localSheetId="24">#REF!</definedName>
    <definedName name="LeaseAdj" localSheetId="7">#REF!</definedName>
    <definedName name="LeaseAdj" localSheetId="20">#REF!</definedName>
    <definedName name="LeaseAdj" localSheetId="21">#REF!</definedName>
    <definedName name="LeaseAdj" localSheetId="11">#REF!</definedName>
    <definedName name="LeaseAdj" localSheetId="17">#REF!</definedName>
    <definedName name="LeaseAdj" localSheetId="16">#REF!</definedName>
    <definedName name="LeaseAdj" localSheetId="22">#REF!</definedName>
    <definedName name="LeaseAdj" localSheetId="9">#REF!</definedName>
    <definedName name="LeaseAdj" localSheetId="13">#REF!</definedName>
    <definedName name="LeaseAdj" localSheetId="23">#REF!</definedName>
    <definedName name="LeaseAdj">#REF!</definedName>
    <definedName name="leasendate">#REF!</definedName>
    <definedName name="Legal_Charges">#REF!</definedName>
    <definedName name="Legal_reserve" localSheetId="4">#REF!</definedName>
    <definedName name="Legal_reserve" localSheetId="5">#REF!</definedName>
    <definedName name="Legal_reserve" localSheetId="15">#REF!</definedName>
    <definedName name="Legal_reserve" localSheetId="19">#REF!</definedName>
    <definedName name="Legal_reserve" localSheetId="18">#REF!</definedName>
    <definedName name="Legal_reserve" localSheetId="14">#REF!</definedName>
    <definedName name="Legal_reserve" localSheetId="12">#REF!</definedName>
    <definedName name="Legal_reserve" localSheetId="24">#REF!</definedName>
    <definedName name="Legal_reserve" localSheetId="7">#REF!</definedName>
    <definedName name="Legal_reserve" localSheetId="20">#REF!</definedName>
    <definedName name="Legal_reserve" localSheetId="21">#REF!</definedName>
    <definedName name="Legal_reserve" localSheetId="11">#REF!</definedName>
    <definedName name="Legal_reserve" localSheetId="17">#REF!</definedName>
    <definedName name="Legal_reserve" localSheetId="16">#REF!</definedName>
    <definedName name="Legal_reserve" localSheetId="22">#REF!</definedName>
    <definedName name="Legal_reserve" localSheetId="9">#REF!</definedName>
    <definedName name="Legal_reserve" localSheetId="13">#REF!</definedName>
    <definedName name="Legal_reserve" localSheetId="23">#REF!</definedName>
    <definedName name="Legal_reserve">#REF!</definedName>
    <definedName name="Legal_reserve_copy" localSheetId="4">#REF!</definedName>
    <definedName name="Legal_reserve_copy" localSheetId="5">#REF!</definedName>
    <definedName name="Legal_reserve_copy" localSheetId="15">#REF!</definedName>
    <definedName name="Legal_reserve_copy" localSheetId="19">#REF!</definedName>
    <definedName name="Legal_reserve_copy" localSheetId="18">#REF!</definedName>
    <definedName name="Legal_reserve_copy" localSheetId="14">#REF!</definedName>
    <definedName name="Legal_reserve_copy" localSheetId="12">#REF!</definedName>
    <definedName name="Legal_reserve_copy" localSheetId="24">#REF!</definedName>
    <definedName name="Legal_reserve_copy" localSheetId="7">#REF!</definedName>
    <definedName name="Legal_reserve_copy" localSheetId="20">#REF!</definedName>
    <definedName name="Legal_reserve_copy" localSheetId="21">#REF!</definedName>
    <definedName name="Legal_reserve_copy" localSheetId="11">#REF!</definedName>
    <definedName name="Legal_reserve_copy" localSheetId="17">#REF!</definedName>
    <definedName name="Legal_reserve_copy" localSheetId="16">#REF!</definedName>
    <definedName name="Legal_reserve_copy" localSheetId="22">#REF!</definedName>
    <definedName name="Legal_reserve_copy" localSheetId="9">#REF!</definedName>
    <definedName name="Legal_reserve_copy" localSheetId="13">#REF!</definedName>
    <definedName name="Legal_reserve_copy" localSheetId="23">#REF!</definedName>
    <definedName name="Legal_reserve_copy">#REF!</definedName>
    <definedName name="LIAB_PEN" localSheetId="4">#REF!</definedName>
    <definedName name="LIAB_PEN" localSheetId="9">#REF!</definedName>
    <definedName name="LIAB_PEN">#REF!</definedName>
    <definedName name="LIABILITIES_TOTAL">#REF!</definedName>
    <definedName name="LIFO_Reserve" localSheetId="4">#REF!</definedName>
    <definedName name="LIFO_Reserve" localSheetId="9">#REF!</definedName>
    <definedName name="LIFO_Reserve">#REF!</definedName>
    <definedName name="limcount" hidden="1">1</definedName>
    <definedName name="Line_Interface">#REF!</definedName>
    <definedName name="lippowgt">#REF!</definedName>
    <definedName name="LIST" localSheetId="4">#REF!</definedName>
    <definedName name="LIST" localSheetId="9">#REF!</definedName>
    <definedName name="LIST">#REF!</definedName>
    <definedName name="lkjhbv" hidden="1">#REF!</definedName>
    <definedName name="ll">#REF!</definedName>
    <definedName name="Loan">#REF!</definedName>
    <definedName name="Loan_Assets_Q" localSheetId="4">#REF!</definedName>
    <definedName name="Loan_Assets_Q" localSheetId="5">#REF!</definedName>
    <definedName name="Loan_Assets_Q" localSheetId="15">#REF!</definedName>
    <definedName name="Loan_Assets_Q" localSheetId="19">#REF!</definedName>
    <definedName name="Loan_Assets_Q" localSheetId="18">#REF!</definedName>
    <definedName name="Loan_Assets_Q" localSheetId="14">#REF!</definedName>
    <definedName name="Loan_Assets_Q" localSheetId="12">#REF!</definedName>
    <definedName name="Loan_Assets_Q" localSheetId="24">#REF!</definedName>
    <definedName name="Loan_Assets_Q" localSheetId="7">#REF!</definedName>
    <definedName name="Loan_Assets_Q" localSheetId="20">#REF!</definedName>
    <definedName name="Loan_Assets_Q" localSheetId="21">#REF!</definedName>
    <definedName name="Loan_Assets_Q" localSheetId="11">#REF!</definedName>
    <definedName name="Loan_Assets_Q" localSheetId="17">#REF!</definedName>
    <definedName name="Loan_Assets_Q" localSheetId="16">#REF!</definedName>
    <definedName name="Loan_Assets_Q" localSheetId="22">#REF!</definedName>
    <definedName name="Loan_Assets_Q" localSheetId="9">#REF!</definedName>
    <definedName name="Loan_Assets_Q" localSheetId="13">#REF!</definedName>
    <definedName name="Loan_Assets_Q" localSheetId="23">#REF!</definedName>
    <definedName name="Loan_Assets_Q">#REF!</definedName>
    <definedName name="Loan_Loss_Provision_fore" localSheetId="4">#REF!</definedName>
    <definedName name="Loan_Loss_Provision_fore" localSheetId="5">#REF!</definedName>
    <definedName name="Loan_Loss_Provision_fore" localSheetId="15">#REF!</definedName>
    <definedName name="Loan_Loss_Provision_fore" localSheetId="19">#REF!</definedName>
    <definedName name="Loan_Loss_Provision_fore" localSheetId="18">#REF!</definedName>
    <definedName name="Loan_Loss_Provision_fore" localSheetId="14">#REF!</definedName>
    <definedName name="Loan_Loss_Provision_fore" localSheetId="12">#REF!</definedName>
    <definedName name="Loan_Loss_Provision_fore" localSheetId="24">#REF!</definedName>
    <definedName name="Loan_Loss_Provision_fore" localSheetId="7">#REF!</definedName>
    <definedName name="Loan_Loss_Provision_fore" localSheetId="20">#REF!</definedName>
    <definedName name="Loan_Loss_Provision_fore" localSheetId="21">#REF!</definedName>
    <definedName name="Loan_Loss_Provision_fore" localSheetId="11">#REF!</definedName>
    <definedName name="Loan_Loss_Provision_fore" localSheetId="17">#REF!</definedName>
    <definedName name="Loan_Loss_Provision_fore" localSheetId="16">#REF!</definedName>
    <definedName name="Loan_Loss_Provision_fore" localSheetId="22">#REF!</definedName>
    <definedName name="Loan_Loss_Provision_fore" localSheetId="9">#REF!</definedName>
    <definedName name="Loan_Loss_Provision_fore" localSheetId="13">#REF!</definedName>
    <definedName name="Loan_Loss_Provision_fore" localSheetId="23">#REF!</definedName>
    <definedName name="Loan_Loss_Provision_fore">#REF!</definedName>
    <definedName name="Loan_to_equipment_manufacturers_Unsecured" localSheetId="4">#REF!</definedName>
    <definedName name="Loan_to_equipment_manufacturers_Unsecured" localSheetId="5">#REF!</definedName>
    <definedName name="Loan_to_equipment_manufacturers_Unsecured" localSheetId="15">#REF!</definedName>
    <definedName name="Loan_to_equipment_manufacturers_Unsecured" localSheetId="19">#REF!</definedName>
    <definedName name="Loan_to_equipment_manufacturers_Unsecured" localSheetId="18">#REF!</definedName>
    <definedName name="Loan_to_equipment_manufacturers_Unsecured" localSheetId="14">#REF!</definedName>
    <definedName name="Loan_to_equipment_manufacturers_Unsecured" localSheetId="12">#REF!</definedName>
    <definedName name="Loan_to_equipment_manufacturers_Unsecured" localSheetId="24">#REF!</definedName>
    <definedName name="Loan_to_equipment_manufacturers_Unsecured" localSheetId="7">#REF!</definedName>
    <definedName name="Loan_to_equipment_manufacturers_Unsecured" localSheetId="20">#REF!</definedName>
    <definedName name="Loan_to_equipment_manufacturers_Unsecured" localSheetId="21">#REF!</definedName>
    <definedName name="Loan_to_equipment_manufacturers_Unsecured" localSheetId="11">#REF!</definedName>
    <definedName name="Loan_to_equipment_manufacturers_Unsecured" localSheetId="17">#REF!</definedName>
    <definedName name="Loan_to_equipment_manufacturers_Unsecured" localSheetId="16">#REF!</definedName>
    <definedName name="Loan_to_equipment_manufacturers_Unsecured" localSheetId="22">#REF!</definedName>
    <definedName name="Loan_to_equipment_manufacturers_Unsecured" localSheetId="9">#REF!</definedName>
    <definedName name="Loan_to_equipment_manufacturers_Unsecured" localSheetId="13">#REF!</definedName>
    <definedName name="Loan_to_equipment_manufacturers_Unsecured" localSheetId="23">#REF!</definedName>
    <definedName name="Loan_to_equipment_manufacturers_Unsecured">#REF!</definedName>
    <definedName name="Loan_to_equipment_manufacturers_Unsecured_Doubtful" localSheetId="4">#REF!</definedName>
    <definedName name="Loan_to_equipment_manufacturers_Unsecured_Doubtful" localSheetId="5">#REF!</definedName>
    <definedName name="Loan_to_equipment_manufacturers_Unsecured_Doubtful" localSheetId="15">#REF!</definedName>
    <definedName name="Loan_to_equipment_manufacturers_Unsecured_Doubtful" localSheetId="19">#REF!</definedName>
    <definedName name="Loan_to_equipment_manufacturers_Unsecured_Doubtful" localSheetId="18">#REF!</definedName>
    <definedName name="Loan_to_equipment_manufacturers_Unsecured_Doubtful" localSheetId="14">#REF!</definedName>
    <definedName name="Loan_to_equipment_manufacturers_Unsecured_Doubtful" localSheetId="12">#REF!</definedName>
    <definedName name="Loan_to_equipment_manufacturers_Unsecured_Doubtful" localSheetId="24">#REF!</definedName>
    <definedName name="Loan_to_equipment_manufacturers_Unsecured_Doubtful" localSheetId="7">#REF!</definedName>
    <definedName name="Loan_to_equipment_manufacturers_Unsecured_Doubtful" localSheetId="20">#REF!</definedName>
    <definedName name="Loan_to_equipment_manufacturers_Unsecured_Doubtful" localSheetId="21">#REF!</definedName>
    <definedName name="Loan_to_equipment_manufacturers_Unsecured_Doubtful" localSheetId="11">#REF!</definedName>
    <definedName name="Loan_to_equipment_manufacturers_Unsecured_Doubtful" localSheetId="17">#REF!</definedName>
    <definedName name="Loan_to_equipment_manufacturers_Unsecured_Doubtful" localSheetId="16">#REF!</definedName>
    <definedName name="Loan_to_equipment_manufacturers_Unsecured_Doubtful" localSheetId="22">#REF!</definedName>
    <definedName name="Loan_to_equipment_manufacturers_Unsecured_Doubtful" localSheetId="9">#REF!</definedName>
    <definedName name="Loan_to_equipment_manufacturers_Unsecured_Doubtful" localSheetId="13">#REF!</definedName>
    <definedName name="Loan_to_equipment_manufacturers_Unsecured_Doubtful" localSheetId="23">#REF!</definedName>
    <definedName name="Loan_to_equipment_manufacturers_Unsecured_Doubtful">#REF!</definedName>
    <definedName name="LoanGrowth12" localSheetId="4">#REF!</definedName>
    <definedName name="LoanGrowth12" localSheetId="5">#REF!</definedName>
    <definedName name="LoanGrowth12" localSheetId="15">#REF!</definedName>
    <definedName name="LoanGrowth12" localSheetId="19">#REF!</definedName>
    <definedName name="LoanGrowth12" localSheetId="18">#REF!</definedName>
    <definedName name="LoanGrowth12" localSheetId="14">#REF!</definedName>
    <definedName name="LoanGrowth12" localSheetId="12">#REF!</definedName>
    <definedName name="LoanGrowth12" localSheetId="24">#REF!</definedName>
    <definedName name="LoanGrowth12" localSheetId="7">#REF!</definedName>
    <definedName name="LoanGrowth12" localSheetId="20">#REF!</definedName>
    <definedName name="LoanGrowth12" localSheetId="21">#REF!</definedName>
    <definedName name="LoanGrowth12" localSheetId="11">#REF!</definedName>
    <definedName name="LoanGrowth12" localSheetId="17">#REF!</definedName>
    <definedName name="LoanGrowth12" localSheetId="16">#REF!</definedName>
    <definedName name="LoanGrowth12" localSheetId="22">#REF!</definedName>
    <definedName name="LoanGrowth12" localSheetId="9">#REF!</definedName>
    <definedName name="LoanGrowth12" localSheetId="13">#REF!</definedName>
    <definedName name="LoanGrowth12" localSheetId="23">#REF!</definedName>
    <definedName name="LoanGrowth12">#REF!</definedName>
    <definedName name="LoanGrowth13" localSheetId="4">#REF!</definedName>
    <definedName name="LoanGrowth13" localSheetId="9">#REF!</definedName>
    <definedName name="LoanGrowth13">#REF!</definedName>
    <definedName name="loans_advances">#REF!</definedName>
    <definedName name="loans_advances_A">#REF!</definedName>
    <definedName name="Loans_against_Assets">#REF!</definedName>
    <definedName name="Loans_and_advances">#REF!</definedName>
    <definedName name="Loans_and_advances_total">#REF!</definedName>
    <definedName name="Loans_to_Employees" localSheetId="4">#REF!</definedName>
    <definedName name="Loans_to_Employees" localSheetId="5">#REF!</definedName>
    <definedName name="Loans_to_Employees" localSheetId="15">#REF!</definedName>
    <definedName name="Loans_to_Employees" localSheetId="19">#REF!</definedName>
    <definedName name="Loans_to_Employees" localSheetId="18">#REF!</definedName>
    <definedName name="Loans_to_Employees" localSheetId="14">#REF!</definedName>
    <definedName name="Loans_to_Employees" localSheetId="12">#REF!</definedName>
    <definedName name="Loans_to_Employees" localSheetId="24">#REF!</definedName>
    <definedName name="Loans_to_Employees" localSheetId="7">#REF!</definedName>
    <definedName name="Loans_to_Employees" localSheetId="20">#REF!</definedName>
    <definedName name="Loans_to_Employees" localSheetId="21">#REF!</definedName>
    <definedName name="Loans_to_Employees" localSheetId="11">#REF!</definedName>
    <definedName name="Loans_to_Employees" localSheetId="17">#REF!</definedName>
    <definedName name="Loans_to_Employees" localSheetId="16">#REF!</definedName>
    <definedName name="Loans_to_Employees" localSheetId="22">#REF!</definedName>
    <definedName name="Loans_to_Employees" localSheetId="9">#REF!</definedName>
    <definedName name="Loans_to_Employees" localSheetId="13">#REF!</definedName>
    <definedName name="Loans_to_Employees" localSheetId="23">#REF!</definedName>
    <definedName name="Loans_to_Employees">#REF!</definedName>
    <definedName name="Loans_Total_Assets">#REF!</definedName>
    <definedName name="LoansAdvances" localSheetId="4">#REF!</definedName>
    <definedName name="LoansAdvances" localSheetId="9">#REF!</definedName>
    <definedName name="LoansAdvances">#REF!</definedName>
    <definedName name="LocalPay">#REF!</definedName>
    <definedName name="long_term_debt">#REF!</definedName>
    <definedName name="LongTermDebt" localSheetId="4">#REF!</definedName>
    <definedName name="LongTermDebt" localSheetId="5">#REF!</definedName>
    <definedName name="LongTermDebt" localSheetId="15">#REF!</definedName>
    <definedName name="LongTermDebt" localSheetId="19">#REF!</definedName>
    <definedName name="LongTermDebt" localSheetId="18">#REF!</definedName>
    <definedName name="LongTermDebt" localSheetId="14">#REF!</definedName>
    <definedName name="LongTermDebt" localSheetId="12">#REF!</definedName>
    <definedName name="LongTermDebt" localSheetId="24">#REF!</definedName>
    <definedName name="LongTermDebt" localSheetId="7">#REF!</definedName>
    <definedName name="LongTermDebt" localSheetId="20">#REF!</definedName>
    <definedName name="LongTermDebt" localSheetId="21">#REF!</definedName>
    <definedName name="LongTermDebt" localSheetId="11">#REF!</definedName>
    <definedName name="LongTermDebt" localSheetId="17">#REF!</definedName>
    <definedName name="LongTermDebt" localSheetId="16">#REF!</definedName>
    <definedName name="LongTermDebt" localSheetId="22">#REF!</definedName>
    <definedName name="LongTermDebt" localSheetId="9">#REF!</definedName>
    <definedName name="LongTermDebt" localSheetId="13">#REF!</definedName>
    <definedName name="LongTermDebt" localSheetId="23">#REF!</definedName>
    <definedName name="LongTermDebt">#REF!</definedName>
    <definedName name="LONNYPL">#REF!</definedName>
    <definedName name="LookUpYears" localSheetId="4">#REF!</definedName>
    <definedName name="LookUpYears" localSheetId="5">#REF!</definedName>
    <definedName name="LookUpYears" localSheetId="15">#REF!</definedName>
    <definedName name="LookUpYears" localSheetId="19">#REF!</definedName>
    <definedName name="LookUpYears" localSheetId="18">#REF!</definedName>
    <definedName name="LookUpYears" localSheetId="14">#REF!</definedName>
    <definedName name="LookUpYears" localSheetId="12">#REF!</definedName>
    <definedName name="LookUpYears" localSheetId="24">#REF!</definedName>
    <definedName name="LookUpYears" localSheetId="7">#REF!</definedName>
    <definedName name="LookUpYears" localSheetId="20">#REF!</definedName>
    <definedName name="LookUpYears" localSheetId="21">#REF!</definedName>
    <definedName name="LookUpYears" localSheetId="11">#REF!</definedName>
    <definedName name="LookUpYears" localSheetId="17">#REF!</definedName>
    <definedName name="LookUpYears" localSheetId="16">#REF!</definedName>
    <definedName name="LookUpYears" localSheetId="22">#REF!</definedName>
    <definedName name="LookUpYears" localSheetId="9">#REF!</definedName>
    <definedName name="LookUpYears" localSheetId="13">#REF!</definedName>
    <definedName name="LookUpYears" localSheetId="23">#REF!</definedName>
    <definedName name="LookUpYears">#REF!</definedName>
    <definedName name="LOTUS">#REF!</definedName>
    <definedName name="LT_debt" localSheetId="4">#REF!</definedName>
    <definedName name="LT_debt" localSheetId="9">#REF!</definedName>
    <definedName name="LT_debt">#REF!</definedName>
    <definedName name="lt_debt_A">#REF!</definedName>
    <definedName name="lt_debt_foreign">#REF!</definedName>
    <definedName name="LT_debt_growth_fore" localSheetId="4">#REF!</definedName>
    <definedName name="LT_debt_growth_fore" localSheetId="5">#REF!</definedName>
    <definedName name="LT_debt_growth_fore" localSheetId="15">#REF!</definedName>
    <definedName name="LT_debt_growth_fore" localSheetId="19">#REF!</definedName>
    <definedName name="LT_debt_growth_fore" localSheetId="18">#REF!</definedName>
    <definedName name="LT_debt_growth_fore" localSheetId="14">#REF!</definedName>
    <definedName name="LT_debt_growth_fore" localSheetId="12">#REF!</definedName>
    <definedName name="LT_debt_growth_fore" localSheetId="24">#REF!</definedName>
    <definedName name="LT_debt_growth_fore" localSheetId="7">#REF!</definedName>
    <definedName name="LT_debt_growth_fore" localSheetId="20">#REF!</definedName>
    <definedName name="LT_debt_growth_fore" localSheetId="21">#REF!</definedName>
    <definedName name="LT_debt_growth_fore" localSheetId="11">#REF!</definedName>
    <definedName name="LT_debt_growth_fore" localSheetId="17">#REF!</definedName>
    <definedName name="LT_debt_growth_fore" localSheetId="16">#REF!</definedName>
    <definedName name="LT_debt_growth_fore" localSheetId="22">#REF!</definedName>
    <definedName name="LT_debt_growth_fore" localSheetId="9">#REF!</definedName>
    <definedName name="LT_debt_growth_fore" localSheetId="13">#REF!</definedName>
    <definedName name="LT_debt_growth_fore" localSheetId="23">#REF!</definedName>
    <definedName name="LT_debt_growth_fore">#REF!</definedName>
    <definedName name="lt_debt_lease_financing">#REF!</definedName>
    <definedName name="LT_INV" localSheetId="4">#REF!</definedName>
    <definedName name="LT_INV" localSheetId="5">#REF!</definedName>
    <definedName name="LT_INV" localSheetId="15">#REF!</definedName>
    <definedName name="LT_INV" localSheetId="19">#REF!</definedName>
    <definedName name="LT_INV" localSheetId="18">#REF!</definedName>
    <definedName name="LT_INV" localSheetId="14">#REF!</definedName>
    <definedName name="LT_INV" localSheetId="12">#REF!</definedName>
    <definedName name="LT_INV" localSheetId="24">#REF!</definedName>
    <definedName name="LT_INV" localSheetId="7">#REF!</definedName>
    <definedName name="LT_INV" localSheetId="20">#REF!</definedName>
    <definedName name="LT_INV" localSheetId="21">#REF!</definedName>
    <definedName name="LT_INV" localSheetId="11">#REF!</definedName>
    <definedName name="LT_INV" localSheetId="17">#REF!</definedName>
    <definedName name="LT_INV" localSheetId="16">#REF!</definedName>
    <definedName name="LT_INV" localSheetId="22">#REF!</definedName>
    <definedName name="LT_INV" localSheetId="9">#REF!</definedName>
    <definedName name="LT_INV" localSheetId="13">#REF!</definedName>
    <definedName name="LT_INV" localSheetId="23">#REF!</definedName>
    <definedName name="LT_INV">#REF!</definedName>
    <definedName name="LTDebt">#REF!</definedName>
    <definedName name="LtDebtChg" hidden="1">#REF!</definedName>
    <definedName name="LtDebtDmy" localSheetId="4" hidden="1">#REF!,#REF!,#REF!,#REF!,#REF!</definedName>
    <definedName name="LtDebtDmy" localSheetId="9" hidden="1">#REF!,#REF!,#REF!,#REF!,#REF!</definedName>
    <definedName name="LtDebtDmy" hidden="1">#REF!,#REF!,#REF!,#REF!,#REF!</definedName>
    <definedName name="LtDebtInt">#REF!</definedName>
    <definedName name="LTDebtSer" hidden="1">#REF!</definedName>
    <definedName name="LtInt">#REF!</definedName>
    <definedName name="LTL" localSheetId="4">#REF!</definedName>
    <definedName name="LTL" localSheetId="5">#REF!</definedName>
    <definedName name="LTL" localSheetId="15">#REF!</definedName>
    <definedName name="LTL" localSheetId="19">#REF!</definedName>
    <definedName name="LTL" localSheetId="18">#REF!</definedName>
    <definedName name="LTL" localSheetId="14">#REF!</definedName>
    <definedName name="LTL" localSheetId="12">#REF!</definedName>
    <definedName name="LTL" localSheetId="24">#REF!</definedName>
    <definedName name="LTL" localSheetId="7">#REF!</definedName>
    <definedName name="LTL" localSheetId="20">#REF!</definedName>
    <definedName name="LTL" localSheetId="21">#REF!</definedName>
    <definedName name="LTL" localSheetId="11">#REF!</definedName>
    <definedName name="LTL" localSheetId="17">#REF!</definedName>
    <definedName name="LTL" localSheetId="16">#REF!</definedName>
    <definedName name="LTL" localSheetId="22">#REF!</definedName>
    <definedName name="LTL" localSheetId="9">#REF!</definedName>
    <definedName name="LTL" localSheetId="13">#REF!</definedName>
    <definedName name="LTL" localSheetId="23">#REF!</definedName>
    <definedName name="LTL">#REF!</definedName>
    <definedName name="LTL_CAP" localSheetId="4">#REF!</definedName>
    <definedName name="LTL_CAP" localSheetId="5">#REF!</definedName>
    <definedName name="LTL_CAP" localSheetId="15">#REF!</definedName>
    <definedName name="LTL_CAP" localSheetId="19">#REF!</definedName>
    <definedName name="LTL_CAP" localSheetId="18">#REF!</definedName>
    <definedName name="LTL_CAP" localSheetId="14">#REF!</definedName>
    <definedName name="LTL_CAP" localSheetId="12">#REF!</definedName>
    <definedName name="LTL_CAP" localSheetId="24">#REF!</definedName>
    <definedName name="LTL_CAP" localSheetId="7">#REF!</definedName>
    <definedName name="LTL_CAP" localSheetId="20">#REF!</definedName>
    <definedName name="LTL_CAP" localSheetId="21">#REF!</definedName>
    <definedName name="LTL_CAP" localSheetId="11">#REF!</definedName>
    <definedName name="LTL_CAP" localSheetId="17">#REF!</definedName>
    <definedName name="LTL_CAP" localSheetId="16">#REF!</definedName>
    <definedName name="LTL_CAP" localSheetId="22">#REF!</definedName>
    <definedName name="LTL_CAP" localSheetId="9">#REF!</definedName>
    <definedName name="LTL_CAP" localSheetId="13">#REF!</definedName>
    <definedName name="LTL_CAP" localSheetId="23">#REF!</definedName>
    <definedName name="LTL_CAP">#REF!</definedName>
    <definedName name="LTL_DEBT" localSheetId="4">#REF!</definedName>
    <definedName name="LTL_DEBT" localSheetId="5">#REF!</definedName>
    <definedName name="LTL_DEBT" localSheetId="15">#REF!</definedName>
    <definedName name="LTL_DEBT" localSheetId="19">#REF!</definedName>
    <definedName name="LTL_DEBT" localSheetId="18">#REF!</definedName>
    <definedName name="LTL_DEBT" localSheetId="14">#REF!</definedName>
    <definedName name="LTL_DEBT" localSheetId="12">#REF!</definedName>
    <definedName name="LTL_DEBT" localSheetId="24">#REF!</definedName>
    <definedName name="LTL_DEBT" localSheetId="7">#REF!</definedName>
    <definedName name="LTL_DEBT" localSheetId="20">#REF!</definedName>
    <definedName name="LTL_DEBT" localSheetId="21">#REF!</definedName>
    <definedName name="LTL_DEBT" localSheetId="11">#REF!</definedName>
    <definedName name="LTL_DEBT" localSheetId="17">#REF!</definedName>
    <definedName name="LTL_DEBT" localSheetId="16">#REF!</definedName>
    <definedName name="LTL_DEBT" localSheetId="22">#REF!</definedName>
    <definedName name="LTL_DEBT" localSheetId="9">#REF!</definedName>
    <definedName name="LTL_DEBT" localSheetId="13">#REF!</definedName>
    <definedName name="LTL_DEBT" localSheetId="23">#REF!</definedName>
    <definedName name="LTL_DEBT">#REF!</definedName>
    <definedName name="LTL_TAX" localSheetId="4">#REF!</definedName>
    <definedName name="LTL_TAX" localSheetId="9">#REF!</definedName>
    <definedName name="LTL_TAX">#REF!</definedName>
    <definedName name="M" localSheetId="4">#REF!</definedName>
    <definedName name="M" localSheetId="5">#REF!</definedName>
    <definedName name="M" localSheetId="15">#REF!</definedName>
    <definedName name="M" localSheetId="19">#REF!</definedName>
    <definedName name="M" localSheetId="18">#REF!</definedName>
    <definedName name="M" localSheetId="14">#REF!</definedName>
    <definedName name="M" localSheetId="12">#REF!</definedName>
    <definedName name="M" localSheetId="24">#REF!</definedName>
    <definedName name="M" localSheetId="7">#REF!</definedName>
    <definedName name="M" localSheetId="20">#REF!</definedName>
    <definedName name="M" localSheetId="21">#REF!</definedName>
    <definedName name="M" localSheetId="11">#REF!</definedName>
    <definedName name="M" localSheetId="17">#REF!</definedName>
    <definedName name="M" localSheetId="16">#REF!</definedName>
    <definedName name="M" localSheetId="22">#REF!</definedName>
    <definedName name="M" localSheetId="9">#REF!</definedName>
    <definedName name="M" localSheetId="13">#REF!</definedName>
    <definedName name="M" localSheetId="23">#REF!</definedName>
    <definedName name="M">#REF!</definedName>
    <definedName name="M_PlaceofPath" hidden="1">"\\SNYCEQT0100\HOME\LZURLO\DATA\TELMEX\Models\tmx_vdf.xls"</definedName>
    <definedName name="Macro1">#REF!</definedName>
    <definedName name="Macro2">#REF!</definedName>
    <definedName name="Macro3">#REF!</definedName>
    <definedName name="MACROS" localSheetId="4">#REF!</definedName>
    <definedName name="MACROS" localSheetId="9">#REF!</definedName>
    <definedName name="MACROS">#REF!</definedName>
    <definedName name="mahMah" localSheetId="4">#REF!</definedName>
    <definedName name="mahMah" localSheetId="5">#REF!</definedName>
    <definedName name="mahMah" localSheetId="15">#REF!</definedName>
    <definedName name="mahMah" localSheetId="19">#REF!</definedName>
    <definedName name="mahMah" localSheetId="18">#REF!</definedName>
    <definedName name="mahMah" localSheetId="14">#REF!</definedName>
    <definedName name="mahMah" localSheetId="12">#REF!</definedName>
    <definedName name="mahMah" localSheetId="24">#REF!</definedName>
    <definedName name="mahMah" localSheetId="7">#REF!</definedName>
    <definedName name="mahMah" localSheetId="20">#REF!</definedName>
    <definedName name="mahMah" localSheetId="21">#REF!</definedName>
    <definedName name="mahMah" localSheetId="11">#REF!</definedName>
    <definedName name="mahMah" localSheetId="17">#REF!</definedName>
    <definedName name="mahMah" localSheetId="16">#REF!</definedName>
    <definedName name="mahMah" localSheetId="22">#REF!</definedName>
    <definedName name="mahMah" localSheetId="9">#REF!</definedName>
    <definedName name="mahMah" localSheetId="13">#REF!</definedName>
    <definedName name="mahMah" localSheetId="23">#REF!</definedName>
    <definedName name="mahMah">#REF!</definedName>
    <definedName name="MAIN" localSheetId="4">#REF!</definedName>
    <definedName name="MAIN" localSheetId="9">#REF!</definedName>
    <definedName name="MAIN">#REF!</definedName>
    <definedName name="Maintenance_Building">#REF!</definedName>
    <definedName name="Maintenance_Others">#REF!</definedName>
    <definedName name="Major_Maint" localSheetId="4">#REF!</definedName>
    <definedName name="Major_Maint" localSheetId="5">#REF!</definedName>
    <definedName name="Major_Maint" localSheetId="15">#REF!</definedName>
    <definedName name="Major_Maint" localSheetId="19">#REF!</definedName>
    <definedName name="Major_Maint" localSheetId="18">#REF!</definedName>
    <definedName name="Major_Maint" localSheetId="14">#REF!</definedName>
    <definedName name="Major_Maint" localSheetId="12">#REF!</definedName>
    <definedName name="Major_Maint" localSheetId="24">#REF!</definedName>
    <definedName name="Major_Maint" localSheetId="7">#REF!</definedName>
    <definedName name="Major_Maint" localSheetId="20">#REF!</definedName>
    <definedName name="Major_Maint" localSheetId="21">#REF!</definedName>
    <definedName name="Major_Maint" localSheetId="11">#REF!</definedName>
    <definedName name="Major_Maint" localSheetId="17">#REF!</definedName>
    <definedName name="Major_Maint" localSheetId="16">#REF!</definedName>
    <definedName name="Major_Maint" localSheetId="22">#REF!</definedName>
    <definedName name="Major_Maint" localSheetId="9">#REF!</definedName>
    <definedName name="Major_Maint" localSheetId="13">#REF!</definedName>
    <definedName name="Major_Maint" localSheetId="23">#REF!</definedName>
    <definedName name="Major_Maint">#REF!</definedName>
    <definedName name="malaysia">#REF!</definedName>
    <definedName name="man_cash_flow" localSheetId="4">#REF!</definedName>
    <definedName name="man_cash_flow" localSheetId="5">#REF!</definedName>
    <definedName name="man_cash_flow" localSheetId="15">#REF!</definedName>
    <definedName name="man_cash_flow" localSheetId="19">#REF!</definedName>
    <definedName name="man_cash_flow" localSheetId="18">#REF!</definedName>
    <definedName name="man_cash_flow" localSheetId="14">#REF!</definedName>
    <definedName name="man_cash_flow" localSheetId="12">#REF!</definedName>
    <definedName name="man_cash_flow" localSheetId="24">#REF!</definedName>
    <definedName name="man_cash_flow" localSheetId="7">#REF!</definedName>
    <definedName name="man_cash_flow" localSheetId="20">#REF!</definedName>
    <definedName name="man_cash_flow" localSheetId="21">#REF!</definedName>
    <definedName name="man_cash_flow" localSheetId="11">#REF!</definedName>
    <definedName name="man_cash_flow" localSheetId="17">#REF!</definedName>
    <definedName name="man_cash_flow" localSheetId="16">#REF!</definedName>
    <definedName name="man_cash_flow" localSheetId="22">#REF!</definedName>
    <definedName name="man_cash_flow" localSheetId="9">#REF!</definedName>
    <definedName name="man_cash_flow" localSheetId="13">#REF!</definedName>
    <definedName name="man_cash_flow" localSheetId="23">#REF!</definedName>
    <definedName name="man_cash_flow">#REF!</definedName>
    <definedName name="managed">#REF!</definedName>
    <definedName name="managed1">#REF!</definedName>
    <definedName name="Manasement__Agency___Guarantee_Fees" localSheetId="4">#REF!</definedName>
    <definedName name="Manasement__Agency___Guarantee_Fees" localSheetId="5">#REF!</definedName>
    <definedName name="Manasement__Agency___Guarantee_Fees" localSheetId="15">#REF!</definedName>
    <definedName name="Manasement__Agency___Guarantee_Fees" localSheetId="19">#REF!</definedName>
    <definedName name="Manasement__Agency___Guarantee_Fees" localSheetId="18">#REF!</definedName>
    <definedName name="Manasement__Agency___Guarantee_Fees" localSheetId="14">#REF!</definedName>
    <definedName name="Manasement__Agency___Guarantee_Fees" localSheetId="12">#REF!</definedName>
    <definedName name="Manasement__Agency___Guarantee_Fees" localSheetId="24">#REF!</definedName>
    <definedName name="Manasement__Agency___Guarantee_Fees" localSheetId="7">#REF!</definedName>
    <definedName name="Manasement__Agency___Guarantee_Fees" localSheetId="20">#REF!</definedName>
    <definedName name="Manasement__Agency___Guarantee_Fees" localSheetId="21">#REF!</definedName>
    <definedName name="Manasement__Agency___Guarantee_Fees" localSheetId="11">#REF!</definedName>
    <definedName name="Manasement__Agency___Guarantee_Fees" localSheetId="17">#REF!</definedName>
    <definedName name="Manasement__Agency___Guarantee_Fees" localSheetId="16">#REF!</definedName>
    <definedName name="Manasement__Agency___Guarantee_Fees" localSheetId="22">#REF!</definedName>
    <definedName name="Manasement__Agency___Guarantee_Fees" localSheetId="9">#REF!</definedName>
    <definedName name="Manasement__Agency___Guarantee_Fees" localSheetId="13">#REF!</definedName>
    <definedName name="Manasement__Agency___Guarantee_Fees" localSheetId="23">#REF!</definedName>
    <definedName name="Manasement__Agency___Guarantee_Fees">#REF!</definedName>
    <definedName name="ManPowerCost" localSheetId="4">#REF!</definedName>
    <definedName name="ManPowerCost" localSheetId="9">#REF!</definedName>
    <definedName name="ManPowerCost">#REF!</definedName>
    <definedName name="MANUAL" localSheetId="4">#REF!</definedName>
    <definedName name="MANUAL" localSheetId="9">#REF!</definedName>
    <definedName name="MANUAL">#REF!</definedName>
    <definedName name="Mar">#REF!</definedName>
    <definedName name="MARGIN" localSheetId="4">#REF!</definedName>
    <definedName name="MARGIN" localSheetId="9">#REF!</definedName>
    <definedName name="MARGIN">#REF!</definedName>
    <definedName name="Margin_analysis" localSheetId="4">#REF!</definedName>
    <definedName name="Margin_analysis" localSheetId="5">#REF!</definedName>
    <definedName name="Margin_analysis" localSheetId="15">#REF!</definedName>
    <definedName name="Margin_analysis" localSheetId="19">#REF!</definedName>
    <definedName name="Margin_analysis" localSheetId="18">#REF!</definedName>
    <definedName name="Margin_analysis" localSheetId="14">#REF!</definedName>
    <definedName name="Margin_analysis" localSheetId="12">#REF!</definedName>
    <definedName name="Margin_analysis" localSheetId="24">#REF!</definedName>
    <definedName name="Margin_analysis" localSheetId="7">#REF!</definedName>
    <definedName name="Margin_analysis" localSheetId="20">#REF!</definedName>
    <definedName name="Margin_analysis" localSheetId="21">#REF!</definedName>
    <definedName name="Margin_analysis" localSheetId="11">#REF!</definedName>
    <definedName name="Margin_analysis" localSheetId="17">#REF!</definedName>
    <definedName name="Margin_analysis" localSheetId="16">#REF!</definedName>
    <definedName name="Margin_analysis" localSheetId="22">#REF!</definedName>
    <definedName name="Margin_analysis" localSheetId="9">#REF!</definedName>
    <definedName name="Margin_analysis" localSheetId="13">#REF!</definedName>
    <definedName name="Margin_analysis" localSheetId="23">#REF!</definedName>
    <definedName name="Margin_analysis">#REF!</definedName>
    <definedName name="Marginal_tax_rate" localSheetId="4">#REF!</definedName>
    <definedName name="Marginal_tax_rate" localSheetId="5">#REF!</definedName>
    <definedName name="Marginal_tax_rate" localSheetId="15">#REF!</definedName>
    <definedName name="Marginal_tax_rate" localSheetId="19">#REF!</definedName>
    <definedName name="Marginal_tax_rate" localSheetId="18">#REF!</definedName>
    <definedName name="Marginal_tax_rate" localSheetId="14">#REF!</definedName>
    <definedName name="Marginal_tax_rate" localSheetId="12">#REF!</definedName>
    <definedName name="Marginal_tax_rate" localSheetId="24">#REF!</definedName>
    <definedName name="Marginal_tax_rate" localSheetId="7">#REF!</definedName>
    <definedName name="Marginal_tax_rate" localSheetId="20">#REF!</definedName>
    <definedName name="Marginal_tax_rate" localSheetId="21">#REF!</definedName>
    <definedName name="Marginal_tax_rate" localSheetId="11">#REF!</definedName>
    <definedName name="Marginal_tax_rate" localSheetId="17">#REF!</definedName>
    <definedName name="Marginal_tax_rate" localSheetId="16">#REF!</definedName>
    <definedName name="Marginal_tax_rate" localSheetId="22">#REF!</definedName>
    <definedName name="Marginal_tax_rate" localSheetId="9">#REF!</definedName>
    <definedName name="Marginal_tax_rate" localSheetId="13">#REF!</definedName>
    <definedName name="Marginal_tax_rate" localSheetId="23">#REF!</definedName>
    <definedName name="Marginal_tax_rate">#REF!</definedName>
    <definedName name="market_cap" localSheetId="4">#REF!</definedName>
    <definedName name="market_cap" localSheetId="5">#REF!</definedName>
    <definedName name="market_cap" localSheetId="15">#REF!</definedName>
    <definedName name="market_cap" localSheetId="19">#REF!</definedName>
    <definedName name="market_cap" localSheetId="18">#REF!</definedName>
    <definedName name="market_cap" localSheetId="14">#REF!</definedName>
    <definedName name="market_cap" localSheetId="12">#REF!</definedName>
    <definedName name="market_cap" localSheetId="24">#REF!</definedName>
    <definedName name="market_cap" localSheetId="7">#REF!</definedName>
    <definedName name="market_cap" localSheetId="20">#REF!</definedName>
    <definedName name="market_cap" localSheetId="21">#REF!</definedName>
    <definedName name="market_cap" localSheetId="11">#REF!</definedName>
    <definedName name="market_cap" localSheetId="17">#REF!</definedName>
    <definedName name="market_cap" localSheetId="16">#REF!</definedName>
    <definedName name="market_cap" localSheetId="22">#REF!</definedName>
    <definedName name="market_cap" localSheetId="9">#REF!</definedName>
    <definedName name="market_cap" localSheetId="13">#REF!</definedName>
    <definedName name="market_cap" localSheetId="23">#REF!</definedName>
    <definedName name="market_cap">#REF!</definedName>
    <definedName name="Market_cap_Rs_m">#REF!</definedName>
    <definedName name="market_capitalisation">#REF!</definedName>
    <definedName name="market_capitalisation_A">#REF!</definedName>
    <definedName name="Market_capitalization" localSheetId="4">#REF!</definedName>
    <definedName name="Market_capitalization" localSheetId="5">#REF!</definedName>
    <definedName name="Market_capitalization" localSheetId="15">#REF!</definedName>
    <definedName name="Market_capitalization" localSheetId="19">#REF!</definedName>
    <definedName name="Market_capitalization" localSheetId="18">#REF!</definedName>
    <definedName name="Market_capitalization" localSheetId="14">#REF!</definedName>
    <definedName name="Market_capitalization" localSheetId="12">#REF!</definedName>
    <definedName name="Market_capitalization" localSheetId="24">#REF!</definedName>
    <definedName name="Market_capitalization" localSheetId="7">#REF!</definedName>
    <definedName name="Market_capitalization" localSheetId="20">#REF!</definedName>
    <definedName name="Market_capitalization" localSheetId="21">#REF!</definedName>
    <definedName name="Market_capitalization" localSheetId="11">#REF!</definedName>
    <definedName name="Market_capitalization" localSheetId="17">#REF!</definedName>
    <definedName name="Market_capitalization" localSheetId="16">#REF!</definedName>
    <definedName name="Market_capitalization" localSheetId="22">#REF!</definedName>
    <definedName name="Market_capitalization" localSheetId="9">#REF!</definedName>
    <definedName name="Market_capitalization" localSheetId="13">#REF!</definedName>
    <definedName name="Market_capitalization" localSheetId="23">#REF!</definedName>
    <definedName name="Market_capitalization">#REF!</definedName>
    <definedName name="Market_Implied_CAP" localSheetId="4">#REF!</definedName>
    <definedName name="Market_Implied_CAP" localSheetId="5">#REF!</definedName>
    <definedName name="Market_Implied_CAP" localSheetId="15">#REF!</definedName>
    <definedName name="Market_Implied_CAP" localSheetId="19">#REF!</definedName>
    <definedName name="Market_Implied_CAP" localSheetId="18">#REF!</definedName>
    <definedName name="Market_Implied_CAP" localSheetId="14">#REF!</definedName>
    <definedName name="Market_Implied_CAP" localSheetId="12">#REF!</definedName>
    <definedName name="Market_Implied_CAP" localSheetId="24">#REF!</definedName>
    <definedName name="Market_Implied_CAP" localSheetId="7">#REF!</definedName>
    <definedName name="Market_Implied_CAP" localSheetId="20">#REF!</definedName>
    <definedName name="Market_Implied_CAP" localSheetId="21">#REF!</definedName>
    <definedName name="Market_Implied_CAP" localSheetId="11">#REF!</definedName>
    <definedName name="Market_Implied_CAP" localSheetId="17">#REF!</definedName>
    <definedName name="Market_Implied_CAP" localSheetId="16">#REF!</definedName>
    <definedName name="Market_Implied_CAP" localSheetId="22">#REF!</definedName>
    <definedName name="Market_Implied_CAP" localSheetId="9">#REF!</definedName>
    <definedName name="Market_Implied_CAP" localSheetId="13">#REF!</definedName>
    <definedName name="Market_Implied_CAP" localSheetId="23">#REF!</definedName>
    <definedName name="Market_Implied_CAP">#REF!</definedName>
    <definedName name="marketable_securities">#REF!</definedName>
    <definedName name="marketable_securities_at_cost">#REF!</definedName>
    <definedName name="marketable_securities_at_cost_A">#REF!</definedName>
    <definedName name="marketable_securities_at_cost_avg">#REF!</definedName>
    <definedName name="marketing_expenses">#REF!</definedName>
    <definedName name="master">#REF!</definedName>
    <definedName name="mastertemplatelookup">#REF!</definedName>
    <definedName name="Materials" localSheetId="4">#REF!</definedName>
    <definedName name="Materials" localSheetId="9">#REF!</definedName>
    <definedName name="Materials">#REF!</definedName>
    <definedName name="Materials_NetSales" localSheetId="4">#REF!</definedName>
    <definedName name="Materials_NetSales" localSheetId="9">#REF!</definedName>
    <definedName name="Materials_NetSales">#REF!</definedName>
    <definedName name="MATRIX" localSheetId="4">#REF!</definedName>
    <definedName name="MATRIX" localSheetId="5">#REF!</definedName>
    <definedName name="MATRIX" localSheetId="15">#REF!</definedName>
    <definedName name="MATRIX" localSheetId="19">#REF!</definedName>
    <definedName name="MATRIX" localSheetId="18">#REF!</definedName>
    <definedName name="MATRIX" localSheetId="14">#REF!</definedName>
    <definedName name="MATRIX" localSheetId="12">#REF!</definedName>
    <definedName name="MATRIX" localSheetId="24">#REF!</definedName>
    <definedName name="MATRIX" localSheetId="7">#REF!</definedName>
    <definedName name="MATRIX" localSheetId="20">#REF!</definedName>
    <definedName name="MATRIX" localSheetId="21">#REF!</definedName>
    <definedName name="MATRIX" localSheetId="11">#REF!</definedName>
    <definedName name="MATRIX" localSheetId="17">#REF!</definedName>
    <definedName name="MATRIX" localSheetId="16">#REF!</definedName>
    <definedName name="MATRIX" localSheetId="22">#REF!</definedName>
    <definedName name="MATRIX" localSheetId="9">#REF!</definedName>
    <definedName name="MATRIX" localSheetId="13">#REF!</definedName>
    <definedName name="MATRIX" localSheetId="23">#REF!</definedName>
    <definedName name="MATRIX">#REF!</definedName>
    <definedName name="Maximum_loan_available" localSheetId="4">#REF!</definedName>
    <definedName name="Maximum_loan_available" localSheetId="5">#REF!</definedName>
    <definedName name="Maximum_loan_available" localSheetId="15">#REF!</definedName>
    <definedName name="Maximum_loan_available" localSheetId="19">#REF!</definedName>
    <definedName name="Maximum_loan_available" localSheetId="18">#REF!</definedName>
    <definedName name="Maximum_loan_available" localSheetId="14">#REF!</definedName>
    <definedName name="Maximum_loan_available" localSheetId="12">#REF!</definedName>
    <definedName name="Maximum_loan_available" localSheetId="24">#REF!</definedName>
    <definedName name="Maximum_loan_available" localSheetId="7">#REF!</definedName>
    <definedName name="Maximum_loan_available" localSheetId="20">#REF!</definedName>
    <definedName name="Maximum_loan_available" localSheetId="21">#REF!</definedName>
    <definedName name="Maximum_loan_available" localSheetId="11">#REF!</definedName>
    <definedName name="Maximum_loan_available" localSheetId="17">#REF!</definedName>
    <definedName name="Maximum_loan_available" localSheetId="16">#REF!</definedName>
    <definedName name="Maximum_loan_available" localSheetId="22">#REF!</definedName>
    <definedName name="Maximum_loan_available" localSheetId="9">#REF!</definedName>
    <definedName name="Maximum_loan_available" localSheetId="13">#REF!</definedName>
    <definedName name="Maximum_loan_available" localSheetId="23">#REF!</definedName>
    <definedName name="Maximum_loan_available">#REF!</definedName>
    <definedName name="maywgt">#REF!</definedName>
    <definedName name="MBASE" localSheetId="4">#REF!</definedName>
    <definedName name="MBASE" localSheetId="9">#REF!</definedName>
    <definedName name="MBASE">#REF!</definedName>
    <definedName name="mc_ms" localSheetId="4">#REF!</definedName>
    <definedName name="mc_ms" localSheetId="5">#REF!</definedName>
    <definedName name="mc_ms" localSheetId="15">#REF!</definedName>
    <definedName name="mc_ms" localSheetId="19">#REF!</definedName>
    <definedName name="mc_ms" localSheetId="18">#REF!</definedName>
    <definedName name="mc_ms" localSheetId="14">#REF!</definedName>
    <definedName name="mc_ms" localSheetId="12">#REF!</definedName>
    <definedName name="mc_ms" localSheetId="24">#REF!</definedName>
    <definedName name="mc_ms" localSheetId="7">#REF!</definedName>
    <definedName name="mc_ms" localSheetId="20">#REF!</definedName>
    <definedName name="mc_ms" localSheetId="21">#REF!</definedName>
    <definedName name="mc_ms" localSheetId="11">#REF!</definedName>
    <definedName name="mc_ms" localSheetId="17">#REF!</definedName>
    <definedName name="mc_ms" localSheetId="16">#REF!</definedName>
    <definedName name="mc_ms" localSheetId="22">#REF!</definedName>
    <definedName name="mc_ms" localSheetId="9">#REF!</definedName>
    <definedName name="mc_ms" localSheetId="13">#REF!</definedName>
    <definedName name="mc_ms" localSheetId="23">#REF!</definedName>
    <definedName name="mc_ms">#REF!</definedName>
    <definedName name="MCASHTAX" localSheetId="4">#REF!</definedName>
    <definedName name="MCASHTAX" localSheetId="9">#REF!</definedName>
    <definedName name="MCASHTAX">#REF!</definedName>
    <definedName name="MCOGS" localSheetId="4">#REF!</definedName>
    <definedName name="MCOGS" localSheetId="9">#REF!</definedName>
    <definedName name="MCOGS">#REF!</definedName>
    <definedName name="MCONSTANT" localSheetId="4">#REF!</definedName>
    <definedName name="MCONSTANT" localSheetId="9">#REF!</definedName>
    <definedName name="MCONSTANT">#REF!</definedName>
    <definedName name="MCOST_CAP" localSheetId="4">#REF!</definedName>
    <definedName name="MCOST_CAP" localSheetId="9">#REF!</definedName>
    <definedName name="MCOST_CAP">#REF!</definedName>
    <definedName name="MDATA_FILE" localSheetId="4">#REF!</definedName>
    <definedName name="MDATA_FILE" localSheetId="9">#REF!</definedName>
    <definedName name="MDATA_FILE">#REF!</definedName>
    <definedName name="MDEPRECIATION" localSheetId="4">#REF!</definedName>
    <definedName name="MDEPRECIATION" localSheetId="9">#REF!</definedName>
    <definedName name="MDEPRECIATION">#REF!</definedName>
    <definedName name="MER">#REF!</definedName>
    <definedName name="mergers">#REF!</definedName>
    <definedName name="metwgt">#REF!</definedName>
    <definedName name="Mexico1" localSheetId="4">#REF!</definedName>
    <definedName name="Mexico1" localSheetId="5">#REF!</definedName>
    <definedName name="Mexico1" localSheetId="15">#REF!</definedName>
    <definedName name="Mexico1" localSheetId="19">#REF!</definedName>
    <definedName name="Mexico1" localSheetId="18">#REF!</definedName>
    <definedName name="Mexico1" localSheetId="14">#REF!</definedName>
    <definedName name="Mexico1" localSheetId="12">#REF!</definedName>
    <definedName name="Mexico1" localSheetId="24">#REF!</definedName>
    <definedName name="Mexico1" localSheetId="7">#REF!</definedName>
    <definedName name="Mexico1" localSheetId="20">#REF!</definedName>
    <definedName name="Mexico1" localSheetId="21">#REF!</definedName>
    <definedName name="Mexico1" localSheetId="11">#REF!</definedName>
    <definedName name="Mexico1" localSheetId="17">#REF!</definedName>
    <definedName name="Mexico1" localSheetId="16">#REF!</definedName>
    <definedName name="Mexico1" localSheetId="22">#REF!</definedName>
    <definedName name="Mexico1" localSheetId="9">#REF!</definedName>
    <definedName name="Mexico1" localSheetId="13">#REF!</definedName>
    <definedName name="Mexico1" localSheetId="23">#REF!</definedName>
    <definedName name="Mexico1">#REF!</definedName>
    <definedName name="Mexico2" localSheetId="4">#REF!</definedName>
    <definedName name="Mexico2" localSheetId="5">#REF!</definedName>
    <definedName name="Mexico2" localSheetId="15">#REF!</definedName>
    <definedName name="Mexico2" localSheetId="19">#REF!</definedName>
    <definedName name="Mexico2" localSheetId="18">#REF!</definedName>
    <definedName name="Mexico2" localSheetId="14">#REF!</definedName>
    <definedName name="Mexico2" localSheetId="12">#REF!</definedName>
    <definedName name="Mexico2" localSheetId="24">#REF!</definedName>
    <definedName name="Mexico2" localSheetId="7">#REF!</definedName>
    <definedName name="Mexico2" localSheetId="20">#REF!</definedName>
    <definedName name="Mexico2" localSheetId="21">#REF!</definedName>
    <definedName name="Mexico2" localSheetId="11">#REF!</definedName>
    <definedName name="Mexico2" localSheetId="17">#REF!</definedName>
    <definedName name="Mexico2" localSheetId="16">#REF!</definedName>
    <definedName name="Mexico2" localSheetId="22">#REF!</definedName>
    <definedName name="Mexico2" localSheetId="9">#REF!</definedName>
    <definedName name="Mexico2" localSheetId="13">#REF!</definedName>
    <definedName name="Mexico2" localSheetId="23">#REF!</definedName>
    <definedName name="Mexico2">#REF!</definedName>
    <definedName name="mfg" localSheetId="4">#REF!</definedName>
    <definedName name="mfg" localSheetId="5">#REF!</definedName>
    <definedName name="mfg" localSheetId="15">#REF!</definedName>
    <definedName name="mfg" localSheetId="19">#REF!</definedName>
    <definedName name="mfg" localSheetId="18">#REF!</definedName>
    <definedName name="mfg" localSheetId="14">#REF!</definedName>
    <definedName name="mfg" localSheetId="12">#REF!</definedName>
    <definedName name="mfg" localSheetId="24">#REF!</definedName>
    <definedName name="mfg" localSheetId="7">#REF!</definedName>
    <definedName name="mfg" localSheetId="20">#REF!</definedName>
    <definedName name="mfg" localSheetId="21">#REF!</definedName>
    <definedName name="mfg" localSheetId="11">#REF!</definedName>
    <definedName name="mfg" localSheetId="17">#REF!</definedName>
    <definedName name="mfg" localSheetId="16">#REF!</definedName>
    <definedName name="mfg" localSheetId="22">#REF!</definedName>
    <definedName name="mfg" localSheetId="9">#REF!</definedName>
    <definedName name="mfg" localSheetId="13">#REF!</definedName>
    <definedName name="mfg" localSheetId="23">#REF!</definedName>
    <definedName name="mfg">#REF!</definedName>
    <definedName name="MfgExp">#REF!</definedName>
    <definedName name="MfgExpSer" hidden="1">#REF!</definedName>
    <definedName name="MFORECAST" localSheetId="4">#REF!</definedName>
    <definedName name="MFORECAST" localSheetId="9">#REF!</definedName>
    <definedName name="MFORECAST">#REF!</definedName>
    <definedName name="MGOTO" localSheetId="4">#REF!</definedName>
    <definedName name="MGOTO" localSheetId="9">#REF!</definedName>
    <definedName name="MGOTO">#REF!</definedName>
    <definedName name="MGRATIOS" localSheetId="4">#REF!</definedName>
    <definedName name="MGRATIOS" localSheetId="9">#REF!</definedName>
    <definedName name="MGRATIOS">#REF!</definedName>
    <definedName name="MGROWTH" localSheetId="4">#REF!</definedName>
    <definedName name="MGROWTH" localSheetId="9">#REF!</definedName>
    <definedName name="MGROWTH">#REF!</definedName>
    <definedName name="MHELP" localSheetId="4">#REF!</definedName>
    <definedName name="MHELP" localSheetId="5">#REF!</definedName>
    <definedName name="MHELP" localSheetId="15">#REF!</definedName>
    <definedName name="MHELP" localSheetId="19">#REF!</definedName>
    <definedName name="MHELP" localSheetId="18">#REF!</definedName>
    <definedName name="MHELP" localSheetId="14">#REF!</definedName>
    <definedName name="MHELP" localSheetId="12">#REF!</definedName>
    <definedName name="MHELP" localSheetId="24">#REF!</definedName>
    <definedName name="MHELP" localSheetId="7">#REF!</definedName>
    <definedName name="MHELP" localSheetId="20">#REF!</definedName>
    <definedName name="MHELP" localSheetId="21">#REF!</definedName>
    <definedName name="MHELP" localSheetId="11">#REF!</definedName>
    <definedName name="MHELP" localSheetId="17">#REF!</definedName>
    <definedName name="MHELP" localSheetId="16">#REF!</definedName>
    <definedName name="MHELP" localSheetId="22">#REF!</definedName>
    <definedName name="MHELP" localSheetId="9">#REF!</definedName>
    <definedName name="MHELP" localSheetId="13">#REF!</definedName>
    <definedName name="MHELP" localSheetId="23">#REF!</definedName>
    <definedName name="MHELP">#REF!</definedName>
    <definedName name="MHIST_RATIOS" localSheetId="4">#REF!</definedName>
    <definedName name="MHIST_RATIOS" localSheetId="9">#REF!</definedName>
    <definedName name="MHIST_RATIOS">#REF!</definedName>
    <definedName name="MHISTORICAL" localSheetId="4">#REF!</definedName>
    <definedName name="MHISTORICAL" localSheetId="9">#REF!</definedName>
    <definedName name="MHISTORICAL">#REF!</definedName>
    <definedName name="Mico" localSheetId="4">#REF!</definedName>
    <definedName name="Mico" localSheetId="5">#REF!</definedName>
    <definedName name="Mico" localSheetId="15">#REF!</definedName>
    <definedName name="Mico" localSheetId="19">#REF!</definedName>
    <definedName name="Mico" localSheetId="18">#REF!</definedName>
    <definedName name="Mico" localSheetId="14">#REF!</definedName>
    <definedName name="Mico" localSheetId="12">#REF!</definedName>
    <definedName name="Mico" localSheetId="24">#REF!</definedName>
    <definedName name="Mico" localSheetId="7">#REF!</definedName>
    <definedName name="Mico" localSheetId="20">#REF!</definedName>
    <definedName name="Mico" localSheetId="21">#REF!</definedName>
    <definedName name="Mico" localSheetId="11">#REF!</definedName>
    <definedName name="Mico" localSheetId="17">#REF!</definedName>
    <definedName name="Mico" localSheetId="16">#REF!</definedName>
    <definedName name="Mico" localSheetId="22">#REF!</definedName>
    <definedName name="Mico" localSheetId="9">#REF!</definedName>
    <definedName name="Mico" localSheetId="13">#REF!</definedName>
    <definedName name="Mico" localSheetId="23">#REF!</definedName>
    <definedName name="Mico">#REF!</definedName>
    <definedName name="MIN_INT" localSheetId="4">#REF!</definedName>
    <definedName name="MIN_INT" localSheetId="5">#REF!</definedName>
    <definedName name="MIN_INT" localSheetId="15">#REF!</definedName>
    <definedName name="MIN_INT" localSheetId="19">#REF!</definedName>
    <definedName name="MIN_INT" localSheetId="18">#REF!</definedName>
    <definedName name="MIN_INT" localSheetId="14">#REF!</definedName>
    <definedName name="MIN_INT" localSheetId="12">#REF!</definedName>
    <definedName name="MIN_INT" localSheetId="24">#REF!</definedName>
    <definedName name="MIN_INT" localSheetId="7">#REF!</definedName>
    <definedName name="MIN_INT" localSheetId="20">#REF!</definedName>
    <definedName name="MIN_INT" localSheetId="21">#REF!</definedName>
    <definedName name="MIN_INT" localSheetId="11">#REF!</definedName>
    <definedName name="MIN_INT" localSheetId="17">#REF!</definedName>
    <definedName name="MIN_INT" localSheetId="16">#REF!</definedName>
    <definedName name="MIN_INT" localSheetId="22">#REF!</definedName>
    <definedName name="MIN_INT" localSheetId="9">#REF!</definedName>
    <definedName name="MIN_INT" localSheetId="13">#REF!</definedName>
    <definedName name="MIN_INT" localSheetId="23">#REF!</definedName>
    <definedName name="MIN_INT">#REF!</definedName>
    <definedName name="MINCREASED" localSheetId="4">#REF!</definedName>
    <definedName name="MINCREASED" localSheetId="9">#REF!</definedName>
    <definedName name="MINCREASED">#REF!</definedName>
    <definedName name="MINETOTHER" localSheetId="4">#REF!</definedName>
    <definedName name="MINETOTHER" localSheetId="9">#REF!</definedName>
    <definedName name="MINETOTHER">#REF!</definedName>
    <definedName name="MINETPPE" localSheetId="4">#REF!</definedName>
    <definedName name="MINETPPE" localSheetId="9">#REF!</definedName>
    <definedName name="MINETPPE">#REF!</definedName>
    <definedName name="MinGraph" localSheetId="4">#REF!</definedName>
    <definedName name="MinGraph" localSheetId="5">#REF!</definedName>
    <definedName name="MinGraph" localSheetId="15">#REF!</definedName>
    <definedName name="MinGraph" localSheetId="19">#REF!</definedName>
    <definedName name="MinGraph" localSheetId="18">#REF!</definedName>
    <definedName name="MinGraph" localSheetId="14">#REF!</definedName>
    <definedName name="MinGraph" localSheetId="12">#REF!</definedName>
    <definedName name="MinGraph" localSheetId="24">#REF!</definedName>
    <definedName name="MinGraph" localSheetId="7">#REF!</definedName>
    <definedName name="MinGraph" localSheetId="20">#REF!</definedName>
    <definedName name="MinGraph" localSheetId="21">#REF!</definedName>
    <definedName name="MinGraph" localSheetId="11">#REF!</definedName>
    <definedName name="MinGraph" localSheetId="17">#REF!</definedName>
    <definedName name="MinGraph" localSheetId="16">#REF!</definedName>
    <definedName name="MinGraph" localSheetId="22">#REF!</definedName>
    <definedName name="MinGraph" localSheetId="9">#REF!</definedName>
    <definedName name="MinGraph" localSheetId="13">#REF!</definedName>
    <definedName name="MinGraph" localSheetId="23">#REF!</definedName>
    <definedName name="MinGraph">#REF!</definedName>
    <definedName name="MINIT" localSheetId="4">#REF!</definedName>
    <definedName name="MINIT" localSheetId="9">#REF!</definedName>
    <definedName name="MINIT">#REF!</definedName>
    <definedName name="minorities">#REF!</definedName>
    <definedName name="minorities_A">#REF!</definedName>
    <definedName name="minorities_interests_bs">#REF!</definedName>
    <definedName name="minorities_pl">#REF!</definedName>
    <definedName name="minorities_pl_A">#REF!</definedName>
    <definedName name="minority_interests">#REF!</definedName>
    <definedName name="minority_interests_pl">#REF!</definedName>
    <definedName name="minority_interests_pl_qtr">#REF!</definedName>
    <definedName name="Minority_interests_PL6">#REF!</definedName>
    <definedName name="MINPUT" localSheetId="4">#REF!</definedName>
    <definedName name="MINPUT" localSheetId="9">#REF!</definedName>
    <definedName name="MINPUT">#REF!</definedName>
    <definedName name="MINTENSITY" localSheetId="4">#REF!</definedName>
    <definedName name="MINTENSITY" localSheetId="9">#REF!</definedName>
    <definedName name="MINTENSITY">#REF!</definedName>
    <definedName name="MINVESTMENT" localSheetId="4">#REF!</definedName>
    <definedName name="MINVESTMENT" localSheetId="9">#REF!</definedName>
    <definedName name="MINVESTMENT">#REF!</definedName>
    <definedName name="MINVESTYEARS" localSheetId="4">#REF!</definedName>
    <definedName name="MINVESTYEARS" localSheetId="9">#REF!</definedName>
    <definedName name="MINVESTYEARS">#REF!</definedName>
    <definedName name="misc_exp">#REF!</definedName>
    <definedName name="Miscellaneous_expenses_not_wo">#REF!</definedName>
    <definedName name="miscellaneous_income">#REF!</definedName>
    <definedName name="MIWORKING" localSheetId="4">#REF!</definedName>
    <definedName name="MIWORKING" localSheetId="9">#REF!</definedName>
    <definedName name="MIWORKING">#REF!</definedName>
    <definedName name="MKT_COMP" localSheetId="4">#REF!</definedName>
    <definedName name="MKT_COMP" localSheetId="9">#REF!</definedName>
    <definedName name="MKT_COMP">#REF!</definedName>
    <definedName name="MKT_DEBT" localSheetId="4">#REF!</definedName>
    <definedName name="MKT_DEBT" localSheetId="9">#REF!</definedName>
    <definedName name="MKT_DEBT">#REF!</definedName>
    <definedName name="mkt_strength" localSheetId="4">#REF!</definedName>
    <definedName name="mkt_strength" localSheetId="5">#REF!</definedName>
    <definedName name="mkt_strength" localSheetId="15">#REF!</definedName>
    <definedName name="mkt_strength" localSheetId="19">#REF!</definedName>
    <definedName name="mkt_strength" localSheetId="18">#REF!</definedName>
    <definedName name="mkt_strength" localSheetId="14">#REF!</definedName>
    <definedName name="mkt_strength" localSheetId="12">#REF!</definedName>
    <definedName name="mkt_strength" localSheetId="24">#REF!</definedName>
    <definedName name="mkt_strength" localSheetId="7">#REF!</definedName>
    <definedName name="mkt_strength" localSheetId="20">#REF!</definedName>
    <definedName name="mkt_strength" localSheetId="21">#REF!</definedName>
    <definedName name="mkt_strength" localSheetId="11">#REF!</definedName>
    <definedName name="mkt_strength" localSheetId="17">#REF!</definedName>
    <definedName name="mkt_strength" localSheetId="16">#REF!</definedName>
    <definedName name="mkt_strength" localSheetId="22">#REF!</definedName>
    <definedName name="mkt_strength" localSheetId="9">#REF!</definedName>
    <definedName name="mkt_strength" localSheetId="13">#REF!</definedName>
    <definedName name="mkt_strength" localSheetId="23">#REF!</definedName>
    <definedName name="mkt_strength">#REF!</definedName>
    <definedName name="mm" localSheetId="4" hidden="1">{#N/A,#N/A,FALSE,"Status of Projects";#N/A,#N/A,FALSE,"CEA-TEC";#N/A,#N/A,FALSE,"U-Constr.";#N/A,#N/A,FALSE,"summary";#N/A,#N/A,FALSE,"PPP-3 yrs"}</definedName>
    <definedName name="mm" localSheetId="5" hidden="1">{#N/A,#N/A,FALSE,"Status of Projects";#N/A,#N/A,FALSE,"CEA-TEC";#N/A,#N/A,FALSE,"U-Constr.";#N/A,#N/A,FALSE,"summary";#N/A,#N/A,FALSE,"PPP-3 yrs"}</definedName>
    <definedName name="mm" localSheetId="15" hidden="1">{#N/A,#N/A,FALSE,"Status of Projects";#N/A,#N/A,FALSE,"CEA-TEC";#N/A,#N/A,FALSE,"U-Constr.";#N/A,#N/A,FALSE,"summary";#N/A,#N/A,FALSE,"PPP-3 yrs"}</definedName>
    <definedName name="mm" localSheetId="19" hidden="1">{#N/A,#N/A,FALSE,"Status of Projects";#N/A,#N/A,FALSE,"CEA-TEC";#N/A,#N/A,FALSE,"U-Constr.";#N/A,#N/A,FALSE,"summary";#N/A,#N/A,FALSE,"PPP-3 yrs"}</definedName>
    <definedName name="mm" localSheetId="18" hidden="1">{#N/A,#N/A,FALSE,"Status of Projects";#N/A,#N/A,FALSE,"CEA-TEC";#N/A,#N/A,FALSE,"U-Constr.";#N/A,#N/A,FALSE,"summary";#N/A,#N/A,FALSE,"PPP-3 yrs"}</definedName>
    <definedName name="mm" localSheetId="14" hidden="1">{#N/A,#N/A,FALSE,"Status of Projects";#N/A,#N/A,FALSE,"CEA-TEC";#N/A,#N/A,FALSE,"U-Constr.";#N/A,#N/A,FALSE,"summary";#N/A,#N/A,FALSE,"PPP-3 yrs"}</definedName>
    <definedName name="mm" localSheetId="12" hidden="1">{#N/A,#N/A,FALSE,"Status of Projects";#N/A,#N/A,FALSE,"CEA-TEC";#N/A,#N/A,FALSE,"U-Constr.";#N/A,#N/A,FALSE,"summary";#N/A,#N/A,FALSE,"PPP-3 yrs"}</definedName>
    <definedName name="mm" localSheetId="24" hidden="1">{#N/A,#N/A,FALSE,"Status of Projects";#N/A,#N/A,FALSE,"CEA-TEC";#N/A,#N/A,FALSE,"U-Constr.";#N/A,#N/A,FALSE,"summary";#N/A,#N/A,FALSE,"PPP-3 yrs"}</definedName>
    <definedName name="mm" localSheetId="7" hidden="1">{#N/A,#N/A,FALSE,"Status of Projects";#N/A,#N/A,FALSE,"CEA-TEC";#N/A,#N/A,FALSE,"U-Constr.";#N/A,#N/A,FALSE,"summary";#N/A,#N/A,FALSE,"PPP-3 yrs"}</definedName>
    <definedName name="mm" localSheetId="20" hidden="1">{#N/A,#N/A,FALSE,"Status of Projects";#N/A,#N/A,FALSE,"CEA-TEC";#N/A,#N/A,FALSE,"U-Constr.";#N/A,#N/A,FALSE,"summary";#N/A,#N/A,FALSE,"PPP-3 yrs"}</definedName>
    <definedName name="mm" localSheetId="21" hidden="1">{#N/A,#N/A,FALSE,"Status of Projects";#N/A,#N/A,FALSE,"CEA-TEC";#N/A,#N/A,FALSE,"U-Constr.";#N/A,#N/A,FALSE,"summary";#N/A,#N/A,FALSE,"PPP-3 yrs"}</definedName>
    <definedName name="mm" localSheetId="11" hidden="1">{#N/A,#N/A,FALSE,"Status of Projects";#N/A,#N/A,FALSE,"CEA-TEC";#N/A,#N/A,FALSE,"U-Constr.";#N/A,#N/A,FALSE,"summary";#N/A,#N/A,FALSE,"PPP-3 yrs"}</definedName>
    <definedName name="mm" localSheetId="17" hidden="1">{#N/A,#N/A,FALSE,"Status of Projects";#N/A,#N/A,FALSE,"CEA-TEC";#N/A,#N/A,FALSE,"U-Constr.";#N/A,#N/A,FALSE,"summary";#N/A,#N/A,FALSE,"PPP-3 yrs"}</definedName>
    <definedName name="mm" localSheetId="16" hidden="1">{#N/A,#N/A,FALSE,"Status of Projects";#N/A,#N/A,FALSE,"CEA-TEC";#N/A,#N/A,FALSE,"U-Constr.";#N/A,#N/A,FALSE,"summary";#N/A,#N/A,FALSE,"PPP-3 yrs"}</definedName>
    <definedName name="mm" localSheetId="22" hidden="1">{#N/A,#N/A,FALSE,"Status of Projects";#N/A,#N/A,FALSE,"CEA-TEC";#N/A,#N/A,FALSE,"U-Constr.";#N/A,#N/A,FALSE,"summary";#N/A,#N/A,FALSE,"PPP-3 yrs"}</definedName>
    <definedName name="mm" localSheetId="9" hidden="1">{#N/A,#N/A,FALSE,"Status of Projects";#N/A,#N/A,FALSE,"CEA-TEC";#N/A,#N/A,FALSE,"U-Constr.";#N/A,#N/A,FALSE,"summary";#N/A,#N/A,FALSE,"PPP-3 yrs"}</definedName>
    <definedName name="mm" localSheetId="13" hidden="1">{#N/A,#N/A,FALSE,"Status of Projects";#N/A,#N/A,FALSE,"CEA-TEC";#N/A,#N/A,FALSE,"U-Constr.";#N/A,#N/A,FALSE,"summary";#N/A,#N/A,FALSE,"PPP-3 yrs"}</definedName>
    <definedName name="mm" localSheetId="23" hidden="1">{#N/A,#N/A,FALSE,"Status of Projects";#N/A,#N/A,FALSE,"CEA-TEC";#N/A,#N/A,FALSE,"U-Constr.";#N/A,#N/A,FALSE,"summary";#N/A,#N/A,FALSE,"PPP-3 yrs"}</definedName>
    <definedName name="mm" hidden="1">{#N/A,#N/A,FALSE,"Status of Projects";#N/A,#N/A,FALSE,"CEA-TEC";#N/A,#N/A,FALSE,"U-Constr.";#N/A,#N/A,FALSE,"summary";#N/A,#N/A,FALSE,"PPP-3 yrs"}</definedName>
    <definedName name="MMAIN" localSheetId="4">#REF!</definedName>
    <definedName name="MMAIN" localSheetId="9">#REF!</definedName>
    <definedName name="MMAIN">#REF!</definedName>
    <definedName name="MMARGIN" localSheetId="4">#REF!</definedName>
    <definedName name="MMARGIN" localSheetId="9">#REF!</definedName>
    <definedName name="MMARGIN">#REF!</definedName>
    <definedName name="MMRA_Copy" localSheetId="4">#REF!</definedName>
    <definedName name="MMRA_Copy" localSheetId="5">#REF!</definedName>
    <definedName name="MMRA_Copy" localSheetId="15">#REF!</definedName>
    <definedName name="MMRA_Copy" localSheetId="19">#REF!</definedName>
    <definedName name="MMRA_Copy" localSheetId="18">#REF!</definedName>
    <definedName name="MMRA_Copy" localSheetId="14">#REF!</definedName>
    <definedName name="MMRA_Copy" localSheetId="12">#REF!</definedName>
    <definedName name="MMRA_Copy" localSheetId="24">#REF!</definedName>
    <definedName name="MMRA_Copy" localSheetId="7">#REF!</definedName>
    <definedName name="MMRA_Copy" localSheetId="20">#REF!</definedName>
    <definedName name="MMRA_Copy" localSheetId="21">#REF!</definedName>
    <definedName name="MMRA_Copy" localSheetId="11">#REF!</definedName>
    <definedName name="MMRA_Copy" localSheetId="17">#REF!</definedName>
    <definedName name="MMRA_Copy" localSheetId="16">#REF!</definedName>
    <definedName name="MMRA_Copy" localSheetId="22">#REF!</definedName>
    <definedName name="MMRA_Copy" localSheetId="9">#REF!</definedName>
    <definedName name="MMRA_Copy" localSheetId="13">#REF!</definedName>
    <definedName name="MMRA_Copy" localSheetId="23">#REF!</definedName>
    <definedName name="MMRA_Copy">#REF!</definedName>
    <definedName name="MMRA_Copy_Sum" localSheetId="4">#REF!</definedName>
    <definedName name="MMRA_Copy_Sum" localSheetId="5">#REF!</definedName>
    <definedName name="MMRA_Copy_Sum" localSheetId="15">#REF!</definedName>
    <definedName name="MMRA_Copy_Sum" localSheetId="19">#REF!</definedName>
    <definedName name="MMRA_Copy_Sum" localSheetId="18">#REF!</definedName>
    <definedName name="MMRA_Copy_Sum" localSheetId="14">#REF!</definedName>
    <definedName name="MMRA_Copy_Sum" localSheetId="12">#REF!</definedName>
    <definedName name="MMRA_Copy_Sum" localSheetId="24">#REF!</definedName>
    <definedName name="MMRA_Copy_Sum" localSheetId="7">#REF!</definedName>
    <definedName name="MMRA_Copy_Sum" localSheetId="20">#REF!</definedName>
    <definedName name="MMRA_Copy_Sum" localSheetId="21">#REF!</definedName>
    <definedName name="MMRA_Copy_Sum" localSheetId="11">#REF!</definedName>
    <definedName name="MMRA_Copy_Sum" localSheetId="17">#REF!</definedName>
    <definedName name="MMRA_Copy_Sum" localSheetId="16">#REF!</definedName>
    <definedName name="MMRA_Copy_Sum" localSheetId="22">#REF!</definedName>
    <definedName name="MMRA_Copy_Sum" localSheetId="9">#REF!</definedName>
    <definedName name="MMRA_Copy_Sum" localSheetId="13">#REF!</definedName>
    <definedName name="MMRA_Copy_Sum" localSheetId="23">#REF!</definedName>
    <definedName name="MMRA_Copy_Sum">#REF!</definedName>
    <definedName name="MMRA_Copy1" localSheetId="4">#REF!</definedName>
    <definedName name="MMRA_Copy1" localSheetId="5">#REF!</definedName>
    <definedName name="MMRA_Copy1" localSheetId="15">#REF!</definedName>
    <definedName name="MMRA_Copy1" localSheetId="19">#REF!</definedName>
    <definedName name="MMRA_Copy1" localSheetId="18">#REF!</definedName>
    <definedName name="MMRA_Copy1" localSheetId="14">#REF!</definedName>
    <definedName name="MMRA_Copy1" localSheetId="12">#REF!</definedName>
    <definedName name="MMRA_Copy1" localSheetId="24">#REF!</definedName>
    <definedName name="MMRA_Copy1" localSheetId="7">#REF!</definedName>
    <definedName name="MMRA_Copy1" localSheetId="20">#REF!</definedName>
    <definedName name="MMRA_Copy1" localSheetId="21">#REF!</definedName>
    <definedName name="MMRA_Copy1" localSheetId="11">#REF!</definedName>
    <definedName name="MMRA_Copy1" localSheetId="17">#REF!</definedName>
    <definedName name="MMRA_Copy1" localSheetId="16">#REF!</definedName>
    <definedName name="MMRA_Copy1" localSheetId="22">#REF!</definedName>
    <definedName name="MMRA_Copy1" localSheetId="9">#REF!</definedName>
    <definedName name="MMRA_Copy1" localSheetId="13">#REF!</definedName>
    <definedName name="MMRA_Copy1" localSheetId="23">#REF!</definedName>
    <definedName name="MMRA_Copy1">#REF!</definedName>
    <definedName name="MMRA_Copy1_Sum" localSheetId="4">#REF!</definedName>
    <definedName name="MMRA_Copy1_Sum" localSheetId="9">#REF!</definedName>
    <definedName name="MMRA_Copy1_Sum">#REF!</definedName>
    <definedName name="MMRA_Orig" localSheetId="4">#REF!</definedName>
    <definedName name="MMRA_Orig" localSheetId="9">#REF!</definedName>
    <definedName name="MMRA_Orig">#REF!</definedName>
    <definedName name="MMRA_Orig_Sum" localSheetId="4">#REF!</definedName>
    <definedName name="MMRA_Orig_Sum" localSheetId="9">#REF!</definedName>
    <definedName name="MMRA_Orig_Sum">#REF!</definedName>
    <definedName name="MMRA_Orig1" localSheetId="4">#REF!</definedName>
    <definedName name="MMRA_Orig1" localSheetId="9">#REF!</definedName>
    <definedName name="MMRA_Orig1">#REF!</definedName>
    <definedName name="MMRA_Orig1_Sum" localSheetId="4">#REF!</definedName>
    <definedName name="MMRA_Orig1_Sum" localSheetId="9">#REF!</definedName>
    <definedName name="MMRA_Orig1_Sum">#REF!</definedName>
    <definedName name="mn">1000000</definedName>
    <definedName name="mnbg" localSheetId="4" hidden="1">{#N/A,#N/A,FALSE,"Status of Projects";#N/A,#N/A,FALSE,"CEA-TEC";#N/A,#N/A,FALSE,"U-Constr.";#N/A,#N/A,FALSE,"summary";#N/A,#N/A,FALSE,"PPP-3 yrs"}</definedName>
    <definedName name="mnbg" localSheetId="5" hidden="1">{#N/A,#N/A,FALSE,"Status of Projects";#N/A,#N/A,FALSE,"CEA-TEC";#N/A,#N/A,FALSE,"U-Constr.";#N/A,#N/A,FALSE,"summary";#N/A,#N/A,FALSE,"PPP-3 yrs"}</definedName>
    <definedName name="mnbg" localSheetId="15" hidden="1">{#N/A,#N/A,FALSE,"Status of Projects";#N/A,#N/A,FALSE,"CEA-TEC";#N/A,#N/A,FALSE,"U-Constr.";#N/A,#N/A,FALSE,"summary";#N/A,#N/A,FALSE,"PPP-3 yrs"}</definedName>
    <definedName name="mnbg" localSheetId="19" hidden="1">{#N/A,#N/A,FALSE,"Status of Projects";#N/A,#N/A,FALSE,"CEA-TEC";#N/A,#N/A,FALSE,"U-Constr.";#N/A,#N/A,FALSE,"summary";#N/A,#N/A,FALSE,"PPP-3 yrs"}</definedName>
    <definedName name="mnbg" localSheetId="18" hidden="1">{#N/A,#N/A,FALSE,"Status of Projects";#N/A,#N/A,FALSE,"CEA-TEC";#N/A,#N/A,FALSE,"U-Constr.";#N/A,#N/A,FALSE,"summary";#N/A,#N/A,FALSE,"PPP-3 yrs"}</definedName>
    <definedName name="mnbg" localSheetId="14" hidden="1">{#N/A,#N/A,FALSE,"Status of Projects";#N/A,#N/A,FALSE,"CEA-TEC";#N/A,#N/A,FALSE,"U-Constr.";#N/A,#N/A,FALSE,"summary";#N/A,#N/A,FALSE,"PPP-3 yrs"}</definedName>
    <definedName name="mnbg" localSheetId="12" hidden="1">{#N/A,#N/A,FALSE,"Status of Projects";#N/A,#N/A,FALSE,"CEA-TEC";#N/A,#N/A,FALSE,"U-Constr.";#N/A,#N/A,FALSE,"summary";#N/A,#N/A,FALSE,"PPP-3 yrs"}</definedName>
    <definedName name="mnbg" localSheetId="24" hidden="1">{#N/A,#N/A,FALSE,"Status of Projects";#N/A,#N/A,FALSE,"CEA-TEC";#N/A,#N/A,FALSE,"U-Constr.";#N/A,#N/A,FALSE,"summary";#N/A,#N/A,FALSE,"PPP-3 yrs"}</definedName>
    <definedName name="mnbg" localSheetId="7" hidden="1">{#N/A,#N/A,FALSE,"Status of Projects";#N/A,#N/A,FALSE,"CEA-TEC";#N/A,#N/A,FALSE,"U-Constr.";#N/A,#N/A,FALSE,"summary";#N/A,#N/A,FALSE,"PPP-3 yrs"}</definedName>
    <definedName name="mnbg" localSheetId="20" hidden="1">{#N/A,#N/A,FALSE,"Status of Projects";#N/A,#N/A,FALSE,"CEA-TEC";#N/A,#N/A,FALSE,"U-Constr.";#N/A,#N/A,FALSE,"summary";#N/A,#N/A,FALSE,"PPP-3 yrs"}</definedName>
    <definedName name="mnbg" localSheetId="21" hidden="1">{#N/A,#N/A,FALSE,"Status of Projects";#N/A,#N/A,FALSE,"CEA-TEC";#N/A,#N/A,FALSE,"U-Constr.";#N/A,#N/A,FALSE,"summary";#N/A,#N/A,FALSE,"PPP-3 yrs"}</definedName>
    <definedName name="mnbg" localSheetId="11" hidden="1">{#N/A,#N/A,FALSE,"Status of Projects";#N/A,#N/A,FALSE,"CEA-TEC";#N/A,#N/A,FALSE,"U-Constr.";#N/A,#N/A,FALSE,"summary";#N/A,#N/A,FALSE,"PPP-3 yrs"}</definedName>
    <definedName name="mnbg" localSheetId="17" hidden="1">{#N/A,#N/A,FALSE,"Status of Projects";#N/A,#N/A,FALSE,"CEA-TEC";#N/A,#N/A,FALSE,"U-Constr.";#N/A,#N/A,FALSE,"summary";#N/A,#N/A,FALSE,"PPP-3 yrs"}</definedName>
    <definedName name="mnbg" localSheetId="16" hidden="1">{#N/A,#N/A,FALSE,"Status of Projects";#N/A,#N/A,FALSE,"CEA-TEC";#N/A,#N/A,FALSE,"U-Constr.";#N/A,#N/A,FALSE,"summary";#N/A,#N/A,FALSE,"PPP-3 yrs"}</definedName>
    <definedName name="mnbg" localSheetId="22" hidden="1">{#N/A,#N/A,FALSE,"Status of Projects";#N/A,#N/A,FALSE,"CEA-TEC";#N/A,#N/A,FALSE,"U-Constr.";#N/A,#N/A,FALSE,"summary";#N/A,#N/A,FALSE,"PPP-3 yrs"}</definedName>
    <definedName name="mnbg" localSheetId="9" hidden="1">{#N/A,#N/A,FALSE,"Status of Projects";#N/A,#N/A,FALSE,"CEA-TEC";#N/A,#N/A,FALSE,"U-Constr.";#N/A,#N/A,FALSE,"summary";#N/A,#N/A,FALSE,"PPP-3 yrs"}</definedName>
    <definedName name="mnbg" localSheetId="13" hidden="1">{#N/A,#N/A,FALSE,"Status of Projects";#N/A,#N/A,FALSE,"CEA-TEC";#N/A,#N/A,FALSE,"U-Constr.";#N/A,#N/A,FALSE,"summary";#N/A,#N/A,FALSE,"PPP-3 yrs"}</definedName>
    <definedName name="mnbg" localSheetId="23" hidden="1">{#N/A,#N/A,FALSE,"Status of Projects";#N/A,#N/A,FALSE,"CEA-TEC";#N/A,#N/A,FALSE,"U-Constr.";#N/A,#N/A,FALSE,"summary";#N/A,#N/A,FALSE,"PPP-3 yrs"}</definedName>
    <definedName name="mnbg" hidden="1">{#N/A,#N/A,FALSE,"Status of Projects";#N/A,#N/A,FALSE,"CEA-TEC";#N/A,#N/A,FALSE,"U-Constr.";#N/A,#N/A,FALSE,"summary";#N/A,#N/A,FALSE,"PPP-3 yrs"}</definedName>
    <definedName name="MNETPPE" localSheetId="4">#REF!</definedName>
    <definedName name="MNETPPE" localSheetId="9">#REF!</definedName>
    <definedName name="MNETPPE">#REF!</definedName>
    <definedName name="MNOPLAT" localSheetId="4">#REF!</definedName>
    <definedName name="MNOPLAT" localSheetId="9">#REF!</definedName>
    <definedName name="MNOPLAT">#REF!</definedName>
    <definedName name="model_status" localSheetId="4">#REF!</definedName>
    <definedName name="model_status" localSheetId="5">#REF!</definedName>
    <definedName name="model_status" localSheetId="15">#REF!</definedName>
    <definedName name="model_status" localSheetId="19">#REF!</definedName>
    <definedName name="model_status" localSheetId="18">#REF!</definedName>
    <definedName name="model_status" localSheetId="14">#REF!</definedName>
    <definedName name="model_status" localSheetId="12">#REF!</definedName>
    <definedName name="model_status" localSheetId="24">#REF!</definedName>
    <definedName name="model_status" localSheetId="7">#REF!</definedName>
    <definedName name="model_status" localSheetId="20">#REF!</definedName>
    <definedName name="model_status" localSheetId="21">#REF!</definedName>
    <definedName name="model_status" localSheetId="11">#REF!</definedName>
    <definedName name="model_status" localSheetId="17">#REF!</definedName>
    <definedName name="model_status" localSheetId="16">#REF!</definedName>
    <definedName name="model_status" localSheetId="22">#REF!</definedName>
    <definedName name="model_status" localSheetId="9">#REF!</definedName>
    <definedName name="model_status" localSheetId="13">#REF!</definedName>
    <definedName name="model_status" localSheetId="23">#REF!</definedName>
    <definedName name="model_status">#REF!</definedName>
    <definedName name="ModeName">#REF!</definedName>
    <definedName name="modernwgt">#REF!</definedName>
    <definedName name="Modified" localSheetId="4" hidden="1">{"'PS-SOTM'!$A$1","'PS-SOTM'!$A$2:$M$30","'PS-SOTM'!$A$31:$A$38"}</definedName>
    <definedName name="Modified" localSheetId="9" hidden="1">{"'PS-SOTM'!$A$1","'PS-SOTM'!$A$2:$M$30","'PS-SOTM'!$A$31:$A$38"}</definedName>
    <definedName name="Modified" hidden="1">{"'PS-SOTM'!$A$1","'PS-SOTM'!$A$2:$M$30","'PS-SOTM'!$A$31:$A$38"}</definedName>
    <definedName name="MOGOTO" localSheetId="4">#REF!</definedName>
    <definedName name="MOGOTO" localSheetId="9">#REF!</definedName>
    <definedName name="MOGOTO">#REF!</definedName>
    <definedName name="MONTH" localSheetId="4">#REF!</definedName>
    <definedName name="MONTH" localSheetId="9">#REF!</definedName>
    <definedName name="MONTH">#REF!</definedName>
    <definedName name="monthly" localSheetId="4" hidden="1">{#N/A,#N/A,FALSE,"Status of Projects";#N/A,#N/A,FALSE,"CEA-TEC";#N/A,#N/A,FALSE,"U-Constr.";#N/A,#N/A,FALSE,"summary";#N/A,#N/A,FALSE,"PPP-3 yrs"}</definedName>
    <definedName name="monthly" localSheetId="9" hidden="1">{#N/A,#N/A,FALSE,"Status of Projects";#N/A,#N/A,FALSE,"CEA-TEC";#N/A,#N/A,FALSE,"U-Constr.";#N/A,#N/A,FALSE,"summary";#N/A,#N/A,FALSE,"PPP-3 yrs"}</definedName>
    <definedName name="monthly" hidden="1">{#N/A,#N/A,FALSE,"Status of Projects";#N/A,#N/A,FALSE,"CEA-TEC";#N/A,#N/A,FALSE,"U-Constr.";#N/A,#N/A,FALSE,"summary";#N/A,#N/A,FALSE,"PPP-3 yrs"}</definedName>
    <definedName name="Months">#REF!</definedName>
    <definedName name="MOTHER" localSheetId="4">#REF!</definedName>
    <definedName name="MOTHER" localSheetId="9">#REF!</definedName>
    <definedName name="MOTHER">#REF!</definedName>
    <definedName name="MPREROIC" localSheetId="4">#REF!</definedName>
    <definedName name="MPREROIC" localSheetId="9">#REF!</definedName>
    <definedName name="MPREROIC">#REF!</definedName>
    <definedName name="MPRINT" localSheetId="4">#REF!</definedName>
    <definedName name="MPRINT" localSheetId="9">#REF!</definedName>
    <definedName name="MPRINT">#REF!</definedName>
    <definedName name="MRC">#REF!</definedName>
    <definedName name="MrgnTax" localSheetId="4">#REF!</definedName>
    <definedName name="MrgnTax" localSheetId="5">#REF!</definedName>
    <definedName name="MrgnTax" localSheetId="15">#REF!</definedName>
    <definedName name="MrgnTax" localSheetId="19">#REF!</definedName>
    <definedName name="MrgnTax" localSheetId="18">#REF!</definedName>
    <definedName name="MrgnTax" localSheetId="14">#REF!</definedName>
    <definedName name="MrgnTax" localSheetId="12">#REF!</definedName>
    <definedName name="MrgnTax" localSheetId="24">#REF!</definedName>
    <definedName name="MrgnTax" localSheetId="7">#REF!</definedName>
    <definedName name="MrgnTax" localSheetId="20">#REF!</definedName>
    <definedName name="MrgnTax" localSheetId="21">#REF!</definedName>
    <definedName name="MrgnTax" localSheetId="11">#REF!</definedName>
    <definedName name="MrgnTax" localSheetId="17">#REF!</definedName>
    <definedName name="MrgnTax" localSheetId="16">#REF!</definedName>
    <definedName name="MrgnTax" localSheetId="22">#REF!</definedName>
    <definedName name="MrgnTax" localSheetId="9">#REF!</definedName>
    <definedName name="MrgnTax" localSheetId="13">#REF!</definedName>
    <definedName name="MrgnTax" localSheetId="23">#REF!</definedName>
    <definedName name="MrgnTax">#REF!</definedName>
    <definedName name="MROIC" localSheetId="4">#REF!</definedName>
    <definedName name="MROIC" localSheetId="9">#REF!</definedName>
    <definedName name="MROIC">#REF!</definedName>
    <definedName name="MROICYEARS" localSheetId="4">#REF!</definedName>
    <definedName name="MROICYEARS" localSheetId="9">#REF!</definedName>
    <definedName name="MROICYEARS">#REF!</definedName>
    <definedName name="MRTREE" localSheetId="4">#REF!</definedName>
    <definedName name="MRTREE" localSheetId="9">#REF!</definedName>
    <definedName name="MRTREE">#REF!</definedName>
    <definedName name="MS" localSheetId="4">#REF!</definedName>
    <definedName name="MS" localSheetId="9">#REF!</definedName>
    <definedName name="MS">#REF!</definedName>
    <definedName name="MSG_A" localSheetId="4">#REF!</definedName>
    <definedName name="MSG_A" localSheetId="9">#REF!</definedName>
    <definedName name="MSG_A">#REF!</definedName>
    <definedName name="MTREE_INVEST" localSheetId="4">#REF!</definedName>
    <definedName name="MTREE_INVEST" localSheetId="9">#REF!</definedName>
    <definedName name="MTREE_INVEST">#REF!</definedName>
    <definedName name="MTURNOVER" localSheetId="4">#REF!</definedName>
    <definedName name="MTURNOVER" localSheetId="9">#REF!</definedName>
    <definedName name="MTURNOVER">#REF!</definedName>
    <definedName name="Mutual_Fund_units">#REF!</definedName>
    <definedName name="MVALUE" localSheetId="4">#REF!</definedName>
    <definedName name="MVALUE" localSheetId="9">#REF!</definedName>
    <definedName name="MVALUE">#REF!</definedName>
    <definedName name="MWACC" localSheetId="4">#REF!</definedName>
    <definedName name="MWACC" localSheetId="9">#REF!</definedName>
    <definedName name="MWACC">#REF!</definedName>
    <definedName name="MWINDOW" localSheetId="4">#REF!</definedName>
    <definedName name="MWINDOW" localSheetId="9">#REF!</definedName>
    <definedName name="MWINDOW">#REF!</definedName>
    <definedName name="MWORKING" localSheetId="4">#REF!</definedName>
    <definedName name="MWORKING" localSheetId="9">#REF!</definedName>
    <definedName name="MWORKING">#REF!</definedName>
    <definedName name="n" localSheetId="4" hidden="1">{#N/A,#N/A,FALSE,"Status of Projects";#N/A,#N/A,FALSE,"CEA-TEC";#N/A,#N/A,FALSE,"U-Constr.";#N/A,#N/A,FALSE,"summary";#N/A,#N/A,FALSE,"PPP-3 yrs"}</definedName>
    <definedName name="n" localSheetId="5">#REF!</definedName>
    <definedName name="n" localSheetId="15">#REF!</definedName>
    <definedName name="n" localSheetId="19">#REF!</definedName>
    <definedName name="n" localSheetId="18">#REF!</definedName>
    <definedName name="n" localSheetId="14">#REF!</definedName>
    <definedName name="n" localSheetId="12">#REF!</definedName>
    <definedName name="n" localSheetId="24">#REF!</definedName>
    <definedName name="n" localSheetId="7">#REF!</definedName>
    <definedName name="n" localSheetId="20">#REF!</definedName>
    <definedName name="n" localSheetId="21">#REF!</definedName>
    <definedName name="n" localSheetId="11">#REF!</definedName>
    <definedName name="n" localSheetId="17">#REF!</definedName>
    <definedName name="n" localSheetId="16">#REF!</definedName>
    <definedName name="n" localSheetId="22">#REF!</definedName>
    <definedName name="n" localSheetId="9" hidden="1">{#N/A,#N/A,FALSE,"Status of Projects";#N/A,#N/A,FALSE,"CEA-TEC";#N/A,#N/A,FALSE,"U-Constr.";#N/A,#N/A,FALSE,"summary";#N/A,#N/A,FALSE,"PPP-3 yrs"}</definedName>
    <definedName name="n" localSheetId="13">#REF!</definedName>
    <definedName name="n" localSheetId="23">#REF!</definedName>
    <definedName name="n">#REF!</definedName>
    <definedName name="N_A" localSheetId="4">#REF!</definedName>
    <definedName name="N_A" localSheetId="9">#REF!</definedName>
    <definedName name="N_A">#REF!</definedName>
    <definedName name="name">#REF!</definedName>
    <definedName name="nas" localSheetId="4">#REF!</definedName>
    <definedName name="nas" localSheetId="5">#REF!</definedName>
    <definedName name="nas" localSheetId="15">#REF!</definedName>
    <definedName name="nas" localSheetId="19">#REF!</definedName>
    <definedName name="nas" localSheetId="18">#REF!</definedName>
    <definedName name="nas" localSheetId="14">#REF!</definedName>
    <definedName name="nas" localSheetId="12">#REF!</definedName>
    <definedName name="nas" localSheetId="24">#REF!</definedName>
    <definedName name="nas" localSheetId="7">#REF!</definedName>
    <definedName name="nas" localSheetId="20">#REF!</definedName>
    <definedName name="nas" localSheetId="21">#REF!</definedName>
    <definedName name="nas" localSheetId="11">#REF!</definedName>
    <definedName name="nas" localSheetId="17">#REF!</definedName>
    <definedName name="nas" localSheetId="16">#REF!</definedName>
    <definedName name="nas" localSheetId="22">#REF!</definedName>
    <definedName name="nas" localSheetId="9">#REF!</definedName>
    <definedName name="nas" localSheetId="13">#REF!</definedName>
    <definedName name="nas" localSheetId="23">#REF!</definedName>
    <definedName name="nas">#REF!</definedName>
    <definedName name="NAV" localSheetId="4">#REF!</definedName>
    <definedName name="NAV" localSheetId="5">#REF!</definedName>
    <definedName name="NAV" localSheetId="15">#REF!</definedName>
    <definedName name="NAV" localSheetId="19">#REF!</definedName>
    <definedName name="NAV" localSheetId="18">#REF!</definedName>
    <definedName name="NAV" localSheetId="14">#REF!</definedName>
    <definedName name="NAV" localSheetId="12">#REF!</definedName>
    <definedName name="NAV" localSheetId="24">#REF!</definedName>
    <definedName name="NAV" localSheetId="7">#REF!</definedName>
    <definedName name="NAV" localSheetId="20">#REF!</definedName>
    <definedName name="NAV" localSheetId="21">#REF!</definedName>
    <definedName name="NAV" localSheetId="11">#REF!</definedName>
    <definedName name="NAV" localSheetId="17">#REF!</definedName>
    <definedName name="NAV" localSheetId="16">#REF!</definedName>
    <definedName name="NAV" localSheetId="22">#REF!</definedName>
    <definedName name="NAV" localSheetId="9">#REF!</definedName>
    <definedName name="NAV" localSheetId="13">#REF!</definedName>
    <definedName name="NAV" localSheetId="23">#REF!</definedName>
    <definedName name="NAV">#REF!</definedName>
    <definedName name="nbd" localSheetId="4">#REF!</definedName>
    <definedName name="nbd" localSheetId="5">#REF!</definedName>
    <definedName name="nbd" localSheetId="15">#REF!</definedName>
    <definedName name="nbd" localSheetId="19">#REF!</definedName>
    <definedName name="nbd" localSheetId="18">#REF!</definedName>
    <definedName name="nbd" localSheetId="14">#REF!</definedName>
    <definedName name="nbd" localSheetId="12">#REF!</definedName>
    <definedName name="nbd" localSheetId="24">#REF!</definedName>
    <definedName name="nbd" localSheetId="7">#REF!</definedName>
    <definedName name="nbd" localSheetId="20">#REF!</definedName>
    <definedName name="nbd" localSheetId="21">#REF!</definedName>
    <definedName name="nbd" localSheetId="11">#REF!</definedName>
    <definedName name="nbd" localSheetId="17">#REF!</definedName>
    <definedName name="nbd" localSheetId="16">#REF!</definedName>
    <definedName name="nbd" localSheetId="22">#REF!</definedName>
    <definedName name="nbd" localSheetId="9">#REF!</definedName>
    <definedName name="nbd" localSheetId="13">#REF!</definedName>
    <definedName name="nbd" localSheetId="23">#REF!</definedName>
    <definedName name="nbd">#REF!</definedName>
    <definedName name="nbn" localSheetId="4">#REF!</definedName>
    <definedName name="nbn" localSheetId="9">#REF!</definedName>
    <definedName name="nbn">#REF!</definedName>
    <definedName name="ND_EQ" localSheetId="4">#REF!</definedName>
    <definedName name="ND_EQ" localSheetId="9">#REF!</definedName>
    <definedName name="ND_EQ">#REF!</definedName>
    <definedName name="Net_Adj_capitalized_expenses" localSheetId="4">#REF!</definedName>
    <definedName name="Net_Adj_capitalized_expenses" localSheetId="9">#REF!</definedName>
    <definedName name="Net_Adj_capitalized_expenses">#REF!</definedName>
    <definedName name="Net_adj_for_capitalized_expenses" localSheetId="4">#REF!</definedName>
    <definedName name="Net_adj_for_capitalized_expenses" localSheetId="5">#REF!</definedName>
    <definedName name="Net_adj_for_capitalized_expenses" localSheetId="15">#REF!</definedName>
    <definedName name="Net_adj_for_capitalized_expenses" localSheetId="19">#REF!</definedName>
    <definedName name="Net_adj_for_capitalized_expenses" localSheetId="18">#REF!</definedName>
    <definedName name="Net_adj_for_capitalized_expenses" localSheetId="14">#REF!</definedName>
    <definedName name="Net_adj_for_capitalized_expenses" localSheetId="12">#REF!</definedName>
    <definedName name="Net_adj_for_capitalized_expenses" localSheetId="24">#REF!</definedName>
    <definedName name="Net_adj_for_capitalized_expenses" localSheetId="7">#REF!</definedName>
    <definedName name="Net_adj_for_capitalized_expenses" localSheetId="20">#REF!</definedName>
    <definedName name="Net_adj_for_capitalized_expenses" localSheetId="21">#REF!</definedName>
    <definedName name="Net_adj_for_capitalized_expenses" localSheetId="11">#REF!</definedName>
    <definedName name="Net_adj_for_capitalized_expenses" localSheetId="17">#REF!</definedName>
    <definedName name="Net_adj_for_capitalized_expenses" localSheetId="16">#REF!</definedName>
    <definedName name="Net_adj_for_capitalized_expenses" localSheetId="22">#REF!</definedName>
    <definedName name="Net_adj_for_capitalized_expenses" localSheetId="9">#REF!</definedName>
    <definedName name="Net_adj_for_capitalized_expenses" localSheetId="13">#REF!</definedName>
    <definedName name="Net_adj_for_capitalized_expenses" localSheetId="23">#REF!</definedName>
    <definedName name="Net_adj_for_capitalized_expenses">#REF!</definedName>
    <definedName name="Net_block_total">#REF!</definedName>
    <definedName name="net_chg_in_cash" localSheetId="4">#REF!</definedName>
    <definedName name="net_chg_in_cash" localSheetId="5">#REF!</definedName>
    <definedName name="net_chg_in_cash" localSheetId="15">#REF!</definedName>
    <definedName name="net_chg_in_cash" localSheetId="19">#REF!</definedName>
    <definedName name="net_chg_in_cash" localSheetId="18">#REF!</definedName>
    <definedName name="net_chg_in_cash" localSheetId="14">#REF!</definedName>
    <definedName name="net_chg_in_cash" localSheetId="12">#REF!</definedName>
    <definedName name="net_chg_in_cash" localSheetId="24">#REF!</definedName>
    <definedName name="net_chg_in_cash" localSheetId="7">#REF!</definedName>
    <definedName name="net_chg_in_cash" localSheetId="20">#REF!</definedName>
    <definedName name="net_chg_in_cash" localSheetId="21">#REF!</definedName>
    <definedName name="net_chg_in_cash" localSheetId="11">#REF!</definedName>
    <definedName name="net_chg_in_cash" localSheetId="17">#REF!</definedName>
    <definedName name="net_chg_in_cash" localSheetId="16">#REF!</definedName>
    <definedName name="net_chg_in_cash" localSheetId="22">#REF!</definedName>
    <definedName name="net_chg_in_cash" localSheetId="9">#REF!</definedName>
    <definedName name="net_chg_in_cash" localSheetId="13">#REF!</definedName>
    <definedName name="net_chg_in_cash" localSheetId="23">#REF!</definedName>
    <definedName name="net_chg_in_cash">#REF!</definedName>
    <definedName name="Net_chg_in_cash6">#REF!</definedName>
    <definedName name="Net_current_assets">#REF!</definedName>
    <definedName name="net_current_assets_A">#REF!</definedName>
    <definedName name="NET_DEBT" localSheetId="4">#REF!</definedName>
    <definedName name="NET_DEBT" localSheetId="5">#REF!</definedName>
    <definedName name="NET_DEBT" localSheetId="15">#REF!</definedName>
    <definedName name="NET_DEBT" localSheetId="19">#REF!</definedName>
    <definedName name="NET_DEBT" localSheetId="18">#REF!</definedName>
    <definedName name="NET_DEBT" localSheetId="14">#REF!</definedName>
    <definedName name="NET_DEBT" localSheetId="12">#REF!</definedName>
    <definedName name="NET_DEBT" localSheetId="24">#REF!</definedName>
    <definedName name="NET_DEBT" localSheetId="7">#REF!</definedName>
    <definedName name="NET_DEBT" localSheetId="20">#REF!</definedName>
    <definedName name="NET_DEBT" localSheetId="21">#REF!</definedName>
    <definedName name="NET_DEBT" localSheetId="11">#REF!</definedName>
    <definedName name="NET_DEBT" localSheetId="17">#REF!</definedName>
    <definedName name="NET_DEBT" localSheetId="16">#REF!</definedName>
    <definedName name="NET_DEBT" localSheetId="22">#REF!</definedName>
    <definedName name="NET_DEBT" localSheetId="9">#REF!</definedName>
    <definedName name="NET_DEBT" localSheetId="13">#REF!</definedName>
    <definedName name="NET_DEBT" localSheetId="23">#REF!</definedName>
    <definedName name="NET_DEBT">#REF!</definedName>
    <definedName name="net_debt_cash">#REF!</definedName>
    <definedName name="Net_debt_cash6">#REF!</definedName>
    <definedName name="net_fixed_assets">#REF!</definedName>
    <definedName name="net_fixed_assets_A">#REF!</definedName>
    <definedName name="net_fixed_assets_avg">#REF!</definedName>
    <definedName name="Net_fixed_assets_avg6">#REF!</definedName>
    <definedName name="Net_Income" localSheetId="4">#REF!</definedName>
    <definedName name="Net_Income" localSheetId="9">#REF!</definedName>
    <definedName name="Net_Income">#REF!</definedName>
    <definedName name="Net_income_adj_cap_expenses" localSheetId="4">#REF!</definedName>
    <definedName name="Net_income_adj_cap_expenses" localSheetId="9">#REF!</definedName>
    <definedName name="Net_income_adj_cap_expenses">#REF!</definedName>
    <definedName name="Net_income_fore" localSheetId="4">#REF!</definedName>
    <definedName name="Net_income_fore" localSheetId="5">#REF!</definedName>
    <definedName name="Net_income_fore" localSheetId="15">#REF!</definedName>
    <definedName name="Net_income_fore" localSheetId="19">#REF!</definedName>
    <definedName name="Net_income_fore" localSheetId="18">#REF!</definedName>
    <definedName name="Net_income_fore" localSheetId="14">#REF!</definedName>
    <definedName name="Net_income_fore" localSheetId="12">#REF!</definedName>
    <definedName name="Net_income_fore" localSheetId="24">#REF!</definedName>
    <definedName name="Net_income_fore" localSheetId="7">#REF!</definedName>
    <definedName name="Net_income_fore" localSheetId="20">#REF!</definedName>
    <definedName name="Net_income_fore" localSheetId="21">#REF!</definedName>
    <definedName name="Net_income_fore" localSheetId="11">#REF!</definedName>
    <definedName name="Net_income_fore" localSheetId="17">#REF!</definedName>
    <definedName name="Net_income_fore" localSheetId="16">#REF!</definedName>
    <definedName name="Net_income_fore" localSheetId="22">#REF!</definedName>
    <definedName name="Net_income_fore" localSheetId="9">#REF!</definedName>
    <definedName name="Net_income_fore" localSheetId="13">#REF!</definedName>
    <definedName name="Net_income_fore" localSheetId="23">#REF!</definedName>
    <definedName name="Net_income_fore">#REF!</definedName>
    <definedName name="Net_income_growth" localSheetId="4">#REF!</definedName>
    <definedName name="Net_income_growth" localSheetId="9">#REF!</definedName>
    <definedName name="Net_income_growth">#REF!</definedName>
    <definedName name="Net_income_growth_avg">#REF!</definedName>
    <definedName name="net_income_qtr">#REF!</definedName>
    <definedName name="Net_Income_total">#REF!</definedName>
    <definedName name="NET_INT" localSheetId="4">#REF!</definedName>
    <definedName name="NET_INT" localSheetId="5">#REF!</definedName>
    <definedName name="NET_INT" localSheetId="15">#REF!</definedName>
    <definedName name="NET_INT" localSheetId="19">#REF!</definedName>
    <definedName name="NET_INT" localSheetId="18">#REF!</definedName>
    <definedName name="NET_INT" localSheetId="14">#REF!</definedName>
    <definedName name="NET_INT" localSheetId="12">#REF!</definedName>
    <definedName name="NET_INT" localSheetId="24">#REF!</definedName>
    <definedName name="NET_INT" localSheetId="7">#REF!</definedName>
    <definedName name="NET_INT" localSheetId="20">#REF!</definedName>
    <definedName name="NET_INT" localSheetId="21">#REF!</definedName>
    <definedName name="NET_INT" localSheetId="11">#REF!</definedName>
    <definedName name="NET_INT" localSheetId="17">#REF!</definedName>
    <definedName name="NET_INT" localSheetId="16">#REF!</definedName>
    <definedName name="NET_INT" localSheetId="22">#REF!</definedName>
    <definedName name="NET_INT" localSheetId="9">#REF!</definedName>
    <definedName name="NET_INT" localSheetId="13">#REF!</definedName>
    <definedName name="NET_INT" localSheetId="23">#REF!</definedName>
    <definedName name="NET_INT">#REF!</definedName>
    <definedName name="net_int_A">#REF!</definedName>
    <definedName name="Net_interest_income">#REF!</definedName>
    <definedName name="net_interest_income_Q">#REF!</definedName>
    <definedName name="Net_Interest_saved_on_account_of_Dilution">#REF!</definedName>
    <definedName name="net_loans">#REF!</definedName>
    <definedName name="net_loans_avg">#REF!</definedName>
    <definedName name="net_loans_break_up">#REF!</definedName>
    <definedName name="Net_margin" localSheetId="4">#REF!</definedName>
    <definedName name="Net_margin" localSheetId="9">#REF!</definedName>
    <definedName name="Net_margin">#REF!</definedName>
    <definedName name="Net_margin_fore" localSheetId="4">#REF!</definedName>
    <definedName name="Net_margin_fore" localSheetId="5">#REF!</definedName>
    <definedName name="Net_margin_fore" localSheetId="15">#REF!</definedName>
    <definedName name="Net_margin_fore" localSheetId="19">#REF!</definedName>
    <definedName name="Net_margin_fore" localSheetId="18">#REF!</definedName>
    <definedName name="Net_margin_fore" localSheetId="14">#REF!</definedName>
    <definedName name="Net_margin_fore" localSheetId="12">#REF!</definedName>
    <definedName name="Net_margin_fore" localSheetId="24">#REF!</definedName>
    <definedName name="Net_margin_fore" localSheetId="7">#REF!</definedName>
    <definedName name="Net_margin_fore" localSheetId="20">#REF!</definedName>
    <definedName name="Net_margin_fore" localSheetId="21">#REF!</definedName>
    <definedName name="Net_margin_fore" localSheetId="11">#REF!</definedName>
    <definedName name="Net_margin_fore" localSheetId="17">#REF!</definedName>
    <definedName name="Net_margin_fore" localSheetId="16">#REF!</definedName>
    <definedName name="Net_margin_fore" localSheetId="22">#REF!</definedName>
    <definedName name="Net_margin_fore" localSheetId="9">#REF!</definedName>
    <definedName name="Net_margin_fore" localSheetId="13">#REF!</definedName>
    <definedName name="Net_margin_fore" localSheetId="23">#REF!</definedName>
    <definedName name="Net_margin_fore">#REF!</definedName>
    <definedName name="Net_NPA_Rs_bn">#REF!</definedName>
    <definedName name="Net_NPAs" localSheetId="4">#REF!</definedName>
    <definedName name="Net_NPAs" localSheetId="5">#REF!</definedName>
    <definedName name="Net_NPAs" localSheetId="15">#REF!</definedName>
    <definedName name="Net_NPAs" localSheetId="19">#REF!</definedName>
    <definedName name="Net_NPAs" localSheetId="18">#REF!</definedName>
    <definedName name="Net_NPAs" localSheetId="14">#REF!</definedName>
    <definedName name="Net_NPAs" localSheetId="12">#REF!</definedName>
    <definedName name="Net_NPAs" localSheetId="24">#REF!</definedName>
    <definedName name="Net_NPAs" localSheetId="7">#REF!</definedName>
    <definedName name="Net_NPAs" localSheetId="20">#REF!</definedName>
    <definedName name="Net_NPAs" localSheetId="21">#REF!</definedName>
    <definedName name="Net_NPAs" localSheetId="11">#REF!</definedName>
    <definedName name="Net_NPAs" localSheetId="17">#REF!</definedName>
    <definedName name="Net_NPAs" localSheetId="16">#REF!</definedName>
    <definedName name="Net_NPAs" localSheetId="22">#REF!</definedName>
    <definedName name="Net_NPAs" localSheetId="9">#REF!</definedName>
    <definedName name="Net_NPAs" localSheetId="13">#REF!</definedName>
    <definedName name="Net_NPAs" localSheetId="23">#REF!</definedName>
    <definedName name="Net_NPAs">#REF!</definedName>
    <definedName name="Net_NPAs_Q" localSheetId="4">#REF!</definedName>
    <definedName name="Net_NPAs_Q" localSheetId="5">#REF!</definedName>
    <definedName name="Net_NPAs_Q" localSheetId="15">#REF!</definedName>
    <definedName name="Net_NPAs_Q" localSheetId="19">#REF!</definedName>
    <definedName name="Net_NPAs_Q" localSheetId="18">#REF!</definedName>
    <definedName name="Net_NPAs_Q" localSheetId="14">#REF!</definedName>
    <definedName name="Net_NPAs_Q" localSheetId="12">#REF!</definedName>
    <definedName name="Net_NPAs_Q" localSheetId="24">#REF!</definedName>
    <definedName name="Net_NPAs_Q" localSheetId="7">#REF!</definedName>
    <definedName name="Net_NPAs_Q" localSheetId="20">#REF!</definedName>
    <definedName name="Net_NPAs_Q" localSheetId="21">#REF!</definedName>
    <definedName name="Net_NPAs_Q" localSheetId="11">#REF!</definedName>
    <definedName name="Net_NPAs_Q" localSheetId="17">#REF!</definedName>
    <definedName name="Net_NPAs_Q" localSheetId="16">#REF!</definedName>
    <definedName name="Net_NPAs_Q" localSheetId="22">#REF!</definedName>
    <definedName name="Net_NPAs_Q" localSheetId="9">#REF!</definedName>
    <definedName name="Net_NPAs_Q" localSheetId="13">#REF!</definedName>
    <definedName name="Net_NPAs_Q" localSheetId="23">#REF!</definedName>
    <definedName name="Net_NPAs_Q">#REF!</definedName>
    <definedName name="net_npl">#REF!</definedName>
    <definedName name="net_npls_Q">#REF!</definedName>
    <definedName name="Net_PPE" localSheetId="4">#REF!</definedName>
    <definedName name="Net_PPE" localSheetId="9">#REF!</definedName>
    <definedName name="Net_PPE">#REF!</definedName>
    <definedName name="Net_PPE_DCF" localSheetId="4">#REF!</definedName>
    <definedName name="Net_PPE_DCF" localSheetId="9">#REF!</definedName>
    <definedName name="Net_PPE_DCF">#REF!</definedName>
    <definedName name="Net_PPE_growth_fore" localSheetId="4">#REF!</definedName>
    <definedName name="Net_PPE_growth_fore" localSheetId="5">#REF!</definedName>
    <definedName name="Net_PPE_growth_fore" localSheetId="15">#REF!</definedName>
    <definedName name="Net_PPE_growth_fore" localSheetId="19">#REF!</definedName>
    <definedName name="Net_PPE_growth_fore" localSheetId="18">#REF!</definedName>
    <definedName name="Net_PPE_growth_fore" localSheetId="14">#REF!</definedName>
    <definedName name="Net_PPE_growth_fore" localSheetId="12">#REF!</definedName>
    <definedName name="Net_PPE_growth_fore" localSheetId="24">#REF!</definedName>
    <definedName name="Net_PPE_growth_fore" localSheetId="7">#REF!</definedName>
    <definedName name="Net_PPE_growth_fore" localSheetId="20">#REF!</definedName>
    <definedName name="Net_PPE_growth_fore" localSheetId="21">#REF!</definedName>
    <definedName name="Net_PPE_growth_fore" localSheetId="11">#REF!</definedName>
    <definedName name="Net_PPE_growth_fore" localSheetId="17">#REF!</definedName>
    <definedName name="Net_PPE_growth_fore" localSheetId="16">#REF!</definedName>
    <definedName name="Net_PPE_growth_fore" localSheetId="22">#REF!</definedName>
    <definedName name="Net_PPE_growth_fore" localSheetId="9">#REF!</definedName>
    <definedName name="Net_PPE_growth_fore" localSheetId="13">#REF!</definedName>
    <definedName name="Net_PPE_growth_fore" localSheetId="23">#REF!</definedName>
    <definedName name="Net_PPE_growth_fore">#REF!</definedName>
    <definedName name="net_profit">#REF!</definedName>
    <definedName name="net_profit_A">#REF!</definedName>
    <definedName name="net_profit_qtr">#REF!</definedName>
    <definedName name="Net_property_under_capital_leases" localSheetId="4">#REF!</definedName>
    <definedName name="Net_property_under_capital_leases" localSheetId="9">#REF!</definedName>
    <definedName name="Net_property_under_capital_leases">#REF!</definedName>
    <definedName name="net_sales">#REF!</definedName>
    <definedName name="net_sales_A">#REF!</definedName>
    <definedName name="Net_sales_DCF" localSheetId="4">#REF!</definedName>
    <definedName name="Net_sales_DCF" localSheetId="9">#REF!</definedName>
    <definedName name="Net_sales_DCF">#REF!</definedName>
    <definedName name="Net_sales_fore" localSheetId="4">#REF!</definedName>
    <definedName name="Net_sales_fore" localSheetId="5">#REF!</definedName>
    <definedName name="Net_sales_fore" localSheetId="15">#REF!</definedName>
    <definedName name="Net_sales_fore" localSheetId="19">#REF!</definedName>
    <definedName name="Net_sales_fore" localSheetId="18">#REF!</definedName>
    <definedName name="Net_sales_fore" localSheetId="14">#REF!</definedName>
    <definedName name="Net_sales_fore" localSheetId="12">#REF!</definedName>
    <definedName name="Net_sales_fore" localSheetId="24">#REF!</definedName>
    <definedName name="Net_sales_fore" localSheetId="7">#REF!</definedName>
    <definedName name="Net_sales_fore" localSheetId="20">#REF!</definedName>
    <definedName name="Net_sales_fore" localSheetId="21">#REF!</definedName>
    <definedName name="Net_sales_fore" localSheetId="11">#REF!</definedName>
    <definedName name="Net_sales_fore" localSheetId="17">#REF!</definedName>
    <definedName name="Net_sales_fore" localSheetId="16">#REF!</definedName>
    <definedName name="Net_sales_fore" localSheetId="22">#REF!</definedName>
    <definedName name="Net_sales_fore" localSheetId="9">#REF!</definedName>
    <definedName name="Net_sales_fore" localSheetId="13">#REF!</definedName>
    <definedName name="Net_sales_fore" localSheetId="23">#REF!</definedName>
    <definedName name="Net_sales_fore">#REF!</definedName>
    <definedName name="net_sales_growth" localSheetId="4">#REF!</definedName>
    <definedName name="net_sales_growth" localSheetId="5">#REF!</definedName>
    <definedName name="net_sales_growth" localSheetId="15">#REF!</definedName>
    <definedName name="net_sales_growth" localSheetId="19">#REF!</definedName>
    <definedName name="net_sales_growth" localSheetId="18">#REF!</definedName>
    <definedName name="net_sales_growth" localSheetId="14">#REF!</definedName>
    <definedName name="net_sales_growth" localSheetId="12">#REF!</definedName>
    <definedName name="net_sales_growth" localSheetId="24">#REF!</definedName>
    <definedName name="net_sales_growth" localSheetId="7">#REF!</definedName>
    <definedName name="net_sales_growth" localSheetId="20">#REF!</definedName>
    <definedName name="net_sales_growth" localSheetId="21">#REF!</definedName>
    <definedName name="net_sales_growth" localSheetId="11">#REF!</definedName>
    <definedName name="net_sales_growth" localSheetId="17">#REF!</definedName>
    <definedName name="net_sales_growth" localSheetId="16">#REF!</definedName>
    <definedName name="net_sales_growth" localSheetId="22">#REF!</definedName>
    <definedName name="net_sales_growth" localSheetId="9">#REF!</definedName>
    <definedName name="net_sales_growth" localSheetId="13">#REF!</definedName>
    <definedName name="net_sales_growth" localSheetId="23">#REF!</definedName>
    <definedName name="net_sales_growth">#REF!</definedName>
    <definedName name="Net_sales_growth_fore" localSheetId="4">#REF!</definedName>
    <definedName name="Net_sales_growth_fore" localSheetId="5">#REF!</definedName>
    <definedName name="Net_sales_growth_fore" localSheetId="15">#REF!</definedName>
    <definedName name="Net_sales_growth_fore" localSheetId="19">#REF!</definedName>
    <definedName name="Net_sales_growth_fore" localSheetId="18">#REF!</definedName>
    <definedName name="Net_sales_growth_fore" localSheetId="14">#REF!</definedName>
    <definedName name="Net_sales_growth_fore" localSheetId="12">#REF!</definedName>
    <definedName name="Net_sales_growth_fore" localSheetId="24">#REF!</definedName>
    <definedName name="Net_sales_growth_fore" localSheetId="7">#REF!</definedName>
    <definedName name="Net_sales_growth_fore" localSheetId="20">#REF!</definedName>
    <definedName name="Net_sales_growth_fore" localSheetId="21">#REF!</definedName>
    <definedName name="Net_sales_growth_fore" localSheetId="11">#REF!</definedName>
    <definedName name="Net_sales_growth_fore" localSheetId="17">#REF!</definedName>
    <definedName name="Net_sales_growth_fore" localSheetId="16">#REF!</definedName>
    <definedName name="Net_sales_growth_fore" localSheetId="22">#REF!</definedName>
    <definedName name="Net_sales_growth_fore" localSheetId="9">#REF!</definedName>
    <definedName name="Net_sales_growth_fore" localSheetId="13">#REF!</definedName>
    <definedName name="Net_sales_growth_fore" localSheetId="23">#REF!</definedName>
    <definedName name="Net_sales_growth_fore">#REF!</definedName>
    <definedName name="net_sales_qtr">#REF!</definedName>
    <definedName name="Net_Tax_Benefit_of_Non_Op_Charges_Gains" localSheetId="4">#REF!</definedName>
    <definedName name="Net_Tax_Benefit_of_Non_Op_Charges_Gains" localSheetId="9">#REF!</definedName>
    <definedName name="Net_Tax_Benefit_of_Non_Op_Charges_Gains">#REF!</definedName>
    <definedName name="Net_Unrealized_Gains_Losses" localSheetId="4">#REF!</definedName>
    <definedName name="Net_Unrealized_Gains_Losses" localSheetId="9">#REF!</definedName>
    <definedName name="Net_Unrealized_Gains_Losses">#REF!</definedName>
    <definedName name="Net_working_capital" localSheetId="4">#REF!</definedName>
    <definedName name="Net_working_capital" localSheetId="9">#REF!</definedName>
    <definedName name="Net_working_capital">#REF!</definedName>
    <definedName name="Net_Working_Capital_Core" localSheetId="4">#REF!</definedName>
    <definedName name="Net_Working_Capital_Core" localSheetId="9">#REF!</definedName>
    <definedName name="Net_Working_Capital_Core">#REF!</definedName>
    <definedName name="Net_working_capital_DCF" localSheetId="4">#REF!</definedName>
    <definedName name="Net_working_capital_DCF" localSheetId="9">#REF!</definedName>
    <definedName name="Net_working_capital_DCF">#REF!</definedName>
    <definedName name="Net_working_capital_turns" localSheetId="4">#REF!</definedName>
    <definedName name="Net_working_capital_turns" localSheetId="9">#REF!</definedName>
    <definedName name="Net_working_capital_turns">#REF!</definedName>
    <definedName name="Net_working_capital_turns_DCF" localSheetId="4">#REF!</definedName>
    <definedName name="Net_working_capital_turns_DCF" localSheetId="9">#REF!</definedName>
    <definedName name="Net_working_capital_turns_DCF">#REF!</definedName>
    <definedName name="Net_worth">#REF!</definedName>
    <definedName name="NetAssets" localSheetId="4">#REF!</definedName>
    <definedName name="NetAssets" localSheetId="9">#REF!</definedName>
    <definedName name="NetAssets">#REF!</definedName>
    <definedName name="NetCA">#REF!</definedName>
    <definedName name="NetCAChg" hidden="1">#REF!</definedName>
    <definedName name="NetCashflowBeforeFinancing" localSheetId="4">#REF!</definedName>
    <definedName name="NetCashflowBeforeFinancing" localSheetId="9">#REF!</definedName>
    <definedName name="NetCashflowBeforeFinancing">#REF!</definedName>
    <definedName name="NetCashflowFromFinancing" localSheetId="4">#REF!</definedName>
    <definedName name="NetCashflowFromFinancing" localSheetId="9">#REF!</definedName>
    <definedName name="NetCashflowFromFinancing">#REF!</definedName>
    <definedName name="NetCashflowFromInvestingActivities" localSheetId="4">#REF!</definedName>
    <definedName name="NetCashflowFromInvestingActivities" localSheetId="9">#REF!</definedName>
    <definedName name="NetCashflowFromInvestingActivities">#REF!</definedName>
    <definedName name="NetCashflowFromOperations" localSheetId="4">#REF!</definedName>
    <definedName name="NetCashflowFromOperations" localSheetId="9">#REF!</definedName>
    <definedName name="NetCashflowFromOperations">#REF!</definedName>
    <definedName name="NetCashflowFromReturnsOnInvestmentsAndServicingOfDebt" localSheetId="4">#REF!</definedName>
    <definedName name="NetCashflowFromReturnsOnInvestmentsAndServicingOfDebt" localSheetId="9">#REF!</definedName>
    <definedName name="NetCashflowFromReturnsOnInvestmentsAndServicingOfDebt">#REF!</definedName>
    <definedName name="NetCFDepJ1" localSheetId="4">#REF!</definedName>
    <definedName name="NetCFDepJ1" localSheetId="5">#REF!</definedName>
    <definedName name="NetCFDepJ1" localSheetId="15">#REF!</definedName>
    <definedName name="NetCFDepJ1" localSheetId="19">#REF!</definedName>
    <definedName name="NetCFDepJ1" localSheetId="18">#REF!</definedName>
    <definedName name="NetCFDepJ1" localSheetId="14">#REF!</definedName>
    <definedName name="NetCFDepJ1" localSheetId="12">#REF!</definedName>
    <definedName name="NetCFDepJ1" localSheetId="24">#REF!</definedName>
    <definedName name="NetCFDepJ1" localSheetId="7">#REF!</definedName>
    <definedName name="NetCFDepJ1" localSheetId="20">#REF!</definedName>
    <definedName name="NetCFDepJ1" localSheetId="21">#REF!</definedName>
    <definedName name="NetCFDepJ1" localSheetId="11">#REF!</definedName>
    <definedName name="NetCFDepJ1" localSheetId="17">#REF!</definedName>
    <definedName name="NetCFDepJ1" localSheetId="16">#REF!</definedName>
    <definedName name="NetCFDepJ1" localSheetId="22">#REF!</definedName>
    <definedName name="NetCFDepJ1" localSheetId="9">#REF!</definedName>
    <definedName name="NetCFDepJ1" localSheetId="13">#REF!</definedName>
    <definedName name="NetCFDepJ1" localSheetId="23">#REF!</definedName>
    <definedName name="NetCFDepJ1">#REF!</definedName>
    <definedName name="NetCFWODepGs" localSheetId="4">#REF!</definedName>
    <definedName name="NetCFWODepGs" localSheetId="5">#REF!</definedName>
    <definedName name="NetCFWODepGs" localSheetId="15">#REF!</definedName>
    <definedName name="NetCFWODepGs" localSheetId="19">#REF!</definedName>
    <definedName name="NetCFWODepGs" localSheetId="18">#REF!</definedName>
    <definedName name="NetCFWODepGs" localSheetId="14">#REF!</definedName>
    <definedName name="NetCFWODepGs" localSheetId="12">#REF!</definedName>
    <definedName name="NetCFWODepGs" localSheetId="24">#REF!</definedName>
    <definedName name="NetCFWODepGs" localSheetId="7">#REF!</definedName>
    <definedName name="NetCFWODepGs" localSheetId="20">#REF!</definedName>
    <definedName name="NetCFWODepGs" localSheetId="21">#REF!</definedName>
    <definedName name="NetCFWODepGs" localSheetId="11">#REF!</definedName>
    <definedName name="NetCFWODepGs" localSheetId="17">#REF!</definedName>
    <definedName name="NetCFWODepGs" localSheetId="16">#REF!</definedName>
    <definedName name="NetCFWODepGs" localSheetId="22">#REF!</definedName>
    <definedName name="NetCFWODepGs" localSheetId="9">#REF!</definedName>
    <definedName name="NetCFWODepGs" localSheetId="13">#REF!</definedName>
    <definedName name="NetCFWODepGs" localSheetId="23">#REF!</definedName>
    <definedName name="NetCFWODepGs">#REF!</definedName>
    <definedName name="NetCFWODepJ1" localSheetId="4">#REF!</definedName>
    <definedName name="NetCFWODepJ1" localSheetId="5">#REF!</definedName>
    <definedName name="NetCFWODepJ1" localSheetId="15">#REF!</definedName>
    <definedName name="NetCFWODepJ1" localSheetId="19">#REF!</definedName>
    <definedName name="NetCFWODepJ1" localSheetId="18">#REF!</definedName>
    <definedName name="NetCFWODepJ1" localSheetId="14">#REF!</definedName>
    <definedName name="NetCFWODepJ1" localSheetId="12">#REF!</definedName>
    <definedName name="NetCFWODepJ1" localSheetId="24">#REF!</definedName>
    <definedName name="NetCFWODepJ1" localSheetId="7">#REF!</definedName>
    <definedName name="NetCFWODepJ1" localSheetId="20">#REF!</definedName>
    <definedName name="NetCFWODepJ1" localSheetId="21">#REF!</definedName>
    <definedName name="NetCFWODepJ1" localSheetId="11">#REF!</definedName>
    <definedName name="NetCFWODepJ1" localSheetId="17">#REF!</definedName>
    <definedName name="NetCFWODepJ1" localSheetId="16">#REF!</definedName>
    <definedName name="NetCFWODepJ1" localSheetId="22">#REF!</definedName>
    <definedName name="NetCFWODepJ1" localSheetId="9">#REF!</definedName>
    <definedName name="NetCFWODepJ1" localSheetId="13">#REF!</definedName>
    <definedName name="NetCFWODepJ1" localSheetId="23">#REF!</definedName>
    <definedName name="NetCFWODepJ1">#REF!</definedName>
    <definedName name="NetCurrentAssets" localSheetId="4">#REF!</definedName>
    <definedName name="NetCurrentAssets" localSheetId="9">#REF!</definedName>
    <definedName name="NetCurrentAssets">#REF!</definedName>
    <definedName name="NetDebt" localSheetId="4">#REF!</definedName>
    <definedName name="NetDebt" localSheetId="9">#REF!</definedName>
    <definedName name="NetDebt">#REF!</definedName>
    <definedName name="netdebt_equity" localSheetId="4">#REF!</definedName>
    <definedName name="netdebt_equity" localSheetId="5">#REF!</definedName>
    <definedName name="netdebt_equity" localSheetId="15">#REF!</definedName>
    <definedName name="netdebt_equity" localSheetId="19">#REF!</definedName>
    <definedName name="netdebt_equity" localSheetId="18">#REF!</definedName>
    <definedName name="netdebt_equity" localSheetId="14">#REF!</definedName>
    <definedName name="netdebt_equity" localSheetId="12">#REF!</definedName>
    <definedName name="netdebt_equity" localSheetId="24">#REF!</definedName>
    <definedName name="netdebt_equity" localSheetId="7">#REF!</definedName>
    <definedName name="netdebt_equity" localSheetId="20">#REF!</definedName>
    <definedName name="netdebt_equity" localSheetId="21">#REF!</definedName>
    <definedName name="netdebt_equity" localSheetId="11">#REF!</definedName>
    <definedName name="netdebt_equity" localSheetId="17">#REF!</definedName>
    <definedName name="netdebt_equity" localSheetId="16">#REF!</definedName>
    <definedName name="netdebt_equity" localSheetId="22">#REF!</definedName>
    <definedName name="netdebt_equity" localSheetId="9">#REF!</definedName>
    <definedName name="netdebt_equity" localSheetId="13">#REF!</definedName>
    <definedName name="netdebt_equity" localSheetId="23">#REF!</definedName>
    <definedName name="netdebt_equity">#REF!</definedName>
    <definedName name="NetDebtChg" hidden="1">#REF!</definedName>
    <definedName name="NetEq">#REF!</definedName>
    <definedName name="NetEqChg" hidden="1">#REF!</definedName>
    <definedName name="NetEstInt">#REF!</definedName>
    <definedName name="netfa_sales" localSheetId="4">#REF!</definedName>
    <definedName name="netfa_sales" localSheetId="5">#REF!</definedName>
    <definedName name="netfa_sales" localSheetId="15">#REF!</definedName>
    <definedName name="netfa_sales" localSheetId="19">#REF!</definedName>
    <definedName name="netfa_sales" localSheetId="18">#REF!</definedName>
    <definedName name="netfa_sales" localSheetId="14">#REF!</definedName>
    <definedName name="netfa_sales" localSheetId="12">#REF!</definedName>
    <definedName name="netfa_sales" localSheetId="24">#REF!</definedName>
    <definedName name="netfa_sales" localSheetId="7">#REF!</definedName>
    <definedName name="netfa_sales" localSheetId="20">#REF!</definedName>
    <definedName name="netfa_sales" localSheetId="21">#REF!</definedName>
    <definedName name="netfa_sales" localSheetId="11">#REF!</definedName>
    <definedName name="netfa_sales" localSheetId="17">#REF!</definedName>
    <definedName name="netfa_sales" localSheetId="16">#REF!</definedName>
    <definedName name="netfa_sales" localSheetId="22">#REF!</definedName>
    <definedName name="netfa_sales" localSheetId="9">#REF!</definedName>
    <definedName name="netfa_sales" localSheetId="13">#REF!</definedName>
    <definedName name="netfa_sales" localSheetId="23">#REF!</definedName>
    <definedName name="netfa_sales">#REF!</definedName>
    <definedName name="NetInterestCharge" localSheetId="4">#REF!</definedName>
    <definedName name="NetInterestCharge" localSheetId="9">#REF!</definedName>
    <definedName name="NetInterestCharge">#REF!</definedName>
    <definedName name="NetOpInc" localSheetId="4">#REF!</definedName>
    <definedName name="NetOpInc" localSheetId="5">#REF!</definedName>
    <definedName name="NetOpInc" localSheetId="15">#REF!</definedName>
    <definedName name="NetOpInc" localSheetId="19">#REF!</definedName>
    <definedName name="NetOpInc" localSheetId="18">#REF!</definedName>
    <definedName name="NetOpInc" localSheetId="14">#REF!</definedName>
    <definedName name="NetOpInc" localSheetId="12">#REF!</definedName>
    <definedName name="NetOpInc" localSheetId="24">#REF!</definedName>
    <definedName name="NetOpInc" localSheetId="7">#REF!</definedName>
    <definedName name="NetOpInc" localSheetId="20">#REF!</definedName>
    <definedName name="NetOpInc" localSheetId="21">#REF!</definedName>
    <definedName name="NetOpInc" localSheetId="11">#REF!</definedName>
    <definedName name="NetOpInc" localSheetId="17">#REF!</definedName>
    <definedName name="NetOpInc" localSheetId="16">#REF!</definedName>
    <definedName name="NetOpInc" localSheetId="22">#REF!</definedName>
    <definedName name="NetOpInc" localSheetId="9">#REF!</definedName>
    <definedName name="NetOpInc" localSheetId="13">#REF!</definedName>
    <definedName name="NetOpInc" localSheetId="23">#REF!</definedName>
    <definedName name="NetOpInc">#REF!</definedName>
    <definedName name="NETPPE" localSheetId="4">#REF!</definedName>
    <definedName name="NETPPE" localSheetId="9">#REF!</definedName>
    <definedName name="NETPPE">#REF!</definedName>
    <definedName name="NetProfit" localSheetId="4">#REF!</definedName>
    <definedName name="NetProfit" localSheetId="9">#REF!</definedName>
    <definedName name="NetProfit">#REF!</definedName>
    <definedName name="NetProfitMargin" localSheetId="4">#REF!</definedName>
    <definedName name="NetProfitMargin" localSheetId="9">#REF!</definedName>
    <definedName name="NetProfitMargin">#REF!</definedName>
    <definedName name="NetRsrv">#REF!</definedName>
    <definedName name="NetSales" localSheetId="4">#REF!</definedName>
    <definedName name="NetSales" localSheetId="9">#REF!</definedName>
    <definedName name="NetSales">#REF!</definedName>
    <definedName name="NetWC_turns_fore" localSheetId="4">#REF!</definedName>
    <definedName name="NetWC_turns_fore" localSheetId="5">#REF!</definedName>
    <definedName name="NetWC_turns_fore" localSheetId="15">#REF!</definedName>
    <definedName name="NetWC_turns_fore" localSheetId="19">#REF!</definedName>
    <definedName name="NetWC_turns_fore" localSheetId="18">#REF!</definedName>
    <definedName name="NetWC_turns_fore" localSheetId="14">#REF!</definedName>
    <definedName name="NetWC_turns_fore" localSheetId="12">#REF!</definedName>
    <definedName name="NetWC_turns_fore" localSheetId="24">#REF!</definedName>
    <definedName name="NetWC_turns_fore" localSheetId="7">#REF!</definedName>
    <definedName name="NetWC_turns_fore" localSheetId="20">#REF!</definedName>
    <definedName name="NetWC_turns_fore" localSheetId="21">#REF!</definedName>
    <definedName name="NetWC_turns_fore" localSheetId="11">#REF!</definedName>
    <definedName name="NetWC_turns_fore" localSheetId="17">#REF!</definedName>
    <definedName name="NetWC_turns_fore" localSheetId="16">#REF!</definedName>
    <definedName name="NetWC_turns_fore" localSheetId="22">#REF!</definedName>
    <definedName name="NetWC_turns_fore" localSheetId="9">#REF!</definedName>
    <definedName name="NetWC_turns_fore" localSheetId="13">#REF!</definedName>
    <definedName name="NetWC_turns_fore" localSheetId="23">#REF!</definedName>
    <definedName name="NetWC_turns_fore">#REF!</definedName>
    <definedName name="Networth_avg" localSheetId="4">#REF!</definedName>
    <definedName name="Networth_avg" localSheetId="5">#REF!</definedName>
    <definedName name="Networth_avg" localSheetId="15">#REF!</definedName>
    <definedName name="Networth_avg" localSheetId="19">#REF!</definedName>
    <definedName name="Networth_avg" localSheetId="18">#REF!</definedName>
    <definedName name="Networth_avg" localSheetId="14">#REF!</definedName>
    <definedName name="Networth_avg" localSheetId="12">#REF!</definedName>
    <definedName name="Networth_avg" localSheetId="24">#REF!</definedName>
    <definedName name="Networth_avg" localSheetId="7">#REF!</definedName>
    <definedName name="Networth_avg" localSheetId="20">#REF!</definedName>
    <definedName name="Networth_avg" localSheetId="21">#REF!</definedName>
    <definedName name="Networth_avg" localSheetId="11">#REF!</definedName>
    <definedName name="Networth_avg" localSheetId="17">#REF!</definedName>
    <definedName name="Networth_avg" localSheetId="16">#REF!</definedName>
    <definedName name="Networth_avg" localSheetId="22">#REF!</definedName>
    <definedName name="Networth_avg" localSheetId="9">#REF!</definedName>
    <definedName name="Networth_avg" localSheetId="13">#REF!</definedName>
    <definedName name="Networth_avg" localSheetId="23">#REF!</definedName>
    <definedName name="Networth_avg">#REF!</definedName>
    <definedName name="Ne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NEW_INVESTMENT" localSheetId="4">#REF!</definedName>
    <definedName name="NEW_INVESTMENT" localSheetId="9">#REF!</definedName>
    <definedName name="NEW_INVESTMENT">#REF!</definedName>
    <definedName name="newdata">#REF!</definedName>
    <definedName name="NEWSHRCAPITAL" localSheetId="4">#REF!</definedName>
    <definedName name="NEWSHRCAPITAL" localSheetId="5">#REF!</definedName>
    <definedName name="NEWSHRCAPITAL" localSheetId="15">#REF!</definedName>
    <definedName name="NEWSHRCAPITAL" localSheetId="19">#REF!</definedName>
    <definedName name="NEWSHRCAPITAL" localSheetId="18">#REF!</definedName>
    <definedName name="NEWSHRCAPITAL" localSheetId="14">#REF!</definedName>
    <definedName name="NEWSHRCAPITAL" localSheetId="12">#REF!</definedName>
    <definedName name="NEWSHRCAPITAL" localSheetId="24">#REF!</definedName>
    <definedName name="NEWSHRCAPITAL" localSheetId="7">#REF!</definedName>
    <definedName name="NEWSHRCAPITAL" localSheetId="20">#REF!</definedName>
    <definedName name="NEWSHRCAPITAL" localSheetId="21">#REF!</definedName>
    <definedName name="NEWSHRCAPITAL" localSheetId="11">#REF!</definedName>
    <definedName name="NEWSHRCAPITAL" localSheetId="17">#REF!</definedName>
    <definedName name="NEWSHRCAPITAL" localSheetId="16">#REF!</definedName>
    <definedName name="NEWSHRCAPITAL" localSheetId="22">#REF!</definedName>
    <definedName name="NEWSHRCAPITAL" localSheetId="9">#REF!</definedName>
    <definedName name="NEWSHRCAPITAL" localSheetId="13">#REF!</definedName>
    <definedName name="NEWSHRCAPITAL" localSheetId="23">#REF!</definedName>
    <definedName name="NEWSHRCAPITAL">#REF!</definedName>
    <definedName name="NFA">#REF!</definedName>
    <definedName name="NFAChg" hidden="1">#REF!</definedName>
    <definedName name="NI">#REF!</definedName>
    <definedName name="niagawgt">#REF!</definedName>
    <definedName name="NIBCLs" localSheetId="4">#REF!</definedName>
    <definedName name="NIBCLs" localSheetId="9">#REF!</definedName>
    <definedName name="NIBCLs">#REF!</definedName>
    <definedName name="NIM_Q" localSheetId="4">#REF!</definedName>
    <definedName name="NIM_Q" localSheetId="5">#REF!</definedName>
    <definedName name="NIM_Q" localSheetId="15">#REF!</definedName>
    <definedName name="NIM_Q" localSheetId="19">#REF!</definedName>
    <definedName name="NIM_Q" localSheetId="18">#REF!</definedName>
    <definedName name="NIM_Q" localSheetId="14">#REF!</definedName>
    <definedName name="NIM_Q" localSheetId="12">#REF!</definedName>
    <definedName name="NIM_Q" localSheetId="24">#REF!</definedName>
    <definedName name="NIM_Q" localSheetId="7">#REF!</definedName>
    <definedName name="NIM_Q" localSheetId="20">#REF!</definedName>
    <definedName name="NIM_Q" localSheetId="21">#REF!</definedName>
    <definedName name="NIM_Q" localSheetId="11">#REF!</definedName>
    <definedName name="NIM_Q" localSheetId="17">#REF!</definedName>
    <definedName name="NIM_Q" localSheetId="16">#REF!</definedName>
    <definedName name="NIM_Q" localSheetId="22">#REF!</definedName>
    <definedName name="NIM_Q" localSheetId="9">#REF!</definedName>
    <definedName name="NIM_Q" localSheetId="13">#REF!</definedName>
    <definedName name="NIM_Q" localSheetId="23">#REF!</definedName>
    <definedName name="NIM_Q">#REF!</definedName>
    <definedName name="Nitin" hidden="1">#REF!</definedName>
    <definedName name="nitu"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tu"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m" localSheetId="4" hidden="1">{"'PS-SOTM'!$A$1","'PS-SOTM'!$A$2:$M$30","'PS-SOTM'!$A$31:$A$38"}</definedName>
    <definedName name="nm" localSheetId="9" hidden="1">{"'PS-SOTM'!$A$1","'PS-SOTM'!$A$2:$M$30","'PS-SOTM'!$A$31:$A$38"}</definedName>
    <definedName name="nm" hidden="1">{"'PS-SOTM'!$A$1","'PS-SOTM'!$A$2:$M$30","'PS-SOTM'!$A$31:$A$38"}</definedName>
    <definedName name="nn" localSheetId="4" hidden="1">{#N/A,#N/A,FALSE,"Status of Projects";#N/A,#N/A,FALSE,"CEA-TEC";#N/A,#N/A,FALSE,"U-Constr.";#N/A,#N/A,FALSE,"summary";#N/A,#N/A,FALSE,"PPP-3 yrs"}</definedName>
    <definedName name="nn" localSheetId="5" hidden="1">{#N/A,#N/A,FALSE,"Status of Projects";#N/A,#N/A,FALSE,"CEA-TEC";#N/A,#N/A,FALSE,"U-Constr.";#N/A,#N/A,FALSE,"summary";#N/A,#N/A,FALSE,"PPP-3 yrs"}</definedName>
    <definedName name="nn" localSheetId="15" hidden="1">{#N/A,#N/A,FALSE,"Status of Projects";#N/A,#N/A,FALSE,"CEA-TEC";#N/A,#N/A,FALSE,"U-Constr.";#N/A,#N/A,FALSE,"summary";#N/A,#N/A,FALSE,"PPP-3 yrs"}</definedName>
    <definedName name="nn" localSheetId="19" hidden="1">{#N/A,#N/A,FALSE,"Status of Projects";#N/A,#N/A,FALSE,"CEA-TEC";#N/A,#N/A,FALSE,"U-Constr.";#N/A,#N/A,FALSE,"summary";#N/A,#N/A,FALSE,"PPP-3 yrs"}</definedName>
    <definedName name="nn" localSheetId="18" hidden="1">{#N/A,#N/A,FALSE,"Status of Projects";#N/A,#N/A,FALSE,"CEA-TEC";#N/A,#N/A,FALSE,"U-Constr.";#N/A,#N/A,FALSE,"summary";#N/A,#N/A,FALSE,"PPP-3 yrs"}</definedName>
    <definedName name="nn" localSheetId="14" hidden="1">{#N/A,#N/A,FALSE,"Status of Projects";#N/A,#N/A,FALSE,"CEA-TEC";#N/A,#N/A,FALSE,"U-Constr.";#N/A,#N/A,FALSE,"summary";#N/A,#N/A,FALSE,"PPP-3 yrs"}</definedName>
    <definedName name="nn" localSheetId="12" hidden="1">{#N/A,#N/A,FALSE,"Status of Projects";#N/A,#N/A,FALSE,"CEA-TEC";#N/A,#N/A,FALSE,"U-Constr.";#N/A,#N/A,FALSE,"summary";#N/A,#N/A,FALSE,"PPP-3 yrs"}</definedName>
    <definedName name="nn" localSheetId="24" hidden="1">{#N/A,#N/A,FALSE,"Status of Projects";#N/A,#N/A,FALSE,"CEA-TEC";#N/A,#N/A,FALSE,"U-Constr.";#N/A,#N/A,FALSE,"summary";#N/A,#N/A,FALSE,"PPP-3 yrs"}</definedName>
    <definedName name="nn" localSheetId="7" hidden="1">{#N/A,#N/A,FALSE,"Status of Projects";#N/A,#N/A,FALSE,"CEA-TEC";#N/A,#N/A,FALSE,"U-Constr.";#N/A,#N/A,FALSE,"summary";#N/A,#N/A,FALSE,"PPP-3 yrs"}</definedName>
    <definedName name="nn" localSheetId="20" hidden="1">{#N/A,#N/A,FALSE,"Status of Projects";#N/A,#N/A,FALSE,"CEA-TEC";#N/A,#N/A,FALSE,"U-Constr.";#N/A,#N/A,FALSE,"summary";#N/A,#N/A,FALSE,"PPP-3 yrs"}</definedName>
    <definedName name="nn" localSheetId="21" hidden="1">{#N/A,#N/A,FALSE,"Status of Projects";#N/A,#N/A,FALSE,"CEA-TEC";#N/A,#N/A,FALSE,"U-Constr.";#N/A,#N/A,FALSE,"summary";#N/A,#N/A,FALSE,"PPP-3 yrs"}</definedName>
    <definedName name="nn" localSheetId="11" hidden="1">{#N/A,#N/A,FALSE,"Status of Projects";#N/A,#N/A,FALSE,"CEA-TEC";#N/A,#N/A,FALSE,"U-Constr.";#N/A,#N/A,FALSE,"summary";#N/A,#N/A,FALSE,"PPP-3 yrs"}</definedName>
    <definedName name="nn" localSheetId="17" hidden="1">{#N/A,#N/A,FALSE,"Status of Projects";#N/A,#N/A,FALSE,"CEA-TEC";#N/A,#N/A,FALSE,"U-Constr.";#N/A,#N/A,FALSE,"summary";#N/A,#N/A,FALSE,"PPP-3 yrs"}</definedName>
    <definedName name="nn" localSheetId="16" hidden="1">{#N/A,#N/A,FALSE,"Status of Projects";#N/A,#N/A,FALSE,"CEA-TEC";#N/A,#N/A,FALSE,"U-Constr.";#N/A,#N/A,FALSE,"summary";#N/A,#N/A,FALSE,"PPP-3 yrs"}</definedName>
    <definedName name="nn" localSheetId="22" hidden="1">{#N/A,#N/A,FALSE,"Status of Projects";#N/A,#N/A,FALSE,"CEA-TEC";#N/A,#N/A,FALSE,"U-Constr.";#N/A,#N/A,FALSE,"summary";#N/A,#N/A,FALSE,"PPP-3 yrs"}</definedName>
    <definedName name="nn" localSheetId="9" hidden="1">{#N/A,#N/A,FALSE,"Status of Projects";#N/A,#N/A,FALSE,"CEA-TEC";#N/A,#N/A,FALSE,"U-Constr.";#N/A,#N/A,FALSE,"summary";#N/A,#N/A,FALSE,"PPP-3 yrs"}</definedName>
    <definedName name="nn" localSheetId="13" hidden="1">{#N/A,#N/A,FALSE,"Status of Projects";#N/A,#N/A,FALSE,"CEA-TEC";#N/A,#N/A,FALSE,"U-Constr.";#N/A,#N/A,FALSE,"summary";#N/A,#N/A,FALSE,"PPP-3 yrs"}</definedName>
    <definedName name="nn" localSheetId="23" hidden="1">{#N/A,#N/A,FALSE,"Status of Projects";#N/A,#N/A,FALSE,"CEA-TEC";#N/A,#N/A,FALSE,"U-Constr.";#N/A,#N/A,FALSE,"summary";#N/A,#N/A,FALSE,"PPP-3 yrs"}</definedName>
    <definedName name="nn" hidden="1">{#N/A,#N/A,FALSE,"Status of Projects";#N/A,#N/A,FALSE,"CEA-TEC";#N/A,#N/A,FALSE,"U-Constr.";#N/A,#N/A,FALSE,"summary";#N/A,#N/A,FALSE,"PPP-3 yrs"}</definedName>
    <definedName name="nnnnnnnnnn" localSheetId="4" hidden="1">{#N/A,#N/A,FALSE,"Status of Projects";#N/A,#N/A,FALSE,"CEA-TEC";#N/A,#N/A,FALSE,"U-Constr.";#N/A,#N/A,FALSE,"summary";#N/A,#N/A,FALSE,"PPP-3 yrs"}</definedName>
    <definedName name="nnnnnnnnnn" localSheetId="5" hidden="1">{#N/A,#N/A,FALSE,"Status of Projects";#N/A,#N/A,FALSE,"CEA-TEC";#N/A,#N/A,FALSE,"U-Constr.";#N/A,#N/A,FALSE,"summary";#N/A,#N/A,FALSE,"PPP-3 yrs"}</definedName>
    <definedName name="nnnnnnnnnn" localSheetId="15" hidden="1">{#N/A,#N/A,FALSE,"Status of Projects";#N/A,#N/A,FALSE,"CEA-TEC";#N/A,#N/A,FALSE,"U-Constr.";#N/A,#N/A,FALSE,"summary";#N/A,#N/A,FALSE,"PPP-3 yrs"}</definedName>
    <definedName name="nnnnnnnnnn" localSheetId="19" hidden="1">{#N/A,#N/A,FALSE,"Status of Projects";#N/A,#N/A,FALSE,"CEA-TEC";#N/A,#N/A,FALSE,"U-Constr.";#N/A,#N/A,FALSE,"summary";#N/A,#N/A,FALSE,"PPP-3 yrs"}</definedName>
    <definedName name="nnnnnnnnnn" localSheetId="18" hidden="1">{#N/A,#N/A,FALSE,"Status of Projects";#N/A,#N/A,FALSE,"CEA-TEC";#N/A,#N/A,FALSE,"U-Constr.";#N/A,#N/A,FALSE,"summary";#N/A,#N/A,FALSE,"PPP-3 yrs"}</definedName>
    <definedName name="nnnnnnnnnn" localSheetId="14" hidden="1">{#N/A,#N/A,FALSE,"Status of Projects";#N/A,#N/A,FALSE,"CEA-TEC";#N/A,#N/A,FALSE,"U-Constr.";#N/A,#N/A,FALSE,"summary";#N/A,#N/A,FALSE,"PPP-3 yrs"}</definedName>
    <definedName name="nnnnnnnnnn" localSheetId="12" hidden="1">{#N/A,#N/A,FALSE,"Status of Projects";#N/A,#N/A,FALSE,"CEA-TEC";#N/A,#N/A,FALSE,"U-Constr.";#N/A,#N/A,FALSE,"summary";#N/A,#N/A,FALSE,"PPP-3 yrs"}</definedName>
    <definedName name="nnnnnnnnnn" localSheetId="24" hidden="1">{#N/A,#N/A,FALSE,"Status of Projects";#N/A,#N/A,FALSE,"CEA-TEC";#N/A,#N/A,FALSE,"U-Constr.";#N/A,#N/A,FALSE,"summary";#N/A,#N/A,FALSE,"PPP-3 yrs"}</definedName>
    <definedName name="nnnnnnnnnn" localSheetId="7" hidden="1">{#N/A,#N/A,FALSE,"Status of Projects";#N/A,#N/A,FALSE,"CEA-TEC";#N/A,#N/A,FALSE,"U-Constr.";#N/A,#N/A,FALSE,"summary";#N/A,#N/A,FALSE,"PPP-3 yrs"}</definedName>
    <definedName name="nnnnnnnnnn" localSheetId="20" hidden="1">{#N/A,#N/A,FALSE,"Status of Projects";#N/A,#N/A,FALSE,"CEA-TEC";#N/A,#N/A,FALSE,"U-Constr.";#N/A,#N/A,FALSE,"summary";#N/A,#N/A,FALSE,"PPP-3 yrs"}</definedName>
    <definedName name="nnnnnnnnnn" localSheetId="21" hidden="1">{#N/A,#N/A,FALSE,"Status of Projects";#N/A,#N/A,FALSE,"CEA-TEC";#N/A,#N/A,FALSE,"U-Constr.";#N/A,#N/A,FALSE,"summary";#N/A,#N/A,FALSE,"PPP-3 yrs"}</definedName>
    <definedName name="nnnnnnnnnn" localSheetId="11" hidden="1">{#N/A,#N/A,FALSE,"Status of Projects";#N/A,#N/A,FALSE,"CEA-TEC";#N/A,#N/A,FALSE,"U-Constr.";#N/A,#N/A,FALSE,"summary";#N/A,#N/A,FALSE,"PPP-3 yrs"}</definedName>
    <definedName name="nnnnnnnnnn" localSheetId="17" hidden="1">{#N/A,#N/A,FALSE,"Status of Projects";#N/A,#N/A,FALSE,"CEA-TEC";#N/A,#N/A,FALSE,"U-Constr.";#N/A,#N/A,FALSE,"summary";#N/A,#N/A,FALSE,"PPP-3 yrs"}</definedName>
    <definedName name="nnnnnnnnnn" localSheetId="16" hidden="1">{#N/A,#N/A,FALSE,"Status of Projects";#N/A,#N/A,FALSE,"CEA-TEC";#N/A,#N/A,FALSE,"U-Constr.";#N/A,#N/A,FALSE,"summary";#N/A,#N/A,FALSE,"PPP-3 yrs"}</definedName>
    <definedName name="nnnnnnnnnn" localSheetId="22" hidden="1">{#N/A,#N/A,FALSE,"Status of Projects";#N/A,#N/A,FALSE,"CEA-TEC";#N/A,#N/A,FALSE,"U-Constr.";#N/A,#N/A,FALSE,"summary";#N/A,#N/A,FALSE,"PPP-3 yrs"}</definedName>
    <definedName name="nnnnnnnnnn" localSheetId="9" hidden="1">{#N/A,#N/A,FALSE,"Status of Projects";#N/A,#N/A,FALSE,"CEA-TEC";#N/A,#N/A,FALSE,"U-Constr.";#N/A,#N/A,FALSE,"summary";#N/A,#N/A,FALSE,"PPP-3 yrs"}</definedName>
    <definedName name="nnnnnnnnnn" localSheetId="13" hidden="1">{#N/A,#N/A,FALSE,"Status of Projects";#N/A,#N/A,FALSE,"CEA-TEC";#N/A,#N/A,FALSE,"U-Constr.";#N/A,#N/A,FALSE,"summary";#N/A,#N/A,FALSE,"PPP-3 yrs"}</definedName>
    <definedName name="nnnnnnnnnn" localSheetId="23" hidden="1">{#N/A,#N/A,FALSE,"Status of Projects";#N/A,#N/A,FALSE,"CEA-TEC";#N/A,#N/A,FALSE,"U-Constr.";#N/A,#N/A,FALSE,"summary";#N/A,#N/A,FALSE,"PPP-3 yrs"}</definedName>
    <definedName name="nnnnnnnnnn" hidden="1">{#N/A,#N/A,FALSE,"Status of Projects";#N/A,#N/A,FALSE,"CEA-TEC";#N/A,#N/A,FALSE,"U-Constr.";#N/A,#N/A,FALSE,"summary";#N/A,#N/A,FALSE,"PPP-3 yrs"}</definedName>
    <definedName name="NNOPLAT" localSheetId="4">#REF!</definedName>
    <definedName name="NNOPLAT" localSheetId="9">#REF!</definedName>
    <definedName name="NNOPLAT">#REF!</definedName>
    <definedName name="No_of_ATMs_Q">#REF!</definedName>
    <definedName name="No_of_employees_Q" localSheetId="4">#REF!</definedName>
    <definedName name="No_of_employees_Q" localSheetId="5">#REF!</definedName>
    <definedName name="No_of_employees_Q" localSheetId="15">#REF!</definedName>
    <definedName name="No_of_employees_Q" localSheetId="19">#REF!</definedName>
    <definedName name="No_of_employees_Q" localSheetId="18">#REF!</definedName>
    <definedName name="No_of_employees_Q" localSheetId="14">#REF!</definedName>
    <definedName name="No_of_employees_Q" localSheetId="12">#REF!</definedName>
    <definedName name="No_of_employees_Q" localSheetId="24">#REF!</definedName>
    <definedName name="No_of_employees_Q" localSheetId="7">#REF!</definedName>
    <definedName name="No_of_employees_Q" localSheetId="20">#REF!</definedName>
    <definedName name="No_of_employees_Q" localSheetId="21">#REF!</definedName>
    <definedName name="No_of_employees_Q" localSheetId="11">#REF!</definedName>
    <definedName name="No_of_employees_Q" localSheetId="17">#REF!</definedName>
    <definedName name="No_of_employees_Q" localSheetId="16">#REF!</definedName>
    <definedName name="No_of_employees_Q" localSheetId="22">#REF!</definedName>
    <definedName name="No_of_employees_Q" localSheetId="9">#REF!</definedName>
    <definedName name="No_of_employees_Q" localSheetId="13">#REF!</definedName>
    <definedName name="No_of_employees_Q" localSheetId="23">#REF!</definedName>
    <definedName name="No_of_employees_Q">#REF!</definedName>
    <definedName name="No_of_Months_in_the_reporting_period">#REF!</definedName>
    <definedName name="No_of_shares_mn">#REF!</definedName>
    <definedName name="Non_Convertible_Debentures_Secured">#REF!</definedName>
    <definedName name="Non_Convertible_Debentures_Unsecured">#REF!</definedName>
    <definedName name="non_current_assets">#REF!</definedName>
    <definedName name="Non_current_assets6">#REF!</definedName>
    <definedName name="non_current_liabilities">#REF!</definedName>
    <definedName name="non_int_income_Q">#REF!</definedName>
    <definedName name="non_interest_income">#REF!</definedName>
    <definedName name="non_performing_loans">#REF!</definedName>
    <definedName name="non_recurring_items">#REF!</definedName>
    <definedName name="non_recurring_items_A">#REF!</definedName>
    <definedName name="non_recurring_items_Q">#REF!</definedName>
    <definedName name="non_recurring_items_qtr">#REF!</definedName>
    <definedName name="Non_Recurring_loss_gain" localSheetId="4">#REF!</definedName>
    <definedName name="Non_Recurring_loss_gain" localSheetId="9">#REF!</definedName>
    <definedName name="Non_Recurring_loss_gain">#REF!</definedName>
    <definedName name="noname">#REF!</definedName>
    <definedName name="NONCAP" localSheetId="4">#REF!</definedName>
    <definedName name="NONCAP" localSheetId="5">#REF!</definedName>
    <definedName name="NONCAP" localSheetId="15">#REF!</definedName>
    <definedName name="NONCAP" localSheetId="19">#REF!</definedName>
    <definedName name="NONCAP" localSheetId="18">#REF!</definedName>
    <definedName name="NONCAP" localSheetId="14">#REF!</definedName>
    <definedName name="NONCAP" localSheetId="12">#REF!</definedName>
    <definedName name="NONCAP" localSheetId="24">#REF!</definedName>
    <definedName name="NONCAP" localSheetId="7">#REF!</definedName>
    <definedName name="NONCAP" localSheetId="20">#REF!</definedName>
    <definedName name="NONCAP" localSheetId="21">#REF!</definedName>
    <definedName name="NONCAP" localSheetId="11">#REF!</definedName>
    <definedName name="NONCAP" localSheetId="17">#REF!</definedName>
    <definedName name="NONCAP" localSheetId="16">#REF!</definedName>
    <definedName name="NONCAP" localSheetId="22">#REF!</definedName>
    <definedName name="NONCAP" localSheetId="9">#REF!</definedName>
    <definedName name="NONCAP" localSheetId="13">#REF!</definedName>
    <definedName name="NONCAP" localSheetId="23">#REF!</definedName>
    <definedName name="NONCAP">#REF!</definedName>
    <definedName name="NONLEAP" localSheetId="4">#REF!</definedName>
    <definedName name="NONLEAP" localSheetId="5">#REF!</definedName>
    <definedName name="NONLEAP" localSheetId="15">#REF!</definedName>
    <definedName name="NONLEAP" localSheetId="19">#REF!</definedName>
    <definedName name="NONLEAP" localSheetId="18">#REF!</definedName>
    <definedName name="NONLEAP" localSheetId="14">#REF!</definedName>
    <definedName name="NONLEAP" localSheetId="12">#REF!</definedName>
    <definedName name="NONLEAP" localSheetId="24">#REF!</definedName>
    <definedName name="NONLEAP" localSheetId="7">#REF!</definedName>
    <definedName name="NONLEAP" localSheetId="20">#REF!</definedName>
    <definedName name="NONLEAP" localSheetId="21">#REF!</definedName>
    <definedName name="NONLEAP" localSheetId="11">#REF!</definedName>
    <definedName name="NONLEAP" localSheetId="17">#REF!</definedName>
    <definedName name="NONLEAP" localSheetId="16">#REF!</definedName>
    <definedName name="NONLEAP" localSheetId="22">#REF!</definedName>
    <definedName name="NONLEAP" localSheetId="9">#REF!</definedName>
    <definedName name="NONLEAP" localSheetId="13">#REF!</definedName>
    <definedName name="NONLEAP" localSheetId="23">#REF!</definedName>
    <definedName name="NONLEAP">#REF!</definedName>
    <definedName name="nonrecurcost">#REF!</definedName>
    <definedName name="NOPAT" localSheetId="4">#REF!</definedName>
    <definedName name="NOPAT" localSheetId="9">#REF!</definedName>
    <definedName name="NOPAT">#REF!</definedName>
    <definedName name="NOPAT_Core" localSheetId="4">#REF!</definedName>
    <definedName name="NOPAT_Core" localSheetId="5">#REF!</definedName>
    <definedName name="NOPAT_Core" localSheetId="15">#REF!</definedName>
    <definedName name="NOPAT_Core" localSheetId="19">#REF!</definedName>
    <definedName name="NOPAT_Core" localSheetId="18">#REF!</definedName>
    <definedName name="NOPAT_Core" localSheetId="14">#REF!</definedName>
    <definedName name="NOPAT_Core" localSheetId="12">#REF!</definedName>
    <definedName name="NOPAT_Core" localSheetId="24">#REF!</definedName>
    <definedName name="NOPAT_Core" localSheetId="7">#REF!</definedName>
    <definedName name="NOPAT_Core" localSheetId="20">#REF!</definedName>
    <definedName name="NOPAT_Core" localSheetId="21">#REF!</definedName>
    <definedName name="NOPAT_Core" localSheetId="11">#REF!</definedName>
    <definedName name="NOPAT_Core" localSheetId="17">#REF!</definedName>
    <definedName name="NOPAT_Core" localSheetId="16">#REF!</definedName>
    <definedName name="NOPAT_Core" localSheetId="22">#REF!</definedName>
    <definedName name="NOPAT_Core" localSheetId="9">#REF!</definedName>
    <definedName name="NOPAT_Core" localSheetId="13">#REF!</definedName>
    <definedName name="NOPAT_Core" localSheetId="23">#REF!</definedName>
    <definedName name="NOPAT_Core">#REF!</definedName>
    <definedName name="NOPAT_DCF" localSheetId="4">#REF!</definedName>
    <definedName name="NOPAT_DCF" localSheetId="9">#REF!</definedName>
    <definedName name="NOPAT_DCF">#REF!</definedName>
    <definedName name="NOPAT_fore" localSheetId="4">#REF!</definedName>
    <definedName name="NOPAT_fore" localSheetId="5">#REF!</definedName>
    <definedName name="NOPAT_fore" localSheetId="15">#REF!</definedName>
    <definedName name="NOPAT_fore" localSheetId="19">#REF!</definedName>
    <definedName name="NOPAT_fore" localSheetId="18">#REF!</definedName>
    <definedName name="NOPAT_fore" localSheetId="14">#REF!</definedName>
    <definedName name="NOPAT_fore" localSheetId="12">#REF!</definedName>
    <definedName name="NOPAT_fore" localSheetId="24">#REF!</definedName>
    <definedName name="NOPAT_fore" localSheetId="7">#REF!</definedName>
    <definedName name="NOPAT_fore" localSheetId="20">#REF!</definedName>
    <definedName name="NOPAT_fore" localSheetId="21">#REF!</definedName>
    <definedName name="NOPAT_fore" localSheetId="11">#REF!</definedName>
    <definedName name="NOPAT_fore" localSheetId="17">#REF!</definedName>
    <definedName name="NOPAT_fore" localSheetId="16">#REF!</definedName>
    <definedName name="NOPAT_fore" localSheetId="22">#REF!</definedName>
    <definedName name="NOPAT_fore" localSheetId="9">#REF!</definedName>
    <definedName name="NOPAT_fore" localSheetId="13">#REF!</definedName>
    <definedName name="NOPAT_fore" localSheetId="23">#REF!</definedName>
    <definedName name="NOPAT_fore">#REF!</definedName>
    <definedName name="NOPAT_growth" localSheetId="4">#REF!</definedName>
    <definedName name="NOPAT_growth" localSheetId="9">#REF!</definedName>
    <definedName name="NOPAT_growth">#REF!</definedName>
    <definedName name="NOPAT_growth_avg">#REF!</definedName>
    <definedName name="NOPAT_margin" localSheetId="4">#REF!</definedName>
    <definedName name="NOPAT_margin" localSheetId="9">#REF!</definedName>
    <definedName name="NOPAT_margin">#REF!</definedName>
    <definedName name="NOPAT_margin_fore" localSheetId="4">#REF!</definedName>
    <definedName name="NOPAT_margin_fore" localSheetId="5">#REF!</definedName>
    <definedName name="NOPAT_margin_fore" localSheetId="15">#REF!</definedName>
    <definedName name="NOPAT_margin_fore" localSheetId="19">#REF!</definedName>
    <definedName name="NOPAT_margin_fore" localSheetId="18">#REF!</definedName>
    <definedName name="NOPAT_margin_fore" localSheetId="14">#REF!</definedName>
    <definedName name="NOPAT_margin_fore" localSheetId="12">#REF!</definedName>
    <definedName name="NOPAT_margin_fore" localSheetId="24">#REF!</definedName>
    <definedName name="NOPAT_margin_fore" localSheetId="7">#REF!</definedName>
    <definedName name="NOPAT_margin_fore" localSheetId="20">#REF!</definedName>
    <definedName name="NOPAT_margin_fore" localSheetId="21">#REF!</definedName>
    <definedName name="NOPAT_margin_fore" localSheetId="11">#REF!</definedName>
    <definedName name="NOPAT_margin_fore" localSheetId="17">#REF!</definedName>
    <definedName name="NOPAT_margin_fore" localSheetId="16">#REF!</definedName>
    <definedName name="NOPAT_margin_fore" localSheetId="22">#REF!</definedName>
    <definedName name="NOPAT_margin_fore" localSheetId="9">#REF!</definedName>
    <definedName name="NOPAT_margin_fore" localSheetId="13">#REF!</definedName>
    <definedName name="NOPAT_margin_fore" localSheetId="23">#REF!</definedName>
    <definedName name="NOPAT_margin_fore">#REF!</definedName>
    <definedName name="NOPAT_Margins_Core" localSheetId="4">#REF!</definedName>
    <definedName name="NOPAT_Margins_Core" localSheetId="5">#REF!</definedName>
    <definedName name="NOPAT_Margins_Core" localSheetId="15">#REF!</definedName>
    <definedName name="NOPAT_Margins_Core" localSheetId="19">#REF!</definedName>
    <definedName name="NOPAT_Margins_Core" localSheetId="18">#REF!</definedName>
    <definedName name="NOPAT_Margins_Core" localSheetId="14">#REF!</definedName>
    <definedName name="NOPAT_Margins_Core" localSheetId="12">#REF!</definedName>
    <definedName name="NOPAT_Margins_Core" localSheetId="24">#REF!</definedName>
    <definedName name="NOPAT_Margins_Core" localSheetId="7">#REF!</definedName>
    <definedName name="NOPAT_Margins_Core" localSheetId="20">#REF!</definedName>
    <definedName name="NOPAT_Margins_Core" localSheetId="21">#REF!</definedName>
    <definedName name="NOPAT_Margins_Core" localSheetId="11">#REF!</definedName>
    <definedName name="NOPAT_Margins_Core" localSheetId="17">#REF!</definedName>
    <definedName name="NOPAT_Margins_Core" localSheetId="16">#REF!</definedName>
    <definedName name="NOPAT_Margins_Core" localSheetId="22">#REF!</definedName>
    <definedName name="NOPAT_Margins_Core" localSheetId="9">#REF!</definedName>
    <definedName name="NOPAT_Margins_Core" localSheetId="13">#REF!</definedName>
    <definedName name="NOPAT_Margins_Core" localSheetId="23">#REF!</definedName>
    <definedName name="NOPAT_Margins_Core">#REF!</definedName>
    <definedName name="NOPAT_Share" localSheetId="4">#REF!</definedName>
    <definedName name="NOPAT_Share" localSheetId="5">#REF!</definedName>
    <definedName name="NOPAT_Share" localSheetId="15">#REF!</definedName>
    <definedName name="NOPAT_Share" localSheetId="19">#REF!</definedName>
    <definedName name="NOPAT_Share" localSheetId="18">#REF!</definedName>
    <definedName name="NOPAT_Share" localSheetId="14">#REF!</definedName>
    <definedName name="NOPAT_Share" localSheetId="12">#REF!</definedName>
    <definedName name="NOPAT_Share" localSheetId="24">#REF!</definedName>
    <definedName name="NOPAT_Share" localSheetId="7">#REF!</definedName>
    <definedName name="NOPAT_Share" localSheetId="20">#REF!</definedName>
    <definedName name="NOPAT_Share" localSheetId="21">#REF!</definedName>
    <definedName name="NOPAT_Share" localSheetId="11">#REF!</definedName>
    <definedName name="NOPAT_Share" localSheetId="17">#REF!</definedName>
    <definedName name="NOPAT_Share" localSheetId="16">#REF!</definedName>
    <definedName name="NOPAT_Share" localSheetId="22">#REF!</definedName>
    <definedName name="NOPAT_Share" localSheetId="9">#REF!</definedName>
    <definedName name="NOPAT_Share" localSheetId="13">#REF!</definedName>
    <definedName name="NOPAT_Share" localSheetId="23">#REF!</definedName>
    <definedName name="NOPAT_Share">#REF!</definedName>
    <definedName name="NOPBT" localSheetId="4">#REF!</definedName>
    <definedName name="NOPBT" localSheetId="9">#REF!</definedName>
    <definedName name="NOPBT">#REF!</definedName>
    <definedName name="NOPBT_fore" localSheetId="4">#REF!</definedName>
    <definedName name="NOPBT_fore" localSheetId="5">#REF!</definedName>
    <definedName name="NOPBT_fore" localSheetId="15">#REF!</definedName>
    <definedName name="NOPBT_fore" localSheetId="19">#REF!</definedName>
    <definedName name="NOPBT_fore" localSheetId="18">#REF!</definedName>
    <definedName name="NOPBT_fore" localSheetId="14">#REF!</definedName>
    <definedName name="NOPBT_fore" localSheetId="12">#REF!</definedName>
    <definedName name="NOPBT_fore" localSheetId="24">#REF!</definedName>
    <definedName name="NOPBT_fore" localSheetId="7">#REF!</definedName>
    <definedName name="NOPBT_fore" localSheetId="20">#REF!</definedName>
    <definedName name="NOPBT_fore" localSheetId="21">#REF!</definedName>
    <definedName name="NOPBT_fore" localSheetId="11">#REF!</definedName>
    <definedName name="NOPBT_fore" localSheetId="17">#REF!</definedName>
    <definedName name="NOPBT_fore" localSheetId="16">#REF!</definedName>
    <definedName name="NOPBT_fore" localSheetId="22">#REF!</definedName>
    <definedName name="NOPBT_fore" localSheetId="9">#REF!</definedName>
    <definedName name="NOPBT_fore" localSheetId="13">#REF!</definedName>
    <definedName name="NOPBT_fore" localSheetId="23">#REF!</definedName>
    <definedName name="NOPBT_fore">#REF!</definedName>
    <definedName name="NOPLAT" localSheetId="4">#REF!</definedName>
    <definedName name="NOPLAT" localSheetId="9">#REF!</definedName>
    <definedName name="NOPLAT">#REF!</definedName>
    <definedName name="NOPLAT6">#REF!</definedName>
    <definedName name="NOPLATP" localSheetId="4">#REF!</definedName>
    <definedName name="NOPLATP" localSheetId="9">#REF!</definedName>
    <definedName name="NOPLATP">#REF!</definedName>
    <definedName name="Norm_forecast_11_15" localSheetId="4">#REF!</definedName>
    <definedName name="Norm_forecast_11_15" localSheetId="5">#REF!</definedName>
    <definedName name="Norm_forecast_11_15" localSheetId="15">#REF!</definedName>
    <definedName name="Norm_forecast_11_15" localSheetId="19">#REF!</definedName>
    <definedName name="Norm_forecast_11_15" localSheetId="18">#REF!</definedName>
    <definedName name="Norm_forecast_11_15" localSheetId="14">#REF!</definedName>
    <definedName name="Norm_forecast_11_15" localSheetId="12">#REF!</definedName>
    <definedName name="Norm_forecast_11_15" localSheetId="24">#REF!</definedName>
    <definedName name="Norm_forecast_11_15" localSheetId="7">#REF!</definedName>
    <definedName name="Norm_forecast_11_15" localSheetId="20">#REF!</definedName>
    <definedName name="Norm_forecast_11_15" localSheetId="21">#REF!</definedName>
    <definedName name="Norm_forecast_11_15" localSheetId="11">#REF!</definedName>
    <definedName name="Norm_forecast_11_15" localSheetId="17">#REF!</definedName>
    <definedName name="Norm_forecast_11_15" localSheetId="16">#REF!</definedName>
    <definedName name="Norm_forecast_11_15" localSheetId="22">#REF!</definedName>
    <definedName name="Norm_forecast_11_15" localSheetId="9">#REF!</definedName>
    <definedName name="Norm_forecast_11_15" localSheetId="13">#REF!</definedName>
    <definedName name="Norm_forecast_11_15" localSheetId="23">#REF!</definedName>
    <definedName name="Norm_forecast_11_15">#REF!</definedName>
    <definedName name="Norm_forecast_16_25" localSheetId="4">#REF!</definedName>
    <definedName name="Norm_forecast_16_25" localSheetId="5">#REF!</definedName>
    <definedName name="Norm_forecast_16_25" localSheetId="15">#REF!</definedName>
    <definedName name="Norm_forecast_16_25" localSheetId="19">#REF!</definedName>
    <definedName name="Norm_forecast_16_25" localSheetId="18">#REF!</definedName>
    <definedName name="Norm_forecast_16_25" localSheetId="14">#REF!</definedName>
    <definedName name="Norm_forecast_16_25" localSheetId="12">#REF!</definedName>
    <definedName name="Norm_forecast_16_25" localSheetId="24">#REF!</definedName>
    <definedName name="Norm_forecast_16_25" localSheetId="7">#REF!</definedName>
    <definedName name="Norm_forecast_16_25" localSheetId="20">#REF!</definedName>
    <definedName name="Norm_forecast_16_25" localSheetId="21">#REF!</definedName>
    <definedName name="Norm_forecast_16_25" localSheetId="11">#REF!</definedName>
    <definedName name="Norm_forecast_16_25" localSheetId="17">#REF!</definedName>
    <definedName name="Norm_forecast_16_25" localSheetId="16">#REF!</definedName>
    <definedName name="Norm_forecast_16_25" localSheetId="22">#REF!</definedName>
    <definedName name="Norm_forecast_16_25" localSheetId="9">#REF!</definedName>
    <definedName name="Norm_forecast_16_25" localSheetId="13">#REF!</definedName>
    <definedName name="Norm_forecast_16_25" localSheetId="23">#REF!</definedName>
    <definedName name="Norm_forecast_16_25">#REF!</definedName>
    <definedName name="Norm_forecast_4_5" localSheetId="4">#REF!</definedName>
    <definedName name="Norm_forecast_4_5" localSheetId="5">#REF!</definedName>
    <definedName name="Norm_forecast_4_5" localSheetId="15">#REF!</definedName>
    <definedName name="Norm_forecast_4_5" localSheetId="19">#REF!</definedName>
    <definedName name="Norm_forecast_4_5" localSheetId="18">#REF!</definedName>
    <definedName name="Norm_forecast_4_5" localSheetId="14">#REF!</definedName>
    <definedName name="Norm_forecast_4_5" localSheetId="12">#REF!</definedName>
    <definedName name="Norm_forecast_4_5" localSheetId="24">#REF!</definedName>
    <definedName name="Norm_forecast_4_5" localSheetId="7">#REF!</definedName>
    <definedName name="Norm_forecast_4_5" localSheetId="20">#REF!</definedName>
    <definedName name="Norm_forecast_4_5" localSheetId="21">#REF!</definedName>
    <definedName name="Norm_forecast_4_5" localSheetId="11">#REF!</definedName>
    <definedName name="Norm_forecast_4_5" localSheetId="17">#REF!</definedName>
    <definedName name="Norm_forecast_4_5" localSheetId="16">#REF!</definedName>
    <definedName name="Norm_forecast_4_5" localSheetId="22">#REF!</definedName>
    <definedName name="Norm_forecast_4_5" localSheetId="9">#REF!</definedName>
    <definedName name="Norm_forecast_4_5" localSheetId="13">#REF!</definedName>
    <definedName name="Norm_forecast_4_5" localSheetId="23">#REF!</definedName>
    <definedName name="Norm_forecast_4_5">#REF!</definedName>
    <definedName name="Norm_forecast_6_10" localSheetId="4">#REF!</definedName>
    <definedName name="Norm_forecast_6_10" localSheetId="9">#REF!</definedName>
    <definedName name="Norm_forecast_6_10">#REF!</definedName>
    <definedName name="NOSH">#REF!</definedName>
    <definedName name="notes_payable">#REF!</definedName>
    <definedName name="Notes1">#REF!</definedName>
    <definedName name="NP" localSheetId="4">#REF!</definedName>
    <definedName name="NP" localSheetId="5">#REF!</definedName>
    <definedName name="NP" localSheetId="15">#REF!</definedName>
    <definedName name="NP" localSheetId="19">#REF!</definedName>
    <definedName name="NP" localSheetId="18">#REF!</definedName>
    <definedName name="NP" localSheetId="14">#REF!</definedName>
    <definedName name="NP" localSheetId="12">#REF!</definedName>
    <definedName name="NP" localSheetId="24">#REF!</definedName>
    <definedName name="NP" localSheetId="7">#REF!</definedName>
    <definedName name="NP" localSheetId="20">#REF!</definedName>
    <definedName name="NP" localSheetId="21">#REF!</definedName>
    <definedName name="NP" localSheetId="11">#REF!</definedName>
    <definedName name="NP" localSheetId="17">#REF!</definedName>
    <definedName name="NP" localSheetId="16">#REF!</definedName>
    <definedName name="NP" localSheetId="22">#REF!</definedName>
    <definedName name="NP" localSheetId="9">#REF!</definedName>
    <definedName name="NP" localSheetId="13">#REF!</definedName>
    <definedName name="NP" localSheetId="23">#REF!</definedName>
    <definedName name="NP">#REF!</definedName>
    <definedName name="NPT_1" localSheetId="4">#REF!</definedName>
    <definedName name="NPT_1" localSheetId="9">#REF!</definedName>
    <definedName name="NPT_1">#REF!</definedName>
    <definedName name="NPT_10" localSheetId="4">#REF!</definedName>
    <definedName name="NPT_10" localSheetId="9">#REF!</definedName>
    <definedName name="NPT_10">#REF!</definedName>
    <definedName name="NPT_11" localSheetId="4">#REF!</definedName>
    <definedName name="NPT_11" localSheetId="9">#REF!</definedName>
    <definedName name="NPT_11">#REF!</definedName>
    <definedName name="NPT_12" localSheetId="4">#REF!</definedName>
    <definedName name="NPT_12" localSheetId="9">#REF!</definedName>
    <definedName name="NPT_12">#REF!</definedName>
    <definedName name="NPT_13" localSheetId="4">#REF!</definedName>
    <definedName name="NPT_13" localSheetId="9">#REF!</definedName>
    <definedName name="NPT_13">#REF!</definedName>
    <definedName name="NPT_14" localSheetId="4">#REF!</definedName>
    <definedName name="NPT_14" localSheetId="9">#REF!</definedName>
    <definedName name="NPT_14">#REF!</definedName>
    <definedName name="NPT_2" localSheetId="4">#REF!</definedName>
    <definedName name="NPT_2" localSheetId="9">#REF!</definedName>
    <definedName name="NPT_2">#REF!</definedName>
    <definedName name="NPT_3" localSheetId="4">#REF!</definedName>
    <definedName name="NPT_3" localSheetId="9">#REF!</definedName>
    <definedName name="NPT_3">#REF!</definedName>
    <definedName name="NPT_4" localSheetId="4">#REF!</definedName>
    <definedName name="NPT_4" localSheetId="9">#REF!</definedName>
    <definedName name="NPT_4">#REF!</definedName>
    <definedName name="NPT_5" localSheetId="4">#REF!</definedName>
    <definedName name="NPT_5" localSheetId="9">#REF!</definedName>
    <definedName name="NPT_5">#REF!</definedName>
    <definedName name="NPT_6" localSheetId="4">#REF!</definedName>
    <definedName name="NPT_6" localSheetId="9">#REF!</definedName>
    <definedName name="NPT_6">#REF!</definedName>
    <definedName name="NPT_7" localSheetId="4">#REF!</definedName>
    <definedName name="NPT_7" localSheetId="9">#REF!</definedName>
    <definedName name="NPT_7">#REF!</definedName>
    <definedName name="NPT_8" localSheetId="4">#REF!</definedName>
    <definedName name="NPT_8" localSheetId="9">#REF!</definedName>
    <definedName name="NPT_8">#REF!</definedName>
    <definedName name="NPT_9" localSheetId="4">#REF!</definedName>
    <definedName name="NPT_9" localSheetId="9">#REF!</definedName>
    <definedName name="NPT_9">#REF!</definedName>
    <definedName name="NPT_EY1" localSheetId="4">#REF!</definedName>
    <definedName name="NPT_EY1" localSheetId="9">#REF!</definedName>
    <definedName name="NPT_EY1">#REF!</definedName>
    <definedName name="NPT_EY2" localSheetId="4">#REF!</definedName>
    <definedName name="NPT_EY2" localSheetId="9">#REF!</definedName>
    <definedName name="NPT_EY2">#REF!</definedName>
    <definedName name="NPT_EY3" localSheetId="4">#REF!</definedName>
    <definedName name="NPT_EY3" localSheetId="9">#REF!</definedName>
    <definedName name="NPT_EY3">#REF!</definedName>
    <definedName name="NPT_P" localSheetId="4">#REF!</definedName>
    <definedName name="NPT_P" localSheetId="9">#REF!</definedName>
    <definedName name="NPT_P">#REF!</definedName>
    <definedName name="NRC">#REF!</definedName>
    <definedName name="NRItem">#REF!</definedName>
    <definedName name="NS">#REF!</definedName>
    <definedName name="NtnlPr" hidden="1">#REF!</definedName>
    <definedName name="Number_of_Shares" localSheetId="4">#REF!</definedName>
    <definedName name="Number_of_Shares" localSheetId="5">#REF!</definedName>
    <definedName name="Number_of_Shares" localSheetId="15">#REF!</definedName>
    <definedName name="Number_of_Shares" localSheetId="19">#REF!</definedName>
    <definedName name="Number_of_Shares" localSheetId="18">#REF!</definedName>
    <definedName name="Number_of_Shares" localSheetId="14">#REF!</definedName>
    <definedName name="Number_of_Shares" localSheetId="12">#REF!</definedName>
    <definedName name="Number_of_Shares" localSheetId="24">#REF!</definedName>
    <definedName name="Number_of_Shares" localSheetId="7">#REF!</definedName>
    <definedName name="Number_of_Shares" localSheetId="20">#REF!</definedName>
    <definedName name="Number_of_Shares" localSheetId="21">#REF!</definedName>
    <definedName name="Number_of_Shares" localSheetId="11">#REF!</definedName>
    <definedName name="Number_of_Shares" localSheetId="17">#REF!</definedName>
    <definedName name="Number_of_Shares" localSheetId="16">#REF!</definedName>
    <definedName name="Number_of_Shares" localSheetId="22">#REF!</definedName>
    <definedName name="Number_of_Shares" localSheetId="9">#REF!</definedName>
    <definedName name="Number_of_Shares" localSheetId="13">#REF!</definedName>
    <definedName name="Number_of_Shares" localSheetId="23">#REF!</definedName>
    <definedName name="Number_of_Shares">#REF!</definedName>
    <definedName name="NW">#REF!</definedName>
    <definedName name="O.Op.Inc" localSheetId="4">#REF!</definedName>
    <definedName name="O.Op.Inc" localSheetId="5">#REF!</definedName>
    <definedName name="O.Op.Inc" localSheetId="15">#REF!</definedName>
    <definedName name="O.Op.Inc" localSheetId="19">#REF!</definedName>
    <definedName name="O.Op.Inc" localSheetId="18">#REF!</definedName>
    <definedName name="O.Op.Inc" localSheetId="14">#REF!</definedName>
    <definedName name="O.Op.Inc" localSheetId="12">#REF!</definedName>
    <definedName name="O.Op.Inc" localSheetId="24">#REF!</definedName>
    <definedName name="O.Op.Inc" localSheetId="7">#REF!</definedName>
    <definedName name="O.Op.Inc" localSheetId="20">#REF!</definedName>
    <definedName name="O.Op.Inc" localSheetId="21">#REF!</definedName>
    <definedName name="O.Op.Inc" localSheetId="11">#REF!</definedName>
    <definedName name="O.Op.Inc" localSheetId="17">#REF!</definedName>
    <definedName name="O.Op.Inc" localSheetId="16">#REF!</definedName>
    <definedName name="O.Op.Inc" localSheetId="22">#REF!</definedName>
    <definedName name="O.Op.Inc" localSheetId="9">#REF!</definedName>
    <definedName name="O.Op.Inc" localSheetId="13">#REF!</definedName>
    <definedName name="O.Op.Inc" localSheetId="23">#REF!</definedName>
    <definedName name="O.Op.Inc">#REF!</definedName>
    <definedName name="OCA">#REF!</definedName>
    <definedName name="ocbcwgt">#REF!</definedName>
    <definedName name="Off_B_S_Income" localSheetId="4">#REF!</definedName>
    <definedName name="Off_B_S_Income" localSheetId="9">#REF!</definedName>
    <definedName name="Off_B_S_Income">#REF!</definedName>
    <definedName name="Off_B_S_Income_DCF" localSheetId="4">#REF!</definedName>
    <definedName name="Off_B_S_Income_DCF" localSheetId="9">#REF!</definedName>
    <definedName name="Off_B_S_Income_DCF">#REF!</definedName>
    <definedName name="Off_B_S_Income_fore" localSheetId="4">#REF!</definedName>
    <definedName name="Off_B_S_Income_fore" localSheetId="5">#REF!</definedName>
    <definedName name="Off_B_S_Income_fore" localSheetId="15">#REF!</definedName>
    <definedName name="Off_B_S_Income_fore" localSheetId="19">#REF!</definedName>
    <definedName name="Off_B_S_Income_fore" localSheetId="18">#REF!</definedName>
    <definedName name="Off_B_S_Income_fore" localSheetId="14">#REF!</definedName>
    <definedName name="Off_B_S_Income_fore" localSheetId="12">#REF!</definedName>
    <definedName name="Off_B_S_Income_fore" localSheetId="24">#REF!</definedName>
    <definedName name="Off_B_S_Income_fore" localSheetId="7">#REF!</definedName>
    <definedName name="Off_B_S_Income_fore" localSheetId="20">#REF!</definedName>
    <definedName name="Off_B_S_Income_fore" localSheetId="21">#REF!</definedName>
    <definedName name="Off_B_S_Income_fore" localSheetId="11">#REF!</definedName>
    <definedName name="Off_B_S_Income_fore" localSheetId="17">#REF!</definedName>
    <definedName name="Off_B_S_Income_fore" localSheetId="16">#REF!</definedName>
    <definedName name="Off_B_S_Income_fore" localSheetId="22">#REF!</definedName>
    <definedName name="Off_B_S_Income_fore" localSheetId="9">#REF!</definedName>
    <definedName name="Off_B_S_Income_fore" localSheetId="13">#REF!</definedName>
    <definedName name="Off_B_S_Income_fore" localSheetId="23">#REF!</definedName>
    <definedName name="Off_B_S_Income_fore">#REF!</definedName>
    <definedName name="Off_B_S_Income_growth_fore" localSheetId="4">#REF!</definedName>
    <definedName name="Off_B_S_Income_growth_fore" localSheetId="5">#REF!</definedName>
    <definedName name="Off_B_S_Income_growth_fore" localSheetId="15">#REF!</definedName>
    <definedName name="Off_B_S_Income_growth_fore" localSheetId="19">#REF!</definedName>
    <definedName name="Off_B_S_Income_growth_fore" localSheetId="18">#REF!</definedName>
    <definedName name="Off_B_S_Income_growth_fore" localSheetId="14">#REF!</definedName>
    <definedName name="Off_B_S_Income_growth_fore" localSheetId="12">#REF!</definedName>
    <definedName name="Off_B_S_Income_growth_fore" localSheetId="24">#REF!</definedName>
    <definedName name="Off_B_S_Income_growth_fore" localSheetId="7">#REF!</definedName>
    <definedName name="Off_B_S_Income_growth_fore" localSheetId="20">#REF!</definedName>
    <definedName name="Off_B_S_Income_growth_fore" localSheetId="21">#REF!</definedName>
    <definedName name="Off_B_S_Income_growth_fore" localSheetId="11">#REF!</definedName>
    <definedName name="Off_B_S_Income_growth_fore" localSheetId="17">#REF!</definedName>
    <definedName name="Off_B_S_Income_growth_fore" localSheetId="16">#REF!</definedName>
    <definedName name="Off_B_S_Income_growth_fore" localSheetId="22">#REF!</definedName>
    <definedName name="Off_B_S_Income_growth_fore" localSheetId="9">#REF!</definedName>
    <definedName name="Off_B_S_Income_growth_fore" localSheetId="13">#REF!</definedName>
    <definedName name="Off_B_S_Income_growth_fore" localSheetId="23">#REF!</definedName>
    <definedName name="Off_B_S_Income_growth_fore">#REF!</definedName>
    <definedName name="Office_Equipments_AD">#REF!</definedName>
    <definedName name="Office_Equipments_Dep">#REF!</definedName>
    <definedName name="Office_Equipments_GB">#REF!</definedName>
    <definedName name="Office_Equipments_NB">#REF!</definedName>
    <definedName name="OHL">#REF!</definedName>
    <definedName name="OIGrowth12" localSheetId="4">#REF!</definedName>
    <definedName name="OIGrowth12" localSheetId="5">#REF!</definedName>
    <definedName name="OIGrowth12" localSheetId="15">#REF!</definedName>
    <definedName name="OIGrowth12" localSheetId="19">#REF!</definedName>
    <definedName name="OIGrowth12" localSheetId="18">#REF!</definedName>
    <definedName name="OIGrowth12" localSheetId="14">#REF!</definedName>
    <definedName name="OIGrowth12" localSheetId="12">#REF!</definedName>
    <definedName name="OIGrowth12" localSheetId="24">#REF!</definedName>
    <definedName name="OIGrowth12" localSheetId="7">#REF!</definedName>
    <definedName name="OIGrowth12" localSheetId="20">#REF!</definedName>
    <definedName name="OIGrowth12" localSheetId="21">#REF!</definedName>
    <definedName name="OIGrowth12" localSheetId="11">#REF!</definedName>
    <definedName name="OIGrowth12" localSheetId="17">#REF!</definedName>
    <definedName name="OIGrowth12" localSheetId="16">#REF!</definedName>
    <definedName name="OIGrowth12" localSheetId="22">#REF!</definedName>
    <definedName name="OIGrowth12" localSheetId="9">#REF!</definedName>
    <definedName name="OIGrowth12" localSheetId="13">#REF!</definedName>
    <definedName name="OIGrowth12" localSheetId="23">#REF!</definedName>
    <definedName name="OIGrowth12">#REF!</definedName>
    <definedName name="OIGrowth13" localSheetId="4">#REF!</definedName>
    <definedName name="OIGrowth13" localSheetId="5">#REF!</definedName>
    <definedName name="OIGrowth13" localSheetId="15">#REF!</definedName>
    <definedName name="OIGrowth13" localSheetId="19">#REF!</definedName>
    <definedName name="OIGrowth13" localSheetId="18">#REF!</definedName>
    <definedName name="OIGrowth13" localSheetId="14">#REF!</definedName>
    <definedName name="OIGrowth13" localSheetId="12">#REF!</definedName>
    <definedName name="OIGrowth13" localSheetId="24">#REF!</definedName>
    <definedName name="OIGrowth13" localSheetId="7">#REF!</definedName>
    <definedName name="OIGrowth13" localSheetId="20">#REF!</definedName>
    <definedName name="OIGrowth13" localSheetId="21">#REF!</definedName>
    <definedName name="OIGrowth13" localSheetId="11">#REF!</definedName>
    <definedName name="OIGrowth13" localSheetId="17">#REF!</definedName>
    <definedName name="OIGrowth13" localSheetId="16">#REF!</definedName>
    <definedName name="OIGrowth13" localSheetId="22">#REF!</definedName>
    <definedName name="OIGrowth13" localSheetId="9">#REF!</definedName>
    <definedName name="OIGrowth13" localSheetId="13">#REF!</definedName>
    <definedName name="OIGrowth13" localSheetId="23">#REF!</definedName>
    <definedName name="OIGrowth13">#REF!</definedName>
    <definedName name="OL_1" localSheetId="4">#REF!</definedName>
    <definedName name="OL_1" localSheetId="9">#REF!</definedName>
    <definedName name="OL_1">#REF!</definedName>
    <definedName name="OL_10" localSheetId="4">#REF!</definedName>
    <definedName name="OL_10" localSheetId="9">#REF!</definedName>
    <definedName name="OL_10">#REF!</definedName>
    <definedName name="OL_11" localSheetId="4">#REF!</definedName>
    <definedName name="OL_11" localSheetId="9">#REF!</definedName>
    <definedName name="OL_11">#REF!</definedName>
    <definedName name="OL_12" localSheetId="4">#REF!</definedName>
    <definedName name="OL_12" localSheetId="9">#REF!</definedName>
    <definedName name="OL_12">#REF!</definedName>
    <definedName name="OL_13" localSheetId="4">#REF!</definedName>
    <definedName name="OL_13" localSheetId="9">#REF!</definedName>
    <definedName name="OL_13">#REF!</definedName>
    <definedName name="OL_14" localSheetId="4">#REF!</definedName>
    <definedName name="OL_14" localSheetId="9">#REF!</definedName>
    <definedName name="OL_14">#REF!</definedName>
    <definedName name="OL_2" localSheetId="4">#REF!</definedName>
    <definedName name="OL_2" localSheetId="9">#REF!</definedName>
    <definedName name="OL_2">#REF!</definedName>
    <definedName name="OL_3" localSheetId="4">#REF!</definedName>
    <definedName name="OL_3" localSheetId="9">#REF!</definedName>
    <definedName name="OL_3">#REF!</definedName>
    <definedName name="OL_4" localSheetId="4">#REF!</definedName>
    <definedName name="OL_4" localSheetId="9">#REF!</definedName>
    <definedName name="OL_4">#REF!</definedName>
    <definedName name="OL_5" localSheetId="4">#REF!</definedName>
    <definedName name="OL_5" localSheetId="9">#REF!</definedName>
    <definedName name="OL_5">#REF!</definedName>
    <definedName name="OL_6" localSheetId="4">#REF!</definedName>
    <definedName name="OL_6" localSheetId="9">#REF!</definedName>
    <definedName name="OL_6">#REF!</definedName>
    <definedName name="OL_7" localSheetId="4">#REF!</definedName>
    <definedName name="OL_7" localSheetId="9">#REF!</definedName>
    <definedName name="OL_7">#REF!</definedName>
    <definedName name="OL_8" localSheetId="4">#REF!</definedName>
    <definedName name="OL_8" localSheetId="9">#REF!</definedName>
    <definedName name="OL_8">#REF!</definedName>
    <definedName name="OL_9" localSheetId="4">#REF!</definedName>
    <definedName name="OL_9" localSheetId="9">#REF!</definedName>
    <definedName name="OL_9">#REF!</definedName>
    <definedName name="OL_P" localSheetId="4">#REF!</definedName>
    <definedName name="OL_P" localSheetId="9">#REF!</definedName>
    <definedName name="OL_P">#REF!</definedName>
    <definedName name="opcashflow_totaldebt" localSheetId="4">#REF!</definedName>
    <definedName name="opcashflow_totaldebt" localSheetId="5">#REF!</definedName>
    <definedName name="opcashflow_totaldebt" localSheetId="15">#REF!</definedName>
    <definedName name="opcashflow_totaldebt" localSheetId="19">#REF!</definedName>
    <definedName name="opcashflow_totaldebt" localSheetId="18">#REF!</definedName>
    <definedName name="opcashflow_totaldebt" localSheetId="14">#REF!</definedName>
    <definedName name="opcashflow_totaldebt" localSheetId="12">#REF!</definedName>
    <definedName name="opcashflow_totaldebt" localSheetId="24">#REF!</definedName>
    <definedName name="opcashflow_totaldebt" localSheetId="7">#REF!</definedName>
    <definedName name="opcashflow_totaldebt" localSheetId="20">#REF!</definedName>
    <definedName name="opcashflow_totaldebt" localSheetId="21">#REF!</definedName>
    <definedName name="opcashflow_totaldebt" localSheetId="11">#REF!</definedName>
    <definedName name="opcashflow_totaldebt" localSheetId="17">#REF!</definedName>
    <definedName name="opcashflow_totaldebt" localSheetId="16">#REF!</definedName>
    <definedName name="opcashflow_totaldebt" localSheetId="22">#REF!</definedName>
    <definedName name="opcashflow_totaldebt" localSheetId="9">#REF!</definedName>
    <definedName name="opcashflow_totaldebt" localSheetId="13">#REF!</definedName>
    <definedName name="opcashflow_totaldebt" localSheetId="23">#REF!</definedName>
    <definedName name="opcashflow_totaldebt">#REF!</definedName>
    <definedName name="OpEqSh">#REF!</definedName>
    <definedName name="OPER_MARGIN" localSheetId="4">#REF!</definedName>
    <definedName name="OPER_MARGIN" localSheetId="5">#REF!</definedName>
    <definedName name="OPER_MARGIN" localSheetId="15">#REF!</definedName>
    <definedName name="OPER_MARGIN" localSheetId="19">#REF!</definedName>
    <definedName name="OPER_MARGIN" localSheetId="18">#REF!</definedName>
    <definedName name="OPER_MARGIN" localSheetId="14">#REF!</definedName>
    <definedName name="OPER_MARGIN" localSheetId="12">#REF!</definedName>
    <definedName name="OPER_MARGIN" localSheetId="24">#REF!</definedName>
    <definedName name="OPER_MARGIN" localSheetId="7">#REF!</definedName>
    <definedName name="OPER_MARGIN" localSheetId="20">#REF!</definedName>
    <definedName name="OPER_MARGIN" localSheetId="21">#REF!</definedName>
    <definedName name="OPER_MARGIN" localSheetId="11">#REF!</definedName>
    <definedName name="OPER_MARGIN" localSheetId="17">#REF!</definedName>
    <definedName name="OPER_MARGIN" localSheetId="16">#REF!</definedName>
    <definedName name="OPER_MARGIN" localSheetId="22">#REF!</definedName>
    <definedName name="OPER_MARGIN" localSheetId="9">#REF!</definedName>
    <definedName name="OPER_MARGIN" localSheetId="13">#REF!</definedName>
    <definedName name="OPER_MARGIN" localSheetId="23">#REF!</definedName>
    <definedName name="OPER_MARGIN">#REF!</definedName>
    <definedName name="OPER_PROFIT" localSheetId="4">#REF!</definedName>
    <definedName name="OPER_PROFIT" localSheetId="5">#REF!</definedName>
    <definedName name="OPER_PROFIT" localSheetId="15">#REF!</definedName>
    <definedName name="OPER_PROFIT" localSheetId="19">#REF!</definedName>
    <definedName name="OPER_PROFIT" localSheetId="18">#REF!</definedName>
    <definedName name="OPER_PROFIT" localSheetId="14">#REF!</definedName>
    <definedName name="OPER_PROFIT" localSheetId="12">#REF!</definedName>
    <definedName name="OPER_PROFIT" localSheetId="24">#REF!</definedName>
    <definedName name="OPER_PROFIT" localSheetId="7">#REF!</definedName>
    <definedName name="OPER_PROFIT" localSheetId="20">#REF!</definedName>
    <definedName name="OPER_PROFIT" localSheetId="21">#REF!</definedName>
    <definedName name="OPER_PROFIT" localSheetId="11">#REF!</definedName>
    <definedName name="OPER_PROFIT" localSheetId="17">#REF!</definedName>
    <definedName name="OPER_PROFIT" localSheetId="16">#REF!</definedName>
    <definedName name="OPER_PROFIT" localSheetId="22">#REF!</definedName>
    <definedName name="OPER_PROFIT" localSheetId="9">#REF!</definedName>
    <definedName name="OPER_PROFIT" localSheetId="13">#REF!</definedName>
    <definedName name="OPER_PROFIT" localSheetId="23">#REF!</definedName>
    <definedName name="OPER_PROFIT">#REF!</definedName>
    <definedName name="OPERATING" localSheetId="4">#REF!</definedName>
    <definedName name="OPERATING" localSheetId="9">#REF!</definedName>
    <definedName name="OPERATING">#REF!</definedName>
    <definedName name="operating_expenses">#REF!</definedName>
    <definedName name="operating_expenses_A">#REF!</definedName>
    <definedName name="operating_expenses_Q">#REF!</definedName>
    <definedName name="operating_expenses_qtr">#REF!</definedName>
    <definedName name="Operating_expenses_total">#REF!</definedName>
    <definedName name="Operating_expenses6">#REF!</definedName>
    <definedName name="operating_free_cash_flow">#REF!</definedName>
    <definedName name="Operating_income" localSheetId="4">#REF!</definedName>
    <definedName name="Operating_income" localSheetId="9">#REF!</definedName>
    <definedName name="Operating_income">#REF!</definedName>
    <definedName name="Operating_income_fore" localSheetId="4">#REF!</definedName>
    <definedName name="Operating_income_fore" localSheetId="5">#REF!</definedName>
    <definedName name="Operating_income_fore" localSheetId="15">#REF!</definedName>
    <definedName name="Operating_income_fore" localSheetId="19">#REF!</definedName>
    <definedName name="Operating_income_fore" localSheetId="18">#REF!</definedName>
    <definedName name="Operating_income_fore" localSheetId="14">#REF!</definedName>
    <definedName name="Operating_income_fore" localSheetId="12">#REF!</definedName>
    <definedName name="Operating_income_fore" localSheetId="24">#REF!</definedName>
    <definedName name="Operating_income_fore" localSheetId="7">#REF!</definedName>
    <definedName name="Operating_income_fore" localSheetId="20">#REF!</definedName>
    <definedName name="Operating_income_fore" localSheetId="21">#REF!</definedName>
    <definedName name="Operating_income_fore" localSheetId="11">#REF!</definedName>
    <definedName name="Operating_income_fore" localSheetId="17">#REF!</definedName>
    <definedName name="Operating_income_fore" localSheetId="16">#REF!</definedName>
    <definedName name="Operating_income_fore" localSheetId="22">#REF!</definedName>
    <definedName name="Operating_income_fore" localSheetId="9">#REF!</definedName>
    <definedName name="Operating_income_fore" localSheetId="13">#REF!</definedName>
    <definedName name="Operating_income_fore" localSheetId="23">#REF!</definedName>
    <definedName name="Operating_income_fore">#REF!</definedName>
    <definedName name="operating_income_Q">#REF!</definedName>
    <definedName name="Operating_Lease_Expense" localSheetId="4">#REF!</definedName>
    <definedName name="Operating_Lease_Expense" localSheetId="9">#REF!</definedName>
    <definedName name="Operating_Lease_Expense">#REF!</definedName>
    <definedName name="Operating_Lease_Expense_fore" localSheetId="4">#REF!</definedName>
    <definedName name="Operating_Lease_Expense_fore" localSheetId="5">#REF!</definedName>
    <definedName name="Operating_Lease_Expense_fore" localSheetId="15">#REF!</definedName>
    <definedName name="Operating_Lease_Expense_fore" localSheetId="19">#REF!</definedName>
    <definedName name="Operating_Lease_Expense_fore" localSheetId="18">#REF!</definedName>
    <definedName name="Operating_Lease_Expense_fore" localSheetId="14">#REF!</definedName>
    <definedName name="Operating_Lease_Expense_fore" localSheetId="12">#REF!</definedName>
    <definedName name="Operating_Lease_Expense_fore" localSheetId="24">#REF!</definedName>
    <definedName name="Operating_Lease_Expense_fore" localSheetId="7">#REF!</definedName>
    <definedName name="Operating_Lease_Expense_fore" localSheetId="20">#REF!</definedName>
    <definedName name="Operating_Lease_Expense_fore" localSheetId="21">#REF!</definedName>
    <definedName name="Operating_Lease_Expense_fore" localSheetId="11">#REF!</definedName>
    <definedName name="Operating_Lease_Expense_fore" localSheetId="17">#REF!</definedName>
    <definedName name="Operating_Lease_Expense_fore" localSheetId="16">#REF!</definedName>
    <definedName name="Operating_Lease_Expense_fore" localSheetId="22">#REF!</definedName>
    <definedName name="Operating_Lease_Expense_fore" localSheetId="9">#REF!</definedName>
    <definedName name="Operating_Lease_Expense_fore" localSheetId="13">#REF!</definedName>
    <definedName name="Operating_Lease_Expense_fore" localSheetId="23">#REF!</definedName>
    <definedName name="Operating_Lease_Expense_fore">#REF!</definedName>
    <definedName name="operating_lease_payments">#REF!</definedName>
    <definedName name="operating_profit">#REF!</definedName>
    <definedName name="Operating_Profit_before_working_Capital_changes">#REF!</definedName>
    <definedName name="operating_profit_Q">#REF!</definedName>
    <definedName name="operating_profit_qtr">#REF!</definedName>
    <definedName name="Operating_profit6">#REF!</definedName>
    <definedName name="OperatingCashflow">#REF!</definedName>
    <definedName name="OperatingProfit" localSheetId="4">#REF!</definedName>
    <definedName name="OperatingProfit" localSheetId="9">#REF!</definedName>
    <definedName name="OperatingProfit">#REF!</definedName>
    <definedName name="OperatingProfitMargin" localSheetId="4">#REF!</definedName>
    <definedName name="OperatingProfitMargin" localSheetId="9">#REF!</definedName>
    <definedName name="OperatingProfitMargin">#REF!</definedName>
    <definedName name="OperatingRatio" localSheetId="4">#REF!</definedName>
    <definedName name="OperatingRatio" localSheetId="9">#REF!</definedName>
    <definedName name="OperatingRatio">#REF!</definedName>
    <definedName name="operexp">#REF!</definedName>
    <definedName name="Opex">#REF!</definedName>
    <definedName name="opexGrowth12" localSheetId="4">#REF!</definedName>
    <definedName name="opexGrowth12" localSheetId="5">#REF!</definedName>
    <definedName name="opexGrowth12" localSheetId="15">#REF!</definedName>
    <definedName name="opexGrowth12" localSheetId="19">#REF!</definedName>
    <definedName name="opexGrowth12" localSheetId="18">#REF!</definedName>
    <definedName name="opexGrowth12" localSheetId="14">#REF!</definedName>
    <definedName name="opexGrowth12" localSheetId="12">#REF!</definedName>
    <definedName name="opexGrowth12" localSheetId="24">#REF!</definedName>
    <definedName name="opexGrowth12" localSheetId="7">#REF!</definedName>
    <definedName name="opexGrowth12" localSheetId="20">#REF!</definedName>
    <definedName name="opexGrowth12" localSheetId="21">#REF!</definedName>
    <definedName name="opexGrowth12" localSheetId="11">#REF!</definedName>
    <definedName name="opexGrowth12" localSheetId="17">#REF!</definedName>
    <definedName name="opexGrowth12" localSheetId="16">#REF!</definedName>
    <definedName name="opexGrowth12" localSheetId="22">#REF!</definedName>
    <definedName name="opexGrowth12" localSheetId="9">#REF!</definedName>
    <definedName name="opexGrowth12" localSheetId="13">#REF!</definedName>
    <definedName name="opexGrowth12" localSheetId="23">#REF!</definedName>
    <definedName name="opexGrowth12">#REF!</definedName>
    <definedName name="OpexGrowth13" localSheetId="4">#REF!</definedName>
    <definedName name="OpexGrowth13" localSheetId="5">#REF!</definedName>
    <definedName name="OpexGrowth13" localSheetId="15">#REF!</definedName>
    <definedName name="OpexGrowth13" localSheetId="19">#REF!</definedName>
    <definedName name="OpexGrowth13" localSheetId="18">#REF!</definedName>
    <definedName name="OpexGrowth13" localSheetId="14">#REF!</definedName>
    <definedName name="OpexGrowth13" localSheetId="12">#REF!</definedName>
    <definedName name="OpexGrowth13" localSheetId="24">#REF!</definedName>
    <definedName name="OpexGrowth13" localSheetId="7">#REF!</definedName>
    <definedName name="OpexGrowth13" localSheetId="20">#REF!</definedName>
    <definedName name="OpexGrowth13" localSheetId="21">#REF!</definedName>
    <definedName name="OpexGrowth13" localSheetId="11">#REF!</definedName>
    <definedName name="OpexGrowth13" localSheetId="17">#REF!</definedName>
    <definedName name="OpexGrowth13" localSheetId="16">#REF!</definedName>
    <definedName name="OpexGrowth13" localSheetId="22">#REF!</definedName>
    <definedName name="OpexGrowth13" localSheetId="9">#REF!</definedName>
    <definedName name="OpexGrowth13" localSheetId="13">#REF!</definedName>
    <definedName name="OpexGrowth13" localSheetId="23">#REF!</definedName>
    <definedName name="OpexGrowth13">#REF!</definedName>
    <definedName name="OpIncDmy" localSheetId="4" hidden="1">#REF!</definedName>
    <definedName name="OpIncDmy" localSheetId="9" hidden="1">#REF!</definedName>
    <definedName name="OpIncDmy" hidden="1">#REF!</definedName>
    <definedName name="OpIncSer" hidden="1">#REF!</definedName>
    <definedName name="orbcwgt">#REF!</definedName>
    <definedName name="OrdinaryDividends" localSheetId="4">#REF!</definedName>
    <definedName name="OrdinaryDividends" localSheetId="9">#REF!</definedName>
    <definedName name="OrdinaryDividends">#REF!</definedName>
    <definedName name="Oth.Op.Inc" localSheetId="4">#REF!</definedName>
    <definedName name="Oth.Op.Inc" localSheetId="5">#REF!</definedName>
    <definedName name="Oth.Op.Inc" localSheetId="15">#REF!</definedName>
    <definedName name="Oth.Op.Inc" localSheetId="19">#REF!</definedName>
    <definedName name="Oth.Op.Inc" localSheetId="18">#REF!</definedName>
    <definedName name="Oth.Op.Inc" localSheetId="14">#REF!</definedName>
    <definedName name="Oth.Op.Inc" localSheetId="12">#REF!</definedName>
    <definedName name="Oth.Op.Inc" localSheetId="24">#REF!</definedName>
    <definedName name="Oth.Op.Inc" localSheetId="7">#REF!</definedName>
    <definedName name="Oth.Op.Inc" localSheetId="20">#REF!</definedName>
    <definedName name="Oth.Op.Inc" localSheetId="21">#REF!</definedName>
    <definedName name="Oth.Op.Inc" localSheetId="11">#REF!</definedName>
    <definedName name="Oth.Op.Inc" localSheetId="17">#REF!</definedName>
    <definedName name="Oth.Op.Inc" localSheetId="16">#REF!</definedName>
    <definedName name="Oth.Op.Inc" localSheetId="22">#REF!</definedName>
    <definedName name="Oth.Op.Inc" localSheetId="9">#REF!</definedName>
    <definedName name="Oth.Op.Inc" localSheetId="13">#REF!</definedName>
    <definedName name="Oth.Op.Inc" localSheetId="23">#REF!</definedName>
    <definedName name="Oth.Op.Inc">#REF!</definedName>
    <definedName name="OthCFItem">#REF!</definedName>
    <definedName name="OTHER" localSheetId="4">#REF!</definedName>
    <definedName name="OTHER" localSheetId="5">#REF!</definedName>
    <definedName name="OTHER" localSheetId="15">#REF!</definedName>
    <definedName name="OTHER" localSheetId="19">#REF!</definedName>
    <definedName name="OTHER" localSheetId="18">#REF!</definedName>
    <definedName name="OTHER" localSheetId="14">#REF!</definedName>
    <definedName name="OTHER" localSheetId="12">#REF!</definedName>
    <definedName name="OTHER" localSheetId="24">#REF!</definedName>
    <definedName name="OTHER" localSheetId="7">#REF!</definedName>
    <definedName name="OTHER" localSheetId="20">#REF!</definedName>
    <definedName name="OTHER" localSheetId="21">#REF!</definedName>
    <definedName name="OTHER" localSheetId="11">#REF!</definedName>
    <definedName name="OTHER" localSheetId="17">#REF!</definedName>
    <definedName name="OTHER" localSheetId="16">#REF!</definedName>
    <definedName name="OTHER" localSheetId="22">#REF!</definedName>
    <definedName name="OTHER" localSheetId="9">#REF!</definedName>
    <definedName name="OTHER" localSheetId="13">#REF!</definedName>
    <definedName name="OTHER" localSheetId="23">#REF!</definedName>
    <definedName name="OTHER">#REF!</definedName>
    <definedName name="Other_Asset_Core" localSheetId="4">#REF!</definedName>
    <definedName name="Other_Asset_Core" localSheetId="9">#REF!</definedName>
    <definedName name="Other_Asset_Core">#REF!</definedName>
    <definedName name="Other_asset_turns" localSheetId="4">#REF!</definedName>
    <definedName name="Other_asset_turns" localSheetId="9">#REF!</definedName>
    <definedName name="Other_asset_turns">#REF!</definedName>
    <definedName name="Other_asset_turns_DCF" localSheetId="4">#REF!</definedName>
    <definedName name="Other_asset_turns_DCF" localSheetId="9">#REF!</definedName>
    <definedName name="Other_asset_turns_DCF">#REF!</definedName>
    <definedName name="Other_asset_turns_fore" localSheetId="4">#REF!</definedName>
    <definedName name="Other_asset_turns_fore" localSheetId="5">#REF!</definedName>
    <definedName name="Other_asset_turns_fore" localSheetId="15">#REF!</definedName>
    <definedName name="Other_asset_turns_fore" localSheetId="19">#REF!</definedName>
    <definedName name="Other_asset_turns_fore" localSheetId="18">#REF!</definedName>
    <definedName name="Other_asset_turns_fore" localSheetId="14">#REF!</definedName>
    <definedName name="Other_asset_turns_fore" localSheetId="12">#REF!</definedName>
    <definedName name="Other_asset_turns_fore" localSheetId="24">#REF!</definedName>
    <definedName name="Other_asset_turns_fore" localSheetId="7">#REF!</definedName>
    <definedName name="Other_asset_turns_fore" localSheetId="20">#REF!</definedName>
    <definedName name="Other_asset_turns_fore" localSheetId="21">#REF!</definedName>
    <definedName name="Other_asset_turns_fore" localSheetId="11">#REF!</definedName>
    <definedName name="Other_asset_turns_fore" localSheetId="17">#REF!</definedName>
    <definedName name="Other_asset_turns_fore" localSheetId="16">#REF!</definedName>
    <definedName name="Other_asset_turns_fore" localSheetId="22">#REF!</definedName>
    <definedName name="Other_asset_turns_fore" localSheetId="9">#REF!</definedName>
    <definedName name="Other_asset_turns_fore" localSheetId="13">#REF!</definedName>
    <definedName name="Other_asset_turns_fore" localSheetId="23">#REF!</definedName>
    <definedName name="Other_asset_turns_fore">#REF!</definedName>
    <definedName name="Other_assets" localSheetId="4">#REF!</definedName>
    <definedName name="Other_assets" localSheetId="9">#REF!</definedName>
    <definedName name="Other_assets">#REF!</definedName>
    <definedName name="Other_assets_DCF" localSheetId="4">#REF!</definedName>
    <definedName name="Other_assets_DCF" localSheetId="9">#REF!</definedName>
    <definedName name="Other_assets_DCF">#REF!</definedName>
    <definedName name="other_assets_Q">#REF!</definedName>
    <definedName name="Other_Assets2" localSheetId="4">#REF!</definedName>
    <definedName name="Other_Assets2" localSheetId="9">#REF!</definedName>
    <definedName name="Other_Assets2">#REF!</definedName>
    <definedName name="Other_Bank_Loans_Unsecured">#REF!</definedName>
    <definedName name="other_current_assets">#REF!</definedName>
    <definedName name="other_current_assets_A">#REF!</definedName>
    <definedName name="Other_current_assets_growth_fore" localSheetId="4">#REF!</definedName>
    <definedName name="Other_current_assets_growth_fore" localSheetId="5">#REF!</definedName>
    <definedName name="Other_current_assets_growth_fore" localSheetId="15">#REF!</definedName>
    <definedName name="Other_current_assets_growth_fore" localSheetId="19">#REF!</definedName>
    <definedName name="Other_current_assets_growth_fore" localSheetId="18">#REF!</definedName>
    <definedName name="Other_current_assets_growth_fore" localSheetId="14">#REF!</definedName>
    <definedName name="Other_current_assets_growth_fore" localSheetId="12">#REF!</definedName>
    <definedName name="Other_current_assets_growth_fore" localSheetId="24">#REF!</definedName>
    <definedName name="Other_current_assets_growth_fore" localSheetId="7">#REF!</definedName>
    <definedName name="Other_current_assets_growth_fore" localSheetId="20">#REF!</definedName>
    <definedName name="Other_current_assets_growth_fore" localSheetId="21">#REF!</definedName>
    <definedName name="Other_current_assets_growth_fore" localSheetId="11">#REF!</definedName>
    <definedName name="Other_current_assets_growth_fore" localSheetId="17">#REF!</definedName>
    <definedName name="Other_current_assets_growth_fore" localSheetId="16">#REF!</definedName>
    <definedName name="Other_current_assets_growth_fore" localSheetId="22">#REF!</definedName>
    <definedName name="Other_current_assets_growth_fore" localSheetId="9">#REF!</definedName>
    <definedName name="Other_current_assets_growth_fore" localSheetId="13">#REF!</definedName>
    <definedName name="Other_current_assets_growth_fore" localSheetId="23">#REF!</definedName>
    <definedName name="Other_current_assets_growth_fore">#REF!</definedName>
    <definedName name="Other_Current_Assets2" localSheetId="4">#REF!</definedName>
    <definedName name="Other_Current_Assets2" localSheetId="9">#REF!</definedName>
    <definedName name="Other_Current_Assets2">#REF!</definedName>
    <definedName name="other_current_liabilities">#REF!</definedName>
    <definedName name="other_current_liabilities_A">#REF!</definedName>
    <definedName name="Other_current_liabilities_growth_fore" localSheetId="4">#REF!</definedName>
    <definedName name="Other_current_liabilities_growth_fore" localSheetId="5">#REF!</definedName>
    <definedName name="Other_current_liabilities_growth_fore" localSheetId="15">#REF!</definedName>
    <definedName name="Other_current_liabilities_growth_fore" localSheetId="19">#REF!</definedName>
    <definedName name="Other_current_liabilities_growth_fore" localSheetId="18">#REF!</definedName>
    <definedName name="Other_current_liabilities_growth_fore" localSheetId="14">#REF!</definedName>
    <definedName name="Other_current_liabilities_growth_fore" localSheetId="12">#REF!</definedName>
    <definedName name="Other_current_liabilities_growth_fore" localSheetId="24">#REF!</definedName>
    <definedName name="Other_current_liabilities_growth_fore" localSheetId="7">#REF!</definedName>
    <definedName name="Other_current_liabilities_growth_fore" localSheetId="20">#REF!</definedName>
    <definedName name="Other_current_liabilities_growth_fore" localSheetId="21">#REF!</definedName>
    <definedName name="Other_current_liabilities_growth_fore" localSheetId="11">#REF!</definedName>
    <definedName name="Other_current_liabilities_growth_fore" localSheetId="17">#REF!</definedName>
    <definedName name="Other_current_liabilities_growth_fore" localSheetId="16">#REF!</definedName>
    <definedName name="Other_current_liabilities_growth_fore" localSheetId="22">#REF!</definedName>
    <definedName name="Other_current_liabilities_growth_fore" localSheetId="9">#REF!</definedName>
    <definedName name="Other_current_liabilities_growth_fore" localSheetId="13">#REF!</definedName>
    <definedName name="Other_current_liabilities_growth_fore" localSheetId="23">#REF!</definedName>
    <definedName name="Other_current_liabilities_growth_fore">#REF!</definedName>
    <definedName name="Other_Current_Liabilities2" localSheetId="4">#REF!</definedName>
    <definedName name="Other_Current_Liabilities2" localSheetId="9">#REF!</definedName>
    <definedName name="Other_Current_Liabilities2">#REF!</definedName>
    <definedName name="Other_DCF" localSheetId="4">#REF!</definedName>
    <definedName name="Other_DCF" localSheetId="9">#REF!</definedName>
    <definedName name="Other_DCF">#REF!</definedName>
    <definedName name="other_deferred_assets">#REF!</definedName>
    <definedName name="other_deferred_liabilities">#REF!</definedName>
    <definedName name="Other_dividends">#REF!</definedName>
    <definedName name="other_exp_Q">#REF!</definedName>
    <definedName name="Other_Expenses" localSheetId="4">#REF!</definedName>
    <definedName name="Other_Expenses" localSheetId="9">#REF!</definedName>
    <definedName name="Other_Expenses">#REF!</definedName>
    <definedName name="Other_Expenses_fore" localSheetId="4">#REF!</definedName>
    <definedName name="Other_Expenses_fore" localSheetId="5">#REF!</definedName>
    <definedName name="Other_Expenses_fore" localSheetId="15">#REF!</definedName>
    <definedName name="Other_Expenses_fore" localSheetId="19">#REF!</definedName>
    <definedName name="Other_Expenses_fore" localSheetId="18">#REF!</definedName>
    <definedName name="Other_Expenses_fore" localSheetId="14">#REF!</definedName>
    <definedName name="Other_Expenses_fore" localSheetId="12">#REF!</definedName>
    <definedName name="Other_Expenses_fore" localSheetId="24">#REF!</definedName>
    <definedName name="Other_Expenses_fore" localSheetId="7">#REF!</definedName>
    <definedName name="Other_Expenses_fore" localSheetId="20">#REF!</definedName>
    <definedName name="Other_Expenses_fore" localSheetId="21">#REF!</definedName>
    <definedName name="Other_Expenses_fore" localSheetId="11">#REF!</definedName>
    <definedName name="Other_Expenses_fore" localSheetId="17">#REF!</definedName>
    <definedName name="Other_Expenses_fore" localSheetId="16">#REF!</definedName>
    <definedName name="Other_Expenses_fore" localSheetId="22">#REF!</definedName>
    <definedName name="Other_Expenses_fore" localSheetId="9">#REF!</definedName>
    <definedName name="Other_Expenses_fore" localSheetId="13">#REF!</definedName>
    <definedName name="Other_Expenses_fore" localSheetId="23">#REF!</definedName>
    <definedName name="Other_Expenses_fore">#REF!</definedName>
    <definedName name="Other_expenses_gains" localSheetId="4">#REF!</definedName>
    <definedName name="Other_expenses_gains" localSheetId="9">#REF!</definedName>
    <definedName name="Other_expenses_gains">#REF!</definedName>
    <definedName name="Other_expenses_gains_fore" localSheetId="4">#REF!</definedName>
    <definedName name="Other_expenses_gains_fore" localSheetId="5">#REF!</definedName>
    <definedName name="Other_expenses_gains_fore" localSheetId="15">#REF!</definedName>
    <definedName name="Other_expenses_gains_fore" localSheetId="19">#REF!</definedName>
    <definedName name="Other_expenses_gains_fore" localSheetId="18">#REF!</definedName>
    <definedName name="Other_expenses_gains_fore" localSheetId="14">#REF!</definedName>
    <definedName name="Other_expenses_gains_fore" localSheetId="12">#REF!</definedName>
    <definedName name="Other_expenses_gains_fore" localSheetId="24">#REF!</definedName>
    <definedName name="Other_expenses_gains_fore" localSheetId="7">#REF!</definedName>
    <definedName name="Other_expenses_gains_fore" localSheetId="20">#REF!</definedName>
    <definedName name="Other_expenses_gains_fore" localSheetId="21">#REF!</definedName>
    <definedName name="Other_expenses_gains_fore" localSheetId="11">#REF!</definedName>
    <definedName name="Other_expenses_gains_fore" localSheetId="17">#REF!</definedName>
    <definedName name="Other_expenses_gains_fore" localSheetId="16">#REF!</definedName>
    <definedName name="Other_expenses_gains_fore" localSheetId="22">#REF!</definedName>
    <definedName name="Other_expenses_gains_fore" localSheetId="9">#REF!</definedName>
    <definedName name="Other_expenses_gains_fore" localSheetId="13">#REF!</definedName>
    <definedName name="Other_expenses_gains_fore" localSheetId="23">#REF!</definedName>
    <definedName name="Other_expenses_gains_fore">#REF!</definedName>
    <definedName name="Other_expenses_growth_fore" localSheetId="4">#REF!</definedName>
    <definedName name="Other_expenses_growth_fore" localSheetId="5">#REF!</definedName>
    <definedName name="Other_expenses_growth_fore" localSheetId="15">#REF!</definedName>
    <definedName name="Other_expenses_growth_fore" localSheetId="19">#REF!</definedName>
    <definedName name="Other_expenses_growth_fore" localSheetId="18">#REF!</definedName>
    <definedName name="Other_expenses_growth_fore" localSheetId="14">#REF!</definedName>
    <definedName name="Other_expenses_growth_fore" localSheetId="12">#REF!</definedName>
    <definedName name="Other_expenses_growth_fore" localSheetId="24">#REF!</definedName>
    <definedName name="Other_expenses_growth_fore" localSheetId="7">#REF!</definedName>
    <definedName name="Other_expenses_growth_fore" localSheetId="20">#REF!</definedName>
    <definedName name="Other_expenses_growth_fore" localSheetId="21">#REF!</definedName>
    <definedName name="Other_expenses_growth_fore" localSheetId="11">#REF!</definedName>
    <definedName name="Other_expenses_growth_fore" localSheetId="17">#REF!</definedName>
    <definedName name="Other_expenses_growth_fore" localSheetId="16">#REF!</definedName>
    <definedName name="Other_expenses_growth_fore" localSheetId="22">#REF!</definedName>
    <definedName name="Other_expenses_growth_fore" localSheetId="9">#REF!</definedName>
    <definedName name="Other_expenses_growth_fore" localSheetId="13">#REF!</definedName>
    <definedName name="Other_expenses_growth_fore" localSheetId="23">#REF!</definedName>
    <definedName name="Other_expenses_growth_fore">#REF!</definedName>
    <definedName name="Other_Expenses_Q" localSheetId="4">#REF!</definedName>
    <definedName name="Other_Expenses_Q" localSheetId="5">#REF!</definedName>
    <definedName name="Other_Expenses_Q" localSheetId="15">#REF!</definedName>
    <definedName name="Other_Expenses_Q" localSheetId="19">#REF!</definedName>
    <definedName name="Other_Expenses_Q" localSheetId="18">#REF!</definedName>
    <definedName name="Other_Expenses_Q" localSheetId="14">#REF!</definedName>
    <definedName name="Other_Expenses_Q" localSheetId="12">#REF!</definedName>
    <definedName name="Other_Expenses_Q" localSheetId="24">#REF!</definedName>
    <definedName name="Other_Expenses_Q" localSheetId="7">#REF!</definedName>
    <definedName name="Other_Expenses_Q" localSheetId="20">#REF!</definedName>
    <definedName name="Other_Expenses_Q" localSheetId="21">#REF!</definedName>
    <definedName name="Other_Expenses_Q" localSheetId="11">#REF!</definedName>
    <definedName name="Other_Expenses_Q" localSheetId="17">#REF!</definedName>
    <definedName name="Other_Expenses_Q" localSheetId="16">#REF!</definedName>
    <definedName name="Other_Expenses_Q" localSheetId="22">#REF!</definedName>
    <definedName name="Other_Expenses_Q" localSheetId="9">#REF!</definedName>
    <definedName name="Other_Expenses_Q" localSheetId="13">#REF!</definedName>
    <definedName name="Other_Expenses_Q" localSheetId="23">#REF!</definedName>
    <definedName name="Other_Expenses_Q">#REF!</definedName>
    <definedName name="other_financing_activities" localSheetId="4">#REF!</definedName>
    <definedName name="other_financing_activities" localSheetId="9">#REF!</definedName>
    <definedName name="other_financing_activities">#REF!</definedName>
    <definedName name="Other_fixed_asset_turns" localSheetId="4">#REF!</definedName>
    <definedName name="Other_fixed_asset_turns" localSheetId="9">#REF!</definedName>
    <definedName name="Other_fixed_asset_turns">#REF!</definedName>
    <definedName name="Other_fixed_asset_turns_fore" localSheetId="4">#REF!</definedName>
    <definedName name="Other_fixed_asset_turns_fore" localSheetId="5">#REF!</definedName>
    <definedName name="Other_fixed_asset_turns_fore" localSheetId="15">#REF!</definedName>
    <definedName name="Other_fixed_asset_turns_fore" localSheetId="19">#REF!</definedName>
    <definedName name="Other_fixed_asset_turns_fore" localSheetId="18">#REF!</definedName>
    <definedName name="Other_fixed_asset_turns_fore" localSheetId="14">#REF!</definedName>
    <definedName name="Other_fixed_asset_turns_fore" localSheetId="12">#REF!</definedName>
    <definedName name="Other_fixed_asset_turns_fore" localSheetId="24">#REF!</definedName>
    <definedName name="Other_fixed_asset_turns_fore" localSheetId="7">#REF!</definedName>
    <definedName name="Other_fixed_asset_turns_fore" localSheetId="20">#REF!</definedName>
    <definedName name="Other_fixed_asset_turns_fore" localSheetId="21">#REF!</definedName>
    <definedName name="Other_fixed_asset_turns_fore" localSheetId="11">#REF!</definedName>
    <definedName name="Other_fixed_asset_turns_fore" localSheetId="17">#REF!</definedName>
    <definedName name="Other_fixed_asset_turns_fore" localSheetId="16">#REF!</definedName>
    <definedName name="Other_fixed_asset_turns_fore" localSheetId="22">#REF!</definedName>
    <definedName name="Other_fixed_asset_turns_fore" localSheetId="9">#REF!</definedName>
    <definedName name="Other_fixed_asset_turns_fore" localSheetId="13">#REF!</definedName>
    <definedName name="Other_fixed_asset_turns_fore" localSheetId="23">#REF!</definedName>
    <definedName name="Other_fixed_asset_turns_fore">#REF!</definedName>
    <definedName name="Other_fixed_assets" localSheetId="4">#REF!</definedName>
    <definedName name="Other_fixed_assets" localSheetId="9">#REF!</definedName>
    <definedName name="Other_fixed_assets">#REF!</definedName>
    <definedName name="Other_Fixed_Assets_AD">#REF!</definedName>
    <definedName name="Other_Fixed_Assets_Dep">#REF!</definedName>
    <definedName name="Other_Fixed_Assets_GB">#REF!</definedName>
    <definedName name="Other_fixed_assets_growth_fore" localSheetId="4">#REF!</definedName>
    <definedName name="Other_fixed_assets_growth_fore" localSheetId="5">#REF!</definedName>
    <definedName name="Other_fixed_assets_growth_fore" localSheetId="15">#REF!</definedName>
    <definedName name="Other_fixed_assets_growth_fore" localSheetId="19">#REF!</definedName>
    <definedName name="Other_fixed_assets_growth_fore" localSheetId="18">#REF!</definedName>
    <definedName name="Other_fixed_assets_growth_fore" localSheetId="14">#REF!</definedName>
    <definedName name="Other_fixed_assets_growth_fore" localSheetId="12">#REF!</definedName>
    <definedName name="Other_fixed_assets_growth_fore" localSheetId="24">#REF!</definedName>
    <definedName name="Other_fixed_assets_growth_fore" localSheetId="7">#REF!</definedName>
    <definedName name="Other_fixed_assets_growth_fore" localSheetId="20">#REF!</definedName>
    <definedName name="Other_fixed_assets_growth_fore" localSheetId="21">#REF!</definedName>
    <definedName name="Other_fixed_assets_growth_fore" localSheetId="11">#REF!</definedName>
    <definedName name="Other_fixed_assets_growth_fore" localSheetId="17">#REF!</definedName>
    <definedName name="Other_fixed_assets_growth_fore" localSheetId="16">#REF!</definedName>
    <definedName name="Other_fixed_assets_growth_fore" localSheetId="22">#REF!</definedName>
    <definedName name="Other_fixed_assets_growth_fore" localSheetId="9">#REF!</definedName>
    <definedName name="Other_fixed_assets_growth_fore" localSheetId="13">#REF!</definedName>
    <definedName name="Other_fixed_assets_growth_fore" localSheetId="23">#REF!</definedName>
    <definedName name="Other_fixed_assets_growth_fore">#REF!</definedName>
    <definedName name="Other_Fixed_Assets_NB">#REF!</definedName>
    <definedName name="Other_fixed_assets2" localSheetId="4">#REF!</definedName>
    <definedName name="Other_fixed_assets2" localSheetId="9">#REF!</definedName>
    <definedName name="Other_fixed_assets2">#REF!</definedName>
    <definedName name="Other_growth_fore" localSheetId="4">#REF!</definedName>
    <definedName name="Other_growth_fore" localSheetId="5">#REF!</definedName>
    <definedName name="Other_growth_fore" localSheetId="15">#REF!</definedName>
    <definedName name="Other_growth_fore" localSheetId="19">#REF!</definedName>
    <definedName name="Other_growth_fore" localSheetId="18">#REF!</definedName>
    <definedName name="Other_growth_fore" localSheetId="14">#REF!</definedName>
    <definedName name="Other_growth_fore" localSheetId="12">#REF!</definedName>
    <definedName name="Other_growth_fore" localSheetId="24">#REF!</definedName>
    <definedName name="Other_growth_fore" localSheetId="7">#REF!</definedName>
    <definedName name="Other_growth_fore" localSheetId="20">#REF!</definedName>
    <definedName name="Other_growth_fore" localSheetId="21">#REF!</definedName>
    <definedName name="Other_growth_fore" localSheetId="11">#REF!</definedName>
    <definedName name="Other_growth_fore" localSheetId="17">#REF!</definedName>
    <definedName name="Other_growth_fore" localSheetId="16">#REF!</definedName>
    <definedName name="Other_growth_fore" localSheetId="22">#REF!</definedName>
    <definedName name="Other_growth_fore" localSheetId="9">#REF!</definedName>
    <definedName name="Other_growth_fore" localSheetId="13">#REF!</definedName>
    <definedName name="Other_growth_fore" localSheetId="23">#REF!</definedName>
    <definedName name="Other_growth_fore">#REF!</definedName>
    <definedName name="OTHER_INC" localSheetId="4">#REF!</definedName>
    <definedName name="OTHER_INC" localSheetId="5">#REF!</definedName>
    <definedName name="OTHER_INC" localSheetId="15">#REF!</definedName>
    <definedName name="OTHER_INC" localSheetId="19">#REF!</definedName>
    <definedName name="OTHER_INC" localSheetId="18">#REF!</definedName>
    <definedName name="OTHER_INC" localSheetId="14">#REF!</definedName>
    <definedName name="OTHER_INC" localSheetId="12">#REF!</definedName>
    <definedName name="OTHER_INC" localSheetId="24">#REF!</definedName>
    <definedName name="OTHER_INC" localSheetId="7">#REF!</definedName>
    <definedName name="OTHER_INC" localSheetId="20">#REF!</definedName>
    <definedName name="OTHER_INC" localSheetId="21">#REF!</definedName>
    <definedName name="OTHER_INC" localSheetId="11">#REF!</definedName>
    <definedName name="OTHER_INC" localSheetId="17">#REF!</definedName>
    <definedName name="OTHER_INC" localSheetId="16">#REF!</definedName>
    <definedName name="OTHER_INC" localSheetId="22">#REF!</definedName>
    <definedName name="OTHER_INC" localSheetId="9">#REF!</definedName>
    <definedName name="OTHER_INC" localSheetId="13">#REF!</definedName>
    <definedName name="OTHER_INC" localSheetId="23">#REF!</definedName>
    <definedName name="OTHER_INC">#REF!</definedName>
    <definedName name="Other_inc_exp_fore" localSheetId="4">#REF!</definedName>
    <definedName name="Other_inc_exp_fore" localSheetId="5">#REF!</definedName>
    <definedName name="Other_inc_exp_fore" localSheetId="15">#REF!</definedName>
    <definedName name="Other_inc_exp_fore" localSheetId="19">#REF!</definedName>
    <definedName name="Other_inc_exp_fore" localSheetId="18">#REF!</definedName>
    <definedName name="Other_inc_exp_fore" localSheetId="14">#REF!</definedName>
    <definedName name="Other_inc_exp_fore" localSheetId="12">#REF!</definedName>
    <definedName name="Other_inc_exp_fore" localSheetId="24">#REF!</definedName>
    <definedName name="Other_inc_exp_fore" localSheetId="7">#REF!</definedName>
    <definedName name="Other_inc_exp_fore" localSheetId="20">#REF!</definedName>
    <definedName name="Other_inc_exp_fore" localSheetId="21">#REF!</definedName>
    <definedName name="Other_inc_exp_fore" localSheetId="11">#REF!</definedName>
    <definedName name="Other_inc_exp_fore" localSheetId="17">#REF!</definedName>
    <definedName name="Other_inc_exp_fore" localSheetId="16">#REF!</definedName>
    <definedName name="Other_inc_exp_fore" localSheetId="22">#REF!</definedName>
    <definedName name="Other_inc_exp_fore" localSheetId="9">#REF!</definedName>
    <definedName name="Other_inc_exp_fore" localSheetId="13">#REF!</definedName>
    <definedName name="Other_inc_exp_fore" localSheetId="23">#REF!</definedName>
    <definedName name="Other_inc_exp_fore">#REF!</definedName>
    <definedName name="other_income">#REF!</definedName>
    <definedName name="other_income_A">#REF!</definedName>
    <definedName name="Other_income_growth_fore" localSheetId="4">#REF!</definedName>
    <definedName name="Other_income_growth_fore" localSheetId="5">#REF!</definedName>
    <definedName name="Other_income_growth_fore" localSheetId="15">#REF!</definedName>
    <definedName name="Other_income_growth_fore" localSheetId="19">#REF!</definedName>
    <definedName name="Other_income_growth_fore" localSheetId="18">#REF!</definedName>
    <definedName name="Other_income_growth_fore" localSheetId="14">#REF!</definedName>
    <definedName name="Other_income_growth_fore" localSheetId="12">#REF!</definedName>
    <definedName name="Other_income_growth_fore" localSheetId="24">#REF!</definedName>
    <definedName name="Other_income_growth_fore" localSheetId="7">#REF!</definedName>
    <definedName name="Other_income_growth_fore" localSheetId="20">#REF!</definedName>
    <definedName name="Other_income_growth_fore" localSheetId="21">#REF!</definedName>
    <definedName name="Other_income_growth_fore" localSheetId="11">#REF!</definedName>
    <definedName name="Other_income_growth_fore" localSheetId="17">#REF!</definedName>
    <definedName name="Other_income_growth_fore" localSheetId="16">#REF!</definedName>
    <definedName name="Other_income_growth_fore" localSheetId="22">#REF!</definedName>
    <definedName name="Other_income_growth_fore" localSheetId="9">#REF!</definedName>
    <definedName name="Other_income_growth_fore" localSheetId="13">#REF!</definedName>
    <definedName name="Other_income_growth_fore" localSheetId="23">#REF!</definedName>
    <definedName name="Other_income_growth_fore">#REF!</definedName>
    <definedName name="other_income_Q" localSheetId="4">#REF!</definedName>
    <definedName name="other_income_Q" localSheetId="5">#REF!</definedName>
    <definedName name="other_income_Q" localSheetId="15">#REF!</definedName>
    <definedName name="other_income_Q" localSheetId="19">#REF!</definedName>
    <definedName name="other_income_Q" localSheetId="18">#REF!</definedName>
    <definedName name="other_income_Q" localSheetId="14">#REF!</definedName>
    <definedName name="other_income_Q" localSheetId="12">#REF!</definedName>
    <definedName name="other_income_Q" localSheetId="24">#REF!</definedName>
    <definedName name="other_income_Q" localSheetId="7">#REF!</definedName>
    <definedName name="other_income_Q" localSheetId="20">#REF!</definedName>
    <definedName name="other_income_Q" localSheetId="21">#REF!</definedName>
    <definedName name="other_income_Q" localSheetId="11">#REF!</definedName>
    <definedName name="other_income_Q" localSheetId="17">#REF!</definedName>
    <definedName name="other_income_Q" localSheetId="16">#REF!</definedName>
    <definedName name="other_income_Q" localSheetId="22">#REF!</definedName>
    <definedName name="other_income_Q" localSheetId="9">#REF!</definedName>
    <definedName name="other_income_Q" localSheetId="13">#REF!</definedName>
    <definedName name="other_income_Q" localSheetId="23">#REF!</definedName>
    <definedName name="other_income_Q">#REF!</definedName>
    <definedName name="other_income_qtr">#REF!</definedName>
    <definedName name="Other_income_total">#REF!</definedName>
    <definedName name="Other_income6">#REF!</definedName>
    <definedName name="Other_Intangible_Assets" localSheetId="4">#REF!</definedName>
    <definedName name="Other_Intangible_Assets" localSheetId="9">#REF!</definedName>
    <definedName name="Other_Intangible_Assets">#REF!</definedName>
    <definedName name="other_intangible_fixed_assets">#REF!</definedName>
    <definedName name="other_investing_activities" localSheetId="4">#REF!</definedName>
    <definedName name="other_investing_activities" localSheetId="5">#REF!</definedName>
    <definedName name="other_investing_activities" localSheetId="15">#REF!</definedName>
    <definedName name="other_investing_activities" localSheetId="19">#REF!</definedName>
    <definedName name="other_investing_activities" localSheetId="18">#REF!</definedName>
    <definedName name="other_investing_activities" localSheetId="14">#REF!</definedName>
    <definedName name="other_investing_activities" localSheetId="12">#REF!</definedName>
    <definedName name="other_investing_activities" localSheetId="24">#REF!</definedName>
    <definedName name="other_investing_activities" localSheetId="7">#REF!</definedName>
    <definedName name="other_investing_activities" localSheetId="20">#REF!</definedName>
    <definedName name="other_investing_activities" localSheetId="21">#REF!</definedName>
    <definedName name="other_investing_activities" localSheetId="11">#REF!</definedName>
    <definedName name="other_investing_activities" localSheetId="17">#REF!</definedName>
    <definedName name="other_investing_activities" localSheetId="16">#REF!</definedName>
    <definedName name="other_investing_activities" localSheetId="22">#REF!</definedName>
    <definedName name="other_investing_activities" localSheetId="9">#REF!</definedName>
    <definedName name="other_investing_activities" localSheetId="13">#REF!</definedName>
    <definedName name="other_investing_activities" localSheetId="23">#REF!</definedName>
    <definedName name="other_investing_activities">#REF!</definedName>
    <definedName name="other_liab_Q">#REF!</definedName>
    <definedName name="Other_liabilities" localSheetId="4">#REF!</definedName>
    <definedName name="Other_liabilities" localSheetId="9">#REF!</definedName>
    <definedName name="Other_liabilities">#REF!</definedName>
    <definedName name="Other_liabilities_growth_fore" localSheetId="4">#REF!</definedName>
    <definedName name="Other_liabilities_growth_fore" localSheetId="5">#REF!</definedName>
    <definedName name="Other_liabilities_growth_fore" localSheetId="15">#REF!</definedName>
    <definedName name="Other_liabilities_growth_fore" localSheetId="19">#REF!</definedName>
    <definedName name="Other_liabilities_growth_fore" localSheetId="18">#REF!</definedName>
    <definedName name="Other_liabilities_growth_fore" localSheetId="14">#REF!</definedName>
    <definedName name="Other_liabilities_growth_fore" localSheetId="12">#REF!</definedName>
    <definedName name="Other_liabilities_growth_fore" localSheetId="24">#REF!</definedName>
    <definedName name="Other_liabilities_growth_fore" localSheetId="7">#REF!</definedName>
    <definedName name="Other_liabilities_growth_fore" localSheetId="20">#REF!</definedName>
    <definedName name="Other_liabilities_growth_fore" localSheetId="21">#REF!</definedName>
    <definedName name="Other_liabilities_growth_fore" localSheetId="11">#REF!</definedName>
    <definedName name="Other_liabilities_growth_fore" localSheetId="17">#REF!</definedName>
    <definedName name="Other_liabilities_growth_fore" localSheetId="16">#REF!</definedName>
    <definedName name="Other_liabilities_growth_fore" localSheetId="22">#REF!</definedName>
    <definedName name="Other_liabilities_growth_fore" localSheetId="9">#REF!</definedName>
    <definedName name="Other_liabilities_growth_fore" localSheetId="13">#REF!</definedName>
    <definedName name="Other_liabilities_growth_fore" localSheetId="23">#REF!</definedName>
    <definedName name="Other_liabilities_growth_fore">#REF!</definedName>
    <definedName name="Other_liabilities2" localSheetId="4">#REF!</definedName>
    <definedName name="Other_liabilities2" localSheetId="9">#REF!</definedName>
    <definedName name="Other_liabilities2">#REF!</definedName>
    <definedName name="Other_loans_total">#REF!</definedName>
    <definedName name="Other_LT_Debt" localSheetId="4">#REF!</definedName>
    <definedName name="Other_LT_Debt" localSheetId="9">#REF!</definedName>
    <definedName name="Other_LT_Debt">#REF!</definedName>
    <definedName name="Other_ncome_expenses" localSheetId="4">#REF!</definedName>
    <definedName name="Other_ncome_expenses" localSheetId="9">#REF!</definedName>
    <definedName name="Other_ncome_expenses">#REF!</definedName>
    <definedName name="other_non_current_assets">#REF!</definedName>
    <definedName name="other_non_current_assets_A">#REF!</definedName>
    <definedName name="other_non_current_liabilities">#REF!</definedName>
    <definedName name="other_non_equity_interests">#REF!</definedName>
    <definedName name="other_non_int_income_Q">#REF!</definedName>
    <definedName name="other_operating_activities" localSheetId="4">#REF!</definedName>
    <definedName name="other_operating_activities" localSheetId="5">#REF!</definedName>
    <definedName name="other_operating_activities" localSheetId="15">#REF!</definedName>
    <definedName name="other_operating_activities" localSheetId="19">#REF!</definedName>
    <definedName name="other_operating_activities" localSheetId="18">#REF!</definedName>
    <definedName name="other_operating_activities" localSheetId="14">#REF!</definedName>
    <definedName name="other_operating_activities" localSheetId="12">#REF!</definedName>
    <definedName name="other_operating_activities" localSheetId="24">#REF!</definedName>
    <definedName name="other_operating_activities" localSheetId="7">#REF!</definedName>
    <definedName name="other_operating_activities" localSheetId="20">#REF!</definedName>
    <definedName name="other_operating_activities" localSheetId="21">#REF!</definedName>
    <definedName name="other_operating_activities" localSheetId="11">#REF!</definedName>
    <definedName name="other_operating_activities" localSheetId="17">#REF!</definedName>
    <definedName name="other_operating_activities" localSheetId="16">#REF!</definedName>
    <definedName name="other_operating_activities" localSheetId="22">#REF!</definedName>
    <definedName name="other_operating_activities" localSheetId="9">#REF!</definedName>
    <definedName name="other_operating_activities" localSheetId="13">#REF!</definedName>
    <definedName name="other_operating_activities" localSheetId="23">#REF!</definedName>
    <definedName name="other_operating_activities">#REF!</definedName>
    <definedName name="other_operating_expenses">#REF!</definedName>
    <definedName name="other_operating_expenses_A">#REF!</definedName>
    <definedName name="other_operating_expenses_qtr">#REF!</definedName>
    <definedName name="other_operating_income">#REF!</definedName>
    <definedName name="other_operating_income_A">#REF!</definedName>
    <definedName name="other_operating_income_qtr">#REF!</definedName>
    <definedName name="Other_operating_income6">#REF!</definedName>
    <definedName name="other_pre_tax_Q">#REF!</definedName>
    <definedName name="other_pretax">#REF!</definedName>
    <definedName name="other_prov_Q">#REF!</definedName>
    <definedName name="other_provisions">#REF!</definedName>
    <definedName name="other_provisions_bs">#REF!</definedName>
    <definedName name="other_reserves">#REF!</definedName>
    <definedName name="Other_Segment_Revenues">#REF!</definedName>
    <definedName name="Other_ST_Debt" localSheetId="4">#REF!</definedName>
    <definedName name="Other_ST_Debt" localSheetId="9">#REF!</definedName>
    <definedName name="Other_ST_Debt">#REF!</definedName>
    <definedName name="other_tangible_fixed_assets">#REF!</definedName>
    <definedName name="Other1" localSheetId="4">#REF!</definedName>
    <definedName name="Other1" localSheetId="5">#REF!</definedName>
    <definedName name="Other1" localSheetId="15">#REF!</definedName>
    <definedName name="Other1" localSheetId="19">#REF!</definedName>
    <definedName name="Other1" localSheetId="18">#REF!</definedName>
    <definedName name="Other1" localSheetId="14">#REF!</definedName>
    <definedName name="Other1" localSheetId="12">#REF!</definedName>
    <definedName name="Other1" localSheetId="24">#REF!</definedName>
    <definedName name="Other1" localSheetId="7">#REF!</definedName>
    <definedName name="Other1" localSheetId="20">#REF!</definedName>
    <definedName name="Other1" localSheetId="21">#REF!</definedName>
    <definedName name="Other1" localSheetId="11">#REF!</definedName>
    <definedName name="Other1" localSheetId="17">#REF!</definedName>
    <definedName name="Other1" localSheetId="16">#REF!</definedName>
    <definedName name="Other1" localSheetId="22">#REF!</definedName>
    <definedName name="Other1" localSheetId="9">#REF!</definedName>
    <definedName name="Other1" localSheetId="13">#REF!</definedName>
    <definedName name="Other1" localSheetId="23">#REF!</definedName>
    <definedName name="Other1">#REF!</definedName>
    <definedName name="OtherAssets" localSheetId="4">#REF!</definedName>
    <definedName name="OtherAssets" localSheetId="9">#REF!</definedName>
    <definedName name="OtherAssets">#REF!</definedName>
    <definedName name="OtherCurrentAssets" localSheetId="4">#REF!</definedName>
    <definedName name="OtherCurrentAssets" localSheetId="9">#REF!</definedName>
    <definedName name="OtherCurrentAssets">#REF!</definedName>
    <definedName name="OtherCurrentLiabilities" localSheetId="4">#REF!</definedName>
    <definedName name="OtherCurrentLiabilities" localSheetId="9">#REF!</definedName>
    <definedName name="OtherCurrentLiabilities">#REF!</definedName>
    <definedName name="OtherExpenses" localSheetId="4">#REF!</definedName>
    <definedName name="OtherExpenses" localSheetId="9">#REF!</definedName>
    <definedName name="OtherExpenses">#REF!</definedName>
    <definedName name="OTHERINC">#REF!</definedName>
    <definedName name="OtherIncome" localSheetId="4">#REF!</definedName>
    <definedName name="OtherIncome" localSheetId="9">#REF!</definedName>
    <definedName name="OtherIncome">#REF!</definedName>
    <definedName name="OtherLoans" localSheetId="4">#REF!</definedName>
    <definedName name="OtherLoans" localSheetId="9">#REF!</definedName>
    <definedName name="OtherLoans">#REF!</definedName>
    <definedName name="OtherRelated" localSheetId="4">#REF!</definedName>
    <definedName name="OtherRelated" localSheetId="9">#REF!</definedName>
    <definedName name="OtherRelated">#REF!</definedName>
    <definedName name="others" localSheetId="4">#REF!</definedName>
    <definedName name="others" localSheetId="5">#REF!</definedName>
    <definedName name="others" localSheetId="15">#REF!</definedName>
    <definedName name="others" localSheetId="19">#REF!</definedName>
    <definedName name="others" localSheetId="18">#REF!</definedName>
    <definedName name="others" localSheetId="14">#REF!</definedName>
    <definedName name="others" localSheetId="12">#REF!</definedName>
    <definedName name="others" localSheetId="24">#REF!</definedName>
    <definedName name="others" localSheetId="7">#REF!</definedName>
    <definedName name="others" localSheetId="20">#REF!</definedName>
    <definedName name="others" localSheetId="21">#REF!</definedName>
    <definedName name="others" localSheetId="11">#REF!</definedName>
    <definedName name="others" localSheetId="17">#REF!</definedName>
    <definedName name="others" localSheetId="16">#REF!</definedName>
    <definedName name="others" localSheetId="22">#REF!</definedName>
    <definedName name="others" localSheetId="9">#REF!</definedName>
    <definedName name="others" localSheetId="13">#REF!</definedName>
    <definedName name="others" localSheetId="23">#REF!</definedName>
    <definedName name="others">#REF!</definedName>
    <definedName name="others_non_current_assets">#REF!</definedName>
    <definedName name="others_non_current_liabilities">#REF!</definedName>
    <definedName name="OthOpInc">#REF!</definedName>
    <definedName name="oubwgt">#REF!</definedName>
    <definedName name="OutputGrowthEstimates" localSheetId="4">#REF!</definedName>
    <definedName name="OutputGrowthEstimates" localSheetId="9">#REF!</definedName>
    <definedName name="OutputGrowthEstimates">#REF!</definedName>
    <definedName name="OVERSEAS">#REF!</definedName>
    <definedName name="OWN_BM14" localSheetId="4">#REF!</definedName>
    <definedName name="OWN_BM14" localSheetId="5">#REF!</definedName>
    <definedName name="OWN_BM14" localSheetId="15">#REF!</definedName>
    <definedName name="OWN_BM14" localSheetId="19">#REF!</definedName>
    <definedName name="OWN_BM14" localSheetId="18">#REF!</definedName>
    <definedName name="OWN_BM14" localSheetId="14">#REF!</definedName>
    <definedName name="OWN_BM14" localSheetId="12">#REF!</definedName>
    <definedName name="OWN_BM14" localSheetId="24">#REF!</definedName>
    <definedName name="OWN_BM14" localSheetId="7">#REF!</definedName>
    <definedName name="OWN_BM14" localSheetId="20">#REF!</definedName>
    <definedName name="OWN_BM14" localSheetId="21">#REF!</definedName>
    <definedName name="OWN_BM14" localSheetId="11">#REF!</definedName>
    <definedName name="OWN_BM14" localSheetId="17">#REF!</definedName>
    <definedName name="OWN_BM14" localSheetId="16">#REF!</definedName>
    <definedName name="OWN_BM14" localSheetId="22">#REF!</definedName>
    <definedName name="OWN_BM14" localSheetId="9">#REF!</definedName>
    <definedName name="OWN_BM14" localSheetId="13">#REF!</definedName>
    <definedName name="OWN_BM14" localSheetId="23">#REF!</definedName>
    <definedName name="OWN_BM14">#REF!</definedName>
    <definedName name="OWN_BM15" localSheetId="4">#REF!</definedName>
    <definedName name="OWN_BM15" localSheetId="5">#REF!</definedName>
    <definedName name="OWN_BM15" localSheetId="15">#REF!</definedName>
    <definedName name="OWN_BM15" localSheetId="19">#REF!</definedName>
    <definedName name="OWN_BM15" localSheetId="18">#REF!</definedName>
    <definedName name="OWN_BM15" localSheetId="14">#REF!</definedName>
    <definedName name="OWN_BM15" localSheetId="12">#REF!</definedName>
    <definedName name="OWN_BM15" localSheetId="24">#REF!</definedName>
    <definedName name="OWN_BM15" localSheetId="7">#REF!</definedName>
    <definedName name="OWN_BM15" localSheetId="20">#REF!</definedName>
    <definedName name="OWN_BM15" localSheetId="21">#REF!</definedName>
    <definedName name="OWN_BM15" localSheetId="11">#REF!</definedName>
    <definedName name="OWN_BM15" localSheetId="17">#REF!</definedName>
    <definedName name="OWN_BM15" localSheetId="16">#REF!</definedName>
    <definedName name="OWN_BM15" localSheetId="22">#REF!</definedName>
    <definedName name="OWN_BM15" localSheetId="9">#REF!</definedName>
    <definedName name="OWN_BM15" localSheetId="13">#REF!</definedName>
    <definedName name="OWN_BM15" localSheetId="23">#REF!</definedName>
    <definedName name="OWN_BM15">#REF!</definedName>
    <definedName name="OWN_BM21" localSheetId="4">#REF!</definedName>
    <definedName name="OWN_BM21" localSheetId="5">#REF!</definedName>
    <definedName name="OWN_BM21" localSheetId="15">#REF!</definedName>
    <definedName name="OWN_BM21" localSheetId="19">#REF!</definedName>
    <definedName name="OWN_BM21" localSheetId="18">#REF!</definedName>
    <definedName name="OWN_BM21" localSheetId="14">#REF!</definedName>
    <definedName name="OWN_BM21" localSheetId="12">#REF!</definedName>
    <definedName name="OWN_BM21" localSheetId="24">#REF!</definedName>
    <definedName name="OWN_BM21" localSheetId="7">#REF!</definedName>
    <definedName name="OWN_BM21" localSheetId="20">#REF!</definedName>
    <definedName name="OWN_BM21" localSheetId="21">#REF!</definedName>
    <definedName name="OWN_BM21" localSheetId="11">#REF!</definedName>
    <definedName name="OWN_BM21" localSheetId="17">#REF!</definedName>
    <definedName name="OWN_BM21" localSheetId="16">#REF!</definedName>
    <definedName name="OWN_BM21" localSheetId="22">#REF!</definedName>
    <definedName name="OWN_BM21" localSheetId="9">#REF!</definedName>
    <definedName name="OWN_BM21" localSheetId="13">#REF!</definedName>
    <definedName name="OWN_BM21" localSheetId="23">#REF!</definedName>
    <definedName name="OWN_BM21">#REF!</definedName>
    <definedName name="OWN_BM22_P1" localSheetId="4">#REF!</definedName>
    <definedName name="OWN_BM22_P1" localSheetId="9">#REF!</definedName>
    <definedName name="OWN_BM22_P1">#REF!</definedName>
    <definedName name="OWN_BM23_P1" localSheetId="4">#REF!</definedName>
    <definedName name="OWN_BM23_P1" localSheetId="9">#REF!</definedName>
    <definedName name="OWN_BM23_P1">#REF!</definedName>
    <definedName name="OWN_BM24_P1" localSheetId="4">#REF!</definedName>
    <definedName name="OWN_BM24_P1" localSheetId="9">#REF!</definedName>
    <definedName name="OWN_BM24_P1">#REF!</definedName>
    <definedName name="OWN_BM25_P1" localSheetId="4">#REF!</definedName>
    <definedName name="OWN_BM25_P1" localSheetId="9">#REF!</definedName>
    <definedName name="OWN_BM25_P1">#REF!</definedName>
    <definedName name="OWN_BM31" localSheetId="4">#REF!</definedName>
    <definedName name="OWN_BM31" localSheetId="9">#REF!</definedName>
    <definedName name="OWN_BM31">#REF!</definedName>
    <definedName name="OWN_BM32_N1" localSheetId="4">#REF!</definedName>
    <definedName name="OWN_BM32_N1" localSheetId="9">#REF!</definedName>
    <definedName name="OWN_BM32_N1">#REF!</definedName>
    <definedName name="OWN_BM33_N1" localSheetId="4">#REF!</definedName>
    <definedName name="OWN_BM33_N1" localSheetId="9">#REF!</definedName>
    <definedName name="OWN_BM33_N1">#REF!</definedName>
    <definedName name="OWN_BM34_N1" localSheetId="4">#REF!</definedName>
    <definedName name="OWN_BM34_N1" localSheetId="9">#REF!</definedName>
    <definedName name="OWN_BM34_N1">#REF!</definedName>
    <definedName name="OWN_BM35_N1" localSheetId="4">#REF!</definedName>
    <definedName name="OWN_BM35_N1" localSheetId="9">#REF!</definedName>
    <definedName name="OWN_BM35_N1">#REF!</definedName>
    <definedName name="OWN_BM42_N1" localSheetId="4">#REF!</definedName>
    <definedName name="OWN_BM42_N1" localSheetId="9">#REF!</definedName>
    <definedName name="OWN_BM42_N1">#REF!</definedName>
    <definedName name="OWN_BM43_N1" localSheetId="4">#REF!</definedName>
    <definedName name="OWN_BM43_N1" localSheetId="9">#REF!</definedName>
    <definedName name="OWN_BM43_N1">#REF!</definedName>
    <definedName name="OWN_BM44_N1" localSheetId="4">#REF!</definedName>
    <definedName name="OWN_BM44_N1" localSheetId="9">#REF!</definedName>
    <definedName name="OWN_BM44_N1">#REF!</definedName>
    <definedName name="OWN_BM45_N1" localSheetId="4">#REF!</definedName>
    <definedName name="OWN_BM45_N1" localSheetId="9">#REF!</definedName>
    <definedName name="OWN_BM45_N1">#REF!</definedName>
    <definedName name="p" localSheetId="4">#REF!</definedName>
    <definedName name="p" localSheetId="9">#REF!</definedName>
    <definedName name="p">#REF!</definedName>
    <definedName name="p_and_l" localSheetId="4">#REF!</definedName>
    <definedName name="p_and_l" localSheetId="9">#REF!</definedName>
    <definedName name="p_and_l">#REF!</definedName>
    <definedName name="P_L" localSheetId="4">#REF!</definedName>
    <definedName name="P_L" localSheetId="9">#REF!</definedName>
    <definedName name="P_L">#REF!</definedName>
    <definedName name="page1" localSheetId="4">#REF!</definedName>
    <definedName name="page1" localSheetId="9">#REF!</definedName>
    <definedName name="page1">#REF!</definedName>
    <definedName name="Page12" localSheetId="4">#REF!</definedName>
    <definedName name="Page12" localSheetId="9">#REF!</definedName>
    <definedName name="Page12">#REF!</definedName>
    <definedName name="page2" localSheetId="4">#REF!</definedName>
    <definedName name="page2" localSheetId="9">#REF!</definedName>
    <definedName name="page2">#REF!</definedName>
    <definedName name="pai" localSheetId="4">#REF!</definedName>
    <definedName name="pai" localSheetId="9">#REF!</definedName>
    <definedName name="pai">#REF!</definedName>
    <definedName name="paid_up_capital">#REF!</definedName>
    <definedName name="paid_up_capital_A">#REF!</definedName>
    <definedName name="paninwgt">#REF!</definedName>
    <definedName name="para1" localSheetId="4">#REF!</definedName>
    <definedName name="para1" localSheetId="5">#REF!</definedName>
    <definedName name="para1" localSheetId="15">#REF!</definedName>
    <definedName name="para1" localSheetId="19">#REF!</definedName>
    <definedName name="para1" localSheetId="18">#REF!</definedName>
    <definedName name="para1" localSheetId="14">#REF!</definedName>
    <definedName name="para1" localSheetId="12">#REF!</definedName>
    <definedName name="para1" localSheetId="24">#REF!</definedName>
    <definedName name="para1" localSheetId="7">#REF!</definedName>
    <definedName name="para1" localSheetId="20">#REF!</definedName>
    <definedName name="para1" localSheetId="21">#REF!</definedName>
    <definedName name="para1" localSheetId="11">#REF!</definedName>
    <definedName name="para1" localSheetId="17">#REF!</definedName>
    <definedName name="para1" localSheetId="16">#REF!</definedName>
    <definedName name="para1" localSheetId="22">#REF!</definedName>
    <definedName name="para1" localSheetId="9">#REF!</definedName>
    <definedName name="para1" localSheetId="13">#REF!</definedName>
    <definedName name="para1" localSheetId="23">#REF!</definedName>
    <definedName name="para1">#REF!</definedName>
    <definedName name="para2" localSheetId="4">#REF!</definedName>
    <definedName name="para2" localSheetId="5">#REF!</definedName>
    <definedName name="para2" localSheetId="15">#REF!</definedName>
    <definedName name="para2" localSheetId="19">#REF!</definedName>
    <definedName name="para2" localSheetId="18">#REF!</definedName>
    <definedName name="para2" localSheetId="14">#REF!</definedName>
    <definedName name="para2" localSheetId="12">#REF!</definedName>
    <definedName name="para2" localSheetId="24">#REF!</definedName>
    <definedName name="para2" localSheetId="7">#REF!</definedName>
    <definedName name="para2" localSheetId="20">#REF!</definedName>
    <definedName name="para2" localSheetId="21">#REF!</definedName>
    <definedName name="para2" localSheetId="11">#REF!</definedName>
    <definedName name="para2" localSheetId="17">#REF!</definedName>
    <definedName name="para2" localSheetId="16">#REF!</definedName>
    <definedName name="para2" localSheetId="22">#REF!</definedName>
    <definedName name="para2" localSheetId="9">#REF!</definedName>
    <definedName name="para2" localSheetId="13">#REF!</definedName>
    <definedName name="para2" localSheetId="23">#REF!</definedName>
    <definedName name="para2">#REF!</definedName>
    <definedName name="parse" localSheetId="4" hidden="1">#REF!</definedName>
    <definedName name="parse" localSheetId="5" hidden="1">#REF!</definedName>
    <definedName name="parse" localSheetId="15" hidden="1">#REF!</definedName>
    <definedName name="parse" localSheetId="19" hidden="1">#REF!</definedName>
    <definedName name="parse" localSheetId="18" hidden="1">#REF!</definedName>
    <definedName name="parse" localSheetId="14" hidden="1">#REF!</definedName>
    <definedName name="parse" localSheetId="12" hidden="1">#REF!</definedName>
    <definedName name="parse" localSheetId="24" hidden="1">#REF!</definedName>
    <definedName name="parse" localSheetId="7" hidden="1">#REF!</definedName>
    <definedName name="parse" localSheetId="20" hidden="1">#REF!</definedName>
    <definedName name="parse" localSheetId="21" hidden="1">#REF!</definedName>
    <definedName name="parse" localSheetId="11" hidden="1">#REF!</definedName>
    <definedName name="parse" localSheetId="17" hidden="1">#REF!</definedName>
    <definedName name="parse" localSheetId="16" hidden="1">#REF!</definedName>
    <definedName name="parse" localSheetId="22" hidden="1">#REF!</definedName>
    <definedName name="parse" localSheetId="9" hidden="1">#REF!</definedName>
    <definedName name="parse" localSheetId="13" hidden="1">#REF!</definedName>
    <definedName name="parse" localSheetId="23" hidden="1">#REF!</definedName>
    <definedName name="parse" hidden="1">#REF!</definedName>
    <definedName name="Partial_year" localSheetId="4">#REF!</definedName>
    <definedName name="Partial_year" localSheetId="9">#REF!</definedName>
    <definedName name="Partial_year">#REF!</definedName>
    <definedName name="PAT">#REF!</definedName>
    <definedName name="pat_margin" localSheetId="4">#REF!</definedName>
    <definedName name="pat_margin" localSheetId="5">#REF!</definedName>
    <definedName name="pat_margin" localSheetId="15">#REF!</definedName>
    <definedName name="pat_margin" localSheetId="19">#REF!</definedName>
    <definedName name="pat_margin" localSheetId="18">#REF!</definedName>
    <definedName name="pat_margin" localSheetId="14">#REF!</definedName>
    <definedName name="pat_margin" localSheetId="12">#REF!</definedName>
    <definedName name="pat_margin" localSheetId="24">#REF!</definedName>
    <definedName name="pat_margin" localSheetId="7">#REF!</definedName>
    <definedName name="pat_margin" localSheetId="20">#REF!</definedName>
    <definedName name="pat_margin" localSheetId="21">#REF!</definedName>
    <definedName name="pat_margin" localSheetId="11">#REF!</definedName>
    <definedName name="pat_margin" localSheetId="17">#REF!</definedName>
    <definedName name="pat_margin" localSheetId="16">#REF!</definedName>
    <definedName name="pat_margin" localSheetId="22">#REF!</definedName>
    <definedName name="pat_margin" localSheetId="9">#REF!</definedName>
    <definedName name="pat_margin" localSheetId="13">#REF!</definedName>
    <definedName name="pat_margin" localSheetId="23">#REF!</definedName>
    <definedName name="pat_margin">#REF!</definedName>
    <definedName name="payable_days" localSheetId="4">#REF!</definedName>
    <definedName name="payable_days" localSheetId="5">#REF!</definedName>
    <definedName name="payable_days" localSheetId="15">#REF!</definedName>
    <definedName name="payable_days" localSheetId="19">#REF!</definedName>
    <definedName name="payable_days" localSheetId="18">#REF!</definedName>
    <definedName name="payable_days" localSheetId="14">#REF!</definedName>
    <definedName name="payable_days" localSheetId="12">#REF!</definedName>
    <definedName name="payable_days" localSheetId="24">#REF!</definedName>
    <definedName name="payable_days" localSheetId="7">#REF!</definedName>
    <definedName name="payable_days" localSheetId="20">#REF!</definedName>
    <definedName name="payable_days" localSheetId="21">#REF!</definedName>
    <definedName name="payable_days" localSheetId="11">#REF!</definedName>
    <definedName name="payable_days" localSheetId="17">#REF!</definedName>
    <definedName name="payable_days" localSheetId="16">#REF!</definedName>
    <definedName name="payable_days" localSheetId="22">#REF!</definedName>
    <definedName name="payable_days" localSheetId="9">#REF!</definedName>
    <definedName name="payable_days" localSheetId="13">#REF!</definedName>
    <definedName name="payable_days" localSheetId="23">#REF!</definedName>
    <definedName name="payable_days">#REF!</definedName>
    <definedName name="PayoutRatio" localSheetId="4">#REF!</definedName>
    <definedName name="PayoutRatio" localSheetId="9">#REF!</definedName>
    <definedName name="PayoutRatio">#REF!</definedName>
    <definedName name="pb" localSheetId="4">#REF!</definedName>
    <definedName name="pb" localSheetId="5">#REF!</definedName>
    <definedName name="pb" localSheetId="15">#REF!</definedName>
    <definedName name="pb" localSheetId="19">#REF!</definedName>
    <definedName name="pb" localSheetId="18">#REF!</definedName>
    <definedName name="pb" localSheetId="14">#REF!</definedName>
    <definedName name="pb" localSheetId="12">#REF!</definedName>
    <definedName name="pb" localSheetId="24">#REF!</definedName>
    <definedName name="pb" localSheetId="7">#REF!</definedName>
    <definedName name="pb" localSheetId="20">#REF!</definedName>
    <definedName name="pb" localSheetId="21">#REF!</definedName>
    <definedName name="pb" localSheetId="11">#REF!</definedName>
    <definedName name="pb" localSheetId="17">#REF!</definedName>
    <definedName name="pb" localSheetId="16">#REF!</definedName>
    <definedName name="pb" localSheetId="22">#REF!</definedName>
    <definedName name="pb" localSheetId="9">#REF!</definedName>
    <definedName name="pb" localSheetId="13">#REF!</definedName>
    <definedName name="pb" localSheetId="23">#REF!</definedName>
    <definedName name="pb">#REF!</definedName>
    <definedName name="PBASE" localSheetId="4">#REF!</definedName>
    <definedName name="PBASE" localSheetId="9">#REF!</definedName>
    <definedName name="PBASE">#REF!</definedName>
    <definedName name="PBIDT" localSheetId="4">#REF!</definedName>
    <definedName name="PBIDT" localSheetId="9">#REF!</definedName>
    <definedName name="PBIDT">#REF!</definedName>
    <definedName name="PBT">#REF!</definedName>
    <definedName name="pbt_growth" localSheetId="4">#REF!</definedName>
    <definedName name="pbt_growth" localSheetId="5">#REF!</definedName>
    <definedName name="pbt_growth" localSheetId="15">#REF!</definedName>
    <definedName name="pbt_growth" localSheetId="19">#REF!</definedName>
    <definedName name="pbt_growth" localSheetId="18">#REF!</definedName>
    <definedName name="pbt_growth" localSheetId="14">#REF!</definedName>
    <definedName name="pbt_growth" localSheetId="12">#REF!</definedName>
    <definedName name="pbt_growth" localSheetId="24">#REF!</definedName>
    <definedName name="pbt_growth" localSheetId="7">#REF!</definedName>
    <definedName name="pbt_growth" localSheetId="20">#REF!</definedName>
    <definedName name="pbt_growth" localSheetId="21">#REF!</definedName>
    <definedName name="pbt_growth" localSheetId="11">#REF!</definedName>
    <definedName name="pbt_growth" localSheetId="17">#REF!</definedName>
    <definedName name="pbt_growth" localSheetId="16">#REF!</definedName>
    <definedName name="pbt_growth" localSheetId="22">#REF!</definedName>
    <definedName name="pbt_growth" localSheetId="9">#REF!</definedName>
    <definedName name="pbt_growth" localSheetId="13">#REF!</definedName>
    <definedName name="pbt_growth" localSheetId="23">#REF!</definedName>
    <definedName name="pbt_growth">#REF!</definedName>
    <definedName name="pbt_margin" localSheetId="4">#REF!</definedName>
    <definedName name="pbt_margin" localSheetId="5">#REF!</definedName>
    <definedName name="pbt_margin" localSheetId="15">#REF!</definedName>
    <definedName name="pbt_margin" localSheetId="19">#REF!</definedName>
    <definedName name="pbt_margin" localSheetId="18">#REF!</definedName>
    <definedName name="pbt_margin" localSheetId="14">#REF!</definedName>
    <definedName name="pbt_margin" localSheetId="12">#REF!</definedName>
    <definedName name="pbt_margin" localSheetId="24">#REF!</definedName>
    <definedName name="pbt_margin" localSheetId="7">#REF!</definedName>
    <definedName name="pbt_margin" localSheetId="20">#REF!</definedName>
    <definedName name="pbt_margin" localSheetId="21">#REF!</definedName>
    <definedName name="pbt_margin" localSheetId="11">#REF!</definedName>
    <definedName name="pbt_margin" localSheetId="17">#REF!</definedName>
    <definedName name="pbt_margin" localSheetId="16">#REF!</definedName>
    <definedName name="pbt_margin" localSheetId="22">#REF!</definedName>
    <definedName name="pbt_margin" localSheetId="9">#REF!</definedName>
    <definedName name="pbt_margin" localSheetId="13">#REF!</definedName>
    <definedName name="pbt_margin" localSheetId="23">#REF!</definedName>
    <definedName name="pbt_margin">#REF!</definedName>
    <definedName name="PCASHTAX" localSheetId="4">#REF!</definedName>
    <definedName name="PCASHTAX" localSheetId="9">#REF!</definedName>
    <definedName name="PCASHTAX">#REF!</definedName>
    <definedName name="pce" localSheetId="4">#REF!</definedName>
    <definedName name="pce" localSheetId="5">#REF!</definedName>
    <definedName name="pce" localSheetId="15">#REF!</definedName>
    <definedName name="pce" localSheetId="19">#REF!</definedName>
    <definedName name="pce" localSheetId="18">#REF!</definedName>
    <definedName name="pce" localSheetId="14">#REF!</definedName>
    <definedName name="pce" localSheetId="12">#REF!</definedName>
    <definedName name="pce" localSheetId="24">#REF!</definedName>
    <definedName name="pce" localSheetId="7">#REF!</definedName>
    <definedName name="pce" localSheetId="20">#REF!</definedName>
    <definedName name="pce" localSheetId="21">#REF!</definedName>
    <definedName name="pce" localSheetId="11">#REF!</definedName>
    <definedName name="pce" localSheetId="17">#REF!</definedName>
    <definedName name="pce" localSheetId="16">#REF!</definedName>
    <definedName name="pce" localSheetId="22">#REF!</definedName>
    <definedName name="pce" localSheetId="9">#REF!</definedName>
    <definedName name="pce" localSheetId="13">#REF!</definedName>
    <definedName name="pce" localSheetId="23">#REF!</definedName>
    <definedName name="pce">#REF!</definedName>
    <definedName name="pcf" localSheetId="4">#REF!</definedName>
    <definedName name="pcf" localSheetId="5">#REF!</definedName>
    <definedName name="pcf" localSheetId="15">#REF!</definedName>
    <definedName name="pcf" localSheetId="19">#REF!</definedName>
    <definedName name="pcf" localSheetId="18">#REF!</definedName>
    <definedName name="pcf" localSheetId="14">#REF!</definedName>
    <definedName name="pcf" localSheetId="12">#REF!</definedName>
    <definedName name="pcf" localSheetId="24">#REF!</definedName>
    <definedName name="pcf" localSheetId="7">#REF!</definedName>
    <definedName name="pcf" localSheetId="20">#REF!</definedName>
    <definedName name="pcf" localSheetId="21">#REF!</definedName>
    <definedName name="pcf" localSheetId="11">#REF!</definedName>
    <definedName name="pcf" localSheetId="17">#REF!</definedName>
    <definedName name="pcf" localSheetId="16">#REF!</definedName>
    <definedName name="pcf" localSheetId="22">#REF!</definedName>
    <definedName name="pcf" localSheetId="9">#REF!</definedName>
    <definedName name="pcf" localSheetId="13">#REF!</definedName>
    <definedName name="pcf" localSheetId="23">#REF!</definedName>
    <definedName name="pcf">#REF!</definedName>
    <definedName name="pciwgt">#REF!</definedName>
    <definedName name="pco" localSheetId="4">#REF!</definedName>
    <definedName name="pco" localSheetId="5">#REF!</definedName>
    <definedName name="pco" localSheetId="15">#REF!</definedName>
    <definedName name="pco" localSheetId="19">#REF!</definedName>
    <definedName name="pco" localSheetId="18">#REF!</definedName>
    <definedName name="pco" localSheetId="14">#REF!</definedName>
    <definedName name="pco" localSheetId="12">#REF!</definedName>
    <definedName name="pco" localSheetId="24">#REF!</definedName>
    <definedName name="pco" localSheetId="7">#REF!</definedName>
    <definedName name="pco" localSheetId="20">#REF!</definedName>
    <definedName name="pco" localSheetId="21">#REF!</definedName>
    <definedName name="pco" localSheetId="11">#REF!</definedName>
    <definedName name="pco" localSheetId="17">#REF!</definedName>
    <definedName name="pco" localSheetId="16">#REF!</definedName>
    <definedName name="pco" localSheetId="22">#REF!</definedName>
    <definedName name="pco" localSheetId="9">#REF!</definedName>
    <definedName name="pco" localSheetId="13">#REF!</definedName>
    <definedName name="pco" localSheetId="23">#REF!</definedName>
    <definedName name="pco">#REF!</definedName>
    <definedName name="PCOGS" localSheetId="4">#REF!</definedName>
    <definedName name="PCOGS" localSheetId="9">#REF!</definedName>
    <definedName name="PCOGS">#REF!</definedName>
    <definedName name="PCONSTANT" localSheetId="4">#REF!</definedName>
    <definedName name="PCONSTANT" localSheetId="9">#REF!</definedName>
    <definedName name="PCONSTANT">#REF!</definedName>
    <definedName name="pde" localSheetId="4">#REF!</definedName>
    <definedName name="pde" localSheetId="5">#REF!</definedName>
    <definedName name="pde" localSheetId="15">#REF!</definedName>
    <definedName name="pde" localSheetId="19">#REF!</definedName>
    <definedName name="pde" localSheetId="18">#REF!</definedName>
    <definedName name="pde" localSheetId="14">#REF!</definedName>
    <definedName name="pde" localSheetId="12">#REF!</definedName>
    <definedName name="pde" localSheetId="24">#REF!</definedName>
    <definedName name="pde" localSheetId="7">#REF!</definedName>
    <definedName name="pde" localSheetId="20">#REF!</definedName>
    <definedName name="pde" localSheetId="21">#REF!</definedName>
    <definedName name="pde" localSheetId="11">#REF!</definedName>
    <definedName name="pde" localSheetId="17">#REF!</definedName>
    <definedName name="pde" localSheetId="16">#REF!</definedName>
    <definedName name="pde" localSheetId="22">#REF!</definedName>
    <definedName name="pde" localSheetId="9">#REF!</definedName>
    <definedName name="pde" localSheetId="13">#REF!</definedName>
    <definedName name="pde" localSheetId="23">#REF!</definedName>
    <definedName name="pde">#REF!</definedName>
    <definedName name="PDEPRECIATION" localSheetId="4">#REF!</definedName>
    <definedName name="PDEPRECIATION" localSheetId="9">#REF!</definedName>
    <definedName name="PDEPRECIATION">#REF!</definedName>
    <definedName name="pdp" localSheetId="4">#REF!</definedName>
    <definedName name="pdp" localSheetId="5">#REF!</definedName>
    <definedName name="pdp" localSheetId="15">#REF!</definedName>
    <definedName name="pdp" localSheetId="19">#REF!</definedName>
    <definedName name="pdp" localSheetId="18">#REF!</definedName>
    <definedName name="pdp" localSheetId="14">#REF!</definedName>
    <definedName name="pdp" localSheetId="12">#REF!</definedName>
    <definedName name="pdp" localSheetId="24">#REF!</definedName>
    <definedName name="pdp" localSheetId="7">#REF!</definedName>
    <definedName name="pdp" localSheetId="20">#REF!</definedName>
    <definedName name="pdp" localSheetId="21">#REF!</definedName>
    <definedName name="pdp" localSheetId="11">#REF!</definedName>
    <definedName name="pdp" localSheetId="17">#REF!</definedName>
    <definedName name="pdp" localSheetId="16">#REF!</definedName>
    <definedName name="pdp" localSheetId="22">#REF!</definedName>
    <definedName name="pdp" localSheetId="9">#REF!</definedName>
    <definedName name="pdp" localSheetId="13">#REF!</definedName>
    <definedName name="pdp" localSheetId="23">#REF!</definedName>
    <definedName name="pdp">#REF!</definedName>
    <definedName name="PDvTax">#REF!</definedName>
    <definedName name="pe" localSheetId="4">#REF!</definedName>
    <definedName name="pe" localSheetId="5">#REF!</definedName>
    <definedName name="pe" localSheetId="15">#REF!</definedName>
    <definedName name="pe" localSheetId="19">#REF!</definedName>
    <definedName name="pe" localSheetId="18">#REF!</definedName>
    <definedName name="pe" localSheetId="14">#REF!</definedName>
    <definedName name="pe" localSheetId="12">#REF!</definedName>
    <definedName name="pe" localSheetId="24">#REF!</definedName>
    <definedName name="pe" localSheetId="7">#REF!</definedName>
    <definedName name="pe" localSheetId="20">#REF!</definedName>
    <definedName name="pe" localSheetId="21">#REF!</definedName>
    <definedName name="pe" localSheetId="11">#REF!</definedName>
    <definedName name="pe" localSheetId="17">#REF!</definedName>
    <definedName name="pe" localSheetId="16">#REF!</definedName>
    <definedName name="pe" localSheetId="22">#REF!</definedName>
    <definedName name="pe" localSheetId="9">#REF!</definedName>
    <definedName name="pe" localSheetId="13">#REF!</definedName>
    <definedName name="pe" localSheetId="23">#REF!</definedName>
    <definedName name="pe">#REF!</definedName>
    <definedName name="pe_to_pop" localSheetId="4">#REF!</definedName>
    <definedName name="pe_to_pop" localSheetId="5">#REF!</definedName>
    <definedName name="pe_to_pop" localSheetId="15">#REF!</definedName>
    <definedName name="pe_to_pop" localSheetId="19">#REF!</definedName>
    <definedName name="pe_to_pop" localSheetId="18">#REF!</definedName>
    <definedName name="pe_to_pop" localSheetId="14">#REF!</definedName>
    <definedName name="pe_to_pop" localSheetId="12">#REF!</definedName>
    <definedName name="pe_to_pop" localSheetId="24">#REF!</definedName>
    <definedName name="pe_to_pop" localSheetId="7">#REF!</definedName>
    <definedName name="pe_to_pop" localSheetId="20">#REF!</definedName>
    <definedName name="pe_to_pop" localSheetId="21">#REF!</definedName>
    <definedName name="pe_to_pop" localSheetId="11">#REF!</definedName>
    <definedName name="pe_to_pop" localSheetId="17">#REF!</definedName>
    <definedName name="pe_to_pop" localSheetId="16">#REF!</definedName>
    <definedName name="pe_to_pop" localSheetId="22">#REF!</definedName>
    <definedName name="pe_to_pop" localSheetId="9">#REF!</definedName>
    <definedName name="pe_to_pop" localSheetId="13">#REF!</definedName>
    <definedName name="pe_to_pop" localSheetId="23">#REF!</definedName>
    <definedName name="pe_to_pop">#REF!</definedName>
    <definedName name="peb" localSheetId="4">#REF!</definedName>
    <definedName name="peb" localSheetId="5">#REF!</definedName>
    <definedName name="peb" localSheetId="15">#REF!</definedName>
    <definedName name="peb" localSheetId="19">#REF!</definedName>
    <definedName name="peb" localSheetId="18">#REF!</definedName>
    <definedName name="peb" localSheetId="14">#REF!</definedName>
    <definedName name="peb" localSheetId="12">#REF!</definedName>
    <definedName name="peb" localSheetId="24">#REF!</definedName>
    <definedName name="peb" localSheetId="7">#REF!</definedName>
    <definedName name="peb" localSheetId="20">#REF!</definedName>
    <definedName name="peb" localSheetId="21">#REF!</definedName>
    <definedName name="peb" localSheetId="11">#REF!</definedName>
    <definedName name="peb" localSheetId="17">#REF!</definedName>
    <definedName name="peb" localSheetId="16">#REF!</definedName>
    <definedName name="peb" localSheetId="22">#REF!</definedName>
    <definedName name="peb" localSheetId="9">#REF!</definedName>
    <definedName name="peb" localSheetId="13">#REF!</definedName>
    <definedName name="peb" localSheetId="23">#REF!</definedName>
    <definedName name="peb">#REF!</definedName>
    <definedName name="pebanddata" localSheetId="4">#REF!</definedName>
    <definedName name="pebanddata" localSheetId="9">#REF!</definedName>
    <definedName name="pebanddata">#REF!</definedName>
    <definedName name="peg" localSheetId="4">#REF!</definedName>
    <definedName name="peg" localSheetId="9">#REF!</definedName>
    <definedName name="peg">#REF!</definedName>
    <definedName name="pei" localSheetId="4">#REF!</definedName>
    <definedName name="pei" localSheetId="9">#REF!</definedName>
    <definedName name="pei">#REF!</definedName>
    <definedName name="per">#REF!</definedName>
    <definedName name="per_capita">#REF!</definedName>
    <definedName name="pereldata" localSheetId="4">#REF!</definedName>
    <definedName name="pereldata" localSheetId="5">#REF!</definedName>
    <definedName name="pereldata" localSheetId="15">#REF!</definedName>
    <definedName name="pereldata" localSheetId="19">#REF!</definedName>
    <definedName name="pereldata" localSheetId="18">#REF!</definedName>
    <definedName name="pereldata" localSheetId="14">#REF!</definedName>
    <definedName name="pereldata" localSheetId="12">#REF!</definedName>
    <definedName name="pereldata" localSheetId="24">#REF!</definedName>
    <definedName name="pereldata" localSheetId="7">#REF!</definedName>
    <definedName name="pereldata" localSheetId="20">#REF!</definedName>
    <definedName name="pereldata" localSheetId="21">#REF!</definedName>
    <definedName name="pereldata" localSheetId="11">#REF!</definedName>
    <definedName name="pereldata" localSheetId="17">#REF!</definedName>
    <definedName name="pereldata" localSheetId="16">#REF!</definedName>
    <definedName name="pereldata" localSheetId="22">#REF!</definedName>
    <definedName name="pereldata" localSheetId="9">#REF!</definedName>
    <definedName name="pereldata" localSheetId="13">#REF!</definedName>
    <definedName name="pereldata" localSheetId="23">#REF!</definedName>
    <definedName name="pereldata">#REF!</definedName>
    <definedName name="period_months">#REF!</definedName>
    <definedName name="period_months_A">#REF!</definedName>
    <definedName name="period_months_qtr">#REF!</definedName>
    <definedName name="pet" localSheetId="4">#REF!</definedName>
    <definedName name="pet" localSheetId="5">#REF!</definedName>
    <definedName name="pet" localSheetId="15">#REF!</definedName>
    <definedName name="pet" localSheetId="19">#REF!</definedName>
    <definedName name="pet" localSheetId="18">#REF!</definedName>
    <definedName name="pet" localSheetId="14">#REF!</definedName>
    <definedName name="pet" localSheetId="12">#REF!</definedName>
    <definedName name="pet" localSheetId="24">#REF!</definedName>
    <definedName name="pet" localSheetId="7">#REF!</definedName>
    <definedName name="pet" localSheetId="20">#REF!</definedName>
    <definedName name="pet" localSheetId="21">#REF!</definedName>
    <definedName name="pet" localSheetId="11">#REF!</definedName>
    <definedName name="pet" localSheetId="17">#REF!</definedName>
    <definedName name="pet" localSheetId="16">#REF!</definedName>
    <definedName name="pet" localSheetId="22">#REF!</definedName>
    <definedName name="pet" localSheetId="9">#REF!</definedName>
    <definedName name="pet" localSheetId="13">#REF!</definedName>
    <definedName name="pet" localSheetId="23">#REF!</definedName>
    <definedName name="pet">#REF!</definedName>
    <definedName name="PEVA" localSheetId="4">#REF!</definedName>
    <definedName name="PEVA" localSheetId="9">#REF!</definedName>
    <definedName name="PEVA">#REF!</definedName>
    <definedName name="pfx" localSheetId="4">#REF!</definedName>
    <definedName name="pfx" localSheetId="5">#REF!</definedName>
    <definedName name="pfx" localSheetId="15">#REF!</definedName>
    <definedName name="pfx" localSheetId="19">#REF!</definedName>
    <definedName name="pfx" localSheetId="18">#REF!</definedName>
    <definedName name="pfx" localSheetId="14">#REF!</definedName>
    <definedName name="pfx" localSheetId="12">#REF!</definedName>
    <definedName name="pfx" localSheetId="24">#REF!</definedName>
    <definedName name="pfx" localSheetId="7">#REF!</definedName>
    <definedName name="pfx" localSheetId="20">#REF!</definedName>
    <definedName name="pfx" localSheetId="21">#REF!</definedName>
    <definedName name="pfx" localSheetId="11">#REF!</definedName>
    <definedName name="pfx" localSheetId="17">#REF!</definedName>
    <definedName name="pfx" localSheetId="16">#REF!</definedName>
    <definedName name="pfx" localSheetId="22">#REF!</definedName>
    <definedName name="pfx" localSheetId="9">#REF!</definedName>
    <definedName name="pfx" localSheetId="13">#REF!</definedName>
    <definedName name="pfx" localSheetId="23">#REF!</definedName>
    <definedName name="pfx">#REF!</definedName>
    <definedName name="pga" localSheetId="4">#REF!</definedName>
    <definedName name="pga" localSheetId="5">#REF!</definedName>
    <definedName name="pga" localSheetId="15">#REF!</definedName>
    <definedName name="pga" localSheetId="19">#REF!</definedName>
    <definedName name="pga" localSheetId="18">#REF!</definedName>
    <definedName name="pga" localSheetId="14">#REF!</definedName>
    <definedName name="pga" localSheetId="12">#REF!</definedName>
    <definedName name="pga" localSheetId="24">#REF!</definedName>
    <definedName name="pga" localSheetId="7">#REF!</definedName>
    <definedName name="pga" localSheetId="20">#REF!</definedName>
    <definedName name="pga" localSheetId="21">#REF!</definedName>
    <definedName name="pga" localSheetId="11">#REF!</definedName>
    <definedName name="pga" localSheetId="17">#REF!</definedName>
    <definedName name="pga" localSheetId="16">#REF!</definedName>
    <definedName name="pga" localSheetId="22">#REF!</definedName>
    <definedName name="pga" localSheetId="9">#REF!</definedName>
    <definedName name="pga" localSheetId="13">#REF!</definedName>
    <definedName name="pga" localSheetId="23">#REF!</definedName>
    <definedName name="pga">#REF!</definedName>
    <definedName name="pgp" localSheetId="4">#REF!</definedName>
    <definedName name="pgp" localSheetId="5">#REF!</definedName>
    <definedName name="pgp" localSheetId="15">#REF!</definedName>
    <definedName name="pgp" localSheetId="19">#REF!</definedName>
    <definedName name="pgp" localSheetId="18">#REF!</definedName>
    <definedName name="pgp" localSheetId="14">#REF!</definedName>
    <definedName name="pgp" localSheetId="12">#REF!</definedName>
    <definedName name="pgp" localSheetId="24">#REF!</definedName>
    <definedName name="pgp" localSheetId="7">#REF!</definedName>
    <definedName name="pgp" localSheetId="20">#REF!</definedName>
    <definedName name="pgp" localSheetId="21">#REF!</definedName>
    <definedName name="pgp" localSheetId="11">#REF!</definedName>
    <definedName name="pgp" localSheetId="17">#REF!</definedName>
    <definedName name="pgp" localSheetId="16">#REF!</definedName>
    <definedName name="pgp" localSheetId="22">#REF!</definedName>
    <definedName name="pgp" localSheetId="9">#REF!</definedName>
    <definedName name="pgp" localSheetId="13">#REF!</definedName>
    <definedName name="pgp" localSheetId="23">#REF!</definedName>
    <definedName name="pgp">#REF!</definedName>
    <definedName name="PGROWTH" localSheetId="4">#REF!</definedName>
    <definedName name="PGROWTH" localSheetId="9">#REF!</definedName>
    <definedName name="PGROWTH">#REF!</definedName>
    <definedName name="philippines">#REF!</definedName>
    <definedName name="PHISTORICAL" localSheetId="4">#REF!</definedName>
    <definedName name="PHISTORICAL" localSheetId="9">#REF!</definedName>
    <definedName name="PHISTORICAL">#REF!</definedName>
    <definedName name="Picture3">{"Mcp08.PrintRep",""}</definedName>
    <definedName name="pie" localSheetId="4">#REF!</definedName>
    <definedName name="pie" localSheetId="5">#REF!</definedName>
    <definedName name="pie" localSheetId="15">#REF!</definedName>
    <definedName name="pie" localSheetId="19">#REF!</definedName>
    <definedName name="pie" localSheetId="18">#REF!</definedName>
    <definedName name="pie" localSheetId="14">#REF!</definedName>
    <definedName name="pie" localSheetId="12">#REF!</definedName>
    <definedName name="pie" localSheetId="24">#REF!</definedName>
    <definedName name="pie" localSheetId="7">#REF!</definedName>
    <definedName name="pie" localSheetId="20">#REF!</definedName>
    <definedName name="pie" localSheetId="21">#REF!</definedName>
    <definedName name="pie" localSheetId="11">#REF!</definedName>
    <definedName name="pie" localSheetId="17">#REF!</definedName>
    <definedName name="pie" localSheetId="16">#REF!</definedName>
    <definedName name="pie" localSheetId="22">#REF!</definedName>
    <definedName name="pie" localSheetId="9">#REF!</definedName>
    <definedName name="pie" localSheetId="13">#REF!</definedName>
    <definedName name="pie" localSheetId="23">#REF!</definedName>
    <definedName name="pie">#REF!</definedName>
    <definedName name="pii" localSheetId="4">#REF!</definedName>
    <definedName name="pii" localSheetId="5">#REF!</definedName>
    <definedName name="pii" localSheetId="15">#REF!</definedName>
    <definedName name="pii" localSheetId="19">#REF!</definedName>
    <definedName name="pii" localSheetId="18">#REF!</definedName>
    <definedName name="pii" localSheetId="14">#REF!</definedName>
    <definedName name="pii" localSheetId="12">#REF!</definedName>
    <definedName name="pii" localSheetId="24">#REF!</definedName>
    <definedName name="pii" localSheetId="7">#REF!</definedName>
    <definedName name="pii" localSheetId="20">#REF!</definedName>
    <definedName name="pii" localSheetId="21">#REF!</definedName>
    <definedName name="pii" localSheetId="11">#REF!</definedName>
    <definedName name="pii" localSheetId="17">#REF!</definedName>
    <definedName name="pii" localSheetId="16">#REF!</definedName>
    <definedName name="pii" localSheetId="22">#REF!</definedName>
    <definedName name="pii" localSheetId="9">#REF!</definedName>
    <definedName name="pii" localSheetId="13">#REF!</definedName>
    <definedName name="pii" localSheetId="23">#REF!</definedName>
    <definedName name="pii">#REF!</definedName>
    <definedName name="pin" localSheetId="4">#REF!</definedName>
    <definedName name="pin" localSheetId="5">#REF!</definedName>
    <definedName name="pin" localSheetId="15">#REF!</definedName>
    <definedName name="pin" localSheetId="19">#REF!</definedName>
    <definedName name="pin" localSheetId="18">#REF!</definedName>
    <definedName name="pin" localSheetId="14">#REF!</definedName>
    <definedName name="pin" localSheetId="12">#REF!</definedName>
    <definedName name="pin" localSheetId="24">#REF!</definedName>
    <definedName name="pin" localSheetId="7">#REF!</definedName>
    <definedName name="pin" localSheetId="20">#REF!</definedName>
    <definedName name="pin" localSheetId="21">#REF!</definedName>
    <definedName name="pin" localSheetId="11">#REF!</definedName>
    <definedName name="pin" localSheetId="17">#REF!</definedName>
    <definedName name="pin" localSheetId="16">#REF!</definedName>
    <definedName name="pin" localSheetId="22">#REF!</definedName>
    <definedName name="pin" localSheetId="9">#REF!</definedName>
    <definedName name="pin" localSheetId="13">#REF!</definedName>
    <definedName name="pin" localSheetId="23">#REF!</definedName>
    <definedName name="pin">#REF!</definedName>
    <definedName name="PINCREASED" localSheetId="4">#REF!</definedName>
    <definedName name="PINCREASED" localSheetId="9">#REF!</definedName>
    <definedName name="PINCREASED">#REF!</definedName>
    <definedName name="PINETOTHER" localSheetId="4">#REF!</definedName>
    <definedName name="PINETOTHER" localSheetId="9">#REF!</definedName>
    <definedName name="PINETOTHER">#REF!</definedName>
    <definedName name="PINETPPE" localSheetId="4">#REF!</definedName>
    <definedName name="PINETPPE" localSheetId="9">#REF!</definedName>
    <definedName name="PINETPPE">#REF!</definedName>
    <definedName name="PINTENSITY" localSheetId="4">#REF!</definedName>
    <definedName name="PINTENSITY" localSheetId="9">#REF!</definedName>
    <definedName name="PINTENSITY">#REF!</definedName>
    <definedName name="PINVESTMENT" localSheetId="4">#REF!</definedName>
    <definedName name="PINVESTMENT" localSheetId="9">#REF!</definedName>
    <definedName name="PINVESTMENT">#REF!</definedName>
    <definedName name="PINVESTYEARS" localSheetId="4">#REF!</definedName>
    <definedName name="PINVESTYEARS" localSheetId="9">#REF!</definedName>
    <definedName name="PINVESTYEARS">#REF!</definedName>
    <definedName name="PIWORKING" localSheetId="4">#REF!</definedName>
    <definedName name="PIWORKING" localSheetId="9">#REF!</definedName>
    <definedName name="PIWORKING">#REF!</definedName>
    <definedName name="PJDepreciation">#REF!</definedName>
    <definedName name="PL" localSheetId="4">#REF!</definedName>
    <definedName name="PL" localSheetId="5">#REF!</definedName>
    <definedName name="PL" localSheetId="15">#REF!</definedName>
    <definedName name="PL" localSheetId="19">#REF!</definedName>
    <definedName name="PL" localSheetId="18">#REF!</definedName>
    <definedName name="PL" localSheetId="14">#REF!</definedName>
    <definedName name="PL" localSheetId="12">#REF!</definedName>
    <definedName name="PL" localSheetId="24">#REF!</definedName>
    <definedName name="PL" localSheetId="7">#REF!</definedName>
    <definedName name="PL" localSheetId="20">#REF!</definedName>
    <definedName name="PL" localSheetId="21">#REF!</definedName>
    <definedName name="PL" localSheetId="11">#REF!</definedName>
    <definedName name="PL" localSheetId="17">#REF!</definedName>
    <definedName name="PL" localSheetId="16">#REF!</definedName>
    <definedName name="PL" localSheetId="22">#REF!</definedName>
    <definedName name="PL" localSheetId="9">#REF!</definedName>
    <definedName name="PL" localSheetId="13">#REF!</definedName>
    <definedName name="PL" localSheetId="23">#REF!</definedName>
    <definedName name="PL">#REF!</definedName>
    <definedName name="PL_ASSOC" localSheetId="4">#REF!</definedName>
    <definedName name="PL_ASSOC" localSheetId="5">#REF!</definedName>
    <definedName name="PL_ASSOC" localSheetId="15">#REF!</definedName>
    <definedName name="PL_ASSOC" localSheetId="19">#REF!</definedName>
    <definedName name="PL_ASSOC" localSheetId="18">#REF!</definedName>
    <definedName name="PL_ASSOC" localSheetId="14">#REF!</definedName>
    <definedName name="PL_ASSOC" localSheetId="12">#REF!</definedName>
    <definedName name="PL_ASSOC" localSheetId="24">#REF!</definedName>
    <definedName name="PL_ASSOC" localSheetId="7">#REF!</definedName>
    <definedName name="PL_ASSOC" localSheetId="20">#REF!</definedName>
    <definedName name="PL_ASSOC" localSheetId="21">#REF!</definedName>
    <definedName name="PL_ASSOC" localSheetId="11">#REF!</definedName>
    <definedName name="PL_ASSOC" localSheetId="17">#REF!</definedName>
    <definedName name="PL_ASSOC" localSheetId="16">#REF!</definedName>
    <definedName name="PL_ASSOC" localSheetId="22">#REF!</definedName>
    <definedName name="PL_ASSOC" localSheetId="9">#REF!</definedName>
    <definedName name="PL_ASSOC" localSheetId="13">#REF!</definedName>
    <definedName name="PL_ASSOC" localSheetId="23">#REF!</definedName>
    <definedName name="PL_ASSOC">#REF!</definedName>
    <definedName name="pl_ganesh">#REF!</definedName>
    <definedName name="pl_jb">#REF!</definedName>
    <definedName name="pl_ratio_jb">#REF!</definedName>
    <definedName name="pl_sski" localSheetId="4">#REF!</definedName>
    <definedName name="pl_sski" localSheetId="5">#REF!</definedName>
    <definedName name="pl_sski" localSheetId="15">#REF!</definedName>
    <definedName name="pl_sski" localSheetId="19">#REF!</definedName>
    <definedName name="pl_sski" localSheetId="18">#REF!</definedName>
    <definedName name="pl_sski" localSheetId="14">#REF!</definedName>
    <definedName name="pl_sski" localSheetId="12">#REF!</definedName>
    <definedName name="pl_sski" localSheetId="24">#REF!</definedName>
    <definedName name="pl_sski" localSheetId="7">#REF!</definedName>
    <definedName name="pl_sski" localSheetId="20">#REF!</definedName>
    <definedName name="pl_sski" localSheetId="21">#REF!</definedName>
    <definedName name="pl_sski" localSheetId="11">#REF!</definedName>
    <definedName name="pl_sski" localSheetId="17">#REF!</definedName>
    <definedName name="pl_sski" localSheetId="16">#REF!</definedName>
    <definedName name="pl_sski" localSheetId="22">#REF!</definedName>
    <definedName name="pl_sski" localSheetId="9">#REF!</definedName>
    <definedName name="pl_sski" localSheetId="13">#REF!</definedName>
    <definedName name="pl_sski" localSheetId="23">#REF!</definedName>
    <definedName name="pl_sski">#REF!</definedName>
    <definedName name="Plant_and_Machinery_AD">#REF!</definedName>
    <definedName name="Plant_and_Machinery_Dep">#REF!</definedName>
    <definedName name="Plant_and_Machinery_GB">#REF!</definedName>
    <definedName name="Plant_and_Machinery_NB">#REF!</definedName>
    <definedName name="plant_equipment">#REF!</definedName>
    <definedName name="Plant_Wise_Capacity">#REF!</definedName>
    <definedName name="plf_bhira">#REF!</definedName>
    <definedName name="plf_bhivpuri">#REF!</definedName>
    <definedName name="plf_khopoli">#REF!</definedName>
    <definedName name="plr">#REF!</definedName>
    <definedName name="PM_BM12" localSheetId="4">#REF!</definedName>
    <definedName name="PM_BM12" localSheetId="5">#REF!</definedName>
    <definedName name="PM_BM12" localSheetId="15">#REF!</definedName>
    <definedName name="PM_BM12" localSheetId="19">#REF!</definedName>
    <definedName name="PM_BM12" localSheetId="18">#REF!</definedName>
    <definedName name="PM_BM12" localSheetId="14">#REF!</definedName>
    <definedName name="PM_BM12" localSheetId="12">#REF!</definedName>
    <definedName name="PM_BM12" localSheetId="24">#REF!</definedName>
    <definedName name="PM_BM12" localSheetId="7">#REF!</definedName>
    <definedName name="PM_BM12" localSheetId="20">#REF!</definedName>
    <definedName name="PM_BM12" localSheetId="21">#REF!</definedName>
    <definedName name="PM_BM12" localSheetId="11">#REF!</definedName>
    <definedName name="PM_BM12" localSheetId="17">#REF!</definedName>
    <definedName name="PM_BM12" localSheetId="16">#REF!</definedName>
    <definedName name="PM_BM12" localSheetId="22">#REF!</definedName>
    <definedName name="PM_BM12" localSheetId="9">#REF!</definedName>
    <definedName name="PM_BM12" localSheetId="13">#REF!</definedName>
    <definedName name="PM_BM12" localSheetId="23">#REF!</definedName>
    <definedName name="PM_BM12">#REF!</definedName>
    <definedName name="PM_BM13" localSheetId="4">#REF!</definedName>
    <definedName name="PM_BM13" localSheetId="5">#REF!</definedName>
    <definedName name="PM_BM13" localSheetId="15">#REF!</definedName>
    <definedName name="PM_BM13" localSheetId="19">#REF!</definedName>
    <definedName name="PM_BM13" localSheetId="18">#REF!</definedName>
    <definedName name="PM_BM13" localSheetId="14">#REF!</definedName>
    <definedName name="PM_BM13" localSheetId="12">#REF!</definedName>
    <definedName name="PM_BM13" localSheetId="24">#REF!</definedName>
    <definedName name="PM_BM13" localSheetId="7">#REF!</definedName>
    <definedName name="PM_BM13" localSheetId="20">#REF!</definedName>
    <definedName name="PM_BM13" localSheetId="21">#REF!</definedName>
    <definedName name="PM_BM13" localSheetId="11">#REF!</definedName>
    <definedName name="PM_BM13" localSheetId="17">#REF!</definedName>
    <definedName name="PM_BM13" localSheetId="16">#REF!</definedName>
    <definedName name="PM_BM13" localSheetId="22">#REF!</definedName>
    <definedName name="PM_BM13" localSheetId="9">#REF!</definedName>
    <definedName name="PM_BM13" localSheetId="13">#REF!</definedName>
    <definedName name="PM_BM13" localSheetId="23">#REF!</definedName>
    <definedName name="PM_BM13">#REF!</definedName>
    <definedName name="PM_BM14" localSheetId="4">#REF!</definedName>
    <definedName name="PM_BM14" localSheetId="5">#REF!</definedName>
    <definedName name="PM_BM14" localSheetId="15">#REF!</definedName>
    <definedName name="PM_BM14" localSheetId="19">#REF!</definedName>
    <definedName name="PM_BM14" localSheetId="18">#REF!</definedName>
    <definedName name="PM_BM14" localSheetId="14">#REF!</definedName>
    <definedName name="PM_BM14" localSheetId="12">#REF!</definedName>
    <definedName name="PM_BM14" localSheetId="24">#REF!</definedName>
    <definedName name="PM_BM14" localSheetId="7">#REF!</definedName>
    <definedName name="PM_BM14" localSheetId="20">#REF!</definedName>
    <definedName name="PM_BM14" localSheetId="21">#REF!</definedName>
    <definedName name="PM_BM14" localSheetId="11">#REF!</definedName>
    <definedName name="PM_BM14" localSheetId="17">#REF!</definedName>
    <definedName name="PM_BM14" localSheetId="16">#REF!</definedName>
    <definedName name="PM_BM14" localSheetId="22">#REF!</definedName>
    <definedName name="PM_BM14" localSheetId="9">#REF!</definedName>
    <definedName name="PM_BM14" localSheetId="13">#REF!</definedName>
    <definedName name="PM_BM14" localSheetId="23">#REF!</definedName>
    <definedName name="PM_BM14">#REF!</definedName>
    <definedName name="PM_BM22_N1" localSheetId="4">#REF!</definedName>
    <definedName name="PM_BM22_N1" localSheetId="9">#REF!</definedName>
    <definedName name="PM_BM22_N1">#REF!</definedName>
    <definedName name="PM_BM23_N1" localSheetId="4">#REF!</definedName>
    <definedName name="PM_BM23_N1" localSheetId="9">#REF!</definedName>
    <definedName name="PM_BM23_N1">#REF!</definedName>
    <definedName name="PM_BM24_N1" localSheetId="4">#REF!</definedName>
    <definedName name="PM_BM24_N1" localSheetId="9">#REF!</definedName>
    <definedName name="PM_BM24_N1">#REF!</definedName>
    <definedName name="PM_BM25_N1" localSheetId="4">#REF!</definedName>
    <definedName name="PM_BM25_N1" localSheetId="9">#REF!</definedName>
    <definedName name="PM_BM25_N1">#REF!</definedName>
    <definedName name="PM_BM32_N1" localSheetId="4">#REF!</definedName>
    <definedName name="PM_BM32_N1" localSheetId="9">#REF!</definedName>
    <definedName name="PM_BM32_N1">#REF!</definedName>
    <definedName name="PM_BM33_N1" localSheetId="4">#REF!</definedName>
    <definedName name="PM_BM33_N1" localSheetId="9">#REF!</definedName>
    <definedName name="PM_BM33_N1">#REF!</definedName>
    <definedName name="PM_BM34_N1" localSheetId="4">#REF!</definedName>
    <definedName name="PM_BM34_N1" localSheetId="9">#REF!</definedName>
    <definedName name="PM_BM34_N1">#REF!</definedName>
    <definedName name="PM_BM35_N1" localSheetId="4">#REF!</definedName>
    <definedName name="PM_BM35_N1" localSheetId="9">#REF!</definedName>
    <definedName name="PM_BM35_N1">#REF!</definedName>
    <definedName name="PM_BM42_N1" localSheetId="4">#REF!</definedName>
    <definedName name="PM_BM42_N1" localSheetId="9">#REF!</definedName>
    <definedName name="PM_BM42_N1">#REF!</definedName>
    <definedName name="PM_BM43_N1" localSheetId="4">#REF!</definedName>
    <definedName name="PM_BM43_N1" localSheetId="9">#REF!</definedName>
    <definedName name="PM_BM43_N1">#REF!</definedName>
    <definedName name="PM_BM44_N1" localSheetId="4">#REF!</definedName>
    <definedName name="PM_BM44_N1" localSheetId="9">#REF!</definedName>
    <definedName name="PM_BM44_N1">#REF!</definedName>
    <definedName name="PM_BM45_N1" localSheetId="4">#REF!</definedName>
    <definedName name="PM_BM45_N1" localSheetId="9">#REF!</definedName>
    <definedName name="PM_BM45_N1">#REF!</definedName>
    <definedName name="PMARGIN" localSheetId="4">#REF!</definedName>
    <definedName name="PMARGIN" localSheetId="9">#REF!</definedName>
    <definedName name="PMARGIN">#REF!</definedName>
    <definedName name="pmi" localSheetId="4">#REF!</definedName>
    <definedName name="pmi" localSheetId="5">#REF!</definedName>
    <definedName name="pmi" localSheetId="15">#REF!</definedName>
    <definedName name="pmi" localSheetId="19">#REF!</definedName>
    <definedName name="pmi" localSheetId="18">#REF!</definedName>
    <definedName name="pmi" localSheetId="14">#REF!</definedName>
    <definedName name="pmi" localSheetId="12">#REF!</definedName>
    <definedName name="pmi" localSheetId="24">#REF!</definedName>
    <definedName name="pmi" localSheetId="7">#REF!</definedName>
    <definedName name="pmi" localSheetId="20">#REF!</definedName>
    <definedName name="pmi" localSheetId="21">#REF!</definedName>
    <definedName name="pmi" localSheetId="11">#REF!</definedName>
    <definedName name="pmi" localSheetId="17">#REF!</definedName>
    <definedName name="pmi" localSheetId="16">#REF!</definedName>
    <definedName name="pmi" localSheetId="22">#REF!</definedName>
    <definedName name="pmi" localSheetId="9">#REF!</definedName>
    <definedName name="pmi" localSheetId="13">#REF!</definedName>
    <definedName name="pmi" localSheetId="23">#REF!</definedName>
    <definedName name="pmi">#REF!</definedName>
    <definedName name="PN_BM15" localSheetId="4">#REF!</definedName>
    <definedName name="PN_BM15" localSheetId="5">#REF!</definedName>
    <definedName name="PN_BM15" localSheetId="15">#REF!</definedName>
    <definedName name="PN_BM15" localSheetId="19">#REF!</definedName>
    <definedName name="PN_BM15" localSheetId="18">#REF!</definedName>
    <definedName name="PN_BM15" localSheetId="14">#REF!</definedName>
    <definedName name="PN_BM15" localSheetId="12">#REF!</definedName>
    <definedName name="PN_BM15" localSheetId="24">#REF!</definedName>
    <definedName name="PN_BM15" localSheetId="7">#REF!</definedName>
    <definedName name="PN_BM15" localSheetId="20">#REF!</definedName>
    <definedName name="PN_BM15" localSheetId="21">#REF!</definedName>
    <definedName name="PN_BM15" localSheetId="11">#REF!</definedName>
    <definedName name="PN_BM15" localSheetId="17">#REF!</definedName>
    <definedName name="PN_BM15" localSheetId="16">#REF!</definedName>
    <definedName name="PN_BM15" localSheetId="22">#REF!</definedName>
    <definedName name="PN_BM15" localSheetId="9">#REF!</definedName>
    <definedName name="PN_BM15" localSheetId="13">#REF!</definedName>
    <definedName name="PN_BM15" localSheetId="23">#REF!</definedName>
    <definedName name="PN_BM15">#REF!</definedName>
    <definedName name="pnbwgt">#REF!</definedName>
    <definedName name="PNETPPE" localSheetId="4">#REF!</definedName>
    <definedName name="PNETPPE" localSheetId="9">#REF!</definedName>
    <definedName name="PNETPPE">#REF!</definedName>
    <definedName name="PNOPLAT" localSheetId="4">#REF!</definedName>
    <definedName name="PNOPLAT" localSheetId="9">#REF!</definedName>
    <definedName name="PNOPLAT">#REF!</definedName>
    <definedName name="pnp" localSheetId="4">#REF!</definedName>
    <definedName name="pnp" localSheetId="5">#REF!</definedName>
    <definedName name="pnp" localSheetId="15">#REF!</definedName>
    <definedName name="pnp" localSheetId="19">#REF!</definedName>
    <definedName name="pnp" localSheetId="18">#REF!</definedName>
    <definedName name="pnp" localSheetId="14">#REF!</definedName>
    <definedName name="pnp" localSheetId="12">#REF!</definedName>
    <definedName name="pnp" localSheetId="24">#REF!</definedName>
    <definedName name="pnp" localSheetId="7">#REF!</definedName>
    <definedName name="pnp" localSheetId="20">#REF!</definedName>
    <definedName name="pnp" localSheetId="21">#REF!</definedName>
    <definedName name="pnp" localSheetId="11">#REF!</definedName>
    <definedName name="pnp" localSheetId="17">#REF!</definedName>
    <definedName name="pnp" localSheetId="16">#REF!</definedName>
    <definedName name="pnp" localSheetId="22">#REF!</definedName>
    <definedName name="pnp" localSheetId="9">#REF!</definedName>
    <definedName name="pnp" localSheetId="13">#REF!</definedName>
    <definedName name="pnp" localSheetId="23">#REF!</definedName>
    <definedName name="pnp">#REF!</definedName>
    <definedName name="poi" localSheetId="4">#REF!</definedName>
    <definedName name="poi" localSheetId="5">#REF!</definedName>
    <definedName name="poi" localSheetId="15">#REF!</definedName>
    <definedName name="poi" localSheetId="19">#REF!</definedName>
    <definedName name="poi" localSheetId="18">#REF!</definedName>
    <definedName name="poi" localSheetId="14">#REF!</definedName>
    <definedName name="poi" localSheetId="12">#REF!</definedName>
    <definedName name="poi" localSheetId="24">#REF!</definedName>
    <definedName name="poi" localSheetId="7">#REF!</definedName>
    <definedName name="poi" localSheetId="20">#REF!</definedName>
    <definedName name="poi" localSheetId="21">#REF!</definedName>
    <definedName name="poi" localSheetId="11">#REF!</definedName>
    <definedName name="poi" localSheetId="17">#REF!</definedName>
    <definedName name="poi" localSheetId="16">#REF!</definedName>
    <definedName name="poi" localSheetId="22">#REF!</definedName>
    <definedName name="poi" localSheetId="9">#REF!</definedName>
    <definedName name="poi" localSheetId="13">#REF!</definedName>
    <definedName name="poi" localSheetId="23">#REF!</definedName>
    <definedName name="poi">#REF!</definedName>
    <definedName name="POOL">#REF!</definedName>
    <definedName name="pop" localSheetId="4">#REF!</definedName>
    <definedName name="pop" localSheetId="5">#REF!</definedName>
    <definedName name="pop" localSheetId="15">#REF!</definedName>
    <definedName name="pop" localSheetId="19">#REF!</definedName>
    <definedName name="pop" localSheetId="18">#REF!</definedName>
    <definedName name="pop" localSheetId="14">#REF!</definedName>
    <definedName name="pop" localSheetId="12">#REF!</definedName>
    <definedName name="pop" localSheetId="24">#REF!</definedName>
    <definedName name="pop" localSheetId="7">#REF!</definedName>
    <definedName name="pop" localSheetId="20">#REF!</definedName>
    <definedName name="pop" localSheetId="21">#REF!</definedName>
    <definedName name="pop" localSheetId="11">#REF!</definedName>
    <definedName name="pop" localSheetId="17">#REF!</definedName>
    <definedName name="pop" localSheetId="16">#REF!</definedName>
    <definedName name="pop" localSheetId="22">#REF!</definedName>
    <definedName name="pop" localSheetId="9">#REF!</definedName>
    <definedName name="pop" localSheetId="13">#REF!</definedName>
    <definedName name="pop" localSheetId="23">#REF!</definedName>
    <definedName name="pop">#REF!</definedName>
    <definedName name="pop_growth" localSheetId="4">#REF!</definedName>
    <definedName name="pop_growth" localSheetId="5">#REF!</definedName>
    <definedName name="pop_growth" localSheetId="15">#REF!</definedName>
    <definedName name="pop_growth" localSheetId="19">#REF!</definedName>
    <definedName name="pop_growth" localSheetId="18">#REF!</definedName>
    <definedName name="pop_growth" localSheetId="14">#REF!</definedName>
    <definedName name="pop_growth" localSheetId="12">#REF!</definedName>
    <definedName name="pop_growth" localSheetId="24">#REF!</definedName>
    <definedName name="pop_growth" localSheetId="7">#REF!</definedName>
    <definedName name="pop_growth" localSheetId="20">#REF!</definedName>
    <definedName name="pop_growth" localSheetId="21">#REF!</definedName>
    <definedName name="pop_growth" localSheetId="11">#REF!</definedName>
    <definedName name="pop_growth" localSheetId="17">#REF!</definedName>
    <definedName name="pop_growth" localSheetId="16">#REF!</definedName>
    <definedName name="pop_growth" localSheetId="22">#REF!</definedName>
    <definedName name="pop_growth" localSheetId="9">#REF!</definedName>
    <definedName name="pop_growth" localSheetId="13">#REF!</definedName>
    <definedName name="pop_growth" localSheetId="23">#REF!</definedName>
    <definedName name="pop_growth">#REF!</definedName>
    <definedName name="Postage__Telegraph___Telephone" localSheetId="4">#REF!</definedName>
    <definedName name="Postage__Telegraph___Telephone" localSheetId="5">#REF!</definedName>
    <definedName name="Postage__Telegraph___Telephone" localSheetId="15">#REF!</definedName>
    <definedName name="Postage__Telegraph___Telephone" localSheetId="19">#REF!</definedName>
    <definedName name="Postage__Telegraph___Telephone" localSheetId="18">#REF!</definedName>
    <definedName name="Postage__Telegraph___Telephone" localSheetId="14">#REF!</definedName>
    <definedName name="Postage__Telegraph___Telephone" localSheetId="12">#REF!</definedName>
    <definedName name="Postage__Telegraph___Telephone" localSheetId="24">#REF!</definedName>
    <definedName name="Postage__Telegraph___Telephone" localSheetId="7">#REF!</definedName>
    <definedName name="Postage__Telegraph___Telephone" localSheetId="20">#REF!</definedName>
    <definedName name="Postage__Telegraph___Telephone" localSheetId="21">#REF!</definedName>
    <definedName name="Postage__Telegraph___Telephone" localSheetId="11">#REF!</definedName>
    <definedName name="Postage__Telegraph___Telephone" localSheetId="17">#REF!</definedName>
    <definedName name="Postage__Telegraph___Telephone" localSheetId="16">#REF!</definedName>
    <definedName name="Postage__Telegraph___Telephone" localSheetId="22">#REF!</definedName>
    <definedName name="Postage__Telegraph___Telephone" localSheetId="9">#REF!</definedName>
    <definedName name="Postage__Telegraph___Telephone" localSheetId="13">#REF!</definedName>
    <definedName name="Postage__Telegraph___Telephone" localSheetId="23">#REF!</definedName>
    <definedName name="Postage__Telegraph___Telephone">#REF!</definedName>
    <definedName name="POTHER" localSheetId="4">#REF!</definedName>
    <definedName name="POTHER" localSheetId="9">#REF!</definedName>
    <definedName name="POTHER">#REF!</definedName>
    <definedName name="power">#REF!</definedName>
    <definedName name="power_A">#REF!</definedName>
    <definedName name="power_fuel">#REF!</definedName>
    <definedName name="powerworking">#REF!</definedName>
    <definedName name="PPnE_turns_fore" localSheetId="4">#REF!</definedName>
    <definedName name="PPnE_turns_fore" localSheetId="5">#REF!</definedName>
    <definedName name="PPnE_turns_fore" localSheetId="15">#REF!</definedName>
    <definedName name="PPnE_turns_fore" localSheetId="19">#REF!</definedName>
    <definedName name="PPnE_turns_fore" localSheetId="18">#REF!</definedName>
    <definedName name="PPnE_turns_fore" localSheetId="14">#REF!</definedName>
    <definedName name="PPnE_turns_fore" localSheetId="12">#REF!</definedName>
    <definedName name="PPnE_turns_fore" localSheetId="24">#REF!</definedName>
    <definedName name="PPnE_turns_fore" localSheetId="7">#REF!</definedName>
    <definedName name="PPnE_turns_fore" localSheetId="20">#REF!</definedName>
    <definedName name="PPnE_turns_fore" localSheetId="21">#REF!</definedName>
    <definedName name="PPnE_turns_fore" localSheetId="11">#REF!</definedName>
    <definedName name="PPnE_turns_fore" localSheetId="17">#REF!</definedName>
    <definedName name="PPnE_turns_fore" localSheetId="16">#REF!</definedName>
    <definedName name="PPnE_turns_fore" localSheetId="22">#REF!</definedName>
    <definedName name="PPnE_turns_fore" localSheetId="9">#REF!</definedName>
    <definedName name="PPnE_turns_fore" localSheetId="13">#REF!</definedName>
    <definedName name="PPnE_turns_fore" localSheetId="23">#REF!</definedName>
    <definedName name="PPnE_turns_fore">#REF!</definedName>
    <definedName name="ppr" localSheetId="4">#REF!</definedName>
    <definedName name="ppr" localSheetId="5">#REF!</definedName>
    <definedName name="ppr" localSheetId="15">#REF!</definedName>
    <definedName name="ppr" localSheetId="19">#REF!</definedName>
    <definedName name="ppr" localSheetId="18">#REF!</definedName>
    <definedName name="ppr" localSheetId="14">#REF!</definedName>
    <definedName name="ppr" localSheetId="12">#REF!</definedName>
    <definedName name="ppr" localSheetId="24">#REF!</definedName>
    <definedName name="ppr" localSheetId="7">#REF!</definedName>
    <definedName name="ppr" localSheetId="20">#REF!</definedName>
    <definedName name="ppr" localSheetId="21">#REF!</definedName>
    <definedName name="ppr" localSheetId="11">#REF!</definedName>
    <definedName name="ppr" localSheetId="17">#REF!</definedName>
    <definedName name="ppr" localSheetId="16">#REF!</definedName>
    <definedName name="ppr" localSheetId="22">#REF!</definedName>
    <definedName name="ppr" localSheetId="9">#REF!</definedName>
    <definedName name="ppr" localSheetId="13">#REF!</definedName>
    <definedName name="ppr" localSheetId="23">#REF!</definedName>
    <definedName name="ppr">#REF!</definedName>
    <definedName name="PPREROIC" localSheetId="4">#REF!</definedName>
    <definedName name="PPREROIC" localSheetId="9">#REF!</definedName>
    <definedName name="PPREROIC">#REF!</definedName>
    <definedName name="ppt" localSheetId="4">#REF!</definedName>
    <definedName name="ppt" localSheetId="5">#REF!</definedName>
    <definedName name="ppt" localSheetId="15">#REF!</definedName>
    <definedName name="ppt" localSheetId="19">#REF!</definedName>
    <definedName name="ppt" localSheetId="18">#REF!</definedName>
    <definedName name="ppt" localSheetId="14">#REF!</definedName>
    <definedName name="ppt" localSheetId="12">#REF!</definedName>
    <definedName name="ppt" localSheetId="24">#REF!</definedName>
    <definedName name="ppt" localSheetId="7">#REF!</definedName>
    <definedName name="ppt" localSheetId="20">#REF!</definedName>
    <definedName name="ppt" localSheetId="21">#REF!</definedName>
    <definedName name="ppt" localSheetId="11">#REF!</definedName>
    <definedName name="ppt" localSheetId="17">#REF!</definedName>
    <definedName name="ppt" localSheetId="16">#REF!</definedName>
    <definedName name="ppt" localSheetId="22">#REF!</definedName>
    <definedName name="ppt" localSheetId="9">#REF!</definedName>
    <definedName name="ppt" localSheetId="13">#REF!</definedName>
    <definedName name="ppt" localSheetId="23">#REF!</definedName>
    <definedName name="ppt">#REF!</definedName>
    <definedName name="PrDiv">#REF!</definedName>
    <definedName name="pre" localSheetId="4">#REF!</definedName>
    <definedName name="pre" localSheetId="5">#REF!</definedName>
    <definedName name="pre" localSheetId="15">#REF!</definedName>
    <definedName name="pre" localSheetId="19">#REF!</definedName>
    <definedName name="pre" localSheetId="18">#REF!</definedName>
    <definedName name="pre" localSheetId="14">#REF!</definedName>
    <definedName name="pre" localSheetId="12">#REF!</definedName>
    <definedName name="pre" localSheetId="24">#REF!</definedName>
    <definedName name="pre" localSheetId="7">#REF!</definedName>
    <definedName name="pre" localSheetId="20">#REF!</definedName>
    <definedName name="pre" localSheetId="21">#REF!</definedName>
    <definedName name="pre" localSheetId="11">#REF!</definedName>
    <definedName name="pre" localSheetId="17">#REF!</definedName>
    <definedName name="pre" localSheetId="16">#REF!</definedName>
    <definedName name="pre" localSheetId="22">#REF!</definedName>
    <definedName name="pre" localSheetId="9">#REF!</definedName>
    <definedName name="pre" localSheetId="13">#REF!</definedName>
    <definedName name="pre" localSheetId="23">#REF!</definedName>
    <definedName name="pre">#REF!</definedName>
    <definedName name="PRE_EPS" localSheetId="4">#REF!</definedName>
    <definedName name="PRE_EPS" localSheetId="5">#REF!</definedName>
    <definedName name="PRE_EPS" localSheetId="15">#REF!</definedName>
    <definedName name="PRE_EPS" localSheetId="19">#REF!</definedName>
    <definedName name="PRE_EPS" localSheetId="18">#REF!</definedName>
    <definedName name="PRE_EPS" localSheetId="14">#REF!</definedName>
    <definedName name="PRE_EPS" localSheetId="12">#REF!</definedName>
    <definedName name="PRE_EPS" localSheetId="24">#REF!</definedName>
    <definedName name="PRE_EPS" localSheetId="7">#REF!</definedName>
    <definedName name="PRE_EPS" localSheetId="20">#REF!</definedName>
    <definedName name="PRE_EPS" localSheetId="21">#REF!</definedName>
    <definedName name="PRE_EPS" localSheetId="11">#REF!</definedName>
    <definedName name="PRE_EPS" localSheetId="17">#REF!</definedName>
    <definedName name="PRE_EPS" localSheetId="16">#REF!</definedName>
    <definedName name="PRE_EPS" localSheetId="22">#REF!</definedName>
    <definedName name="PRE_EPS" localSheetId="9">#REF!</definedName>
    <definedName name="PRE_EPS" localSheetId="13">#REF!</definedName>
    <definedName name="PRE_EPS" localSheetId="23">#REF!</definedName>
    <definedName name="PRE_EPS">#REF!</definedName>
    <definedName name="Pre_provision_profit_Q" localSheetId="4">#REF!</definedName>
    <definedName name="Pre_provision_profit_Q" localSheetId="5">#REF!</definedName>
    <definedName name="Pre_provision_profit_Q" localSheetId="15">#REF!</definedName>
    <definedName name="Pre_provision_profit_Q" localSheetId="19">#REF!</definedName>
    <definedName name="Pre_provision_profit_Q" localSheetId="18">#REF!</definedName>
    <definedName name="Pre_provision_profit_Q" localSheetId="14">#REF!</definedName>
    <definedName name="Pre_provision_profit_Q" localSheetId="12">#REF!</definedName>
    <definedName name="Pre_provision_profit_Q" localSheetId="24">#REF!</definedName>
    <definedName name="Pre_provision_profit_Q" localSheetId="7">#REF!</definedName>
    <definedName name="Pre_provision_profit_Q" localSheetId="20">#REF!</definedName>
    <definedName name="Pre_provision_profit_Q" localSheetId="21">#REF!</definedName>
    <definedName name="Pre_provision_profit_Q" localSheetId="11">#REF!</definedName>
    <definedName name="Pre_provision_profit_Q" localSheetId="17">#REF!</definedName>
    <definedName name="Pre_provision_profit_Q" localSheetId="16">#REF!</definedName>
    <definedName name="Pre_provision_profit_Q" localSheetId="22">#REF!</definedName>
    <definedName name="Pre_provision_profit_Q" localSheetId="9">#REF!</definedName>
    <definedName name="Pre_provision_profit_Q" localSheetId="13">#REF!</definedName>
    <definedName name="Pre_provision_profit_Q" localSheetId="23">#REF!</definedName>
    <definedName name="Pre_provision_profit_Q">#REF!</definedName>
    <definedName name="pre_tax_profit">#REF!</definedName>
    <definedName name="pre_tax_profit_A">#REF!</definedName>
    <definedName name="pre_tax_profit_before_non_recurring_items">#REF!</definedName>
    <definedName name="pre_tax_profit_before_non_recurring_items_qtr">#REF!</definedName>
    <definedName name="pre_tax_profit_Q">#REF!</definedName>
    <definedName name="pre_tax_profit_qtr">#REF!</definedName>
    <definedName name="PreCompDebt" localSheetId="4">#REF!</definedName>
    <definedName name="PreCompDebt" localSheetId="5">#REF!</definedName>
    <definedName name="PreCompDebt" localSheetId="15">#REF!</definedName>
    <definedName name="PreCompDebt" localSheetId="19">#REF!</definedName>
    <definedName name="PreCompDebt" localSheetId="18">#REF!</definedName>
    <definedName name="PreCompDebt" localSheetId="14">#REF!</definedName>
    <definedName name="PreCompDebt" localSheetId="12">#REF!</definedName>
    <definedName name="PreCompDebt" localSheetId="24">#REF!</definedName>
    <definedName name="PreCompDebt" localSheetId="7">#REF!</definedName>
    <definedName name="PreCompDebt" localSheetId="20">#REF!</definedName>
    <definedName name="PreCompDebt" localSheetId="21">#REF!</definedName>
    <definedName name="PreCompDebt" localSheetId="11">#REF!</definedName>
    <definedName name="PreCompDebt" localSheetId="17">#REF!</definedName>
    <definedName name="PreCompDebt" localSheetId="16">#REF!</definedName>
    <definedName name="PreCompDebt" localSheetId="22">#REF!</definedName>
    <definedName name="PreCompDebt" localSheetId="9">#REF!</definedName>
    <definedName name="PreCompDebt" localSheetId="13">#REF!</definedName>
    <definedName name="PreCompDebt" localSheetId="23">#REF!</definedName>
    <definedName name="PreCompDebt">#REF!</definedName>
    <definedName name="PREF_DIV" localSheetId="4">#REF!</definedName>
    <definedName name="PREF_DIV" localSheetId="5">#REF!</definedName>
    <definedName name="PREF_DIV" localSheetId="15">#REF!</definedName>
    <definedName name="PREF_DIV" localSheetId="19">#REF!</definedName>
    <definedName name="PREF_DIV" localSheetId="18">#REF!</definedName>
    <definedName name="PREF_DIV" localSheetId="14">#REF!</definedName>
    <definedName name="PREF_DIV" localSheetId="12">#REF!</definedName>
    <definedName name="PREF_DIV" localSheetId="24">#REF!</definedName>
    <definedName name="PREF_DIV" localSheetId="7">#REF!</definedName>
    <definedName name="PREF_DIV" localSheetId="20">#REF!</definedName>
    <definedName name="PREF_DIV" localSheetId="21">#REF!</definedName>
    <definedName name="PREF_DIV" localSheetId="11">#REF!</definedName>
    <definedName name="PREF_DIV" localSheetId="17">#REF!</definedName>
    <definedName name="PREF_DIV" localSheetId="16">#REF!</definedName>
    <definedName name="PREF_DIV" localSheetId="22">#REF!</definedName>
    <definedName name="PREF_DIV" localSheetId="9">#REF!</definedName>
    <definedName name="PREF_DIV" localSheetId="13">#REF!</definedName>
    <definedName name="PREF_DIV" localSheetId="23">#REF!</definedName>
    <definedName name="PREF_DIV">#REF!</definedName>
    <definedName name="preference_dividend">#REF!</definedName>
    <definedName name="preference_dividend_A">#REF!</definedName>
    <definedName name="preference_dividend_qtr">#REF!</definedName>
    <definedName name="Preference_dividend6">#REF!</definedName>
    <definedName name="preference_share_capital">#REF!</definedName>
    <definedName name="preference_share_capital_A">#REF!</definedName>
    <definedName name="Preference_Share_Paid_Up">#REF!</definedName>
    <definedName name="PreferenceDividends" localSheetId="4">#REF!</definedName>
    <definedName name="PreferenceDividends" localSheetId="9">#REF!</definedName>
    <definedName name="PreferenceDividends">#REF!</definedName>
    <definedName name="Preferred_book_value" localSheetId="4">#REF!</definedName>
    <definedName name="Preferred_book_value" localSheetId="9">#REF!</definedName>
    <definedName name="Preferred_book_value">#REF!</definedName>
    <definedName name="Preferred_Dividends" localSheetId="4">#REF!</definedName>
    <definedName name="Preferred_Dividends" localSheetId="9">#REF!</definedName>
    <definedName name="Preferred_Dividends">#REF!</definedName>
    <definedName name="Preferred_stock" localSheetId="4">#REF!</definedName>
    <definedName name="Preferred_stock" localSheetId="9">#REF!</definedName>
    <definedName name="Preferred_stock">#REF!</definedName>
    <definedName name="Preferred_stock_growth_fore" localSheetId="4">#REF!</definedName>
    <definedName name="Preferred_stock_growth_fore" localSheetId="5">#REF!</definedName>
    <definedName name="Preferred_stock_growth_fore" localSheetId="15">#REF!</definedName>
    <definedName name="Preferred_stock_growth_fore" localSheetId="19">#REF!</definedName>
    <definedName name="Preferred_stock_growth_fore" localSheetId="18">#REF!</definedName>
    <definedName name="Preferred_stock_growth_fore" localSheetId="14">#REF!</definedName>
    <definedName name="Preferred_stock_growth_fore" localSheetId="12">#REF!</definedName>
    <definedName name="Preferred_stock_growth_fore" localSheetId="24">#REF!</definedName>
    <definedName name="Preferred_stock_growth_fore" localSheetId="7">#REF!</definedName>
    <definedName name="Preferred_stock_growth_fore" localSheetId="20">#REF!</definedName>
    <definedName name="Preferred_stock_growth_fore" localSheetId="21">#REF!</definedName>
    <definedName name="Preferred_stock_growth_fore" localSheetId="11">#REF!</definedName>
    <definedName name="Preferred_stock_growth_fore" localSheetId="17">#REF!</definedName>
    <definedName name="Preferred_stock_growth_fore" localSheetId="16">#REF!</definedName>
    <definedName name="Preferred_stock_growth_fore" localSheetId="22">#REF!</definedName>
    <definedName name="Preferred_stock_growth_fore" localSheetId="9">#REF!</definedName>
    <definedName name="Preferred_stock_growth_fore" localSheetId="13">#REF!</definedName>
    <definedName name="Preferred_stock_growth_fore" localSheetId="23">#REF!</definedName>
    <definedName name="Preferred_stock_growth_fore">#REF!</definedName>
    <definedName name="Premises_AD">#REF!</definedName>
    <definedName name="Premises_Dep">#REF!</definedName>
    <definedName name="Premises_GB">#REF!</definedName>
    <definedName name="Premises_NB">#REF!</definedName>
    <definedName name="Prepaid_Expenses" localSheetId="4">#REF!</definedName>
    <definedName name="Prepaid_Expenses" localSheetId="5">#REF!</definedName>
    <definedName name="Prepaid_Expenses" localSheetId="15">#REF!</definedName>
    <definedName name="Prepaid_Expenses" localSheetId="19">#REF!</definedName>
    <definedName name="Prepaid_Expenses" localSheetId="18">#REF!</definedName>
    <definedName name="Prepaid_Expenses" localSheetId="14">#REF!</definedName>
    <definedName name="Prepaid_Expenses" localSheetId="12">#REF!</definedName>
    <definedName name="Prepaid_Expenses" localSheetId="24">#REF!</definedName>
    <definedName name="Prepaid_Expenses" localSheetId="7">#REF!</definedName>
    <definedName name="Prepaid_Expenses" localSheetId="20">#REF!</definedName>
    <definedName name="Prepaid_Expenses" localSheetId="21">#REF!</definedName>
    <definedName name="Prepaid_Expenses" localSheetId="11">#REF!</definedName>
    <definedName name="Prepaid_Expenses" localSheetId="17">#REF!</definedName>
    <definedName name="Prepaid_Expenses" localSheetId="16">#REF!</definedName>
    <definedName name="Prepaid_Expenses" localSheetId="22">#REF!</definedName>
    <definedName name="Prepaid_Expenses" localSheetId="9">#REF!</definedName>
    <definedName name="Prepaid_Expenses" localSheetId="13">#REF!</definedName>
    <definedName name="Prepaid_Expenses" localSheetId="23">#REF!</definedName>
    <definedName name="Prepaid_Expenses">#REF!</definedName>
    <definedName name="Prepaid_financial_charges_on_Commercial_Paper" localSheetId="4">#REF!</definedName>
    <definedName name="Prepaid_financial_charges_on_Commercial_Paper" localSheetId="5">#REF!</definedName>
    <definedName name="Prepaid_financial_charges_on_Commercial_Paper" localSheetId="15">#REF!</definedName>
    <definedName name="Prepaid_financial_charges_on_Commercial_Paper" localSheetId="19">#REF!</definedName>
    <definedName name="Prepaid_financial_charges_on_Commercial_Paper" localSheetId="18">#REF!</definedName>
    <definedName name="Prepaid_financial_charges_on_Commercial_Paper" localSheetId="14">#REF!</definedName>
    <definedName name="Prepaid_financial_charges_on_Commercial_Paper" localSheetId="12">#REF!</definedName>
    <definedName name="Prepaid_financial_charges_on_Commercial_Paper" localSheetId="24">#REF!</definedName>
    <definedName name="Prepaid_financial_charges_on_Commercial_Paper" localSheetId="7">#REF!</definedName>
    <definedName name="Prepaid_financial_charges_on_Commercial_Paper" localSheetId="20">#REF!</definedName>
    <definedName name="Prepaid_financial_charges_on_Commercial_Paper" localSheetId="21">#REF!</definedName>
    <definedName name="Prepaid_financial_charges_on_Commercial_Paper" localSheetId="11">#REF!</definedName>
    <definedName name="Prepaid_financial_charges_on_Commercial_Paper" localSheetId="17">#REF!</definedName>
    <definedName name="Prepaid_financial_charges_on_Commercial_Paper" localSheetId="16">#REF!</definedName>
    <definedName name="Prepaid_financial_charges_on_Commercial_Paper" localSheetId="22">#REF!</definedName>
    <definedName name="Prepaid_financial_charges_on_Commercial_Paper" localSheetId="9">#REF!</definedName>
    <definedName name="Prepaid_financial_charges_on_Commercial_Paper" localSheetId="13">#REF!</definedName>
    <definedName name="Prepaid_financial_charges_on_Commercial_Paper" localSheetId="23">#REF!</definedName>
    <definedName name="Prepaid_financial_charges_on_Commercial_Paper">#REF!</definedName>
    <definedName name="Preprovision_profit">#REF!</definedName>
    <definedName name="PREROIC" localSheetId="4">#REF!</definedName>
    <definedName name="PREROIC" localSheetId="9">#REF!</definedName>
    <definedName name="PREROIC">#REF!</definedName>
    <definedName name="Present_Value_Oper_lease" localSheetId="4">#REF!</definedName>
    <definedName name="Present_Value_Oper_lease" localSheetId="9">#REF!</definedName>
    <definedName name="Present_Value_Oper_lease">#REF!</definedName>
    <definedName name="PRETAX" localSheetId="4">#REF!</definedName>
    <definedName name="PRETAX" localSheetId="5">#REF!</definedName>
    <definedName name="PRETAX" localSheetId="15">#REF!</definedName>
    <definedName name="PRETAX" localSheetId="19">#REF!</definedName>
    <definedName name="PRETAX" localSheetId="18">#REF!</definedName>
    <definedName name="PRETAX" localSheetId="14">#REF!</definedName>
    <definedName name="PRETAX" localSheetId="12">#REF!</definedName>
    <definedName name="PRETAX" localSheetId="24">#REF!</definedName>
    <definedName name="PRETAX" localSheetId="7">#REF!</definedName>
    <definedName name="PRETAX" localSheetId="20">#REF!</definedName>
    <definedName name="PRETAX" localSheetId="21">#REF!</definedName>
    <definedName name="PRETAX" localSheetId="11">#REF!</definedName>
    <definedName name="PRETAX" localSheetId="17">#REF!</definedName>
    <definedName name="PRETAX" localSheetId="16">#REF!</definedName>
    <definedName name="PRETAX" localSheetId="22">#REF!</definedName>
    <definedName name="PRETAX" localSheetId="9">#REF!</definedName>
    <definedName name="PRETAX" localSheetId="13">#REF!</definedName>
    <definedName name="PRETAX" localSheetId="23">#REF!</definedName>
    <definedName name="PRETAX">#REF!</definedName>
    <definedName name="Pretax_income" localSheetId="4">#REF!</definedName>
    <definedName name="Pretax_income" localSheetId="9">#REF!</definedName>
    <definedName name="Pretax_income">#REF!</definedName>
    <definedName name="Pretax_income_fore" localSheetId="4">#REF!</definedName>
    <definedName name="Pretax_income_fore" localSheetId="5">#REF!</definedName>
    <definedName name="Pretax_income_fore" localSheetId="15">#REF!</definedName>
    <definedName name="Pretax_income_fore" localSheetId="19">#REF!</definedName>
    <definedName name="Pretax_income_fore" localSheetId="18">#REF!</definedName>
    <definedName name="Pretax_income_fore" localSheetId="14">#REF!</definedName>
    <definedName name="Pretax_income_fore" localSheetId="12">#REF!</definedName>
    <definedName name="Pretax_income_fore" localSheetId="24">#REF!</definedName>
    <definedName name="Pretax_income_fore" localSheetId="7">#REF!</definedName>
    <definedName name="Pretax_income_fore" localSheetId="20">#REF!</definedName>
    <definedName name="Pretax_income_fore" localSheetId="21">#REF!</definedName>
    <definedName name="Pretax_income_fore" localSheetId="11">#REF!</definedName>
    <definedName name="Pretax_income_fore" localSheetId="17">#REF!</definedName>
    <definedName name="Pretax_income_fore" localSheetId="16">#REF!</definedName>
    <definedName name="Pretax_income_fore" localSheetId="22">#REF!</definedName>
    <definedName name="Pretax_income_fore" localSheetId="9">#REF!</definedName>
    <definedName name="Pretax_income_fore" localSheetId="13">#REF!</definedName>
    <definedName name="Pretax_income_fore" localSheetId="23">#REF!</definedName>
    <definedName name="Pretax_income_fore">#REF!</definedName>
    <definedName name="PreTaxProfit" localSheetId="4">#REF!</definedName>
    <definedName name="PreTaxProfit" localSheetId="9">#REF!</definedName>
    <definedName name="PreTaxProfit">#REF!</definedName>
    <definedName name="PREV_NETCASH" localSheetId="4">#REF!</definedName>
    <definedName name="PREV_NETCASH" localSheetId="5">#REF!</definedName>
    <definedName name="PREV_NETCASH" localSheetId="15">#REF!</definedName>
    <definedName name="PREV_NETCASH" localSheetId="19">#REF!</definedName>
    <definedName name="PREV_NETCASH" localSheetId="18">#REF!</definedName>
    <definedName name="PREV_NETCASH" localSheetId="14">#REF!</definedName>
    <definedName name="PREV_NETCASH" localSheetId="12">#REF!</definedName>
    <definedName name="PREV_NETCASH" localSheetId="24">#REF!</definedName>
    <definedName name="PREV_NETCASH" localSheetId="7">#REF!</definedName>
    <definedName name="PREV_NETCASH" localSheetId="20">#REF!</definedName>
    <definedName name="PREV_NETCASH" localSheetId="21">#REF!</definedName>
    <definedName name="PREV_NETCASH" localSheetId="11">#REF!</definedName>
    <definedName name="PREV_NETCASH" localSheetId="17">#REF!</definedName>
    <definedName name="PREV_NETCASH" localSheetId="16">#REF!</definedName>
    <definedName name="PREV_NETCASH" localSheetId="22">#REF!</definedName>
    <definedName name="PREV_NETCASH" localSheetId="9">#REF!</definedName>
    <definedName name="PREV_NETCASH" localSheetId="13">#REF!</definedName>
    <definedName name="PREV_NETCASH" localSheetId="23">#REF!</definedName>
    <definedName name="PREV_NETCASH">#REF!</definedName>
    <definedName name="PrfDmy" localSheetId="4" hidden="1">#REF!</definedName>
    <definedName name="PrfDmy" localSheetId="9" hidden="1">#REF!</definedName>
    <definedName name="PrfDmy" hidden="1">#REF!</definedName>
    <definedName name="PrfShSer" hidden="1">#REF!</definedName>
    <definedName name="prg" localSheetId="4">#REF!</definedName>
    <definedName name="prg" localSheetId="5">#REF!</definedName>
    <definedName name="prg" localSheetId="15">#REF!</definedName>
    <definedName name="prg" localSheetId="19">#REF!</definedName>
    <definedName name="prg" localSheetId="18">#REF!</definedName>
    <definedName name="prg" localSheetId="14">#REF!</definedName>
    <definedName name="prg" localSheetId="12">#REF!</definedName>
    <definedName name="prg" localSheetId="24">#REF!</definedName>
    <definedName name="prg" localSheetId="7">#REF!</definedName>
    <definedName name="prg" localSheetId="20">#REF!</definedName>
    <definedName name="prg" localSheetId="21">#REF!</definedName>
    <definedName name="prg" localSheetId="11">#REF!</definedName>
    <definedName name="prg" localSheetId="17">#REF!</definedName>
    <definedName name="prg" localSheetId="16">#REF!</definedName>
    <definedName name="prg" localSheetId="22">#REF!</definedName>
    <definedName name="prg" localSheetId="9">#REF!</definedName>
    <definedName name="prg" localSheetId="13">#REF!</definedName>
    <definedName name="prg" localSheetId="23">#REF!</definedName>
    <definedName name="prg">#REF!</definedName>
    <definedName name="pri" localSheetId="4">#REF!</definedName>
    <definedName name="pri" localSheetId="5">#REF!</definedName>
    <definedName name="pri" localSheetId="15">#REF!</definedName>
    <definedName name="pri" localSheetId="19">#REF!</definedName>
    <definedName name="pri" localSheetId="18">#REF!</definedName>
    <definedName name="pri" localSheetId="14">#REF!</definedName>
    <definedName name="pri" localSheetId="12">#REF!</definedName>
    <definedName name="pri" localSheetId="24">#REF!</definedName>
    <definedName name="pri" localSheetId="7">#REF!</definedName>
    <definedName name="pri" localSheetId="20">#REF!</definedName>
    <definedName name="pri" localSheetId="21">#REF!</definedName>
    <definedName name="pri" localSheetId="11">#REF!</definedName>
    <definedName name="pri" localSheetId="17">#REF!</definedName>
    <definedName name="pri" localSheetId="16">#REF!</definedName>
    <definedName name="pri" localSheetId="22">#REF!</definedName>
    <definedName name="pri" localSheetId="9">#REF!</definedName>
    <definedName name="pri" localSheetId="13">#REF!</definedName>
    <definedName name="pri" localSheetId="23">#REF!</definedName>
    <definedName name="pri">#REF!</definedName>
    <definedName name="price" localSheetId="4">#REF!</definedName>
    <definedName name="price" localSheetId="5">#REF!</definedName>
    <definedName name="price" localSheetId="15">#REF!</definedName>
    <definedName name="price" localSheetId="19">#REF!</definedName>
    <definedName name="price" localSheetId="18">#REF!</definedName>
    <definedName name="price" localSheetId="14">#REF!</definedName>
    <definedName name="price" localSheetId="12">#REF!</definedName>
    <definedName name="price" localSheetId="24">#REF!</definedName>
    <definedName name="price" localSheetId="7">#REF!</definedName>
    <definedName name="price" localSheetId="20">#REF!</definedName>
    <definedName name="price" localSheetId="21">#REF!</definedName>
    <definedName name="price" localSheetId="11">#REF!</definedName>
    <definedName name="price" localSheetId="17">#REF!</definedName>
    <definedName name="price" localSheetId="16">#REF!</definedName>
    <definedName name="price" localSheetId="22">#REF!</definedName>
    <definedName name="price" localSheetId="9">#REF!</definedName>
    <definedName name="price" localSheetId="13">#REF!</definedName>
    <definedName name="price" localSheetId="23">#REF!</definedName>
    <definedName name="price">#REF!</definedName>
    <definedName name="price1" localSheetId="4">#REF!</definedName>
    <definedName name="price1" localSheetId="5">#REF!</definedName>
    <definedName name="price1" localSheetId="15">#REF!</definedName>
    <definedName name="price1" localSheetId="19">#REF!</definedName>
    <definedName name="price1" localSheetId="18">#REF!</definedName>
    <definedName name="price1" localSheetId="14">#REF!</definedName>
    <definedName name="price1" localSheetId="12">#REF!</definedName>
    <definedName name="price1" localSheetId="24">#REF!</definedName>
    <definedName name="price1" localSheetId="7">#REF!</definedName>
    <definedName name="price1" localSheetId="20">#REF!</definedName>
    <definedName name="price1" localSheetId="21">#REF!</definedName>
    <definedName name="price1" localSheetId="11">#REF!</definedName>
    <definedName name="price1" localSheetId="17">#REF!</definedName>
    <definedName name="price1" localSheetId="16">#REF!</definedName>
    <definedName name="price1" localSheetId="22">#REF!</definedName>
    <definedName name="price1" localSheetId="9">#REF!</definedName>
    <definedName name="price1" localSheetId="13">#REF!</definedName>
    <definedName name="price1" localSheetId="23">#REF!</definedName>
    <definedName name="price1">#REF!</definedName>
    <definedName name="priceh" localSheetId="4">#REF!</definedName>
    <definedName name="priceh" localSheetId="5">#REF!</definedName>
    <definedName name="priceh" localSheetId="15">#REF!</definedName>
    <definedName name="priceh" localSheetId="19">#REF!</definedName>
    <definedName name="priceh" localSheetId="18">#REF!</definedName>
    <definedName name="priceh" localSheetId="14">#REF!</definedName>
    <definedName name="priceh" localSheetId="12">#REF!</definedName>
    <definedName name="priceh" localSheetId="24">#REF!</definedName>
    <definedName name="priceh" localSheetId="7">#REF!</definedName>
    <definedName name="priceh" localSheetId="20">#REF!</definedName>
    <definedName name="priceh" localSheetId="21">#REF!</definedName>
    <definedName name="priceh" localSheetId="11">#REF!</definedName>
    <definedName name="priceh" localSheetId="17">#REF!</definedName>
    <definedName name="priceh" localSheetId="16">#REF!</definedName>
    <definedName name="priceh" localSheetId="22">#REF!</definedName>
    <definedName name="priceh" localSheetId="9">#REF!</definedName>
    <definedName name="priceh" localSheetId="13">#REF!</definedName>
    <definedName name="priceh" localSheetId="23">#REF!</definedName>
    <definedName name="priceh">#REF!</definedName>
    <definedName name="Pricipal_Repay_Sensitivity" localSheetId="4">#REF!</definedName>
    <definedName name="Pricipal_Repay_Sensitivity" localSheetId="5">#REF!</definedName>
    <definedName name="Pricipal_Repay_Sensitivity" localSheetId="15">#REF!</definedName>
    <definedName name="Pricipal_Repay_Sensitivity" localSheetId="19">#REF!</definedName>
    <definedName name="Pricipal_Repay_Sensitivity" localSheetId="18">#REF!</definedName>
    <definedName name="Pricipal_Repay_Sensitivity" localSheetId="14">#REF!</definedName>
    <definedName name="Pricipal_Repay_Sensitivity" localSheetId="12">#REF!</definedName>
    <definedName name="Pricipal_Repay_Sensitivity" localSheetId="24">#REF!</definedName>
    <definedName name="Pricipal_Repay_Sensitivity" localSheetId="7">#REF!</definedName>
    <definedName name="Pricipal_Repay_Sensitivity" localSheetId="20">#REF!</definedName>
    <definedName name="Pricipal_Repay_Sensitivity" localSheetId="21">#REF!</definedName>
    <definedName name="Pricipal_Repay_Sensitivity" localSheetId="11">#REF!</definedName>
    <definedName name="Pricipal_Repay_Sensitivity" localSheetId="17">#REF!</definedName>
    <definedName name="Pricipal_Repay_Sensitivity" localSheetId="16">#REF!</definedName>
    <definedName name="Pricipal_Repay_Sensitivity" localSheetId="22">#REF!</definedName>
    <definedName name="Pricipal_Repay_Sensitivity" localSheetId="9">#REF!</definedName>
    <definedName name="Pricipal_Repay_Sensitivity" localSheetId="13">#REF!</definedName>
    <definedName name="Pricipal_Repay_Sensitivity" localSheetId="23">#REF!</definedName>
    <definedName name="Pricipal_Repay_Sensitivity">#REF!</definedName>
    <definedName name="Pricipal_Sensitivity" localSheetId="4">#REF!</definedName>
    <definedName name="Pricipal_Sensitivity" localSheetId="5">#REF!</definedName>
    <definedName name="Pricipal_Sensitivity" localSheetId="15">#REF!</definedName>
    <definedName name="Pricipal_Sensitivity" localSheetId="19">#REF!</definedName>
    <definedName name="Pricipal_Sensitivity" localSheetId="18">#REF!</definedName>
    <definedName name="Pricipal_Sensitivity" localSheetId="14">#REF!</definedName>
    <definedName name="Pricipal_Sensitivity" localSheetId="12">#REF!</definedName>
    <definedName name="Pricipal_Sensitivity" localSheetId="24">#REF!</definedName>
    <definedName name="Pricipal_Sensitivity" localSheetId="7">#REF!</definedName>
    <definedName name="Pricipal_Sensitivity" localSheetId="20">#REF!</definedName>
    <definedName name="Pricipal_Sensitivity" localSheetId="21">#REF!</definedName>
    <definedName name="Pricipal_Sensitivity" localSheetId="11">#REF!</definedName>
    <definedName name="Pricipal_Sensitivity" localSheetId="17">#REF!</definedName>
    <definedName name="Pricipal_Sensitivity" localSheetId="16">#REF!</definedName>
    <definedName name="Pricipal_Sensitivity" localSheetId="22">#REF!</definedName>
    <definedName name="Pricipal_Sensitivity" localSheetId="9">#REF!</definedName>
    <definedName name="Pricipal_Sensitivity" localSheetId="13">#REF!</definedName>
    <definedName name="Pricipal_Sensitivity" localSheetId="23">#REF!</definedName>
    <definedName name="Pricipal_Sensitivity">#REF!</definedName>
    <definedName name="print" localSheetId="4">#REF!</definedName>
    <definedName name="print" localSheetId="9">#REF!</definedName>
    <definedName name="print">#REF!</definedName>
    <definedName name="print_1" localSheetId="4">#REF!</definedName>
    <definedName name="print_1" localSheetId="5">#REF!</definedName>
    <definedName name="print_1" localSheetId="15">#REF!</definedName>
    <definedName name="print_1" localSheetId="19">#REF!</definedName>
    <definedName name="print_1" localSheetId="18">#REF!</definedName>
    <definedName name="print_1" localSheetId="14">#REF!</definedName>
    <definedName name="print_1" localSheetId="12">#REF!</definedName>
    <definedName name="print_1" localSheetId="24">#REF!</definedName>
    <definedName name="print_1" localSheetId="7">#REF!</definedName>
    <definedName name="print_1" localSheetId="20">#REF!</definedName>
    <definedName name="print_1" localSheetId="21">#REF!</definedName>
    <definedName name="print_1" localSheetId="11">#REF!</definedName>
    <definedName name="print_1" localSheetId="17">#REF!</definedName>
    <definedName name="print_1" localSheetId="16">#REF!</definedName>
    <definedName name="print_1" localSheetId="22">#REF!</definedName>
    <definedName name="print_1" localSheetId="9">#REF!</definedName>
    <definedName name="print_1" localSheetId="13">#REF!</definedName>
    <definedName name="print_1" localSheetId="23">#REF!</definedName>
    <definedName name="print_1">#REF!</definedName>
    <definedName name="print_2" localSheetId="4">#REF!</definedName>
    <definedName name="print_2" localSheetId="5">#REF!</definedName>
    <definedName name="print_2" localSheetId="15">#REF!</definedName>
    <definedName name="print_2" localSheetId="19">#REF!</definedName>
    <definedName name="print_2" localSheetId="18">#REF!</definedName>
    <definedName name="print_2" localSheetId="14">#REF!</definedName>
    <definedName name="print_2" localSheetId="12">#REF!</definedName>
    <definedName name="print_2" localSheetId="24">#REF!</definedName>
    <definedName name="print_2" localSheetId="7">#REF!</definedName>
    <definedName name="print_2" localSheetId="20">#REF!</definedName>
    <definedName name="print_2" localSheetId="21">#REF!</definedName>
    <definedName name="print_2" localSheetId="11">#REF!</definedName>
    <definedName name="print_2" localSheetId="17">#REF!</definedName>
    <definedName name="print_2" localSheetId="16">#REF!</definedName>
    <definedName name="print_2" localSheetId="22">#REF!</definedName>
    <definedName name="print_2" localSheetId="9">#REF!</definedName>
    <definedName name="print_2" localSheetId="13">#REF!</definedName>
    <definedName name="print_2" localSheetId="23">#REF!</definedName>
    <definedName name="print_2">#REF!</definedName>
    <definedName name="print_3" localSheetId="4">#REF!</definedName>
    <definedName name="print_3" localSheetId="5">#REF!</definedName>
    <definedName name="print_3" localSheetId="15">#REF!</definedName>
    <definedName name="print_3" localSheetId="19">#REF!</definedName>
    <definedName name="print_3" localSheetId="18">#REF!</definedName>
    <definedName name="print_3" localSheetId="14">#REF!</definedName>
    <definedName name="print_3" localSheetId="12">#REF!</definedName>
    <definedName name="print_3" localSheetId="24">#REF!</definedName>
    <definedName name="print_3" localSheetId="7">#REF!</definedName>
    <definedName name="print_3" localSheetId="20">#REF!</definedName>
    <definedName name="print_3" localSheetId="21">#REF!</definedName>
    <definedName name="print_3" localSheetId="11">#REF!</definedName>
    <definedName name="print_3" localSheetId="17">#REF!</definedName>
    <definedName name="print_3" localSheetId="16">#REF!</definedName>
    <definedName name="print_3" localSheetId="22">#REF!</definedName>
    <definedName name="print_3" localSheetId="9">#REF!</definedName>
    <definedName name="print_3" localSheetId="13">#REF!</definedName>
    <definedName name="print_3" localSheetId="23">#REF!</definedName>
    <definedName name="print_3">#REF!</definedName>
    <definedName name="print_4" localSheetId="4">#REF!</definedName>
    <definedName name="print_4" localSheetId="9">#REF!</definedName>
    <definedName name="print_4">#REF!</definedName>
    <definedName name="_xlnm.Print_Area" localSheetId="4">#REF!</definedName>
    <definedName name="_xlnm.Print_Area" localSheetId="9">#REF!</definedName>
    <definedName name="_xlnm.Print_Area">#REF!</definedName>
    <definedName name="Print_Area_MI" localSheetId="4">#REF!</definedName>
    <definedName name="Print_Area_MI" localSheetId="5">#REF!</definedName>
    <definedName name="Print_Area_MI" localSheetId="15">#REF!</definedName>
    <definedName name="Print_Area_MI" localSheetId="19">#REF!</definedName>
    <definedName name="Print_Area_MI" localSheetId="18">#REF!</definedName>
    <definedName name="Print_Area_MI" localSheetId="14">#REF!</definedName>
    <definedName name="Print_Area_MI" localSheetId="12">#REF!</definedName>
    <definedName name="Print_Area_MI" localSheetId="24">#REF!</definedName>
    <definedName name="Print_Area_MI" localSheetId="7">#REF!</definedName>
    <definedName name="Print_Area_MI" localSheetId="20">#REF!</definedName>
    <definedName name="Print_Area_MI" localSheetId="21">#REF!</definedName>
    <definedName name="Print_Area_MI" localSheetId="11">#REF!</definedName>
    <definedName name="Print_Area_MI" localSheetId="17">#REF!</definedName>
    <definedName name="Print_Area_MI" localSheetId="16">#REF!</definedName>
    <definedName name="Print_Area_MI" localSheetId="22">#REF!</definedName>
    <definedName name="Print_Area_MI" localSheetId="9">#REF!</definedName>
    <definedName name="Print_Area_MI" localSheetId="13">#REF!</definedName>
    <definedName name="Print_Area_MI" localSheetId="23">#REF!</definedName>
    <definedName name="Print_Area_MI">#REF!</definedName>
    <definedName name="Print_Front_Page" localSheetId="4">#REF!</definedName>
    <definedName name="Print_Front_Page" localSheetId="5">#REF!</definedName>
    <definedName name="Print_Front_Page" localSheetId="15">#REF!</definedName>
    <definedName name="Print_Front_Page" localSheetId="19">#REF!</definedName>
    <definedName name="Print_Front_Page" localSheetId="18">#REF!</definedName>
    <definedName name="Print_Front_Page" localSheetId="14">#REF!</definedName>
    <definedName name="Print_Front_Page" localSheetId="12">#REF!</definedName>
    <definedName name="Print_Front_Page" localSheetId="24">#REF!</definedName>
    <definedName name="Print_Front_Page" localSheetId="7">#REF!</definedName>
    <definedName name="Print_Front_Page" localSheetId="20">#REF!</definedName>
    <definedName name="Print_Front_Page" localSheetId="21">#REF!</definedName>
    <definedName name="Print_Front_Page" localSheetId="11">#REF!</definedName>
    <definedName name="Print_Front_Page" localSheetId="17">#REF!</definedName>
    <definedName name="Print_Front_Page" localSheetId="16">#REF!</definedName>
    <definedName name="Print_Front_Page" localSheetId="22">#REF!</definedName>
    <definedName name="Print_Front_Page" localSheetId="9">#REF!</definedName>
    <definedName name="Print_Front_Page" localSheetId="13">#REF!</definedName>
    <definedName name="Print_Front_Page" localSheetId="23">#REF!</definedName>
    <definedName name="Print_Front_Page">#REF!</definedName>
    <definedName name="_xlnm.Print_Titles" localSheetId="4">#REF!</definedName>
    <definedName name="_xlnm.Print_Titles" localSheetId="9">#REF!</definedName>
    <definedName name="_xlnm.Print_Titles">#N/A</definedName>
    <definedName name="Print_Titles_MI" localSheetId="4">#REF!,#REF!</definedName>
    <definedName name="Print_Titles_MI" localSheetId="9">#REF!,#REF!</definedName>
    <definedName name="Print_Titles_MI">#REF!,#REF!</definedName>
    <definedName name="Print1" localSheetId="4">#REF!</definedName>
    <definedName name="Print1" localSheetId="5">#REF!</definedName>
    <definedName name="Print1" localSheetId="15">#REF!</definedName>
    <definedName name="Print1" localSheetId="19">#REF!</definedName>
    <definedName name="Print1" localSheetId="18">#REF!</definedName>
    <definedName name="Print1" localSheetId="14">#REF!</definedName>
    <definedName name="Print1" localSheetId="12">#REF!</definedName>
    <definedName name="Print1" localSheetId="24">#REF!</definedName>
    <definedName name="Print1" localSheetId="7">#REF!</definedName>
    <definedName name="Print1" localSheetId="20">#REF!</definedName>
    <definedName name="Print1" localSheetId="21">#REF!</definedName>
    <definedName name="Print1" localSheetId="11">#REF!</definedName>
    <definedName name="Print1" localSheetId="17">#REF!</definedName>
    <definedName name="Print1" localSheetId="16">#REF!</definedName>
    <definedName name="Print1" localSheetId="22">#REF!</definedName>
    <definedName name="Print1" localSheetId="9">#REF!</definedName>
    <definedName name="Print1" localSheetId="13">#REF!</definedName>
    <definedName name="Print1" localSheetId="23">#REF!</definedName>
    <definedName name="Print1">#REF!</definedName>
    <definedName name="Print2" localSheetId="4">#REF!</definedName>
    <definedName name="Print2" localSheetId="5">#REF!</definedName>
    <definedName name="Print2" localSheetId="15">#REF!</definedName>
    <definedName name="Print2" localSheetId="19">#REF!</definedName>
    <definedName name="Print2" localSheetId="18">#REF!</definedName>
    <definedName name="Print2" localSheetId="14">#REF!</definedName>
    <definedName name="Print2" localSheetId="12">#REF!</definedName>
    <definedName name="Print2" localSheetId="24">#REF!</definedName>
    <definedName name="Print2" localSheetId="7">#REF!</definedName>
    <definedName name="Print2" localSheetId="20">#REF!</definedName>
    <definedName name="Print2" localSheetId="21">#REF!</definedName>
    <definedName name="Print2" localSheetId="11">#REF!</definedName>
    <definedName name="Print2" localSheetId="17">#REF!</definedName>
    <definedName name="Print2" localSheetId="16">#REF!</definedName>
    <definedName name="Print2" localSheetId="22">#REF!</definedName>
    <definedName name="Print2" localSheetId="9">#REF!</definedName>
    <definedName name="Print2" localSheetId="13">#REF!</definedName>
    <definedName name="Print2" localSheetId="23">#REF!</definedName>
    <definedName name="Print2">#REF!</definedName>
    <definedName name="PRIOR_PERIOD_ADJUSTMENTS" localSheetId="4">#REF!</definedName>
    <definedName name="PRIOR_PERIOD_ADJUSTMENTS" localSheetId="5">#REF!</definedName>
    <definedName name="PRIOR_PERIOD_ADJUSTMENTS" localSheetId="15">#REF!</definedName>
    <definedName name="PRIOR_PERIOD_ADJUSTMENTS" localSheetId="19">#REF!</definedName>
    <definedName name="PRIOR_PERIOD_ADJUSTMENTS" localSheetId="18">#REF!</definedName>
    <definedName name="PRIOR_PERIOD_ADJUSTMENTS" localSheetId="14">#REF!</definedName>
    <definedName name="PRIOR_PERIOD_ADJUSTMENTS" localSheetId="12">#REF!</definedName>
    <definedName name="PRIOR_PERIOD_ADJUSTMENTS" localSheetId="24">#REF!</definedName>
    <definedName name="PRIOR_PERIOD_ADJUSTMENTS" localSheetId="7">#REF!</definedName>
    <definedName name="PRIOR_PERIOD_ADJUSTMENTS" localSheetId="20">#REF!</definedName>
    <definedName name="PRIOR_PERIOD_ADJUSTMENTS" localSheetId="21">#REF!</definedName>
    <definedName name="PRIOR_PERIOD_ADJUSTMENTS" localSheetId="11">#REF!</definedName>
    <definedName name="PRIOR_PERIOD_ADJUSTMENTS" localSheetId="17">#REF!</definedName>
    <definedName name="PRIOR_PERIOD_ADJUSTMENTS" localSheetId="16">#REF!</definedName>
    <definedName name="PRIOR_PERIOD_ADJUSTMENTS" localSheetId="22">#REF!</definedName>
    <definedName name="PRIOR_PERIOD_ADJUSTMENTS" localSheetId="9">#REF!</definedName>
    <definedName name="PRIOR_PERIOD_ADJUSTMENTS" localSheetId="13">#REF!</definedName>
    <definedName name="PRIOR_PERIOD_ADJUSTMENTS" localSheetId="23">#REF!</definedName>
    <definedName name="PRIOR_PERIOD_ADJUSTMENTS">#REF!</definedName>
    <definedName name="prior_period_adjustments_qtr">#REF!</definedName>
    <definedName name="proceeds_from_asset_sales" localSheetId="4">#REF!</definedName>
    <definedName name="proceeds_from_asset_sales" localSheetId="5">#REF!</definedName>
    <definedName name="proceeds_from_asset_sales" localSheetId="15">#REF!</definedName>
    <definedName name="proceeds_from_asset_sales" localSheetId="19">#REF!</definedName>
    <definedName name="proceeds_from_asset_sales" localSheetId="18">#REF!</definedName>
    <definedName name="proceeds_from_asset_sales" localSheetId="14">#REF!</definedName>
    <definedName name="proceeds_from_asset_sales" localSheetId="12">#REF!</definedName>
    <definedName name="proceeds_from_asset_sales" localSheetId="24">#REF!</definedName>
    <definedName name="proceeds_from_asset_sales" localSheetId="7">#REF!</definedName>
    <definedName name="proceeds_from_asset_sales" localSheetId="20">#REF!</definedName>
    <definedName name="proceeds_from_asset_sales" localSheetId="21">#REF!</definedName>
    <definedName name="proceeds_from_asset_sales" localSheetId="11">#REF!</definedName>
    <definedName name="proceeds_from_asset_sales" localSheetId="17">#REF!</definedName>
    <definedName name="proceeds_from_asset_sales" localSheetId="16">#REF!</definedName>
    <definedName name="proceeds_from_asset_sales" localSheetId="22">#REF!</definedName>
    <definedName name="proceeds_from_asset_sales" localSheetId="9">#REF!</definedName>
    <definedName name="proceeds_from_asset_sales" localSheetId="13">#REF!</definedName>
    <definedName name="proceeds_from_asset_sales" localSheetId="23">#REF!</definedName>
    <definedName name="proceeds_from_asset_sales">#REF!</definedName>
    <definedName name="Process">#REF!</definedName>
    <definedName name="ProdDmy" hidden="1">#REF!</definedName>
    <definedName name="Product" hidden="1">#REF!</definedName>
    <definedName name="production" localSheetId="4">#REF!</definedName>
    <definedName name="production" localSheetId="5">#REF!</definedName>
    <definedName name="production" localSheetId="15">#REF!</definedName>
    <definedName name="production" localSheetId="19">#REF!</definedName>
    <definedName name="production" localSheetId="18">#REF!</definedName>
    <definedName name="production" localSheetId="14">#REF!</definedName>
    <definedName name="production" localSheetId="12">#REF!</definedName>
    <definedName name="production" localSheetId="24">#REF!</definedName>
    <definedName name="production" localSheetId="7">#REF!</definedName>
    <definedName name="production" localSheetId="20">#REF!</definedName>
    <definedName name="production" localSheetId="21">#REF!</definedName>
    <definedName name="production" localSheetId="11">#REF!</definedName>
    <definedName name="production" localSheetId="17">#REF!</definedName>
    <definedName name="production" localSheetId="16">#REF!</definedName>
    <definedName name="production" localSheetId="22">#REF!</definedName>
    <definedName name="production" localSheetId="9">#REF!</definedName>
    <definedName name="production" localSheetId="13">#REF!</definedName>
    <definedName name="production" localSheetId="23">#REF!</definedName>
    <definedName name="production">#REF!</definedName>
    <definedName name="Productwise_Capacity" localSheetId="4">#REF!</definedName>
    <definedName name="Productwise_Capacity" localSheetId="5">#REF!</definedName>
    <definedName name="Productwise_Capacity" localSheetId="15">#REF!</definedName>
    <definedName name="Productwise_Capacity" localSheetId="19">#REF!</definedName>
    <definedName name="Productwise_Capacity" localSheetId="18">#REF!</definedName>
    <definedName name="Productwise_Capacity" localSheetId="14">#REF!</definedName>
    <definedName name="Productwise_Capacity" localSheetId="12">#REF!</definedName>
    <definedName name="Productwise_Capacity" localSheetId="24">#REF!</definedName>
    <definedName name="Productwise_Capacity" localSheetId="7">#REF!</definedName>
    <definedName name="Productwise_Capacity" localSheetId="20">#REF!</definedName>
    <definedName name="Productwise_Capacity" localSheetId="21">#REF!</definedName>
    <definedName name="Productwise_Capacity" localSheetId="11">#REF!</definedName>
    <definedName name="Productwise_Capacity" localSheetId="17">#REF!</definedName>
    <definedName name="Productwise_Capacity" localSheetId="16">#REF!</definedName>
    <definedName name="Productwise_Capacity" localSheetId="22">#REF!</definedName>
    <definedName name="Productwise_Capacity" localSheetId="9">#REF!</definedName>
    <definedName name="Productwise_Capacity" localSheetId="13">#REF!</definedName>
    <definedName name="Productwise_Capacity" localSheetId="23">#REF!</definedName>
    <definedName name="Productwise_Capacity">#REF!</definedName>
    <definedName name="ProdUnit" hidden="1">#REF!</definedName>
    <definedName name="Professional___Consultancy_charges" localSheetId="4">#REF!</definedName>
    <definedName name="Professional___Consultancy_charges" localSheetId="5">#REF!</definedName>
    <definedName name="Professional___Consultancy_charges" localSheetId="15">#REF!</definedName>
    <definedName name="Professional___Consultancy_charges" localSheetId="19">#REF!</definedName>
    <definedName name="Professional___Consultancy_charges" localSheetId="18">#REF!</definedName>
    <definedName name="Professional___Consultancy_charges" localSheetId="14">#REF!</definedName>
    <definedName name="Professional___Consultancy_charges" localSheetId="12">#REF!</definedName>
    <definedName name="Professional___Consultancy_charges" localSheetId="24">#REF!</definedName>
    <definedName name="Professional___Consultancy_charges" localSheetId="7">#REF!</definedName>
    <definedName name="Professional___Consultancy_charges" localSheetId="20">#REF!</definedName>
    <definedName name="Professional___Consultancy_charges" localSheetId="21">#REF!</definedName>
    <definedName name="Professional___Consultancy_charges" localSheetId="11">#REF!</definedName>
    <definedName name="Professional___Consultancy_charges" localSheetId="17">#REF!</definedName>
    <definedName name="Professional___Consultancy_charges" localSheetId="16">#REF!</definedName>
    <definedName name="Professional___Consultancy_charges" localSheetId="22">#REF!</definedName>
    <definedName name="Professional___Consultancy_charges" localSheetId="9">#REF!</definedName>
    <definedName name="Professional___Consultancy_charges" localSheetId="13">#REF!</definedName>
    <definedName name="Professional___Consultancy_charges" localSheetId="23">#REF!</definedName>
    <definedName name="Professional___Consultancy_charges">#REF!</definedName>
    <definedName name="Profit___Loss_for_the_period">#REF!</definedName>
    <definedName name="Profit___Loss_for_the_period_from_continuing_Operations">#REF!</definedName>
    <definedName name="Profit___Loss_form_discontinuing_Operations">#REF!</definedName>
    <definedName name="profit_after_tax">#REF!</definedName>
    <definedName name="profit_after_tax_A">#REF!</definedName>
    <definedName name="Profit_and_Loss_Account">#REF!</definedName>
    <definedName name="Profit_and_Loss_Account_PL">#REF!</definedName>
    <definedName name="Profit_before_exceptional_and_extraordinary_items_and_tax">#REF!</definedName>
    <definedName name="Profit_before_extraordinary_items_and_tax">#REF!</definedName>
    <definedName name="Profit_before_tax">#REF!</definedName>
    <definedName name="Profit_before_tax_and_exceptional_items">#REF!</definedName>
    <definedName name="Profit_before_tax_and_exceptional_items_PL">#REF!</definedName>
    <definedName name="Profit_before_tax_and_exceptional_items_Q" localSheetId="4">#REF!</definedName>
    <definedName name="Profit_before_tax_and_exceptional_items_Q" localSheetId="5">#REF!</definedName>
    <definedName name="Profit_before_tax_and_exceptional_items_Q" localSheetId="15">#REF!</definedName>
    <definedName name="Profit_before_tax_and_exceptional_items_Q" localSheetId="19">#REF!</definedName>
    <definedName name="Profit_before_tax_and_exceptional_items_Q" localSheetId="18">#REF!</definedName>
    <definedName name="Profit_before_tax_and_exceptional_items_Q" localSheetId="14">#REF!</definedName>
    <definedName name="Profit_before_tax_and_exceptional_items_Q" localSheetId="12">#REF!</definedName>
    <definedName name="Profit_before_tax_and_exceptional_items_Q" localSheetId="24">#REF!</definedName>
    <definedName name="Profit_before_tax_and_exceptional_items_Q" localSheetId="7">#REF!</definedName>
    <definedName name="Profit_before_tax_and_exceptional_items_Q" localSheetId="20">#REF!</definedName>
    <definedName name="Profit_before_tax_and_exceptional_items_Q" localSheetId="21">#REF!</definedName>
    <definedName name="Profit_before_tax_and_exceptional_items_Q" localSheetId="11">#REF!</definedName>
    <definedName name="Profit_before_tax_and_exceptional_items_Q" localSheetId="17">#REF!</definedName>
    <definedName name="Profit_before_tax_and_exceptional_items_Q" localSheetId="16">#REF!</definedName>
    <definedName name="Profit_before_tax_and_exceptional_items_Q" localSheetId="22">#REF!</definedName>
    <definedName name="Profit_before_tax_and_exceptional_items_Q" localSheetId="9">#REF!</definedName>
    <definedName name="Profit_before_tax_and_exceptional_items_Q" localSheetId="13">#REF!</definedName>
    <definedName name="Profit_before_tax_and_exceptional_items_Q" localSheetId="23">#REF!</definedName>
    <definedName name="Profit_before_tax_and_exceptional_items_Q">#REF!</definedName>
    <definedName name="Profit_before_tax_PL">#REF!</definedName>
    <definedName name="Profit_before_tax_Q" localSheetId="4">#REF!</definedName>
    <definedName name="Profit_before_tax_Q" localSheetId="5">#REF!</definedName>
    <definedName name="Profit_before_tax_Q" localSheetId="15">#REF!</definedName>
    <definedName name="Profit_before_tax_Q" localSheetId="19">#REF!</definedName>
    <definedName name="Profit_before_tax_Q" localSheetId="18">#REF!</definedName>
    <definedName name="Profit_before_tax_Q" localSheetId="14">#REF!</definedName>
    <definedName name="Profit_before_tax_Q" localSheetId="12">#REF!</definedName>
    <definedName name="Profit_before_tax_Q" localSheetId="24">#REF!</definedName>
    <definedName name="Profit_before_tax_Q" localSheetId="7">#REF!</definedName>
    <definedName name="Profit_before_tax_Q" localSheetId="20">#REF!</definedName>
    <definedName name="Profit_before_tax_Q" localSheetId="21">#REF!</definedName>
    <definedName name="Profit_before_tax_Q" localSheetId="11">#REF!</definedName>
    <definedName name="Profit_before_tax_Q" localSheetId="17">#REF!</definedName>
    <definedName name="Profit_before_tax_Q" localSheetId="16">#REF!</definedName>
    <definedName name="Profit_before_tax_Q" localSheetId="22">#REF!</definedName>
    <definedName name="Profit_before_tax_Q" localSheetId="9">#REF!</definedName>
    <definedName name="Profit_before_tax_Q" localSheetId="13">#REF!</definedName>
    <definedName name="Profit_before_tax_Q" localSheetId="23">#REF!</definedName>
    <definedName name="Profit_before_tax_Q">#REF!</definedName>
    <definedName name="Profit_Loss_Account_Balance">#REF!</definedName>
    <definedName name="profit_loss_on_sale_of_assets">#REF!</definedName>
    <definedName name="profit_loss_on_sale_of_investments">#REF!</definedName>
    <definedName name="Profit_n_Loss_of_associate">#REF!</definedName>
    <definedName name="Profit_on_Sale_of_Investment">#REF!</definedName>
    <definedName name="Profit_on_Sale_of_Owned_Assets">#REF!</definedName>
    <definedName name="profits">#REF!</definedName>
    <definedName name="PROIC" localSheetId="4">#REF!</definedName>
    <definedName name="PROIC" localSheetId="9">#REF!</definedName>
    <definedName name="PROIC">#REF!</definedName>
    <definedName name="PROICF" localSheetId="4">#REF!</definedName>
    <definedName name="PROICF" localSheetId="9">#REF!</definedName>
    <definedName name="PROICF">#REF!</definedName>
    <definedName name="PROICYEARS" localSheetId="4">#REF!</definedName>
    <definedName name="PROICYEARS" localSheetId="9">#REF!</definedName>
    <definedName name="PROICYEARS">#REF!</definedName>
    <definedName name="PROJECT">#REF!</definedName>
    <definedName name="Proposed_Dividend_BS">#REF!</definedName>
    <definedName name="Proposed_Final_Dividend" localSheetId="4">#REF!</definedName>
    <definedName name="Proposed_Final_Dividend" localSheetId="5">#REF!</definedName>
    <definedName name="Proposed_Final_Dividend" localSheetId="15">#REF!</definedName>
    <definedName name="Proposed_Final_Dividend" localSheetId="19">#REF!</definedName>
    <definedName name="Proposed_Final_Dividend" localSheetId="18">#REF!</definedName>
    <definedName name="Proposed_Final_Dividend" localSheetId="14">#REF!</definedName>
    <definedName name="Proposed_Final_Dividend" localSheetId="12">#REF!</definedName>
    <definedName name="Proposed_Final_Dividend" localSheetId="24">#REF!</definedName>
    <definedName name="Proposed_Final_Dividend" localSheetId="7">#REF!</definedName>
    <definedName name="Proposed_Final_Dividend" localSheetId="20">#REF!</definedName>
    <definedName name="Proposed_Final_Dividend" localSheetId="21">#REF!</definedName>
    <definedName name="Proposed_Final_Dividend" localSheetId="11">#REF!</definedName>
    <definedName name="Proposed_Final_Dividend" localSheetId="17">#REF!</definedName>
    <definedName name="Proposed_Final_Dividend" localSheetId="16">#REF!</definedName>
    <definedName name="Proposed_Final_Dividend" localSheetId="22">#REF!</definedName>
    <definedName name="Proposed_Final_Dividend" localSheetId="9">#REF!</definedName>
    <definedName name="Proposed_Final_Dividend" localSheetId="13">#REF!</definedName>
    <definedName name="Proposed_Final_Dividend" localSheetId="23">#REF!</definedName>
    <definedName name="Proposed_Final_Dividend">#REF!</definedName>
    <definedName name="Proposed_Final_Dividend_PL">#REF!</definedName>
    <definedName name="Proposed_Final_Dividend_Rate">#REF!</definedName>
    <definedName name="Proposed_Interim_Dividend" localSheetId="4">#REF!</definedName>
    <definedName name="Proposed_Interim_Dividend" localSheetId="5">#REF!</definedName>
    <definedName name="Proposed_Interim_Dividend" localSheetId="15">#REF!</definedName>
    <definedName name="Proposed_Interim_Dividend" localSheetId="19">#REF!</definedName>
    <definedName name="Proposed_Interim_Dividend" localSheetId="18">#REF!</definedName>
    <definedName name="Proposed_Interim_Dividend" localSheetId="14">#REF!</definedName>
    <definedName name="Proposed_Interim_Dividend" localSheetId="12">#REF!</definedName>
    <definedName name="Proposed_Interim_Dividend" localSheetId="24">#REF!</definedName>
    <definedName name="Proposed_Interim_Dividend" localSheetId="7">#REF!</definedName>
    <definedName name="Proposed_Interim_Dividend" localSheetId="20">#REF!</definedName>
    <definedName name="Proposed_Interim_Dividend" localSheetId="21">#REF!</definedName>
    <definedName name="Proposed_Interim_Dividend" localSheetId="11">#REF!</definedName>
    <definedName name="Proposed_Interim_Dividend" localSheetId="17">#REF!</definedName>
    <definedName name="Proposed_Interim_Dividend" localSheetId="16">#REF!</definedName>
    <definedName name="Proposed_Interim_Dividend" localSheetId="22">#REF!</definedName>
    <definedName name="Proposed_Interim_Dividend" localSheetId="9">#REF!</definedName>
    <definedName name="Proposed_Interim_Dividend" localSheetId="13">#REF!</definedName>
    <definedName name="Proposed_Interim_Dividend" localSheetId="23">#REF!</definedName>
    <definedName name="Proposed_Interim_Dividend">#REF!</definedName>
    <definedName name="prov_on_npl_Q">#REF!</definedName>
    <definedName name="prov_on_sa_Q">#REF!</definedName>
    <definedName name="Provision_and_write_offs_total">#REF!</definedName>
    <definedName name="provision_charges">#REF!</definedName>
    <definedName name="provision_charges_Q">#REF!</definedName>
    <definedName name="Provision_for_Contingencies_Secured_Doubtful" localSheetId="4">#REF!</definedName>
    <definedName name="Provision_for_Contingencies_Secured_Doubtful" localSheetId="5">#REF!</definedName>
    <definedName name="Provision_for_Contingencies_Secured_Doubtful" localSheetId="15">#REF!</definedName>
    <definedName name="Provision_for_Contingencies_Secured_Doubtful" localSheetId="19">#REF!</definedName>
    <definedName name="Provision_for_Contingencies_Secured_Doubtful" localSheetId="18">#REF!</definedName>
    <definedName name="Provision_for_Contingencies_Secured_Doubtful" localSheetId="14">#REF!</definedName>
    <definedName name="Provision_for_Contingencies_Secured_Doubtful" localSheetId="12">#REF!</definedName>
    <definedName name="Provision_for_Contingencies_Secured_Doubtful" localSheetId="24">#REF!</definedName>
    <definedName name="Provision_for_Contingencies_Secured_Doubtful" localSheetId="7">#REF!</definedName>
    <definedName name="Provision_for_Contingencies_Secured_Doubtful" localSheetId="20">#REF!</definedName>
    <definedName name="Provision_for_Contingencies_Secured_Doubtful" localSheetId="21">#REF!</definedName>
    <definedName name="Provision_for_Contingencies_Secured_Doubtful" localSheetId="11">#REF!</definedName>
    <definedName name="Provision_for_Contingencies_Secured_Doubtful" localSheetId="17">#REF!</definedName>
    <definedName name="Provision_for_Contingencies_Secured_Doubtful" localSheetId="16">#REF!</definedName>
    <definedName name="Provision_for_Contingencies_Secured_Doubtful" localSheetId="22">#REF!</definedName>
    <definedName name="Provision_for_Contingencies_Secured_Doubtful" localSheetId="9">#REF!</definedName>
    <definedName name="Provision_for_Contingencies_Secured_Doubtful" localSheetId="13">#REF!</definedName>
    <definedName name="Provision_for_Contingencies_Secured_Doubtful" localSheetId="23">#REF!</definedName>
    <definedName name="Provision_for_Contingencies_Secured_Doubtful">#REF!</definedName>
    <definedName name="Provision_for_Contingencies_Unsecured_Doubtful" localSheetId="4">#REF!</definedName>
    <definedName name="Provision_for_Contingencies_Unsecured_Doubtful" localSheetId="5">#REF!</definedName>
    <definedName name="Provision_for_Contingencies_Unsecured_Doubtful" localSheetId="15">#REF!</definedName>
    <definedName name="Provision_for_Contingencies_Unsecured_Doubtful" localSheetId="19">#REF!</definedName>
    <definedName name="Provision_for_Contingencies_Unsecured_Doubtful" localSheetId="18">#REF!</definedName>
    <definedName name="Provision_for_Contingencies_Unsecured_Doubtful" localSheetId="14">#REF!</definedName>
    <definedName name="Provision_for_Contingencies_Unsecured_Doubtful" localSheetId="12">#REF!</definedName>
    <definedName name="Provision_for_Contingencies_Unsecured_Doubtful" localSheetId="24">#REF!</definedName>
    <definedName name="Provision_for_Contingencies_Unsecured_Doubtful" localSheetId="7">#REF!</definedName>
    <definedName name="Provision_for_Contingencies_Unsecured_Doubtful" localSheetId="20">#REF!</definedName>
    <definedName name="Provision_for_Contingencies_Unsecured_Doubtful" localSheetId="21">#REF!</definedName>
    <definedName name="Provision_for_Contingencies_Unsecured_Doubtful" localSheetId="11">#REF!</definedName>
    <definedName name="Provision_for_Contingencies_Unsecured_Doubtful" localSheetId="17">#REF!</definedName>
    <definedName name="Provision_for_Contingencies_Unsecured_Doubtful" localSheetId="16">#REF!</definedName>
    <definedName name="Provision_for_Contingencies_Unsecured_Doubtful" localSheetId="22">#REF!</definedName>
    <definedName name="Provision_for_Contingencies_Unsecured_Doubtful" localSheetId="9">#REF!</definedName>
    <definedName name="Provision_for_Contingencies_Unsecured_Doubtful" localSheetId="13">#REF!</definedName>
    <definedName name="Provision_for_Contingencies_Unsecured_Doubtful" localSheetId="23">#REF!</definedName>
    <definedName name="Provision_for_Contingencies_Unsecured_Doubtful">#REF!</definedName>
    <definedName name="provision_for_contingent_liabilities_other">#REF!</definedName>
    <definedName name="Provision_for_Employee_Benefits">#REF!</definedName>
    <definedName name="Provision_for_Expenses">#REF!</definedName>
    <definedName name="Provision_for_Non_Performing_Assets">#REF!</definedName>
    <definedName name="Provision_for_Securitisation">#REF!</definedName>
    <definedName name="Provision_for_Taxation">#REF!</definedName>
    <definedName name="Provisions_and_write_offs_Q" localSheetId="4">#REF!</definedName>
    <definedName name="Provisions_and_write_offs_Q" localSheetId="5">#REF!</definedName>
    <definedName name="Provisions_and_write_offs_Q" localSheetId="15">#REF!</definedName>
    <definedName name="Provisions_and_write_offs_Q" localSheetId="19">#REF!</definedName>
    <definedName name="Provisions_and_write_offs_Q" localSheetId="18">#REF!</definedName>
    <definedName name="Provisions_and_write_offs_Q" localSheetId="14">#REF!</definedName>
    <definedName name="Provisions_and_write_offs_Q" localSheetId="12">#REF!</definedName>
    <definedName name="Provisions_and_write_offs_Q" localSheetId="24">#REF!</definedName>
    <definedName name="Provisions_and_write_offs_Q" localSheetId="7">#REF!</definedName>
    <definedName name="Provisions_and_write_offs_Q" localSheetId="20">#REF!</definedName>
    <definedName name="Provisions_and_write_offs_Q" localSheetId="21">#REF!</definedName>
    <definedName name="Provisions_and_write_offs_Q" localSheetId="11">#REF!</definedName>
    <definedName name="Provisions_and_write_offs_Q" localSheetId="17">#REF!</definedName>
    <definedName name="Provisions_and_write_offs_Q" localSheetId="16">#REF!</definedName>
    <definedName name="Provisions_and_write_offs_Q" localSheetId="22">#REF!</definedName>
    <definedName name="Provisions_and_write_offs_Q" localSheetId="9">#REF!</definedName>
    <definedName name="Provisions_and_write_offs_Q" localSheetId="13">#REF!</definedName>
    <definedName name="Provisions_and_write_offs_Q" localSheetId="23">#REF!</definedName>
    <definedName name="Provisions_and_write_offs_Q">#REF!</definedName>
    <definedName name="Provisions_Contingencies" localSheetId="4">#REF!</definedName>
    <definedName name="Provisions_Contingencies" localSheetId="5">#REF!</definedName>
    <definedName name="Provisions_Contingencies" localSheetId="15">#REF!</definedName>
    <definedName name="Provisions_Contingencies" localSheetId="19">#REF!</definedName>
    <definedName name="Provisions_Contingencies" localSheetId="18">#REF!</definedName>
    <definedName name="Provisions_Contingencies" localSheetId="14">#REF!</definedName>
    <definedName name="Provisions_Contingencies" localSheetId="12">#REF!</definedName>
    <definedName name="Provisions_Contingencies" localSheetId="24">#REF!</definedName>
    <definedName name="Provisions_Contingencies" localSheetId="7">#REF!</definedName>
    <definedName name="Provisions_Contingencies" localSheetId="20">#REF!</definedName>
    <definedName name="Provisions_Contingencies" localSheetId="21">#REF!</definedName>
    <definedName name="Provisions_Contingencies" localSheetId="11">#REF!</definedName>
    <definedName name="Provisions_Contingencies" localSheetId="17">#REF!</definedName>
    <definedName name="Provisions_Contingencies" localSheetId="16">#REF!</definedName>
    <definedName name="Provisions_Contingencies" localSheetId="22">#REF!</definedName>
    <definedName name="Provisions_Contingencies" localSheetId="9">#REF!</definedName>
    <definedName name="Provisions_Contingencies" localSheetId="13">#REF!</definedName>
    <definedName name="Provisions_Contingencies" localSheetId="23">#REF!</definedName>
    <definedName name="Provisions_Contingencies">#REF!</definedName>
    <definedName name="Provisions_Corporate_Dividend_Tax" localSheetId="4">#REF!</definedName>
    <definedName name="Provisions_Corporate_Dividend_Tax" localSheetId="5">#REF!</definedName>
    <definedName name="Provisions_Corporate_Dividend_Tax" localSheetId="15">#REF!</definedName>
    <definedName name="Provisions_Corporate_Dividend_Tax" localSheetId="19">#REF!</definedName>
    <definedName name="Provisions_Corporate_Dividend_Tax" localSheetId="18">#REF!</definedName>
    <definedName name="Provisions_Corporate_Dividend_Tax" localSheetId="14">#REF!</definedName>
    <definedName name="Provisions_Corporate_Dividend_Tax" localSheetId="12">#REF!</definedName>
    <definedName name="Provisions_Corporate_Dividend_Tax" localSheetId="24">#REF!</definedName>
    <definedName name="Provisions_Corporate_Dividend_Tax" localSheetId="7">#REF!</definedName>
    <definedName name="Provisions_Corporate_Dividend_Tax" localSheetId="20">#REF!</definedName>
    <definedName name="Provisions_Corporate_Dividend_Tax" localSheetId="21">#REF!</definedName>
    <definedName name="Provisions_Corporate_Dividend_Tax" localSheetId="11">#REF!</definedName>
    <definedName name="Provisions_Corporate_Dividend_Tax" localSheetId="17">#REF!</definedName>
    <definedName name="Provisions_Corporate_Dividend_Tax" localSheetId="16">#REF!</definedName>
    <definedName name="Provisions_Corporate_Dividend_Tax" localSheetId="22">#REF!</definedName>
    <definedName name="Provisions_Corporate_Dividend_Tax" localSheetId="9">#REF!</definedName>
    <definedName name="Provisions_Corporate_Dividend_Tax" localSheetId="13">#REF!</definedName>
    <definedName name="Provisions_Corporate_Dividend_Tax" localSheetId="23">#REF!</definedName>
    <definedName name="Provisions_Corporate_Dividend_Tax">#REF!</definedName>
    <definedName name="Provisions_Economic_Rehabilitation" localSheetId="4">#REF!</definedName>
    <definedName name="Provisions_Economic_Rehabilitation" localSheetId="9">#REF!</definedName>
    <definedName name="Provisions_Economic_Rehabilitation">#REF!</definedName>
    <definedName name="Provisions_Final_dividend" localSheetId="4">#REF!</definedName>
    <definedName name="Provisions_Final_dividend" localSheetId="9">#REF!</definedName>
    <definedName name="Provisions_Final_dividend">#REF!</definedName>
    <definedName name="Provisions_Fringe_benefit_tax" localSheetId="4">#REF!</definedName>
    <definedName name="Provisions_Fringe_benefit_tax" localSheetId="9">#REF!</definedName>
    <definedName name="Provisions_Fringe_benefit_tax">#REF!</definedName>
    <definedName name="Provisions_Gratuity" localSheetId="4">#REF!</definedName>
    <definedName name="Provisions_Gratuity" localSheetId="9">#REF!</definedName>
    <definedName name="Provisions_Gratuity">#REF!</definedName>
    <definedName name="Provisions_Income_tax" localSheetId="4">#REF!</definedName>
    <definedName name="Provisions_Income_tax" localSheetId="9">#REF!</definedName>
    <definedName name="Provisions_Income_tax">#REF!</definedName>
    <definedName name="Provisions_Interim_dividend" localSheetId="4">#REF!</definedName>
    <definedName name="Provisions_Interim_dividend" localSheetId="9">#REF!</definedName>
    <definedName name="Provisions_Interim_dividend">#REF!</definedName>
    <definedName name="Provisions_Leave_Encashment" localSheetId="4">#REF!</definedName>
    <definedName name="Provisions_Leave_Encashment" localSheetId="9">#REF!</definedName>
    <definedName name="Provisions_Leave_Encashment">#REF!</definedName>
    <definedName name="Provisions_Q" localSheetId="4">#REF!</definedName>
    <definedName name="Provisions_Q" localSheetId="9">#REF!</definedName>
    <definedName name="Provisions_Q">#REF!</definedName>
    <definedName name="Provisions_Staff_Welfare_Expenses" localSheetId="4">#REF!</definedName>
    <definedName name="Provisions_Staff_Welfare_Expenses" localSheetId="9">#REF!</definedName>
    <definedName name="Provisions_Staff_Welfare_Expenses">#REF!</definedName>
    <definedName name="Provisions_total">#REF!</definedName>
    <definedName name="Provisions_total_PL">#REF!</definedName>
    <definedName name="Provisions_write_offs_Q" localSheetId="4">#REF!</definedName>
    <definedName name="Provisions_write_offs_Q" localSheetId="5">#REF!</definedName>
    <definedName name="Provisions_write_offs_Q" localSheetId="15">#REF!</definedName>
    <definedName name="Provisions_write_offs_Q" localSheetId="19">#REF!</definedName>
    <definedName name="Provisions_write_offs_Q" localSheetId="18">#REF!</definedName>
    <definedName name="Provisions_write_offs_Q" localSheetId="14">#REF!</definedName>
    <definedName name="Provisions_write_offs_Q" localSheetId="12">#REF!</definedName>
    <definedName name="Provisions_write_offs_Q" localSheetId="24">#REF!</definedName>
    <definedName name="Provisions_write_offs_Q" localSheetId="7">#REF!</definedName>
    <definedName name="Provisions_write_offs_Q" localSheetId="20">#REF!</definedName>
    <definedName name="Provisions_write_offs_Q" localSheetId="21">#REF!</definedName>
    <definedName name="Provisions_write_offs_Q" localSheetId="11">#REF!</definedName>
    <definedName name="Provisions_write_offs_Q" localSheetId="17">#REF!</definedName>
    <definedName name="Provisions_write_offs_Q" localSheetId="16">#REF!</definedName>
    <definedName name="Provisions_write_offs_Q" localSheetId="22">#REF!</definedName>
    <definedName name="Provisions_write_offs_Q" localSheetId="9">#REF!</definedName>
    <definedName name="Provisions_write_offs_Q" localSheetId="13">#REF!</definedName>
    <definedName name="Provisions_write_offs_Q" localSheetId="23">#REF!</definedName>
    <definedName name="Provisions_write_offs_Q">#REF!</definedName>
    <definedName name="PrsExp">#REF!</definedName>
    <definedName name="PrsExpSer" hidden="1">#REF!</definedName>
    <definedName name="PrsVar">#REF!</definedName>
    <definedName name="PrTax">#REF!</definedName>
    <definedName name="pryear">#REF!</definedName>
    <definedName name="PrYears" hidden="1">#REF!</definedName>
    <definedName name="pse" localSheetId="4">#REF!</definedName>
    <definedName name="pse" localSheetId="5">#REF!</definedName>
    <definedName name="pse" localSheetId="15">#REF!</definedName>
    <definedName name="pse" localSheetId="19">#REF!</definedName>
    <definedName name="pse" localSheetId="18">#REF!</definedName>
    <definedName name="pse" localSheetId="14">#REF!</definedName>
    <definedName name="pse" localSheetId="12">#REF!</definedName>
    <definedName name="pse" localSheetId="24">#REF!</definedName>
    <definedName name="pse" localSheetId="7">#REF!</definedName>
    <definedName name="pse" localSheetId="20">#REF!</definedName>
    <definedName name="pse" localSheetId="21">#REF!</definedName>
    <definedName name="pse" localSheetId="11">#REF!</definedName>
    <definedName name="pse" localSheetId="17">#REF!</definedName>
    <definedName name="pse" localSheetId="16">#REF!</definedName>
    <definedName name="pse" localSheetId="22">#REF!</definedName>
    <definedName name="pse" localSheetId="9">#REF!</definedName>
    <definedName name="pse" localSheetId="13">#REF!</definedName>
    <definedName name="pse" localSheetId="23">#REF!</definedName>
    <definedName name="pse">#REF!</definedName>
    <definedName name="PSFvsCotton"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FvsCotton"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G_A" localSheetId="4">#REF!</definedName>
    <definedName name="PSG_A" localSheetId="9">#REF!</definedName>
    <definedName name="PSG_A">#REF!</definedName>
    <definedName name="PSV" localSheetId="4">#REF!</definedName>
    <definedName name="PSV" localSheetId="5">#REF!</definedName>
    <definedName name="PSV" localSheetId="15">#REF!</definedName>
    <definedName name="PSV" localSheetId="19">#REF!</definedName>
    <definedName name="PSV" localSheetId="18">#REF!</definedName>
    <definedName name="PSV" localSheetId="14">#REF!</definedName>
    <definedName name="PSV" localSheetId="12">#REF!</definedName>
    <definedName name="PSV" localSheetId="24">#REF!</definedName>
    <definedName name="PSV" localSheetId="7">#REF!</definedName>
    <definedName name="PSV" localSheetId="20">#REF!</definedName>
    <definedName name="PSV" localSheetId="21">#REF!</definedName>
    <definedName name="PSV" localSheetId="11">#REF!</definedName>
    <definedName name="PSV" localSheetId="17">#REF!</definedName>
    <definedName name="PSV" localSheetId="16">#REF!</definedName>
    <definedName name="PSV" localSheetId="22">#REF!</definedName>
    <definedName name="PSV" localSheetId="9">#REF!</definedName>
    <definedName name="PSV" localSheetId="13">#REF!</definedName>
    <definedName name="PSV" localSheetId="23">#REF!</definedName>
    <definedName name="PSV">#REF!</definedName>
    <definedName name="PSYvsCY"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YvsCY"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ta" localSheetId="4">#REF!</definedName>
    <definedName name="pta" localSheetId="5">#REF!</definedName>
    <definedName name="pta" localSheetId="15">#REF!</definedName>
    <definedName name="pta" localSheetId="19">#REF!</definedName>
    <definedName name="pta" localSheetId="18">#REF!</definedName>
    <definedName name="pta" localSheetId="14">#REF!</definedName>
    <definedName name="pta" localSheetId="12">#REF!</definedName>
    <definedName name="pta" localSheetId="24">#REF!</definedName>
    <definedName name="pta" localSheetId="7">#REF!</definedName>
    <definedName name="pta" localSheetId="20">#REF!</definedName>
    <definedName name="pta" localSheetId="21">#REF!</definedName>
    <definedName name="pta" localSheetId="11">#REF!</definedName>
    <definedName name="pta" localSheetId="17">#REF!</definedName>
    <definedName name="pta" localSheetId="16">#REF!</definedName>
    <definedName name="pta" localSheetId="22">#REF!</definedName>
    <definedName name="pta" localSheetId="9">#REF!</definedName>
    <definedName name="pta" localSheetId="13">#REF!</definedName>
    <definedName name="pta" localSheetId="23">#REF!</definedName>
    <definedName name="pta">#REF!</definedName>
    <definedName name="PTC_Equity_Investment" localSheetId="4">#REF!</definedName>
    <definedName name="PTC_Equity_Investment" localSheetId="5">#REF!</definedName>
    <definedName name="PTC_Equity_Investment" localSheetId="15">#REF!</definedName>
    <definedName name="PTC_Equity_Investment" localSheetId="19">#REF!</definedName>
    <definedName name="PTC_Equity_Investment" localSheetId="18">#REF!</definedName>
    <definedName name="PTC_Equity_Investment" localSheetId="14">#REF!</definedName>
    <definedName name="PTC_Equity_Investment" localSheetId="12">#REF!</definedName>
    <definedName name="PTC_Equity_Investment" localSheetId="24">#REF!</definedName>
    <definedName name="PTC_Equity_Investment" localSheetId="7">#REF!</definedName>
    <definedName name="PTC_Equity_Investment" localSheetId="20">#REF!</definedName>
    <definedName name="PTC_Equity_Investment" localSheetId="21">#REF!</definedName>
    <definedName name="PTC_Equity_Investment" localSheetId="11">#REF!</definedName>
    <definedName name="PTC_Equity_Investment" localSheetId="17">#REF!</definedName>
    <definedName name="PTC_Equity_Investment" localSheetId="16">#REF!</definedName>
    <definedName name="PTC_Equity_Investment" localSheetId="22">#REF!</definedName>
    <definedName name="PTC_Equity_Investment" localSheetId="9">#REF!</definedName>
    <definedName name="PTC_Equity_Investment" localSheetId="13">#REF!</definedName>
    <definedName name="PTC_Equity_Investment" localSheetId="23">#REF!</definedName>
    <definedName name="PTC_Equity_Investment">#REF!</definedName>
    <definedName name="pto" localSheetId="4">#REF!</definedName>
    <definedName name="pto" localSheetId="5">#REF!</definedName>
    <definedName name="pto" localSheetId="15">#REF!</definedName>
    <definedName name="pto" localSheetId="19">#REF!</definedName>
    <definedName name="pto" localSheetId="18">#REF!</definedName>
    <definedName name="pto" localSheetId="14">#REF!</definedName>
    <definedName name="pto" localSheetId="12">#REF!</definedName>
    <definedName name="pto" localSheetId="24">#REF!</definedName>
    <definedName name="pto" localSheetId="7">#REF!</definedName>
    <definedName name="pto" localSheetId="20">#REF!</definedName>
    <definedName name="pto" localSheetId="21">#REF!</definedName>
    <definedName name="pto" localSheetId="11">#REF!</definedName>
    <definedName name="pto" localSheetId="17">#REF!</definedName>
    <definedName name="pto" localSheetId="16">#REF!</definedName>
    <definedName name="pto" localSheetId="22">#REF!</definedName>
    <definedName name="pto" localSheetId="9">#REF!</definedName>
    <definedName name="pto" localSheetId="13">#REF!</definedName>
    <definedName name="pto" localSheetId="23">#REF!</definedName>
    <definedName name="pto">#REF!</definedName>
    <definedName name="PTURNOVER" localSheetId="4">#REF!</definedName>
    <definedName name="PTURNOVER" localSheetId="9">#REF!</definedName>
    <definedName name="PTURNOVER">#REF!</definedName>
    <definedName name="PUB_FileID" hidden="1">"L10003649.xls"</definedName>
    <definedName name="PUB_UserID" hidden="1">"MAYERX"</definedName>
    <definedName name="pubwgt">#REF!</definedName>
    <definedName name="purchase_of_finished_goods">#REF!</definedName>
    <definedName name="purchase_of_finished_goods_qtr">#REF!</definedName>
    <definedName name="PV_CFPS" localSheetId="4">#REF!</definedName>
    <definedName name="PV_CFPS" localSheetId="5">#REF!</definedName>
    <definedName name="PV_CFPS" localSheetId="15">#REF!</definedName>
    <definedName name="PV_CFPS" localSheetId="19">#REF!</definedName>
    <definedName name="PV_CFPS" localSheetId="18">#REF!</definedName>
    <definedName name="PV_CFPS" localSheetId="14">#REF!</definedName>
    <definedName name="PV_CFPS" localSheetId="12">#REF!</definedName>
    <definedName name="PV_CFPS" localSheetId="24">#REF!</definedName>
    <definedName name="PV_CFPS" localSheetId="7">#REF!</definedName>
    <definedName name="PV_CFPS" localSheetId="20">#REF!</definedName>
    <definedName name="PV_CFPS" localSheetId="21">#REF!</definedName>
    <definedName name="PV_CFPS" localSheetId="11">#REF!</definedName>
    <definedName name="PV_CFPS" localSheetId="17">#REF!</definedName>
    <definedName name="PV_CFPS" localSheetId="16">#REF!</definedName>
    <definedName name="PV_CFPS" localSheetId="22">#REF!</definedName>
    <definedName name="PV_CFPS" localSheetId="9">#REF!</definedName>
    <definedName name="PV_CFPS" localSheetId="13">#REF!</definedName>
    <definedName name="PV_CFPS" localSheetId="23">#REF!</definedName>
    <definedName name="PV_CFPS">#REF!</definedName>
    <definedName name="PV_DPS" localSheetId="4">#REF!</definedName>
    <definedName name="PV_DPS" localSheetId="5">#REF!</definedName>
    <definedName name="PV_DPS" localSheetId="15">#REF!</definedName>
    <definedName name="PV_DPS" localSheetId="19">#REF!</definedName>
    <definedName name="PV_DPS" localSheetId="18">#REF!</definedName>
    <definedName name="PV_DPS" localSheetId="14">#REF!</definedName>
    <definedName name="PV_DPS" localSheetId="12">#REF!</definedName>
    <definedName name="PV_DPS" localSheetId="24">#REF!</definedName>
    <definedName name="PV_DPS" localSheetId="7">#REF!</definedName>
    <definedName name="PV_DPS" localSheetId="20">#REF!</definedName>
    <definedName name="PV_DPS" localSheetId="21">#REF!</definedName>
    <definedName name="PV_DPS" localSheetId="11">#REF!</definedName>
    <definedName name="PV_DPS" localSheetId="17">#REF!</definedName>
    <definedName name="PV_DPS" localSheetId="16">#REF!</definedName>
    <definedName name="PV_DPS" localSheetId="22">#REF!</definedName>
    <definedName name="PV_DPS" localSheetId="9">#REF!</definedName>
    <definedName name="PV_DPS" localSheetId="13">#REF!</definedName>
    <definedName name="PV_DPS" localSheetId="23">#REF!</definedName>
    <definedName name="PV_DPS">#REF!</definedName>
    <definedName name="PV_EPS" localSheetId="4">#REF!</definedName>
    <definedName name="PV_EPS" localSheetId="5">#REF!</definedName>
    <definedName name="PV_EPS" localSheetId="15">#REF!</definedName>
    <definedName name="PV_EPS" localSheetId="19">#REF!</definedName>
    <definedName name="PV_EPS" localSheetId="18">#REF!</definedName>
    <definedName name="PV_EPS" localSheetId="14">#REF!</definedName>
    <definedName name="PV_EPS" localSheetId="12">#REF!</definedName>
    <definedName name="PV_EPS" localSheetId="24">#REF!</definedName>
    <definedName name="PV_EPS" localSheetId="7">#REF!</definedName>
    <definedName name="PV_EPS" localSheetId="20">#REF!</definedName>
    <definedName name="PV_EPS" localSheetId="21">#REF!</definedName>
    <definedName name="PV_EPS" localSheetId="11">#REF!</definedName>
    <definedName name="PV_EPS" localSheetId="17">#REF!</definedName>
    <definedName name="PV_EPS" localSheetId="16">#REF!</definedName>
    <definedName name="PV_EPS" localSheetId="22">#REF!</definedName>
    <definedName name="PV_EPS" localSheetId="9">#REF!</definedName>
    <definedName name="PV_EPS" localSheetId="13">#REF!</definedName>
    <definedName name="PV_EPS" localSheetId="23">#REF!</definedName>
    <definedName name="PV_EPS">#REF!</definedName>
    <definedName name="PV_NP" localSheetId="4">#REF!</definedName>
    <definedName name="PV_NP" localSheetId="9">#REF!</definedName>
    <definedName name="PV_NP">#REF!</definedName>
    <definedName name="PV_of_Economic_Profit" localSheetId="4">#REF!</definedName>
    <definedName name="PV_of_Economic_Profit" localSheetId="9">#REF!</definedName>
    <definedName name="PV_of_Economic_Profit">#REF!</definedName>
    <definedName name="PV_of_FCF" localSheetId="4">#REF!</definedName>
    <definedName name="PV_of_FCF" localSheetId="9">#REF!</definedName>
    <definedName name="PV_of_FCF">#REF!</definedName>
    <definedName name="PV_of_Residual_Value" localSheetId="4">#REF!</definedName>
    <definedName name="PV_of_Residual_Value" localSheetId="9">#REF!</definedName>
    <definedName name="PV_of_Residual_Value">#REF!</definedName>
    <definedName name="PV_Oper_lease" localSheetId="4">#REF!</definedName>
    <definedName name="PV_Oper_lease" localSheetId="9">#REF!</definedName>
    <definedName name="PV_Oper_lease">#REF!</definedName>
    <definedName name="PV_PRETAX" localSheetId="4">#REF!</definedName>
    <definedName name="PV_PRETAX" localSheetId="5">#REF!</definedName>
    <definedName name="PV_PRETAX" localSheetId="15">#REF!</definedName>
    <definedName name="PV_PRETAX" localSheetId="19">#REF!</definedName>
    <definedName name="PV_PRETAX" localSheetId="18">#REF!</definedName>
    <definedName name="PV_PRETAX" localSheetId="14">#REF!</definedName>
    <definedName name="PV_PRETAX" localSheetId="12">#REF!</definedName>
    <definedName name="PV_PRETAX" localSheetId="24">#REF!</definedName>
    <definedName name="PV_PRETAX" localSheetId="7">#REF!</definedName>
    <definedName name="PV_PRETAX" localSheetId="20">#REF!</definedName>
    <definedName name="PV_PRETAX" localSheetId="21">#REF!</definedName>
    <definedName name="PV_PRETAX" localSheetId="11">#REF!</definedName>
    <definedName name="PV_PRETAX" localSheetId="17">#REF!</definedName>
    <definedName name="PV_PRETAX" localSheetId="16">#REF!</definedName>
    <definedName name="PV_PRETAX" localSheetId="22">#REF!</definedName>
    <definedName name="PV_PRETAX" localSheetId="9">#REF!</definedName>
    <definedName name="PV_PRETAX" localSheetId="13">#REF!</definedName>
    <definedName name="PV_PRETAX" localSheetId="23">#REF!</definedName>
    <definedName name="PV_PRETAX">#REF!</definedName>
    <definedName name="PVGO" localSheetId="4">#REF!</definedName>
    <definedName name="PVGO" localSheetId="9">#REF!</definedName>
    <definedName name="PVGO">#REF!</definedName>
    <definedName name="PWORKING" localSheetId="4">#REF!</definedName>
    <definedName name="PWORKING" localSheetId="9">#REF!</definedName>
    <definedName name="PWORKING">#REF!</definedName>
    <definedName name="pxd" localSheetId="4">#REF!</definedName>
    <definedName name="pxd" localSheetId="5">#REF!</definedName>
    <definedName name="pxd" localSheetId="15">#REF!</definedName>
    <definedName name="pxd" localSheetId="19">#REF!</definedName>
    <definedName name="pxd" localSheetId="18">#REF!</definedName>
    <definedName name="pxd" localSheetId="14">#REF!</definedName>
    <definedName name="pxd" localSheetId="12">#REF!</definedName>
    <definedName name="pxd" localSheetId="24">#REF!</definedName>
    <definedName name="pxd" localSheetId="7">#REF!</definedName>
    <definedName name="pxd" localSheetId="20">#REF!</definedName>
    <definedName name="pxd" localSheetId="21">#REF!</definedName>
    <definedName name="pxd" localSheetId="11">#REF!</definedName>
    <definedName name="pxd" localSheetId="17">#REF!</definedName>
    <definedName name="pxd" localSheetId="16">#REF!</definedName>
    <definedName name="pxd" localSheetId="22">#REF!</definedName>
    <definedName name="pxd" localSheetId="9">#REF!</definedName>
    <definedName name="pxd" localSheetId="13">#REF!</definedName>
    <definedName name="pxd" localSheetId="23">#REF!</definedName>
    <definedName name="pxd">#REF!</definedName>
    <definedName name="Q"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1.1" localSheetId="4">#REF!</definedName>
    <definedName name="Q1.1" localSheetId="5">#REF!</definedName>
    <definedName name="Q1.1" localSheetId="15">#REF!</definedName>
    <definedName name="Q1.1" localSheetId="19">#REF!</definedName>
    <definedName name="Q1.1" localSheetId="18">#REF!</definedName>
    <definedName name="Q1.1" localSheetId="14">#REF!</definedName>
    <definedName name="Q1.1" localSheetId="12">#REF!</definedName>
    <definedName name="Q1.1" localSheetId="24">#REF!</definedName>
    <definedName name="Q1.1" localSheetId="7">#REF!</definedName>
    <definedName name="Q1.1" localSheetId="20">#REF!</definedName>
    <definedName name="Q1.1" localSheetId="21">#REF!</definedName>
    <definedName name="Q1.1" localSheetId="11">#REF!</definedName>
    <definedName name="Q1.1" localSheetId="17">#REF!</definedName>
    <definedName name="Q1.1" localSheetId="16">#REF!</definedName>
    <definedName name="Q1.1" localSheetId="22">#REF!</definedName>
    <definedName name="Q1.1" localSheetId="9">#REF!</definedName>
    <definedName name="Q1.1" localSheetId="13">#REF!</definedName>
    <definedName name="Q1.1" localSheetId="23">#REF!</definedName>
    <definedName name="Q1.1">#REF!</definedName>
    <definedName name="Q1.2" localSheetId="4">#REF!,#REF!,#REF!</definedName>
    <definedName name="Q1.2" localSheetId="5">#REF!,#REF!,#REF!</definedName>
    <definedName name="Q1.2" localSheetId="15">#REF!,#REF!,#REF!</definedName>
    <definedName name="Q1.2" localSheetId="19">#REF!,#REF!,#REF!</definedName>
    <definedName name="Q1.2" localSheetId="18">#REF!,#REF!,#REF!</definedName>
    <definedName name="Q1.2" localSheetId="14">#REF!,#REF!,#REF!</definedName>
    <definedName name="Q1.2" localSheetId="12">#REF!,#REF!,#REF!</definedName>
    <definedName name="Q1.2" localSheetId="24">#REF!,#REF!,#REF!</definedName>
    <definedName name="Q1.2" localSheetId="7">#REF!,#REF!,#REF!</definedName>
    <definedName name="Q1.2" localSheetId="20">#REF!,#REF!,#REF!</definedName>
    <definedName name="Q1.2" localSheetId="21">#REF!,#REF!,#REF!</definedName>
    <definedName name="Q1.2" localSheetId="11">#REF!,#REF!,#REF!</definedName>
    <definedName name="Q1.2" localSheetId="17">#REF!,#REF!,#REF!</definedName>
    <definedName name="Q1.2" localSheetId="16">#REF!,#REF!,#REF!</definedName>
    <definedName name="Q1.2" localSheetId="22">#REF!,#REF!,#REF!</definedName>
    <definedName name="Q1.2" localSheetId="9">#REF!,#REF!,#REF!</definedName>
    <definedName name="Q1.2" localSheetId="13">#REF!,#REF!,#REF!</definedName>
    <definedName name="Q1.2" localSheetId="23">#REF!,#REF!,#REF!</definedName>
    <definedName name="Q1.2">#REF!,#REF!,#REF!</definedName>
    <definedName name="Q1.3" localSheetId="4">#REF!,#REF!,#REF!</definedName>
    <definedName name="Q1.3" localSheetId="5">#REF!,#REF!,#REF!</definedName>
    <definedName name="Q1.3" localSheetId="15">#REF!,#REF!,#REF!</definedName>
    <definedName name="Q1.3" localSheetId="19">#REF!,#REF!,#REF!</definedName>
    <definedName name="Q1.3" localSheetId="18">#REF!,#REF!,#REF!</definedName>
    <definedName name="Q1.3" localSheetId="14">#REF!,#REF!,#REF!</definedName>
    <definedName name="Q1.3" localSheetId="12">#REF!,#REF!,#REF!</definedName>
    <definedName name="Q1.3" localSheetId="24">#REF!,#REF!,#REF!</definedName>
    <definedName name="Q1.3" localSheetId="7">#REF!,#REF!,#REF!</definedName>
    <definedName name="Q1.3" localSheetId="20">#REF!,#REF!,#REF!</definedName>
    <definedName name="Q1.3" localSheetId="21">#REF!,#REF!,#REF!</definedName>
    <definedName name="Q1.3" localSheetId="11">#REF!,#REF!,#REF!</definedName>
    <definedName name="Q1.3" localSheetId="17">#REF!,#REF!,#REF!</definedName>
    <definedName name="Q1.3" localSheetId="16">#REF!,#REF!,#REF!</definedName>
    <definedName name="Q1.3" localSheetId="22">#REF!,#REF!,#REF!</definedName>
    <definedName name="Q1.3" localSheetId="9">#REF!,#REF!,#REF!</definedName>
    <definedName name="Q1.3" localSheetId="13">#REF!,#REF!,#REF!</definedName>
    <definedName name="Q1.3" localSheetId="23">#REF!,#REF!,#REF!</definedName>
    <definedName name="Q1.3">#REF!,#REF!,#REF!</definedName>
    <definedName name="Q1.4" localSheetId="4">#REF!,#REF!,#REF!</definedName>
    <definedName name="Q1.4" localSheetId="5">#REF!,#REF!,#REF!</definedName>
    <definedName name="Q1.4" localSheetId="15">#REF!,#REF!,#REF!</definedName>
    <definedName name="Q1.4" localSheetId="19">#REF!,#REF!,#REF!</definedName>
    <definedName name="Q1.4" localSheetId="18">#REF!,#REF!,#REF!</definedName>
    <definedName name="Q1.4" localSheetId="14">#REF!,#REF!,#REF!</definedName>
    <definedName name="Q1.4" localSheetId="12">#REF!,#REF!,#REF!</definedName>
    <definedName name="Q1.4" localSheetId="24">#REF!,#REF!,#REF!</definedName>
    <definedName name="Q1.4" localSheetId="7">#REF!,#REF!,#REF!</definedName>
    <definedName name="Q1.4" localSheetId="20">#REF!,#REF!,#REF!</definedName>
    <definedName name="Q1.4" localSheetId="21">#REF!,#REF!,#REF!</definedName>
    <definedName name="Q1.4" localSheetId="11">#REF!,#REF!,#REF!</definedName>
    <definedName name="Q1.4" localSheetId="17">#REF!,#REF!,#REF!</definedName>
    <definedName name="Q1.4" localSheetId="16">#REF!,#REF!,#REF!</definedName>
    <definedName name="Q1.4" localSheetId="22">#REF!,#REF!,#REF!</definedName>
    <definedName name="Q1.4" localSheetId="9">#REF!,#REF!,#REF!</definedName>
    <definedName name="Q1.4" localSheetId="13">#REF!,#REF!,#REF!</definedName>
    <definedName name="Q1.4" localSheetId="23">#REF!,#REF!,#REF!</definedName>
    <definedName name="Q1.4">#REF!,#REF!,#REF!</definedName>
    <definedName name="Q2.1" localSheetId="4">#REF!,#REF!,#REF!</definedName>
    <definedName name="Q2.1" localSheetId="9">#REF!,#REF!,#REF!</definedName>
    <definedName name="Q2.1">#REF!,#REF!,#REF!</definedName>
    <definedName name="Q2.2" localSheetId="4">#REF!,#REF!,#REF!</definedName>
    <definedName name="Q2.2" localSheetId="9">#REF!,#REF!,#REF!</definedName>
    <definedName name="Q2.2">#REF!,#REF!,#REF!</definedName>
    <definedName name="Q2.3" localSheetId="4">#REF!,#REF!,#REF!</definedName>
    <definedName name="Q2.3" localSheetId="9">#REF!,#REF!,#REF!</definedName>
    <definedName name="Q2.3">#REF!,#REF!,#REF!</definedName>
    <definedName name="Q2.4" localSheetId="4">#REF!,#REF!,#REF!</definedName>
    <definedName name="Q2.4" localSheetId="9">#REF!,#REF!,#REF!</definedName>
    <definedName name="Q2.4">#REF!,#REF!,#REF!</definedName>
    <definedName name="Q3.1" localSheetId="4">#REF!,#REF!,#REF!</definedName>
    <definedName name="Q3.1" localSheetId="9">#REF!,#REF!,#REF!</definedName>
    <definedName name="Q3.1">#REF!,#REF!,#REF!</definedName>
    <definedName name="QEF_BM21" localSheetId="4">#REF!</definedName>
    <definedName name="QEF_BM21" localSheetId="5">#REF!</definedName>
    <definedName name="QEF_BM21" localSheetId="15">#REF!</definedName>
    <definedName name="QEF_BM21" localSheetId="19">#REF!</definedName>
    <definedName name="QEF_BM21" localSheetId="18">#REF!</definedName>
    <definedName name="QEF_BM21" localSheetId="14">#REF!</definedName>
    <definedName name="QEF_BM21" localSheetId="12">#REF!</definedName>
    <definedName name="QEF_BM21" localSheetId="24">#REF!</definedName>
    <definedName name="QEF_BM21" localSheetId="7">#REF!</definedName>
    <definedName name="QEF_BM21" localSheetId="20">#REF!</definedName>
    <definedName name="QEF_BM21" localSheetId="21">#REF!</definedName>
    <definedName name="QEF_BM21" localSheetId="11">#REF!</definedName>
    <definedName name="QEF_BM21" localSheetId="17">#REF!</definedName>
    <definedName name="QEF_BM21" localSheetId="16">#REF!</definedName>
    <definedName name="QEF_BM21" localSheetId="22">#REF!</definedName>
    <definedName name="QEF_BM21" localSheetId="9">#REF!</definedName>
    <definedName name="QEF_BM21" localSheetId="13">#REF!</definedName>
    <definedName name="QEF_BM21" localSheetId="23">#REF!</definedName>
    <definedName name="QEF_BM21">#REF!</definedName>
    <definedName name="QEF_BM22_N1" localSheetId="4">#REF!</definedName>
    <definedName name="QEF_BM22_N1" localSheetId="5">#REF!</definedName>
    <definedName name="QEF_BM22_N1" localSheetId="15">#REF!</definedName>
    <definedName name="QEF_BM22_N1" localSheetId="19">#REF!</definedName>
    <definedName name="QEF_BM22_N1" localSheetId="18">#REF!</definedName>
    <definedName name="QEF_BM22_N1" localSheetId="14">#REF!</definedName>
    <definedName name="QEF_BM22_N1" localSheetId="12">#REF!</definedName>
    <definedName name="QEF_BM22_N1" localSheetId="24">#REF!</definedName>
    <definedName name="QEF_BM22_N1" localSheetId="7">#REF!</definedName>
    <definedName name="QEF_BM22_N1" localSheetId="20">#REF!</definedName>
    <definedName name="QEF_BM22_N1" localSheetId="21">#REF!</definedName>
    <definedName name="QEF_BM22_N1" localSheetId="11">#REF!</definedName>
    <definedName name="QEF_BM22_N1" localSheetId="17">#REF!</definedName>
    <definedName name="QEF_BM22_N1" localSheetId="16">#REF!</definedName>
    <definedName name="QEF_BM22_N1" localSheetId="22">#REF!</definedName>
    <definedName name="QEF_BM22_N1" localSheetId="9">#REF!</definedName>
    <definedName name="QEF_BM22_N1" localSheetId="13">#REF!</definedName>
    <definedName name="QEF_BM22_N1" localSheetId="23">#REF!</definedName>
    <definedName name="QEF_BM22_N1">#REF!</definedName>
    <definedName name="QEF_BM23_N1" localSheetId="4">#REF!</definedName>
    <definedName name="QEF_BM23_N1" localSheetId="5">#REF!</definedName>
    <definedName name="QEF_BM23_N1" localSheetId="15">#REF!</definedName>
    <definedName name="QEF_BM23_N1" localSheetId="19">#REF!</definedName>
    <definedName name="QEF_BM23_N1" localSheetId="18">#REF!</definedName>
    <definedName name="QEF_BM23_N1" localSheetId="14">#REF!</definedName>
    <definedName name="QEF_BM23_N1" localSheetId="12">#REF!</definedName>
    <definedName name="QEF_BM23_N1" localSheetId="24">#REF!</definedName>
    <definedName name="QEF_BM23_N1" localSheetId="7">#REF!</definedName>
    <definedName name="QEF_BM23_N1" localSheetId="20">#REF!</definedName>
    <definedName name="QEF_BM23_N1" localSheetId="21">#REF!</definedName>
    <definedName name="QEF_BM23_N1" localSheetId="11">#REF!</definedName>
    <definedName name="QEF_BM23_N1" localSheetId="17">#REF!</definedName>
    <definedName name="QEF_BM23_N1" localSheetId="16">#REF!</definedName>
    <definedName name="QEF_BM23_N1" localSheetId="22">#REF!</definedName>
    <definedName name="QEF_BM23_N1" localSheetId="9">#REF!</definedName>
    <definedName name="QEF_BM23_N1" localSheetId="13">#REF!</definedName>
    <definedName name="QEF_BM23_N1" localSheetId="23">#REF!</definedName>
    <definedName name="QEF_BM23_N1">#REF!</definedName>
    <definedName name="QEF_BM31" localSheetId="4">#REF!</definedName>
    <definedName name="QEF_BM31" localSheetId="9">#REF!</definedName>
    <definedName name="QEF_BM31">#REF!</definedName>
    <definedName name="QEF_BM32_N1" localSheetId="4">#REF!</definedName>
    <definedName name="QEF_BM32_N1" localSheetId="9">#REF!</definedName>
    <definedName name="QEF_BM32_N1">#REF!</definedName>
    <definedName name="QEF_BM33_N1" localSheetId="4">#REF!</definedName>
    <definedName name="QEF_BM33_N1" localSheetId="9">#REF!</definedName>
    <definedName name="QEF_BM33_N1">#REF!</definedName>
    <definedName name="QEF_BM41" localSheetId="4">#REF!</definedName>
    <definedName name="QEF_BM41" localSheetId="9">#REF!</definedName>
    <definedName name="QEF_BM41">#REF!</definedName>
    <definedName name="QEF_BM42_N1" localSheetId="4">#REF!</definedName>
    <definedName name="QEF_BM42_N1" localSheetId="9">#REF!</definedName>
    <definedName name="QEF_BM42_N1">#REF!</definedName>
    <definedName name="QEF_BM43_N1" localSheetId="4">#REF!</definedName>
    <definedName name="QEF_BM43_N1" localSheetId="9">#REF!</definedName>
    <definedName name="QEF_BM43_N1">#REF!</definedName>
    <definedName name="QEF_BM51" localSheetId="4">#REF!</definedName>
    <definedName name="QEF_BM51" localSheetId="9">#REF!</definedName>
    <definedName name="QEF_BM51">#REF!</definedName>
    <definedName name="QEF_BM52_N1" localSheetId="4">#REF!</definedName>
    <definedName name="QEF_BM52_N1" localSheetId="9">#REF!</definedName>
    <definedName name="QEF_BM52_N1">#REF!</definedName>
    <definedName name="QEF_BM53_N1" localSheetId="4">#REF!</definedName>
    <definedName name="QEF_BM53_N1" localSheetId="9">#REF!</definedName>
    <definedName name="QEF_BM53_N1">#REF!</definedName>
    <definedName name="QL1.1" localSheetId="4">#REF!,#REF!</definedName>
    <definedName name="QL1.1" localSheetId="5">#REF!,#REF!</definedName>
    <definedName name="QL1.1" localSheetId="15">#REF!,#REF!</definedName>
    <definedName name="QL1.1" localSheetId="19">#REF!,#REF!</definedName>
    <definedName name="QL1.1" localSheetId="18">#REF!,#REF!</definedName>
    <definedName name="QL1.1" localSheetId="14">#REF!,#REF!</definedName>
    <definedName name="QL1.1" localSheetId="12">#REF!,#REF!</definedName>
    <definedName name="QL1.1" localSheetId="24">#REF!,#REF!</definedName>
    <definedName name="QL1.1" localSheetId="7">#REF!,#REF!</definedName>
    <definedName name="QL1.1" localSheetId="20">#REF!,#REF!</definedName>
    <definedName name="QL1.1" localSheetId="21">#REF!,#REF!</definedName>
    <definedName name="QL1.1" localSheetId="11">#REF!,#REF!</definedName>
    <definedName name="QL1.1" localSheetId="17">#REF!,#REF!</definedName>
    <definedName name="QL1.1" localSheetId="16">#REF!,#REF!</definedName>
    <definedName name="QL1.1" localSheetId="22">#REF!,#REF!</definedName>
    <definedName name="QL1.1" localSheetId="9">#REF!,#REF!</definedName>
    <definedName name="QL1.1" localSheetId="13">#REF!,#REF!</definedName>
    <definedName name="QL1.1" localSheetId="23">#REF!,#REF!</definedName>
    <definedName name="QL1.1">#REF!,#REF!</definedName>
    <definedName name="QL1.2" localSheetId="4">#REF!,#REF!</definedName>
    <definedName name="QL1.2" localSheetId="5">#REF!,#REF!</definedName>
    <definedName name="QL1.2" localSheetId="15">#REF!,#REF!</definedName>
    <definedName name="QL1.2" localSheetId="19">#REF!,#REF!</definedName>
    <definedName name="QL1.2" localSheetId="18">#REF!,#REF!</definedName>
    <definedName name="QL1.2" localSheetId="14">#REF!,#REF!</definedName>
    <definedName name="QL1.2" localSheetId="12">#REF!,#REF!</definedName>
    <definedName name="QL1.2" localSheetId="24">#REF!,#REF!</definedName>
    <definedName name="QL1.2" localSheetId="7">#REF!,#REF!</definedName>
    <definedName name="QL1.2" localSheetId="20">#REF!,#REF!</definedName>
    <definedName name="QL1.2" localSheetId="21">#REF!,#REF!</definedName>
    <definedName name="QL1.2" localSheetId="11">#REF!,#REF!</definedName>
    <definedName name="QL1.2" localSheetId="17">#REF!,#REF!</definedName>
    <definedName name="QL1.2" localSheetId="16">#REF!,#REF!</definedName>
    <definedName name="QL1.2" localSheetId="22">#REF!,#REF!</definedName>
    <definedName name="QL1.2" localSheetId="9">#REF!,#REF!</definedName>
    <definedName name="QL1.2" localSheetId="13">#REF!,#REF!</definedName>
    <definedName name="QL1.2" localSheetId="23">#REF!,#REF!</definedName>
    <definedName name="QL1.2">#REF!,#REF!</definedName>
    <definedName name="QL1.3" localSheetId="4">#REF!,#REF!</definedName>
    <definedName name="QL1.3" localSheetId="5">#REF!,#REF!</definedName>
    <definedName name="QL1.3" localSheetId="15">#REF!,#REF!</definedName>
    <definedName name="QL1.3" localSheetId="19">#REF!,#REF!</definedName>
    <definedName name="QL1.3" localSheetId="18">#REF!,#REF!</definedName>
    <definedName name="QL1.3" localSheetId="14">#REF!,#REF!</definedName>
    <definedName name="QL1.3" localSheetId="12">#REF!,#REF!</definedName>
    <definedName name="QL1.3" localSheetId="24">#REF!,#REF!</definedName>
    <definedName name="QL1.3" localSheetId="7">#REF!,#REF!</definedName>
    <definedName name="QL1.3" localSheetId="20">#REF!,#REF!</definedName>
    <definedName name="QL1.3" localSheetId="21">#REF!,#REF!</definedName>
    <definedName name="QL1.3" localSheetId="11">#REF!,#REF!</definedName>
    <definedName name="QL1.3" localSheetId="17">#REF!,#REF!</definedName>
    <definedName name="QL1.3" localSheetId="16">#REF!,#REF!</definedName>
    <definedName name="QL1.3" localSheetId="22">#REF!,#REF!</definedName>
    <definedName name="QL1.3" localSheetId="9">#REF!,#REF!</definedName>
    <definedName name="QL1.3" localSheetId="13">#REF!,#REF!</definedName>
    <definedName name="QL1.3" localSheetId="23">#REF!,#REF!</definedName>
    <definedName name="QL1.3">#REF!,#REF!</definedName>
    <definedName name="QL1.4" localSheetId="4">#REF!,#REF!</definedName>
    <definedName name="QL1.4" localSheetId="9">#REF!,#REF!</definedName>
    <definedName name="QL1.4">#REF!,#REF!</definedName>
    <definedName name="QL2.1" localSheetId="4">#REF!,#REF!</definedName>
    <definedName name="QL2.1" localSheetId="9">#REF!,#REF!</definedName>
    <definedName name="QL2.1">#REF!,#REF!</definedName>
    <definedName name="QL2.2" localSheetId="4">#REF!,#REF!</definedName>
    <definedName name="QL2.2" localSheetId="9">#REF!,#REF!</definedName>
    <definedName name="QL2.2">#REF!,#REF!</definedName>
    <definedName name="QL2.3" localSheetId="4">#REF!,#REF!</definedName>
    <definedName name="QL2.3" localSheetId="9">#REF!,#REF!</definedName>
    <definedName name="QL2.3">#REF!,#REF!</definedName>
    <definedName name="QL2.4" localSheetId="4">#REF!,#REF!</definedName>
    <definedName name="QL2.4" localSheetId="9">#REF!,#REF!</definedName>
    <definedName name="QL2.4">#REF!,#REF!</definedName>
    <definedName name="QL3.1" localSheetId="4">#REF!,#REF!</definedName>
    <definedName name="QL3.1" localSheetId="9">#REF!,#REF!</definedName>
    <definedName name="QL3.1">#REF!,#REF!</definedName>
    <definedName name="qq" localSheetId="4" hidden="1">#REF!</definedName>
    <definedName name="qq" localSheetId="5" hidden="1">#REF!</definedName>
    <definedName name="qq" localSheetId="15" hidden="1">#REF!</definedName>
    <definedName name="qq" localSheetId="19" hidden="1">#REF!</definedName>
    <definedName name="qq" localSheetId="18" hidden="1">#REF!</definedName>
    <definedName name="qq" localSheetId="14" hidden="1">#REF!</definedName>
    <definedName name="qq" localSheetId="12" hidden="1">#REF!</definedName>
    <definedName name="qq" localSheetId="24" hidden="1">#REF!</definedName>
    <definedName name="qq" localSheetId="7" hidden="1">#REF!</definedName>
    <definedName name="qq" localSheetId="20" hidden="1">#REF!</definedName>
    <definedName name="qq" localSheetId="21" hidden="1">#REF!</definedName>
    <definedName name="qq" localSheetId="11" hidden="1">#REF!</definedName>
    <definedName name="qq" localSheetId="17" hidden="1">#REF!</definedName>
    <definedName name="qq" localSheetId="16" hidden="1">#REF!</definedName>
    <definedName name="qq" localSheetId="22" hidden="1">#REF!</definedName>
    <definedName name="qq" localSheetId="9" hidden="1">#REF!</definedName>
    <definedName name="qq" localSheetId="13" hidden="1">#REF!</definedName>
    <definedName name="qq" localSheetId="23" hidden="1">#REF!</definedName>
    <definedName name="qq" hidden="1">#REF!</definedName>
    <definedName name="Qtr_seq_growth" localSheetId="4">#REF!</definedName>
    <definedName name="Qtr_seq_growth" localSheetId="5">#REF!</definedName>
    <definedName name="Qtr_seq_growth" localSheetId="15">#REF!</definedName>
    <definedName name="Qtr_seq_growth" localSheetId="19">#REF!</definedName>
    <definedName name="Qtr_seq_growth" localSheetId="18">#REF!</definedName>
    <definedName name="Qtr_seq_growth" localSheetId="14">#REF!</definedName>
    <definedName name="Qtr_seq_growth" localSheetId="12">#REF!</definedName>
    <definedName name="Qtr_seq_growth" localSheetId="24">#REF!</definedName>
    <definedName name="Qtr_seq_growth" localSheetId="7">#REF!</definedName>
    <definedName name="Qtr_seq_growth" localSheetId="20">#REF!</definedName>
    <definedName name="Qtr_seq_growth" localSheetId="21">#REF!</definedName>
    <definedName name="Qtr_seq_growth" localSheetId="11">#REF!</definedName>
    <definedName name="Qtr_seq_growth" localSheetId="17">#REF!</definedName>
    <definedName name="Qtr_seq_growth" localSheetId="16">#REF!</definedName>
    <definedName name="Qtr_seq_growth" localSheetId="22">#REF!</definedName>
    <definedName name="Qtr_seq_growth" localSheetId="9">#REF!</definedName>
    <definedName name="Qtr_seq_growth" localSheetId="13">#REF!</definedName>
    <definedName name="Qtr_seq_growth" localSheetId="23">#REF!</definedName>
    <definedName name="Qtr_seq_growth">#REF!</definedName>
    <definedName name="QuanOpDmy" localSheetId="4">#REF!,#REF!,#REF!,#REF!,#REF!,#REF!</definedName>
    <definedName name="QuanOpDmy" localSheetId="9">#REF!,#REF!,#REF!,#REF!,#REF!,#REF!</definedName>
    <definedName name="QuanOpDmy">#REF!,#REF!,#REF!,#REF!,#REF!,#REF!</definedName>
    <definedName name="Quarter_end">#REF!</definedName>
    <definedName name="quarter_end1">#REF!</definedName>
    <definedName name="quarterly_end">#REF!</definedName>
    <definedName name="quick_ratio" localSheetId="4">#REF!</definedName>
    <definedName name="quick_ratio" localSheetId="5">#REF!</definedName>
    <definedName name="quick_ratio" localSheetId="15">#REF!</definedName>
    <definedName name="quick_ratio" localSheetId="19">#REF!</definedName>
    <definedName name="quick_ratio" localSheetId="18">#REF!</definedName>
    <definedName name="quick_ratio" localSheetId="14">#REF!</definedName>
    <definedName name="quick_ratio" localSheetId="12">#REF!</definedName>
    <definedName name="quick_ratio" localSheetId="24">#REF!</definedName>
    <definedName name="quick_ratio" localSheetId="7">#REF!</definedName>
    <definedName name="quick_ratio" localSheetId="20">#REF!</definedName>
    <definedName name="quick_ratio" localSheetId="21">#REF!</definedName>
    <definedName name="quick_ratio" localSheetId="11">#REF!</definedName>
    <definedName name="quick_ratio" localSheetId="17">#REF!</definedName>
    <definedName name="quick_ratio" localSheetId="16">#REF!</definedName>
    <definedName name="quick_ratio" localSheetId="22">#REF!</definedName>
    <definedName name="quick_ratio" localSheetId="9">#REF!</definedName>
    <definedName name="quick_ratio" localSheetId="13">#REF!</definedName>
    <definedName name="quick_ratio" localSheetId="23">#REF!</definedName>
    <definedName name="quick_ratio">#REF!</definedName>
    <definedName name="qwe"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werrty" localSheetId="4" hidden="1">{"'PS-SOTM'!$A$1","'PS-SOTM'!$A$2:$M$30","'PS-SOTM'!$A$31:$A$38"}</definedName>
    <definedName name="qwerrty" localSheetId="5" hidden="1">{"'PS-SOTM'!$A$1","'PS-SOTM'!$A$2:$M$30","'PS-SOTM'!$A$31:$A$38"}</definedName>
    <definedName name="qwerrty" localSheetId="15" hidden="1">{"'PS-SOTM'!$A$1","'PS-SOTM'!$A$2:$M$30","'PS-SOTM'!$A$31:$A$38"}</definedName>
    <definedName name="qwerrty" localSheetId="19" hidden="1">{"'PS-SOTM'!$A$1","'PS-SOTM'!$A$2:$M$30","'PS-SOTM'!$A$31:$A$38"}</definedName>
    <definedName name="qwerrty" localSheetId="18" hidden="1">{"'PS-SOTM'!$A$1","'PS-SOTM'!$A$2:$M$30","'PS-SOTM'!$A$31:$A$38"}</definedName>
    <definedName name="qwerrty" localSheetId="14" hidden="1">{"'PS-SOTM'!$A$1","'PS-SOTM'!$A$2:$M$30","'PS-SOTM'!$A$31:$A$38"}</definedName>
    <definedName name="qwerrty" localSheetId="12" hidden="1">{"'PS-SOTM'!$A$1","'PS-SOTM'!$A$2:$M$30","'PS-SOTM'!$A$31:$A$38"}</definedName>
    <definedName name="qwerrty" localSheetId="24" hidden="1">{"'PS-SOTM'!$A$1","'PS-SOTM'!$A$2:$M$30","'PS-SOTM'!$A$31:$A$38"}</definedName>
    <definedName name="qwerrty" localSheetId="7" hidden="1">{"'PS-SOTM'!$A$1","'PS-SOTM'!$A$2:$M$30","'PS-SOTM'!$A$31:$A$38"}</definedName>
    <definedName name="qwerrty" localSheetId="20" hidden="1">{"'PS-SOTM'!$A$1","'PS-SOTM'!$A$2:$M$30","'PS-SOTM'!$A$31:$A$38"}</definedName>
    <definedName name="qwerrty" localSheetId="21" hidden="1">{"'PS-SOTM'!$A$1","'PS-SOTM'!$A$2:$M$30","'PS-SOTM'!$A$31:$A$38"}</definedName>
    <definedName name="qwerrty" localSheetId="11" hidden="1">{"'PS-SOTM'!$A$1","'PS-SOTM'!$A$2:$M$30","'PS-SOTM'!$A$31:$A$38"}</definedName>
    <definedName name="qwerrty" localSheetId="17" hidden="1">{"'PS-SOTM'!$A$1","'PS-SOTM'!$A$2:$M$30","'PS-SOTM'!$A$31:$A$38"}</definedName>
    <definedName name="qwerrty" localSheetId="16" hidden="1">{"'PS-SOTM'!$A$1","'PS-SOTM'!$A$2:$M$30","'PS-SOTM'!$A$31:$A$38"}</definedName>
    <definedName name="qwerrty" localSheetId="22" hidden="1">{"'PS-SOTM'!$A$1","'PS-SOTM'!$A$2:$M$30","'PS-SOTM'!$A$31:$A$38"}</definedName>
    <definedName name="qwerrty" localSheetId="9" hidden="1">{"'PS-SOTM'!$A$1","'PS-SOTM'!$A$2:$M$30","'PS-SOTM'!$A$31:$A$38"}</definedName>
    <definedName name="qwerrty" localSheetId="13" hidden="1">{"'PS-SOTM'!$A$1","'PS-SOTM'!$A$2:$M$30","'PS-SOTM'!$A$31:$A$38"}</definedName>
    <definedName name="qwerrty" localSheetId="23" hidden="1">{"'PS-SOTM'!$A$1","'PS-SOTM'!$A$2:$M$30","'PS-SOTM'!$A$31:$A$38"}</definedName>
    <definedName name="qwerrty" hidden="1">{"'PS-SOTM'!$A$1","'PS-SOTM'!$A$2:$M$30","'PS-SOTM'!$A$31:$A$38"}</definedName>
    <definedName name="R_" localSheetId="4">#REF!</definedName>
    <definedName name="R_" localSheetId="9">#REF!</definedName>
    <definedName name="R_">#REF!</definedName>
    <definedName name="R_D_amort_years" localSheetId="4">#REF!</definedName>
    <definedName name="R_D_amort_years" localSheetId="9">#REF!</definedName>
    <definedName name="R_D_amort_years">#REF!</definedName>
    <definedName name="R_D_Amortization" localSheetId="4">#REF!</definedName>
    <definedName name="R_D_Amortization" localSheetId="9">#REF!</definedName>
    <definedName name="R_D_Amortization">#REF!</definedName>
    <definedName name="R_D_Capzed" localSheetId="4">#REF!</definedName>
    <definedName name="R_D_Capzed" localSheetId="9">#REF!</definedName>
    <definedName name="R_D_Capzed">#REF!</definedName>
    <definedName name="R_D_expense" localSheetId="4">#REF!</definedName>
    <definedName name="R_D_expense" localSheetId="9">#REF!</definedName>
    <definedName name="R_D_expense">#REF!</definedName>
    <definedName name="R_D_expense_IS" localSheetId="4">#REF!</definedName>
    <definedName name="R_D_expense_IS" localSheetId="9">#REF!</definedName>
    <definedName name="R_D_expense_IS">#REF!</definedName>
    <definedName name="ra" localSheetId="4">#REF!</definedName>
    <definedName name="ra" localSheetId="5">#REF!</definedName>
    <definedName name="ra" localSheetId="15">#REF!</definedName>
    <definedName name="ra" localSheetId="19">#REF!</definedName>
    <definedName name="ra" localSheetId="18">#REF!</definedName>
    <definedName name="ra" localSheetId="14">#REF!</definedName>
    <definedName name="ra" localSheetId="12">#REF!</definedName>
    <definedName name="ra" localSheetId="24">#REF!</definedName>
    <definedName name="ra" localSheetId="7">#REF!</definedName>
    <definedName name="ra" localSheetId="20">#REF!</definedName>
    <definedName name="ra" localSheetId="21">#REF!</definedName>
    <definedName name="ra" localSheetId="11">#REF!</definedName>
    <definedName name="ra" localSheetId="17">#REF!</definedName>
    <definedName name="ra" localSheetId="16">#REF!</definedName>
    <definedName name="ra" localSheetId="22">#REF!</definedName>
    <definedName name="ra" localSheetId="9">#REF!</definedName>
    <definedName name="ra" localSheetId="13">#REF!</definedName>
    <definedName name="ra" localSheetId="23">#REF!</definedName>
    <definedName name="ra">#REF!</definedName>
    <definedName name="rad" localSheetId="4">#REF!</definedName>
    <definedName name="rad" localSheetId="5">#REF!</definedName>
    <definedName name="rad" localSheetId="15">#REF!</definedName>
    <definedName name="rad" localSheetId="19">#REF!</definedName>
    <definedName name="rad" localSheetId="18">#REF!</definedName>
    <definedName name="rad" localSheetId="14">#REF!</definedName>
    <definedName name="rad" localSheetId="12">#REF!</definedName>
    <definedName name="rad" localSheetId="24">#REF!</definedName>
    <definedName name="rad" localSheetId="7">#REF!</definedName>
    <definedName name="rad" localSheetId="20">#REF!</definedName>
    <definedName name="rad" localSheetId="21">#REF!</definedName>
    <definedName name="rad" localSheetId="11">#REF!</definedName>
    <definedName name="rad" localSheetId="17">#REF!</definedName>
    <definedName name="rad" localSheetId="16">#REF!</definedName>
    <definedName name="rad" localSheetId="22">#REF!</definedName>
    <definedName name="rad" localSheetId="9">#REF!</definedName>
    <definedName name="rad" localSheetId="13">#REF!</definedName>
    <definedName name="rad" localSheetId="23">#REF!</definedName>
    <definedName name="rad">#REF!</definedName>
    <definedName name="RangeLookUpYears" localSheetId="4">#REF!</definedName>
    <definedName name="RangeLookUpYears" localSheetId="5">#REF!</definedName>
    <definedName name="RangeLookUpYears" localSheetId="15">#REF!</definedName>
    <definedName name="RangeLookUpYears" localSheetId="19">#REF!</definedName>
    <definedName name="RangeLookUpYears" localSheetId="18">#REF!</definedName>
    <definedName name="RangeLookUpYears" localSheetId="14">#REF!</definedName>
    <definedName name="RangeLookUpYears" localSheetId="12">#REF!</definedName>
    <definedName name="RangeLookUpYears" localSheetId="24">#REF!</definedName>
    <definedName name="RangeLookUpYears" localSheetId="7">#REF!</definedName>
    <definedName name="RangeLookUpYears" localSheetId="20">#REF!</definedName>
    <definedName name="RangeLookUpYears" localSheetId="21">#REF!</definedName>
    <definedName name="RangeLookUpYears" localSheetId="11">#REF!</definedName>
    <definedName name="RangeLookUpYears" localSheetId="17">#REF!</definedName>
    <definedName name="RangeLookUpYears" localSheetId="16">#REF!</definedName>
    <definedName name="RangeLookUpYears" localSheetId="22">#REF!</definedName>
    <definedName name="RangeLookUpYears" localSheetId="9">#REF!</definedName>
    <definedName name="RangeLookUpYears" localSheetId="13">#REF!</definedName>
    <definedName name="RangeLookUpYears" localSheetId="23">#REF!</definedName>
    <definedName name="RangeLookUpYears">#REF!</definedName>
    <definedName name="ranj" localSheetId="4" hidden="1">{"'PS-SOTM'!$A$1","'PS-SOTM'!$A$2:$M$30","'PS-SOTM'!$A$31:$A$38"}</definedName>
    <definedName name="ranj" localSheetId="5" hidden="1">{"'PS-SOTM'!$A$1","'PS-SOTM'!$A$2:$M$30","'PS-SOTM'!$A$31:$A$38"}</definedName>
    <definedName name="ranj" localSheetId="15" hidden="1">{"'PS-SOTM'!$A$1","'PS-SOTM'!$A$2:$M$30","'PS-SOTM'!$A$31:$A$38"}</definedName>
    <definedName name="ranj" localSheetId="19" hidden="1">{"'PS-SOTM'!$A$1","'PS-SOTM'!$A$2:$M$30","'PS-SOTM'!$A$31:$A$38"}</definedName>
    <definedName name="ranj" localSheetId="18" hidden="1">{"'PS-SOTM'!$A$1","'PS-SOTM'!$A$2:$M$30","'PS-SOTM'!$A$31:$A$38"}</definedName>
    <definedName name="ranj" localSheetId="14" hidden="1">{"'PS-SOTM'!$A$1","'PS-SOTM'!$A$2:$M$30","'PS-SOTM'!$A$31:$A$38"}</definedName>
    <definedName name="ranj" localSheetId="12" hidden="1">{"'PS-SOTM'!$A$1","'PS-SOTM'!$A$2:$M$30","'PS-SOTM'!$A$31:$A$38"}</definedName>
    <definedName name="ranj" localSheetId="24" hidden="1">{"'PS-SOTM'!$A$1","'PS-SOTM'!$A$2:$M$30","'PS-SOTM'!$A$31:$A$38"}</definedName>
    <definedName name="ranj" localSheetId="7" hidden="1">{"'PS-SOTM'!$A$1","'PS-SOTM'!$A$2:$M$30","'PS-SOTM'!$A$31:$A$38"}</definedName>
    <definedName name="ranj" localSheetId="20" hidden="1">{"'PS-SOTM'!$A$1","'PS-SOTM'!$A$2:$M$30","'PS-SOTM'!$A$31:$A$38"}</definedName>
    <definedName name="ranj" localSheetId="21" hidden="1">{"'PS-SOTM'!$A$1","'PS-SOTM'!$A$2:$M$30","'PS-SOTM'!$A$31:$A$38"}</definedName>
    <definedName name="ranj" localSheetId="11" hidden="1">{"'PS-SOTM'!$A$1","'PS-SOTM'!$A$2:$M$30","'PS-SOTM'!$A$31:$A$38"}</definedName>
    <definedName name="ranj" localSheetId="17" hidden="1">{"'PS-SOTM'!$A$1","'PS-SOTM'!$A$2:$M$30","'PS-SOTM'!$A$31:$A$38"}</definedName>
    <definedName name="ranj" localSheetId="16" hidden="1">{"'PS-SOTM'!$A$1","'PS-SOTM'!$A$2:$M$30","'PS-SOTM'!$A$31:$A$38"}</definedName>
    <definedName name="ranj" localSheetId="22" hidden="1">{"'PS-SOTM'!$A$1","'PS-SOTM'!$A$2:$M$30","'PS-SOTM'!$A$31:$A$38"}</definedName>
    <definedName name="ranj" localSheetId="9" hidden="1">{"'PS-SOTM'!$A$1","'PS-SOTM'!$A$2:$M$30","'PS-SOTM'!$A$31:$A$38"}</definedName>
    <definedName name="ranj" localSheetId="13" hidden="1">{"'PS-SOTM'!$A$1","'PS-SOTM'!$A$2:$M$30","'PS-SOTM'!$A$31:$A$38"}</definedName>
    <definedName name="ranj" localSheetId="23" hidden="1">{"'PS-SOTM'!$A$1","'PS-SOTM'!$A$2:$M$30","'PS-SOTM'!$A$31:$A$38"}</definedName>
    <definedName name="ranj" hidden="1">{"'PS-SOTM'!$A$1","'PS-SOTM'!$A$2:$M$30","'PS-SOTM'!$A$31:$A$38"}</definedName>
    <definedName name="ranja" localSheetId="4" hidden="1">{#N/A,#N/A,FALSE,"Status of Projects";#N/A,#N/A,FALSE,"CEA-TEC";#N/A,#N/A,FALSE,"U-Constr.";#N/A,#N/A,FALSE,"summary";#N/A,#N/A,FALSE,"PPP-3 yrs"}</definedName>
    <definedName name="ranja" localSheetId="5" hidden="1">{#N/A,#N/A,FALSE,"Status of Projects";#N/A,#N/A,FALSE,"CEA-TEC";#N/A,#N/A,FALSE,"U-Constr.";#N/A,#N/A,FALSE,"summary";#N/A,#N/A,FALSE,"PPP-3 yrs"}</definedName>
    <definedName name="ranja" localSheetId="15" hidden="1">{#N/A,#N/A,FALSE,"Status of Projects";#N/A,#N/A,FALSE,"CEA-TEC";#N/A,#N/A,FALSE,"U-Constr.";#N/A,#N/A,FALSE,"summary";#N/A,#N/A,FALSE,"PPP-3 yrs"}</definedName>
    <definedName name="ranja" localSheetId="19" hidden="1">{#N/A,#N/A,FALSE,"Status of Projects";#N/A,#N/A,FALSE,"CEA-TEC";#N/A,#N/A,FALSE,"U-Constr.";#N/A,#N/A,FALSE,"summary";#N/A,#N/A,FALSE,"PPP-3 yrs"}</definedName>
    <definedName name="ranja" localSheetId="18" hidden="1">{#N/A,#N/A,FALSE,"Status of Projects";#N/A,#N/A,FALSE,"CEA-TEC";#N/A,#N/A,FALSE,"U-Constr.";#N/A,#N/A,FALSE,"summary";#N/A,#N/A,FALSE,"PPP-3 yrs"}</definedName>
    <definedName name="ranja" localSheetId="14" hidden="1">{#N/A,#N/A,FALSE,"Status of Projects";#N/A,#N/A,FALSE,"CEA-TEC";#N/A,#N/A,FALSE,"U-Constr.";#N/A,#N/A,FALSE,"summary";#N/A,#N/A,FALSE,"PPP-3 yrs"}</definedName>
    <definedName name="ranja" localSheetId="12" hidden="1">{#N/A,#N/A,FALSE,"Status of Projects";#N/A,#N/A,FALSE,"CEA-TEC";#N/A,#N/A,FALSE,"U-Constr.";#N/A,#N/A,FALSE,"summary";#N/A,#N/A,FALSE,"PPP-3 yrs"}</definedName>
    <definedName name="ranja" localSheetId="24" hidden="1">{#N/A,#N/A,FALSE,"Status of Projects";#N/A,#N/A,FALSE,"CEA-TEC";#N/A,#N/A,FALSE,"U-Constr.";#N/A,#N/A,FALSE,"summary";#N/A,#N/A,FALSE,"PPP-3 yrs"}</definedName>
    <definedName name="ranja" localSheetId="7" hidden="1">{#N/A,#N/A,FALSE,"Status of Projects";#N/A,#N/A,FALSE,"CEA-TEC";#N/A,#N/A,FALSE,"U-Constr.";#N/A,#N/A,FALSE,"summary";#N/A,#N/A,FALSE,"PPP-3 yrs"}</definedName>
    <definedName name="ranja" localSheetId="20" hidden="1">{#N/A,#N/A,FALSE,"Status of Projects";#N/A,#N/A,FALSE,"CEA-TEC";#N/A,#N/A,FALSE,"U-Constr.";#N/A,#N/A,FALSE,"summary";#N/A,#N/A,FALSE,"PPP-3 yrs"}</definedName>
    <definedName name="ranja" localSheetId="21" hidden="1">{#N/A,#N/A,FALSE,"Status of Projects";#N/A,#N/A,FALSE,"CEA-TEC";#N/A,#N/A,FALSE,"U-Constr.";#N/A,#N/A,FALSE,"summary";#N/A,#N/A,FALSE,"PPP-3 yrs"}</definedName>
    <definedName name="ranja" localSheetId="11" hidden="1">{#N/A,#N/A,FALSE,"Status of Projects";#N/A,#N/A,FALSE,"CEA-TEC";#N/A,#N/A,FALSE,"U-Constr.";#N/A,#N/A,FALSE,"summary";#N/A,#N/A,FALSE,"PPP-3 yrs"}</definedName>
    <definedName name="ranja" localSheetId="17" hidden="1">{#N/A,#N/A,FALSE,"Status of Projects";#N/A,#N/A,FALSE,"CEA-TEC";#N/A,#N/A,FALSE,"U-Constr.";#N/A,#N/A,FALSE,"summary";#N/A,#N/A,FALSE,"PPP-3 yrs"}</definedName>
    <definedName name="ranja" localSheetId="16" hidden="1">{#N/A,#N/A,FALSE,"Status of Projects";#N/A,#N/A,FALSE,"CEA-TEC";#N/A,#N/A,FALSE,"U-Constr.";#N/A,#N/A,FALSE,"summary";#N/A,#N/A,FALSE,"PPP-3 yrs"}</definedName>
    <definedName name="ranja" localSheetId="22" hidden="1">{#N/A,#N/A,FALSE,"Status of Projects";#N/A,#N/A,FALSE,"CEA-TEC";#N/A,#N/A,FALSE,"U-Constr.";#N/A,#N/A,FALSE,"summary";#N/A,#N/A,FALSE,"PPP-3 yrs"}</definedName>
    <definedName name="ranja" localSheetId="9" hidden="1">{#N/A,#N/A,FALSE,"Status of Projects";#N/A,#N/A,FALSE,"CEA-TEC";#N/A,#N/A,FALSE,"U-Constr.";#N/A,#N/A,FALSE,"summary";#N/A,#N/A,FALSE,"PPP-3 yrs"}</definedName>
    <definedName name="ranja" localSheetId="13" hidden="1">{#N/A,#N/A,FALSE,"Status of Projects";#N/A,#N/A,FALSE,"CEA-TEC";#N/A,#N/A,FALSE,"U-Constr.";#N/A,#N/A,FALSE,"summary";#N/A,#N/A,FALSE,"PPP-3 yrs"}</definedName>
    <definedName name="ranja" localSheetId="23" hidden="1">{#N/A,#N/A,FALSE,"Status of Projects";#N/A,#N/A,FALSE,"CEA-TEC";#N/A,#N/A,FALSE,"U-Constr.";#N/A,#N/A,FALSE,"summary";#N/A,#N/A,FALSE,"PPP-3 yrs"}</definedName>
    <definedName name="ranja" hidden="1">{#N/A,#N/A,FALSE,"Status of Projects";#N/A,#N/A,FALSE,"CEA-TEC";#N/A,#N/A,FALSE,"U-Constr.";#N/A,#N/A,FALSE,"summary";#N/A,#N/A,FALSE,"PPP-3 yrs"}</definedName>
    <definedName name="ranjan" localSheetId="4" hidden="1">{"'PS-SOTM'!$A$1","'PS-SOTM'!$A$2:$M$30","'PS-SOTM'!$A$31:$A$38"}</definedName>
    <definedName name="ranjan" localSheetId="5" hidden="1">{"'PS-SOTM'!$A$1","'PS-SOTM'!$A$2:$M$30","'PS-SOTM'!$A$31:$A$38"}</definedName>
    <definedName name="ranjan" localSheetId="15" hidden="1">{"'PS-SOTM'!$A$1","'PS-SOTM'!$A$2:$M$30","'PS-SOTM'!$A$31:$A$38"}</definedName>
    <definedName name="ranjan" localSheetId="19" hidden="1">{"'PS-SOTM'!$A$1","'PS-SOTM'!$A$2:$M$30","'PS-SOTM'!$A$31:$A$38"}</definedName>
    <definedName name="ranjan" localSheetId="18" hidden="1">{"'PS-SOTM'!$A$1","'PS-SOTM'!$A$2:$M$30","'PS-SOTM'!$A$31:$A$38"}</definedName>
    <definedName name="ranjan" localSheetId="14" hidden="1">{"'PS-SOTM'!$A$1","'PS-SOTM'!$A$2:$M$30","'PS-SOTM'!$A$31:$A$38"}</definedName>
    <definedName name="ranjan" localSheetId="12" hidden="1">{"'PS-SOTM'!$A$1","'PS-SOTM'!$A$2:$M$30","'PS-SOTM'!$A$31:$A$38"}</definedName>
    <definedName name="ranjan" localSheetId="24" hidden="1">{"'PS-SOTM'!$A$1","'PS-SOTM'!$A$2:$M$30","'PS-SOTM'!$A$31:$A$38"}</definedName>
    <definedName name="ranjan" localSheetId="7" hidden="1">{"'PS-SOTM'!$A$1","'PS-SOTM'!$A$2:$M$30","'PS-SOTM'!$A$31:$A$38"}</definedName>
    <definedName name="ranjan" localSheetId="20" hidden="1">{"'PS-SOTM'!$A$1","'PS-SOTM'!$A$2:$M$30","'PS-SOTM'!$A$31:$A$38"}</definedName>
    <definedName name="ranjan" localSheetId="21" hidden="1">{"'PS-SOTM'!$A$1","'PS-SOTM'!$A$2:$M$30","'PS-SOTM'!$A$31:$A$38"}</definedName>
    <definedName name="ranjan" localSheetId="11" hidden="1">{"'PS-SOTM'!$A$1","'PS-SOTM'!$A$2:$M$30","'PS-SOTM'!$A$31:$A$38"}</definedName>
    <definedName name="ranjan" localSheetId="17" hidden="1">{"'PS-SOTM'!$A$1","'PS-SOTM'!$A$2:$M$30","'PS-SOTM'!$A$31:$A$38"}</definedName>
    <definedName name="ranjan" localSheetId="16" hidden="1">{"'PS-SOTM'!$A$1","'PS-SOTM'!$A$2:$M$30","'PS-SOTM'!$A$31:$A$38"}</definedName>
    <definedName name="ranjan" localSheetId="22" hidden="1">{"'PS-SOTM'!$A$1","'PS-SOTM'!$A$2:$M$30","'PS-SOTM'!$A$31:$A$38"}</definedName>
    <definedName name="ranjan" localSheetId="9" hidden="1">{"'PS-SOTM'!$A$1","'PS-SOTM'!$A$2:$M$30","'PS-SOTM'!$A$31:$A$38"}</definedName>
    <definedName name="ranjan" localSheetId="13" hidden="1">{"'PS-SOTM'!$A$1","'PS-SOTM'!$A$2:$M$30","'PS-SOTM'!$A$31:$A$38"}</definedName>
    <definedName name="ranjan" localSheetId="23" hidden="1">{"'PS-SOTM'!$A$1","'PS-SOTM'!$A$2:$M$30","'PS-SOTM'!$A$31:$A$38"}</definedName>
    <definedName name="ranjan" hidden="1">{"'PS-SOTM'!$A$1","'PS-SOTM'!$A$2:$M$30","'PS-SOTM'!$A$31:$A$38"}</definedName>
    <definedName name="RAT_AdminExpensesGrowth" localSheetId="4">#REF!</definedName>
    <definedName name="RAT_AdminExpensesGrowth" localSheetId="5">#REF!</definedName>
    <definedName name="RAT_AdminExpensesGrowth" localSheetId="15">#REF!</definedName>
    <definedName name="RAT_AdminExpensesGrowth" localSheetId="19">#REF!</definedName>
    <definedName name="RAT_AdminExpensesGrowth" localSheetId="18">#REF!</definedName>
    <definedName name="RAT_AdminExpensesGrowth" localSheetId="14">#REF!</definedName>
    <definedName name="RAT_AdminExpensesGrowth" localSheetId="12">#REF!</definedName>
    <definedName name="RAT_AdminExpensesGrowth" localSheetId="24">#REF!</definedName>
    <definedName name="RAT_AdminExpensesGrowth" localSheetId="7">#REF!</definedName>
    <definedName name="RAT_AdminExpensesGrowth" localSheetId="20">#REF!</definedName>
    <definedName name="RAT_AdminExpensesGrowth" localSheetId="21">#REF!</definedName>
    <definedName name="RAT_AdminExpensesGrowth" localSheetId="11">#REF!</definedName>
    <definedName name="RAT_AdminExpensesGrowth" localSheetId="17">#REF!</definedName>
    <definedName name="RAT_AdminExpensesGrowth" localSheetId="16">#REF!</definedName>
    <definedName name="RAT_AdminExpensesGrowth" localSheetId="22">#REF!</definedName>
    <definedName name="RAT_AdminExpensesGrowth" localSheetId="9">#REF!</definedName>
    <definedName name="RAT_AdminExpensesGrowth" localSheetId="13">#REF!</definedName>
    <definedName name="RAT_AdminExpensesGrowth" localSheetId="23">#REF!</definedName>
    <definedName name="RAT_AdminExpensesGrowth">#REF!</definedName>
    <definedName name="RAT_AdminIncomeGrowth" localSheetId="4">#REF!</definedName>
    <definedName name="RAT_AdminIncomeGrowth" localSheetId="5">#REF!</definedName>
    <definedName name="RAT_AdminIncomeGrowth" localSheetId="15">#REF!</definedName>
    <definedName name="RAT_AdminIncomeGrowth" localSheetId="19">#REF!</definedName>
    <definedName name="RAT_AdminIncomeGrowth" localSheetId="18">#REF!</definedName>
    <definedName name="RAT_AdminIncomeGrowth" localSheetId="14">#REF!</definedName>
    <definedName name="RAT_AdminIncomeGrowth" localSheetId="12">#REF!</definedName>
    <definedName name="RAT_AdminIncomeGrowth" localSheetId="24">#REF!</definedName>
    <definedName name="RAT_AdminIncomeGrowth" localSheetId="7">#REF!</definedName>
    <definedName name="RAT_AdminIncomeGrowth" localSheetId="20">#REF!</definedName>
    <definedName name="RAT_AdminIncomeGrowth" localSheetId="21">#REF!</definedName>
    <definedName name="RAT_AdminIncomeGrowth" localSheetId="11">#REF!</definedName>
    <definedName name="RAT_AdminIncomeGrowth" localSheetId="17">#REF!</definedName>
    <definedName name="RAT_AdminIncomeGrowth" localSheetId="16">#REF!</definedName>
    <definedName name="RAT_AdminIncomeGrowth" localSheetId="22">#REF!</definedName>
    <definedName name="RAT_AdminIncomeGrowth" localSheetId="9">#REF!</definedName>
    <definedName name="RAT_AdminIncomeGrowth" localSheetId="13">#REF!</definedName>
    <definedName name="RAT_AdminIncomeGrowth" localSheetId="23">#REF!</definedName>
    <definedName name="RAT_AdminIncomeGrowth">#REF!</definedName>
    <definedName name="RAT_AdminMargin" localSheetId="4">#REF!</definedName>
    <definedName name="RAT_AdminMargin" localSheetId="5">#REF!</definedName>
    <definedName name="RAT_AdminMargin" localSheetId="15">#REF!</definedName>
    <definedName name="RAT_AdminMargin" localSheetId="19">#REF!</definedName>
    <definedName name="RAT_AdminMargin" localSheetId="18">#REF!</definedName>
    <definedName name="RAT_AdminMargin" localSheetId="14">#REF!</definedName>
    <definedName name="RAT_AdminMargin" localSheetId="12">#REF!</definedName>
    <definedName name="RAT_AdminMargin" localSheetId="24">#REF!</definedName>
    <definedName name="RAT_AdminMargin" localSheetId="7">#REF!</definedName>
    <definedName name="RAT_AdminMargin" localSheetId="20">#REF!</definedName>
    <definedName name="RAT_AdminMargin" localSheetId="21">#REF!</definedName>
    <definedName name="RAT_AdminMargin" localSheetId="11">#REF!</definedName>
    <definedName name="RAT_AdminMargin" localSheetId="17">#REF!</definedName>
    <definedName name="RAT_AdminMargin" localSheetId="16">#REF!</definedName>
    <definedName name="RAT_AdminMargin" localSheetId="22">#REF!</definedName>
    <definedName name="RAT_AdminMargin" localSheetId="9">#REF!</definedName>
    <definedName name="RAT_AdminMargin" localSheetId="13">#REF!</definedName>
    <definedName name="RAT_AdminMargin" localSheetId="23">#REF!</definedName>
    <definedName name="RAT_AdminMargin">#REF!</definedName>
    <definedName name="RAT_AvgShareholdersFunds" localSheetId="4">#REF!</definedName>
    <definedName name="RAT_AvgShareholdersFunds" localSheetId="9">#REF!</definedName>
    <definedName name="RAT_AvgShareholdersFunds">#REF!</definedName>
    <definedName name="RAT_AvgTotalAssets" localSheetId="4">#REF!</definedName>
    <definedName name="RAT_AvgTotalAssets" localSheetId="9">#REF!</definedName>
    <definedName name="RAT_AvgTotalAssets">#REF!</definedName>
    <definedName name="RAT_BAN_AvgEarningAssets" localSheetId="4">#REF!</definedName>
    <definedName name="RAT_BAN_AvgEarningAssets" localSheetId="9">#REF!</definedName>
    <definedName name="RAT_BAN_AvgEarningAssets">#REF!</definedName>
    <definedName name="RAT_BAN_AvgEarningAssetsGrowth" localSheetId="4">#REF!</definedName>
    <definedName name="RAT_BAN_AvgEarningAssetsGrowth" localSheetId="9">#REF!</definedName>
    <definedName name="RAT_BAN_AvgEarningAssetsGrowth">#REF!</definedName>
    <definedName name="RAT_BAN_AvgEarningAssetsToTotalAssets" localSheetId="4">#REF!</definedName>
    <definedName name="RAT_BAN_AvgEarningAssetsToTotalAssets" localSheetId="9">#REF!</definedName>
    <definedName name="RAT_BAN_AvgEarningAssetsToTotalAssets">#REF!</definedName>
    <definedName name="RAT_BAN_BorrowingGrowth" localSheetId="4">#REF!</definedName>
    <definedName name="RAT_BAN_BorrowingGrowth" localSheetId="9">#REF!</definedName>
    <definedName name="RAT_BAN_BorrowingGrowth">#REF!</definedName>
    <definedName name="RAT_BAN_DepositGrowth" localSheetId="4">#REF!</definedName>
    <definedName name="RAT_BAN_DepositGrowth" localSheetId="9">#REF!</definedName>
    <definedName name="RAT_BAN_DepositGrowth">#REF!</definedName>
    <definedName name="RAT_BAN_ExpenseRatio" localSheetId="4">#REF!</definedName>
    <definedName name="RAT_BAN_ExpenseRatio" localSheetId="9">#REF!</definedName>
    <definedName name="RAT_BAN_ExpenseRatio">#REF!</definedName>
    <definedName name="RAT_BAN_ICG" localSheetId="4">#REF!</definedName>
    <definedName name="RAT_BAN_ICG" localSheetId="9">#REF!</definedName>
    <definedName name="RAT_BAN_ICG">#REF!</definedName>
    <definedName name="RAT_BAN_ICGExcExceptionals" localSheetId="4">#REF!</definedName>
    <definedName name="RAT_BAN_ICGExcExceptionals" localSheetId="9">#REF!</definedName>
    <definedName name="RAT_BAN_ICGExcExceptionals">#REF!</definedName>
    <definedName name="RAT_BAN_InterestSpread" localSheetId="4">#REF!</definedName>
    <definedName name="RAT_BAN_InterestSpread" localSheetId="9">#REF!</definedName>
    <definedName name="RAT_BAN_InterestSpread">#REF!</definedName>
    <definedName name="RAT_BAN_LLPToNetProfit" localSheetId="4">#REF!</definedName>
    <definedName name="RAT_BAN_LLPToNetProfit" localSheetId="9">#REF!</definedName>
    <definedName name="RAT_BAN_LLPToNetProfit">#REF!</definedName>
    <definedName name="RAT_BAN_LLPToTotalEquity" localSheetId="4">#REF!</definedName>
    <definedName name="RAT_BAN_LLPToTotalEquity" localSheetId="9">#REF!</definedName>
    <definedName name="RAT_BAN_LLPToTotalEquity">#REF!</definedName>
    <definedName name="RAT_BAN_LLPToTotalLoans" localSheetId="4">#REF!</definedName>
    <definedName name="RAT_BAN_LLPToTotalLoans" localSheetId="9">#REF!</definedName>
    <definedName name="RAT_BAN_LLPToTotalLoans">#REF!</definedName>
    <definedName name="RAT_BAN_LoanGrowth" localSheetId="4">#REF!</definedName>
    <definedName name="RAT_BAN_LoanGrowth" localSheetId="9">#REF!</definedName>
    <definedName name="RAT_BAN_LoanGrowth">#REF!</definedName>
    <definedName name="RAT_BAN_LoanLossProvisionToTotalAssets" localSheetId="4">#REF!</definedName>
    <definedName name="RAT_BAN_LoanLossProvisionToTotalAssets" localSheetId="9">#REF!</definedName>
    <definedName name="RAT_BAN_LoanLossProvisionToTotalAssets">#REF!</definedName>
    <definedName name="RAT_BAN_NetInterestIncomeToTotalAssets" localSheetId="4">#REF!</definedName>
    <definedName name="RAT_BAN_NetInterestIncomeToTotalAssets" localSheetId="9">#REF!</definedName>
    <definedName name="RAT_BAN_NetInterestIncomeToTotalAssets">#REF!</definedName>
    <definedName name="RAT_BAN_NetProfitExcExceptionalsToTotalAss" localSheetId="4">#REF!</definedName>
    <definedName name="RAT_BAN_NetProfitExcExceptionalsToTotalAss" localSheetId="9">#REF!</definedName>
    <definedName name="RAT_BAN_NetProfitExcExceptionalsToTotalAss">#REF!</definedName>
    <definedName name="RAT_BAN_NetProfitToTotalAss" localSheetId="4">#REF!</definedName>
    <definedName name="RAT_BAN_NetProfitToTotalAss" localSheetId="9">#REF!</definedName>
    <definedName name="RAT_BAN_NetProfitToTotalAss">#REF!</definedName>
    <definedName name="RAT_BAN_NonInterestExpenseToTotalAss" localSheetId="4">#REF!</definedName>
    <definedName name="RAT_BAN_NonInterestExpenseToTotalAss" localSheetId="9">#REF!</definedName>
    <definedName name="RAT_BAN_NonInterestExpenseToTotalAss">#REF!</definedName>
    <definedName name="RAT_BAN_NonInterestIncomeToOperatingIncome" localSheetId="4">#REF!</definedName>
    <definedName name="RAT_BAN_NonInterestIncomeToOperatingIncome" localSheetId="9">#REF!</definedName>
    <definedName name="RAT_BAN_NonInterestIncomeToOperatingIncome">#REF!</definedName>
    <definedName name="RAT_BAN_NonInterestIncomeToTotalAssets" localSheetId="4">#REF!</definedName>
    <definedName name="RAT_BAN_NonInterestIncomeToTotalAssets" localSheetId="9">#REF!</definedName>
    <definedName name="RAT_BAN_NonInterestIncomeToTotalAssets">#REF!</definedName>
    <definedName name="RAT_BAN_OperatingIncomeToTotalAss" localSheetId="4">#REF!</definedName>
    <definedName name="RAT_BAN_OperatingIncomeToTotalAss" localSheetId="9">#REF!</definedName>
    <definedName name="RAT_BAN_OperatingIncomeToTotalAss">#REF!</definedName>
    <definedName name="RAT_BAN_OtherExpenseToOperatingIncome" localSheetId="4">#REF!</definedName>
    <definedName name="RAT_BAN_OtherExpenseToOperatingIncome" localSheetId="9">#REF!</definedName>
    <definedName name="RAT_BAN_OtherExpenseToOperatingIncome">#REF!</definedName>
    <definedName name="RAT_BAN_OtherIncomeToOperatingIncome" localSheetId="4">#REF!</definedName>
    <definedName name="RAT_BAN_OtherIncomeToOperatingIncome" localSheetId="9">#REF!</definedName>
    <definedName name="RAT_BAN_OtherIncomeToOperatingIncome">#REF!</definedName>
    <definedName name="RAT_BAN_OtherIncomeToTotalAss" localSheetId="4">#REF!</definedName>
    <definedName name="RAT_BAN_OtherIncomeToTotalAss" localSheetId="9">#REF!</definedName>
    <definedName name="RAT_BAN_OtherIncomeToTotalAss">#REF!</definedName>
    <definedName name="RAT_BAN_PreTaxProfitToTotalAss" localSheetId="4">#REF!</definedName>
    <definedName name="RAT_BAN_PreTaxProfitToTotalAss" localSheetId="9">#REF!</definedName>
    <definedName name="RAT_BAN_PreTaxProfitToTotalAss">#REF!</definedName>
    <definedName name="RAT_BAN_Profitibility" localSheetId="4">#REF!</definedName>
    <definedName name="RAT_BAN_Profitibility" localSheetId="9">#REF!</definedName>
    <definedName name="RAT_BAN_Profitibility">#REF!</definedName>
    <definedName name="RAT_BAN_RevenueComposition" localSheetId="4">#REF!</definedName>
    <definedName name="RAT_BAN_RevenueComposition" localSheetId="9">#REF!</definedName>
    <definedName name="RAT_BAN_RevenueComposition">#REF!</definedName>
    <definedName name="RAT_BAN_TaxToTotalAssets" localSheetId="4">#REF!</definedName>
    <definedName name="RAT_BAN_TaxToTotalAssets" localSheetId="9">#REF!</definedName>
    <definedName name="RAT_BAN_TaxToTotalAssets">#REF!</definedName>
    <definedName name="RAT_BAN_TotalEarningAssetsGrowth" localSheetId="4">#REF!</definedName>
    <definedName name="RAT_BAN_TotalEarningAssetsGrowth" localSheetId="9">#REF!</definedName>
    <definedName name="RAT_BAN_TotalEarningAssetsGrowth">#REF!</definedName>
    <definedName name="RAT_BAN_User011" localSheetId="4">#REF!</definedName>
    <definedName name="RAT_BAN_User011" localSheetId="9">#REF!</definedName>
    <definedName name="RAT_BAN_User011">#REF!</definedName>
    <definedName name="RAT_BAN_User031" localSheetId="4">#REF!</definedName>
    <definedName name="RAT_BAN_User031" localSheetId="9">#REF!</definedName>
    <definedName name="RAT_BAN_User031">#REF!</definedName>
    <definedName name="RAT_BAN_User032" localSheetId="4">#REF!</definedName>
    <definedName name="RAT_BAN_User032" localSheetId="9">#REF!</definedName>
    <definedName name="RAT_BAN_User032">#REF!</definedName>
    <definedName name="RAT_BAN_User041" localSheetId="4">#REF!</definedName>
    <definedName name="RAT_BAN_User041" localSheetId="9">#REF!</definedName>
    <definedName name="RAT_BAN_User041">#REF!</definedName>
    <definedName name="RAT_BAN_User042" localSheetId="4">#REF!</definedName>
    <definedName name="RAT_BAN_User042" localSheetId="9">#REF!</definedName>
    <definedName name="RAT_BAN_User042">#REF!</definedName>
    <definedName name="RAT_BAN_User043" localSheetId="4">#REF!</definedName>
    <definedName name="RAT_BAN_User043" localSheetId="9">#REF!</definedName>
    <definedName name="RAT_BAN_User043">#REF!</definedName>
    <definedName name="RAT_BAN_User044" localSheetId="4">#REF!</definedName>
    <definedName name="RAT_BAN_User044" localSheetId="9">#REF!</definedName>
    <definedName name="RAT_BAN_User044">#REF!</definedName>
    <definedName name="RAT_BAN_User045" localSheetId="4">#REF!</definedName>
    <definedName name="RAT_BAN_User045" localSheetId="9">#REF!</definedName>
    <definedName name="RAT_BAN_User045">#REF!</definedName>
    <definedName name="RAT_BAN_User051" localSheetId="4">#REF!</definedName>
    <definedName name="RAT_BAN_User051" localSheetId="9">#REF!</definedName>
    <definedName name="RAT_BAN_User051">#REF!</definedName>
    <definedName name="RAT_BAN_User052" localSheetId="4">#REF!</definedName>
    <definedName name="RAT_BAN_User052" localSheetId="9">#REF!</definedName>
    <definedName name="RAT_BAN_User052">#REF!</definedName>
    <definedName name="RAT_BAN_User071" localSheetId="4">#REF!</definedName>
    <definedName name="RAT_BAN_User071" localSheetId="9">#REF!</definedName>
    <definedName name="RAT_BAN_User071">#REF!</definedName>
    <definedName name="RAT_BAN_User072" localSheetId="4">#REF!</definedName>
    <definedName name="RAT_BAN_User072" localSheetId="9">#REF!</definedName>
    <definedName name="RAT_BAN_User072">#REF!</definedName>
    <definedName name="RAT_BAN_User073" localSheetId="4">#REF!</definedName>
    <definedName name="RAT_BAN_User073" localSheetId="9">#REF!</definedName>
    <definedName name="RAT_BAN_User073">#REF!</definedName>
    <definedName name="RAT_BAN_User074" localSheetId="4">#REF!</definedName>
    <definedName name="RAT_BAN_User074" localSheetId="9">#REF!</definedName>
    <definedName name="RAT_BAN_User074">#REF!</definedName>
    <definedName name="RAT_BAN_User101" localSheetId="4">#REF!</definedName>
    <definedName name="RAT_BAN_User101" localSheetId="9">#REF!</definedName>
    <definedName name="RAT_BAN_User101">#REF!</definedName>
    <definedName name="RAT_BAN_User102" localSheetId="4">#REF!</definedName>
    <definedName name="RAT_BAN_User102" localSheetId="9">#REF!</definedName>
    <definedName name="RAT_BAN_User102">#REF!</definedName>
    <definedName name="RAT_BAN_User103" localSheetId="4">#REF!</definedName>
    <definedName name="RAT_BAN_User103" localSheetId="9">#REF!</definedName>
    <definedName name="RAT_BAN_User103">#REF!</definedName>
    <definedName name="RAT_BAN_User104" localSheetId="4">#REF!</definedName>
    <definedName name="RAT_BAN_User104" localSheetId="9">#REF!</definedName>
    <definedName name="RAT_BAN_User104">#REF!</definedName>
    <definedName name="RAT_BAN_User105" localSheetId="4">#REF!</definedName>
    <definedName name="RAT_BAN_User105" localSheetId="9">#REF!</definedName>
    <definedName name="RAT_BAN_User105">#REF!</definedName>
    <definedName name="RAT_BAN_User106" localSheetId="4">#REF!</definedName>
    <definedName name="RAT_BAN_User106" localSheetId="9">#REF!</definedName>
    <definedName name="RAT_BAN_User106">#REF!</definedName>
    <definedName name="RAT_BAN_User107" localSheetId="4">#REF!</definedName>
    <definedName name="RAT_BAN_User107" localSheetId="9">#REF!</definedName>
    <definedName name="RAT_BAN_User107">#REF!</definedName>
    <definedName name="RAT_BAN_User108" localSheetId="4">#REF!</definedName>
    <definedName name="RAT_BAN_User108" localSheetId="9">#REF!</definedName>
    <definedName name="RAT_BAN_User108">#REF!</definedName>
    <definedName name="RAT_BAN_User109" localSheetId="4">#REF!</definedName>
    <definedName name="RAT_BAN_User109" localSheetId="9">#REF!</definedName>
    <definedName name="RAT_BAN_User109">#REF!</definedName>
    <definedName name="RAT_BAN_User110" localSheetId="4">#REF!</definedName>
    <definedName name="RAT_BAN_User110" localSheetId="9">#REF!</definedName>
    <definedName name="RAT_BAN_User110">#REF!</definedName>
    <definedName name="RAT_BAN_User111" localSheetId="4">#REF!</definedName>
    <definedName name="RAT_BAN_User111" localSheetId="9">#REF!</definedName>
    <definedName name="RAT_BAN_User111">#REF!</definedName>
    <definedName name="RAT_BAN_User112" localSheetId="4">#REF!</definedName>
    <definedName name="RAT_BAN_User112" localSheetId="9">#REF!</definedName>
    <definedName name="RAT_BAN_User112">#REF!</definedName>
    <definedName name="RAT_BAN_User113" localSheetId="4">#REF!</definedName>
    <definedName name="RAT_BAN_User113" localSheetId="9">#REF!</definedName>
    <definedName name="RAT_BAN_User113">#REF!</definedName>
    <definedName name="RAT_BAN_User114" localSheetId="4">#REF!</definedName>
    <definedName name="RAT_BAN_User114" localSheetId="9">#REF!</definedName>
    <definedName name="RAT_BAN_User114">#REF!</definedName>
    <definedName name="RAT_BAN_User115" localSheetId="4">#REF!</definedName>
    <definedName name="RAT_BAN_User115" localSheetId="9">#REF!</definedName>
    <definedName name="RAT_BAN_User115">#REF!</definedName>
    <definedName name="RAT_BAN_User116" localSheetId="4">#REF!</definedName>
    <definedName name="RAT_BAN_User116" localSheetId="9">#REF!</definedName>
    <definedName name="RAT_BAN_User116">#REF!</definedName>
    <definedName name="RAT_BAN_User117" localSheetId="4">#REF!</definedName>
    <definedName name="RAT_BAN_User117" localSheetId="9">#REF!</definedName>
    <definedName name="RAT_BAN_User117">#REF!</definedName>
    <definedName name="RAT_BAN_User118" localSheetId="4">#REF!</definedName>
    <definedName name="RAT_BAN_User118" localSheetId="9">#REF!</definedName>
    <definedName name="RAT_BAN_User118">#REF!</definedName>
    <definedName name="RAT_BAN_User119" localSheetId="4">#REF!</definedName>
    <definedName name="RAT_BAN_User119" localSheetId="9">#REF!</definedName>
    <definedName name="RAT_BAN_User119">#REF!</definedName>
    <definedName name="RAT_BAN_User120" localSheetId="4">#REF!</definedName>
    <definedName name="RAT_BAN_User120" localSheetId="9">#REF!</definedName>
    <definedName name="RAT_BAN_User120">#REF!</definedName>
    <definedName name="RAT_BAN_User121" localSheetId="4">#REF!</definedName>
    <definedName name="RAT_BAN_User121" localSheetId="9">#REF!</definedName>
    <definedName name="RAT_BAN_User121">#REF!</definedName>
    <definedName name="RAT_BAN_User122" localSheetId="4">#REF!</definedName>
    <definedName name="RAT_BAN_User122" localSheetId="9">#REF!</definedName>
    <definedName name="RAT_BAN_User122">#REF!</definedName>
    <definedName name="RAT_BAN_User123" localSheetId="4">#REF!</definedName>
    <definedName name="RAT_BAN_User123" localSheetId="9">#REF!</definedName>
    <definedName name="RAT_BAN_User123">#REF!</definedName>
    <definedName name="RAT_BAN_YieldOnEarningAssets" localSheetId="4">#REF!</definedName>
    <definedName name="RAT_BAN_YieldOnEarningAssets" localSheetId="9">#REF!</definedName>
    <definedName name="RAT_BAN_YieldOnEarningAssets">#REF!</definedName>
    <definedName name="RAT_BookValue" localSheetId="4">#REF!</definedName>
    <definedName name="RAT_BookValue" localSheetId="9">#REF!</definedName>
    <definedName name="RAT_BookValue">#REF!</definedName>
    <definedName name="RAT_CapitalEmployed" localSheetId="4">#REF!</definedName>
    <definedName name="RAT_CapitalEmployed" localSheetId="9">#REF!</definedName>
    <definedName name="RAT_CapitalEmployed">#REF!</definedName>
    <definedName name="RAT_CFPS" localSheetId="4">#REF!</definedName>
    <definedName name="RAT_CFPS" localSheetId="9">#REF!</definedName>
    <definedName name="RAT_CFPS">#REF!</definedName>
    <definedName name="RAT_CFPSGrowth" localSheetId="4">#REF!</definedName>
    <definedName name="RAT_CFPSGrowth" localSheetId="9">#REF!</definedName>
    <definedName name="RAT_CFPSGrowth">#REF!</definedName>
    <definedName name="RAT_CGSGrowth" localSheetId="4">#REF!</definedName>
    <definedName name="RAT_CGSGrowth" localSheetId="9">#REF!</definedName>
    <definedName name="RAT_CGSGrowth">#REF!</definedName>
    <definedName name="RAT_CreditorDays" localSheetId="4">#REF!</definedName>
    <definedName name="RAT_CreditorDays" localSheetId="9">#REF!</definedName>
    <definedName name="RAT_CreditorDays">#REF!</definedName>
    <definedName name="RAT_CurrentRatio" localSheetId="4">#REF!</definedName>
    <definedName name="RAT_CurrentRatio" localSheetId="9">#REF!</definedName>
    <definedName name="RAT_CurrentRatio">#REF!</definedName>
    <definedName name="RAT_DebtorDays" localSheetId="4">#REF!</definedName>
    <definedName name="RAT_DebtorDays" localSheetId="9">#REF!</definedName>
    <definedName name="RAT_DebtorDays">#REF!</definedName>
    <definedName name="RAT_DebtToEquity" localSheetId="4">#REF!</definedName>
    <definedName name="RAT_DebtToEquity" localSheetId="9">#REF!</definedName>
    <definedName name="RAT_DebtToEquity">#REF!</definedName>
    <definedName name="RAT_DebtToOperatingCashFlow" localSheetId="4">#REF!</definedName>
    <definedName name="RAT_DebtToOperatingCashFlow" localSheetId="9">#REF!</definedName>
    <definedName name="RAT_DebtToOperatingCashFlow">#REF!</definedName>
    <definedName name="RAT_DividendCover" localSheetId="4">#REF!</definedName>
    <definedName name="RAT_DividendCover" localSheetId="9">#REF!</definedName>
    <definedName name="RAT_DividendCover">#REF!</definedName>
    <definedName name="RAT_DividendPayOutRatio" localSheetId="4">#REF!</definedName>
    <definedName name="RAT_DividendPayOutRatio" localSheetId="9">#REF!</definedName>
    <definedName name="RAT_DividendPayOutRatio">#REF!</definedName>
    <definedName name="RAT_DPS" localSheetId="4">#REF!</definedName>
    <definedName name="RAT_DPS" localSheetId="9">#REF!</definedName>
    <definedName name="RAT_DPS">#REF!</definedName>
    <definedName name="RAT_DPSGrowth" localSheetId="4">#REF!</definedName>
    <definedName name="RAT_DPSGrowth" localSheetId="9">#REF!</definedName>
    <definedName name="RAT_DPSGrowth">#REF!</definedName>
    <definedName name="RAT_EBITDAGrowth" localSheetId="4">#REF!</definedName>
    <definedName name="RAT_EBITDAGrowth" localSheetId="9">#REF!</definedName>
    <definedName name="RAT_EBITDAGrowth">#REF!</definedName>
    <definedName name="RAT_EBITDAMargin" localSheetId="4">#REF!</definedName>
    <definedName name="RAT_EBITDAMargin" localSheetId="9">#REF!</definedName>
    <definedName name="RAT_EBITDAMargin">#REF!</definedName>
    <definedName name="RAT_EBITGrowth" localSheetId="4">#REF!</definedName>
    <definedName name="RAT_EBITGrowth" localSheetId="9">#REF!</definedName>
    <definedName name="RAT_EBITGrowth">#REF!</definedName>
    <definedName name="RAT_EBITMargin" localSheetId="4">#REF!</definedName>
    <definedName name="RAT_EBITMargin" localSheetId="9">#REF!</definedName>
    <definedName name="RAT_EBITMargin">#REF!</definedName>
    <definedName name="RAT_EBITtoCapitalEmployed" localSheetId="4">#REF!</definedName>
    <definedName name="RAT_EBITtoCapitalEmployed" localSheetId="9">#REF!</definedName>
    <definedName name="RAT_EBITtoCapitalEmployed">#REF!</definedName>
    <definedName name="RAT_EPS" localSheetId="4">#REF!</definedName>
    <definedName name="RAT_EPS" localSheetId="9">#REF!</definedName>
    <definedName name="RAT_EPS">#REF!</definedName>
    <definedName name="RAT_EPSAdj" localSheetId="4">#REF!</definedName>
    <definedName name="RAT_EPSAdj" localSheetId="9">#REF!</definedName>
    <definedName name="RAT_EPSAdj">#REF!</definedName>
    <definedName name="RAT_EPSAdjusted" localSheetId="4">#REF!</definedName>
    <definedName name="RAT_EPSAdjusted" localSheetId="9">#REF!</definedName>
    <definedName name="RAT_EPSAdjusted">#REF!</definedName>
    <definedName name="RAT_EPSAdjustedExcExceptionals" localSheetId="4">#REF!</definedName>
    <definedName name="RAT_EPSAdjustedExcExceptionals" localSheetId="9">#REF!</definedName>
    <definedName name="RAT_EPSAdjustedExcExceptionals">#REF!</definedName>
    <definedName name="RAT_EPSExcExceptionals" localSheetId="4">#REF!</definedName>
    <definedName name="RAT_EPSExcExceptionals" localSheetId="9">#REF!</definedName>
    <definedName name="RAT_EPSExcExceptionals">#REF!</definedName>
    <definedName name="RAT_EPSExcExceptionalsAdj" localSheetId="4">#REF!</definedName>
    <definedName name="RAT_EPSExcExceptionalsAdj" localSheetId="9">#REF!</definedName>
    <definedName name="RAT_EPSExcExceptionalsAdj">#REF!</definedName>
    <definedName name="RAT_EPSFullyDiluted" localSheetId="4">#REF!</definedName>
    <definedName name="RAT_EPSFullyDiluted" localSheetId="9">#REF!</definedName>
    <definedName name="RAT_EPSFullyDiluted">#REF!</definedName>
    <definedName name="RAT_EPSFullyDilutedExcExceptionals" localSheetId="4">#REF!</definedName>
    <definedName name="RAT_EPSFullyDilutedExcExceptionals" localSheetId="9">#REF!</definedName>
    <definedName name="RAT_EPSFullyDilutedExcExceptionals">#REF!</definedName>
    <definedName name="RAT_EPSGrowth" localSheetId="4">#REF!</definedName>
    <definedName name="RAT_EPSGrowth" localSheetId="9">#REF!</definedName>
    <definedName name="RAT_EPSGrowth">#REF!</definedName>
    <definedName name="RAT_EPSGrowthExcExceptionals" localSheetId="4">#REF!</definedName>
    <definedName name="RAT_EPSGrowthExcExceptionals" localSheetId="9">#REF!</definedName>
    <definedName name="RAT_EPSGrowthExcExceptionals">#REF!</definedName>
    <definedName name="RAT_EPSGrowthexcExceptionalsRelative" localSheetId="4">#REF!</definedName>
    <definedName name="RAT_EPSGrowthexcExceptionalsRelative" localSheetId="9">#REF!</definedName>
    <definedName name="RAT_EPSGrowthexcExceptionalsRelative">#REF!</definedName>
    <definedName name="RAT_EPSGrowthRelative" localSheetId="4">#REF!</definedName>
    <definedName name="RAT_EPSGrowthRelative" localSheetId="9">#REF!</definedName>
    <definedName name="RAT_EPSGrowthRelative">#REF!</definedName>
    <definedName name="RAT_EPSGrowthToPE" localSheetId="4">#REF!</definedName>
    <definedName name="RAT_EPSGrowthToPE" localSheetId="9">#REF!</definedName>
    <definedName name="RAT_EPSGrowthToPE">#REF!</definedName>
    <definedName name="RAT_EPSGrowthToPEExcExceptionals" localSheetId="4">#REF!</definedName>
    <definedName name="RAT_EPSGrowthToPEExcExceptionals" localSheetId="9">#REF!</definedName>
    <definedName name="RAT_EPSGrowthToPEExcExceptionals">#REF!</definedName>
    <definedName name="RAT_EPSPrimary" localSheetId="4">#REF!</definedName>
    <definedName name="RAT_EPSPrimary" localSheetId="9">#REF!</definedName>
    <definedName name="RAT_EPSPrimary">#REF!</definedName>
    <definedName name="RAT_EPSPrimaryExcExceptionals" localSheetId="4">#REF!</definedName>
    <definedName name="RAT_EPSPrimaryExcExceptionals" localSheetId="9">#REF!</definedName>
    <definedName name="RAT_EPSPrimaryExcExceptionals">#REF!</definedName>
    <definedName name="RAT_Equity_ShareholderFunds_Switch" localSheetId="4">#REF!</definedName>
    <definedName name="RAT_Equity_ShareholderFunds_Switch" localSheetId="9">#REF!</definedName>
    <definedName name="RAT_Equity_ShareholderFunds_Switch">#REF!</definedName>
    <definedName name="RAT_EquityToAssets" localSheetId="4">#REF!</definedName>
    <definedName name="RAT_EquityToAssets" localSheetId="9">#REF!</definedName>
    <definedName name="RAT_EquityToAssets">#REF!</definedName>
    <definedName name="RAT_EVToEBITDA" localSheetId="4">#REF!</definedName>
    <definedName name="RAT_EVToEBITDA" localSheetId="9">#REF!</definedName>
    <definedName name="RAT_EVToEBITDA">#REF!</definedName>
    <definedName name="RAT_Gearing" localSheetId="4">#REF!</definedName>
    <definedName name="RAT_Gearing" localSheetId="9">#REF!</definedName>
    <definedName name="RAT_Gearing">#REF!</definedName>
    <definedName name="RAT_GearingGross" localSheetId="4">#REF!</definedName>
    <definedName name="RAT_GearingGross" localSheetId="9">#REF!</definedName>
    <definedName name="RAT_GearingGross">#REF!</definedName>
    <definedName name="RAT_GearingNet" localSheetId="4">#REF!</definedName>
    <definedName name="RAT_GearingNet" localSheetId="9">#REF!</definedName>
    <definedName name="RAT_GearingNet">#REF!</definedName>
    <definedName name="RAT_GearingToNTA" localSheetId="4">#REF!</definedName>
    <definedName name="RAT_GearingToNTA" localSheetId="9">#REF!</definedName>
    <definedName name="RAT_GearingToNTA">#REF!</definedName>
    <definedName name="RAT_GrossMargin" localSheetId="4">#REF!</definedName>
    <definedName name="RAT_GrossMargin" localSheetId="9">#REF!</definedName>
    <definedName name="RAT_GrossMargin">#REF!</definedName>
    <definedName name="RAT_GrossProfitGrowth" localSheetId="4">#REF!</definedName>
    <definedName name="RAT_GrossProfitGrowth" localSheetId="9">#REF!</definedName>
    <definedName name="RAT_GrossProfitGrowth">#REF!</definedName>
    <definedName name="RAT_InterestCover" localSheetId="4">#REF!</definedName>
    <definedName name="RAT_InterestCover" localSheetId="9">#REF!</definedName>
    <definedName name="RAT_InterestCover">#REF!</definedName>
    <definedName name="RAT_InventoryDays" localSheetId="4">#REF!</definedName>
    <definedName name="RAT_InventoryDays" localSheetId="9">#REF!</definedName>
    <definedName name="RAT_InventoryDays">#REF!</definedName>
    <definedName name="RAT_Liquidity" localSheetId="4">#REF!</definedName>
    <definedName name="RAT_Liquidity" localSheetId="9">#REF!</definedName>
    <definedName name="RAT_Liquidity">#REF!</definedName>
    <definedName name="RAT_LookUpYears" localSheetId="4">#REF!</definedName>
    <definedName name="RAT_LookUpYears" localSheetId="9">#REF!</definedName>
    <definedName name="RAT_LookUpYears">#REF!</definedName>
    <definedName name="RAT_MarketCapToEBIT" localSheetId="4">#REF!</definedName>
    <definedName name="RAT_MarketCapToEBIT" localSheetId="9">#REF!</definedName>
    <definedName name="RAT_MarketCapToEBIT">#REF!</definedName>
    <definedName name="RAT_MarketCapToEBITDA" localSheetId="4">#REF!</definedName>
    <definedName name="RAT_MarketCapToEBITDA" localSheetId="9">#REF!</definedName>
    <definedName name="RAT_MarketCapToEBITDA">#REF!</definedName>
    <definedName name="RAT_NetDebt" localSheetId="4">#REF!</definedName>
    <definedName name="RAT_NetDebt" localSheetId="9">#REF!</definedName>
    <definedName name="RAT_NetDebt">#REF!</definedName>
    <definedName name="RAT_NetDebtToTotalEquity" localSheetId="4">#REF!</definedName>
    <definedName name="RAT_NetDebtToTotalEquity" localSheetId="9">#REF!</definedName>
    <definedName name="RAT_NetDebtToTotalEquity">#REF!</definedName>
    <definedName name="RAT_NetIncomeGrowth" localSheetId="4">#REF!</definedName>
    <definedName name="RAT_NetIncomeGrowth" localSheetId="9">#REF!</definedName>
    <definedName name="RAT_NetIncomeGrowth">#REF!</definedName>
    <definedName name="RAT_NetMargin" localSheetId="4">#REF!</definedName>
    <definedName name="RAT_NetMargin" localSheetId="9">#REF!</definedName>
    <definedName name="RAT_NetMargin">#REF!</definedName>
    <definedName name="RAT_NetMarginExcExceptionals" localSheetId="4">#REF!</definedName>
    <definedName name="RAT_NetMarginExcExceptionals" localSheetId="9">#REF!</definedName>
    <definedName name="RAT_NetMarginExcExceptionals">#REF!</definedName>
    <definedName name="RAT_NetProfitExcExceptionalsGrowth" localSheetId="4">#REF!</definedName>
    <definedName name="RAT_NetProfitExcExceptionalsGrowth" localSheetId="9">#REF!</definedName>
    <definedName name="RAT_NetProfitExcExceptionalsGrowth">#REF!</definedName>
    <definedName name="RAT_OtherIncomeGrowth" localSheetId="4">#REF!</definedName>
    <definedName name="RAT_OtherIncomeGrowth" localSheetId="9">#REF!</definedName>
    <definedName name="RAT_OtherIncomeGrowth">#REF!</definedName>
    <definedName name="RAT_PBookValue" localSheetId="4">#REF!</definedName>
    <definedName name="RAT_PBookValue" localSheetId="9">#REF!</definedName>
    <definedName name="RAT_PBookValue">#REF!</definedName>
    <definedName name="RAT_PCF" localSheetId="4">#REF!</definedName>
    <definedName name="RAT_PCF" localSheetId="9">#REF!</definedName>
    <definedName name="RAT_PCF">#REF!</definedName>
    <definedName name="RAT_PEexcExceptionalsGrowthToEPS" localSheetId="4">#REF!</definedName>
    <definedName name="RAT_PEexcExceptionalsGrowthToEPS" localSheetId="9">#REF!</definedName>
    <definedName name="RAT_PEexcExceptionalsGrowthToEPS">#REF!</definedName>
    <definedName name="RAT_PEGrowthToEPS" localSheetId="4">#REF!</definedName>
    <definedName name="RAT_PEGrowthToEPS" localSheetId="9">#REF!</definedName>
    <definedName name="RAT_PEGrowthToEPS">#REF!</definedName>
    <definedName name="RAT_PEMarket" localSheetId="4">#REF!</definedName>
    <definedName name="RAT_PEMarket" localSheetId="9">#REF!</definedName>
    <definedName name="RAT_PEMarket">#REF!</definedName>
    <definedName name="RAT_PEMarketEPSGrowth" localSheetId="4">#REF!</definedName>
    <definedName name="RAT_PEMarketEPSGrowth" localSheetId="9">#REF!</definedName>
    <definedName name="RAT_PEMarketEPSGrowth">#REF!</definedName>
    <definedName name="RAT_PER" localSheetId="4">#REF!</definedName>
    <definedName name="RAT_PER" localSheetId="9">#REF!</definedName>
    <definedName name="RAT_PER">#REF!</definedName>
    <definedName name="RAT_PERelative" localSheetId="4">#REF!</definedName>
    <definedName name="RAT_PERelative" localSheetId="9">#REF!</definedName>
    <definedName name="RAT_PERelative">#REF!</definedName>
    <definedName name="RAT_PERelativeExcExceptionals" localSheetId="4">#REF!</definedName>
    <definedName name="RAT_PERelativeExcExceptionals" localSheetId="9">#REF!</definedName>
    <definedName name="RAT_PERelativeExcExceptionals">#REF!</definedName>
    <definedName name="RAT_PERExcExceptionals" localSheetId="4">#REF!</definedName>
    <definedName name="RAT_PERExcExceptionals" localSheetId="9">#REF!</definedName>
    <definedName name="RAT_PERExcExceptionals">#REF!</definedName>
    <definedName name="RAT_PHistoric" localSheetId="4">#REF!</definedName>
    <definedName name="RAT_PHistoric" localSheetId="9">#REF!</definedName>
    <definedName name="RAT_PHistoric">#REF!</definedName>
    <definedName name="RAT_PretaxGrowth" localSheetId="4">#REF!</definedName>
    <definedName name="RAT_PretaxGrowth" localSheetId="9">#REF!</definedName>
    <definedName name="RAT_PretaxGrowth">#REF!</definedName>
    <definedName name="RAT_PretaxMargin" localSheetId="4">#REF!</definedName>
    <definedName name="RAT_PretaxMargin" localSheetId="9">#REF!</definedName>
    <definedName name="RAT_PretaxMargin">#REF!</definedName>
    <definedName name="RAT_QuickRatio" localSheetId="4">#REF!</definedName>
    <definedName name="RAT_QuickRatio" localSheetId="9">#REF!</definedName>
    <definedName name="RAT_QuickRatio">#REF!</definedName>
    <definedName name="RAT_RevenueGrowth" localSheetId="4">#REF!</definedName>
    <definedName name="RAT_RevenueGrowth" localSheetId="9">#REF!</definedName>
    <definedName name="RAT_RevenueGrowth">#REF!</definedName>
    <definedName name="RAT_ROA" localSheetId="4">#REF!</definedName>
    <definedName name="RAT_ROA" localSheetId="9">#REF!</definedName>
    <definedName name="RAT_ROA">#REF!</definedName>
    <definedName name="RAT_ROAAvg" localSheetId="4">#REF!</definedName>
    <definedName name="RAT_ROAAvg" localSheetId="9">#REF!</definedName>
    <definedName name="RAT_ROAAvg">#REF!</definedName>
    <definedName name="RAT_ROAExcExceptionals" localSheetId="4">#REF!</definedName>
    <definedName name="RAT_ROAExcExceptionals" localSheetId="9">#REF!</definedName>
    <definedName name="RAT_ROAExcExceptionals">#REF!</definedName>
    <definedName name="RAT_ROAExcExceptionalsAvg" localSheetId="4">#REF!</definedName>
    <definedName name="RAT_ROAExcExceptionalsAvg" localSheetId="9">#REF!</definedName>
    <definedName name="RAT_ROAExcExceptionalsAvg">#REF!</definedName>
    <definedName name="RAT_ROCE" localSheetId="4">#REF!</definedName>
    <definedName name="RAT_ROCE" localSheetId="9">#REF!</definedName>
    <definedName name="RAT_ROCE">#REF!</definedName>
    <definedName name="RAT_ROE" localSheetId="4">#REF!</definedName>
    <definedName name="RAT_ROE" localSheetId="9">#REF!</definedName>
    <definedName name="RAT_ROE">#REF!</definedName>
    <definedName name="RAT_ROEAvg" localSheetId="4">#REF!</definedName>
    <definedName name="RAT_ROEAvg" localSheetId="9">#REF!</definedName>
    <definedName name="RAT_ROEAvg">#REF!</definedName>
    <definedName name="RAT_ROEExcExceptionals" localSheetId="4">#REF!</definedName>
    <definedName name="RAT_ROEExcExceptionals" localSheetId="9">#REF!</definedName>
    <definedName name="RAT_ROEExcExceptionals">#REF!</definedName>
    <definedName name="RAT_ROEExcExceptionalsAvg" localSheetId="4">#REF!</definedName>
    <definedName name="RAT_ROEExcExceptionalsAvg" localSheetId="9">#REF!</definedName>
    <definedName name="RAT_ROEExcExceptionalsAvg">#REF!</definedName>
    <definedName name="RAT_Shares" localSheetId="4">#REF!</definedName>
    <definedName name="RAT_Shares" localSheetId="9">#REF!</definedName>
    <definedName name="RAT_Shares">#REF!</definedName>
    <definedName name="RAT_SharesAdj" localSheetId="4">#REF!</definedName>
    <definedName name="RAT_SharesAdj" localSheetId="9">#REF!</definedName>
    <definedName name="RAT_SharesAdj">#REF!</definedName>
    <definedName name="RAT_SustainedFund" localSheetId="4">#REF!</definedName>
    <definedName name="RAT_SustainedFund" localSheetId="9">#REF!</definedName>
    <definedName name="RAT_SustainedFund">#REF!</definedName>
    <definedName name="RAT_SustainedFundCover" localSheetId="4">#REF!</definedName>
    <definedName name="RAT_SustainedFundCover" localSheetId="9">#REF!</definedName>
    <definedName name="RAT_SustainedFundCover">#REF!</definedName>
    <definedName name="RAT_TableEV" localSheetId="4">#REF!</definedName>
    <definedName name="RAT_TableEV" localSheetId="9">#REF!</definedName>
    <definedName name="RAT_TableEV">#REF!</definedName>
    <definedName name="RAT_TableEVPerShare" localSheetId="4">#REF!</definedName>
    <definedName name="RAT_TableEVPerShare" localSheetId="9">#REF!</definedName>
    <definedName name="RAT_TableEVPerShare">#REF!</definedName>
    <definedName name="RAT_TotalAssets" localSheetId="4">#REF!</definedName>
    <definedName name="RAT_TotalAssets" localSheetId="9">#REF!</definedName>
    <definedName name="RAT_TotalAssets">#REF!</definedName>
    <definedName name="RAT_TotalDebt" localSheetId="4">#REF!</definedName>
    <definedName name="RAT_TotalDebt" localSheetId="9">#REF!</definedName>
    <definedName name="RAT_TotalDebt">#REF!</definedName>
    <definedName name="RAT_TotalEquity" localSheetId="4">#REF!</definedName>
    <definedName name="RAT_TotalEquity" localSheetId="9">#REF!</definedName>
    <definedName name="RAT_TotalEquity">#REF!</definedName>
    <definedName name="RAT_WCTurnover" localSheetId="4">#REF!</definedName>
    <definedName name="RAT_WCTurnover" localSheetId="9">#REF!</definedName>
    <definedName name="RAT_WCTurnover">#REF!</definedName>
    <definedName name="RAT_Yield" localSheetId="4">#REF!</definedName>
    <definedName name="RAT_Yield" localSheetId="9">#REF!</definedName>
    <definedName name="RAT_Yield">#REF!</definedName>
    <definedName name="Rates___Taxes" localSheetId="4">#REF!</definedName>
    <definedName name="Rates___Taxes" localSheetId="9">#REF!</definedName>
    <definedName name="Rates___Taxes">#REF!</definedName>
    <definedName name="Rates_and_Taxes">#REF!</definedName>
    <definedName name="ratio_jb">#REF!</definedName>
    <definedName name="ratios" localSheetId="4">#REF!</definedName>
    <definedName name="ratios" localSheetId="9">#REF!</definedName>
    <definedName name="ratios">#REF!</definedName>
    <definedName name="raw_material">#REF!</definedName>
    <definedName name="raw_material_A">#REF!</definedName>
    <definedName name="raw_material_consumed">#REF!</definedName>
    <definedName name="raw_material_consumed_qtr">#REF!</definedName>
    <definedName name="RawMat" hidden="1">#REF!</definedName>
    <definedName name="RBORDER" localSheetId="4">#REF!</definedName>
    <definedName name="RBORDER" localSheetId="9">#REF!</definedName>
    <definedName name="RBORDER">#REF!</definedName>
    <definedName name="rce" localSheetId="4">#REF!</definedName>
    <definedName name="rce" localSheetId="5">#REF!</definedName>
    <definedName name="rce" localSheetId="15">#REF!</definedName>
    <definedName name="rce" localSheetId="19">#REF!</definedName>
    <definedName name="rce" localSheetId="18">#REF!</definedName>
    <definedName name="rce" localSheetId="14">#REF!</definedName>
    <definedName name="rce" localSheetId="12">#REF!</definedName>
    <definedName name="rce" localSheetId="24">#REF!</definedName>
    <definedName name="rce" localSheetId="7">#REF!</definedName>
    <definedName name="rce" localSheetId="20">#REF!</definedName>
    <definedName name="rce" localSheetId="21">#REF!</definedName>
    <definedName name="rce" localSheetId="11">#REF!</definedName>
    <definedName name="rce" localSheetId="17">#REF!</definedName>
    <definedName name="rce" localSheetId="16">#REF!</definedName>
    <definedName name="rce" localSheetId="22">#REF!</definedName>
    <definedName name="rce" localSheetId="9">#REF!</definedName>
    <definedName name="rce" localSheetId="13">#REF!</definedName>
    <definedName name="rce" localSheetId="23">#REF!</definedName>
    <definedName name="rce">#REF!</definedName>
    <definedName name="rcr" localSheetId="4">#REF!</definedName>
    <definedName name="rcr" localSheetId="5">#REF!</definedName>
    <definedName name="rcr" localSheetId="15">#REF!</definedName>
    <definedName name="rcr" localSheetId="19">#REF!</definedName>
    <definedName name="rcr" localSheetId="18">#REF!</definedName>
    <definedName name="rcr" localSheetId="14">#REF!</definedName>
    <definedName name="rcr" localSheetId="12">#REF!</definedName>
    <definedName name="rcr" localSheetId="24">#REF!</definedName>
    <definedName name="rcr" localSheetId="7">#REF!</definedName>
    <definedName name="rcr" localSheetId="20">#REF!</definedName>
    <definedName name="rcr" localSheetId="21">#REF!</definedName>
    <definedName name="rcr" localSheetId="11">#REF!</definedName>
    <definedName name="rcr" localSheetId="17">#REF!</definedName>
    <definedName name="rcr" localSheetId="16">#REF!</definedName>
    <definedName name="rcr" localSheetId="22">#REF!</definedName>
    <definedName name="rcr" localSheetId="9">#REF!</definedName>
    <definedName name="rcr" localSheetId="13">#REF!</definedName>
    <definedName name="rcr" localSheetId="23">#REF!</definedName>
    <definedName name="rcr">#REF!</definedName>
    <definedName name="Rd" localSheetId="4">#REF!</definedName>
    <definedName name="Rd" localSheetId="5">#REF!</definedName>
    <definedName name="Rd" localSheetId="15">#REF!</definedName>
    <definedName name="Rd" localSheetId="19">#REF!</definedName>
    <definedName name="Rd" localSheetId="18">#REF!</definedName>
    <definedName name="Rd" localSheetId="14">#REF!</definedName>
    <definedName name="Rd" localSheetId="12">#REF!</definedName>
    <definedName name="Rd" localSheetId="24">#REF!</definedName>
    <definedName name="Rd" localSheetId="7">#REF!</definedName>
    <definedName name="Rd" localSheetId="20">#REF!</definedName>
    <definedName name="Rd" localSheetId="21">#REF!</definedName>
    <definedName name="Rd" localSheetId="11">#REF!</definedName>
    <definedName name="Rd" localSheetId="17">#REF!</definedName>
    <definedName name="Rd" localSheetId="16">#REF!</definedName>
    <definedName name="Rd" localSheetId="22">#REF!</definedName>
    <definedName name="Rd" localSheetId="9">#REF!</definedName>
    <definedName name="Rd" localSheetId="13">#REF!</definedName>
    <definedName name="Rd" localSheetId="23">#REF!</definedName>
    <definedName name="Rd">#REF!</definedName>
    <definedName name="rd_expenses">#REF!</definedName>
    <definedName name="rde" localSheetId="4">#REF!</definedName>
    <definedName name="rde" localSheetId="5">#REF!</definedName>
    <definedName name="rde" localSheetId="15">#REF!</definedName>
    <definedName name="rde" localSheetId="19">#REF!</definedName>
    <definedName name="rde" localSheetId="18">#REF!</definedName>
    <definedName name="rde" localSheetId="14">#REF!</definedName>
    <definedName name="rde" localSheetId="12">#REF!</definedName>
    <definedName name="rde" localSheetId="24">#REF!</definedName>
    <definedName name="rde" localSheetId="7">#REF!</definedName>
    <definedName name="rde" localSheetId="20">#REF!</definedName>
    <definedName name="rde" localSheetId="21">#REF!</definedName>
    <definedName name="rde" localSheetId="11">#REF!</definedName>
    <definedName name="rde" localSheetId="17">#REF!</definedName>
    <definedName name="rde" localSheetId="16">#REF!</definedName>
    <definedName name="rde" localSheetId="22">#REF!</definedName>
    <definedName name="rde" localSheetId="9">#REF!</definedName>
    <definedName name="rde" localSheetId="13">#REF!</definedName>
    <definedName name="rde" localSheetId="23">#REF!</definedName>
    <definedName name="rde">#REF!</definedName>
    <definedName name="Re" localSheetId="4">#REF!</definedName>
    <definedName name="Re" localSheetId="5">#REF!</definedName>
    <definedName name="Re" localSheetId="15">#REF!</definedName>
    <definedName name="Re" localSheetId="19">#REF!</definedName>
    <definedName name="Re" localSheetId="18">#REF!</definedName>
    <definedName name="Re" localSheetId="14">#REF!</definedName>
    <definedName name="Re" localSheetId="12">#REF!</definedName>
    <definedName name="Re" localSheetId="24">#REF!</definedName>
    <definedName name="Re" localSheetId="7">#REF!</definedName>
    <definedName name="Re" localSheetId="20">#REF!</definedName>
    <definedName name="Re" localSheetId="21">#REF!</definedName>
    <definedName name="Re" localSheetId="11">#REF!</definedName>
    <definedName name="Re" localSheetId="17">#REF!</definedName>
    <definedName name="Re" localSheetId="16">#REF!</definedName>
    <definedName name="Re" localSheetId="22">#REF!</definedName>
    <definedName name="Re" localSheetId="9">#REF!</definedName>
    <definedName name="Re" localSheetId="13">#REF!</definedName>
    <definedName name="Re" localSheetId="23">#REF!</definedName>
    <definedName name="Re">#REF!</definedName>
    <definedName name="read_area" localSheetId="4">#REF!</definedName>
    <definedName name="read_area" localSheetId="5">#REF!</definedName>
    <definedName name="read_area" localSheetId="15">#REF!</definedName>
    <definedName name="read_area" localSheetId="19">#REF!</definedName>
    <definedName name="read_area" localSheetId="18">#REF!</definedName>
    <definedName name="read_area" localSheetId="14">#REF!</definedName>
    <definedName name="read_area" localSheetId="12">#REF!</definedName>
    <definedName name="read_area" localSheetId="24">#REF!</definedName>
    <definedName name="read_area" localSheetId="7">#REF!</definedName>
    <definedName name="read_area" localSheetId="20">#REF!</definedName>
    <definedName name="read_area" localSheetId="21">#REF!</definedName>
    <definedName name="read_area" localSheetId="11">#REF!</definedName>
    <definedName name="read_area" localSheetId="17">#REF!</definedName>
    <definedName name="read_area" localSheetId="16">#REF!</definedName>
    <definedName name="read_area" localSheetId="22">#REF!</definedName>
    <definedName name="read_area" localSheetId="9">#REF!</definedName>
    <definedName name="read_area" localSheetId="13">#REF!</definedName>
    <definedName name="read_area" localSheetId="23">#REF!</definedName>
    <definedName name="read_area">#REF!</definedName>
    <definedName name="receivable_days" localSheetId="4">#REF!</definedName>
    <definedName name="receivable_days" localSheetId="9">#REF!</definedName>
    <definedName name="receivable_days">#REF!</definedName>
    <definedName name="reco" localSheetId="4">#REF!</definedName>
    <definedName name="reco" localSheetId="9">#REF!</definedName>
    <definedName name="reco">#REF!</definedName>
    <definedName name="Recom">#REF!</definedName>
    <definedName name="recommendation" localSheetId="4">#REF!</definedName>
    <definedName name="recommendation" localSheetId="5">#REF!</definedName>
    <definedName name="recommendation" localSheetId="15">#REF!</definedName>
    <definedName name="recommendation" localSheetId="19">#REF!</definedName>
    <definedName name="recommendation" localSheetId="18">#REF!</definedName>
    <definedName name="recommendation" localSheetId="14">#REF!</definedName>
    <definedName name="recommendation" localSheetId="12">#REF!</definedName>
    <definedName name="recommendation" localSheetId="24">#REF!</definedName>
    <definedName name="recommendation" localSheetId="7">#REF!</definedName>
    <definedName name="recommendation" localSheetId="20">#REF!</definedName>
    <definedName name="recommendation" localSheetId="21">#REF!</definedName>
    <definedName name="recommendation" localSheetId="11">#REF!</definedName>
    <definedName name="recommendation" localSheetId="17">#REF!</definedName>
    <definedName name="recommendation" localSheetId="16">#REF!</definedName>
    <definedName name="recommendation" localSheetId="22">#REF!</definedName>
    <definedName name="recommendation" localSheetId="9">#REF!</definedName>
    <definedName name="recommendation" localSheetId="13">#REF!</definedName>
    <definedName name="recommendation" localSheetId="23">#REF!</definedName>
    <definedName name="recommendation">#REF!</definedName>
    <definedName name="recommendationH" localSheetId="4">#REF!</definedName>
    <definedName name="recommendationH" localSheetId="5">#REF!</definedName>
    <definedName name="recommendationH" localSheetId="15">#REF!</definedName>
    <definedName name="recommendationH" localSheetId="19">#REF!</definedName>
    <definedName name="recommendationH" localSheetId="18">#REF!</definedName>
    <definedName name="recommendationH" localSheetId="14">#REF!</definedName>
    <definedName name="recommendationH" localSheetId="12">#REF!</definedName>
    <definedName name="recommendationH" localSheetId="24">#REF!</definedName>
    <definedName name="recommendationH" localSheetId="7">#REF!</definedName>
    <definedName name="recommendationH" localSheetId="20">#REF!</definedName>
    <definedName name="recommendationH" localSheetId="21">#REF!</definedName>
    <definedName name="recommendationH" localSheetId="11">#REF!</definedName>
    <definedName name="recommendationH" localSheetId="17">#REF!</definedName>
    <definedName name="recommendationH" localSheetId="16">#REF!</definedName>
    <definedName name="recommendationH" localSheetId="22">#REF!</definedName>
    <definedName name="recommendationH" localSheetId="9">#REF!</definedName>
    <definedName name="recommendationH" localSheetId="13">#REF!</definedName>
    <definedName name="recommendationH" localSheetId="23">#REF!</definedName>
    <definedName name="recommendationH">#REF!</definedName>
    <definedName name="_xlnm.Recorder" localSheetId="4">#REF!</definedName>
    <definedName name="_xlnm.Recorder" localSheetId="9">#REF!</definedName>
    <definedName name="_xlnm.Recorder">#REF!</definedName>
    <definedName name="recovery_Q">#REF!</definedName>
    <definedName name="Recruitment_effort" localSheetId="4">#REF!</definedName>
    <definedName name="Recruitment_effort" localSheetId="5">#REF!</definedName>
    <definedName name="Recruitment_effort" localSheetId="15">#REF!</definedName>
    <definedName name="Recruitment_effort" localSheetId="19">#REF!</definedName>
    <definedName name="Recruitment_effort" localSheetId="18">#REF!</definedName>
    <definedName name="Recruitment_effort" localSheetId="14">#REF!</definedName>
    <definedName name="Recruitment_effort" localSheetId="12">#REF!</definedName>
    <definedName name="Recruitment_effort" localSheetId="24">#REF!</definedName>
    <definedName name="Recruitment_effort" localSheetId="7">#REF!</definedName>
    <definedName name="Recruitment_effort" localSheetId="20">#REF!</definedName>
    <definedName name="Recruitment_effort" localSheetId="21">#REF!</definedName>
    <definedName name="Recruitment_effort" localSheetId="11">#REF!</definedName>
    <definedName name="Recruitment_effort" localSheetId="17">#REF!</definedName>
    <definedName name="Recruitment_effort" localSheetId="16">#REF!</definedName>
    <definedName name="Recruitment_effort" localSheetId="22">#REF!</definedName>
    <definedName name="Recruitment_effort" localSheetId="9">#REF!</definedName>
    <definedName name="Recruitment_effort" localSheetId="13">#REF!</definedName>
    <definedName name="Recruitment_effort" localSheetId="23">#REF!</definedName>
    <definedName name="Recruitment_effort">#REF!</definedName>
    <definedName name="redo" localSheetId="4" hidden="1">{#N/A,#N/A,FALSE,"ACQ_GRAPHS";#N/A,#N/A,FALSE,"T_1 GRAPHS";#N/A,#N/A,FALSE,"T_2 GRAPHS";#N/A,#N/A,FALSE,"COMB_GRAPHS"}</definedName>
    <definedName name="redo" localSheetId="5" hidden="1">{#N/A,#N/A,FALSE,"ACQ_GRAPHS";#N/A,#N/A,FALSE,"T_1 GRAPHS";#N/A,#N/A,FALSE,"T_2 GRAPHS";#N/A,#N/A,FALSE,"COMB_GRAPHS"}</definedName>
    <definedName name="redo" localSheetId="15" hidden="1">{#N/A,#N/A,FALSE,"ACQ_GRAPHS";#N/A,#N/A,FALSE,"T_1 GRAPHS";#N/A,#N/A,FALSE,"T_2 GRAPHS";#N/A,#N/A,FALSE,"COMB_GRAPHS"}</definedName>
    <definedName name="redo" localSheetId="19" hidden="1">{#N/A,#N/A,FALSE,"ACQ_GRAPHS";#N/A,#N/A,FALSE,"T_1 GRAPHS";#N/A,#N/A,FALSE,"T_2 GRAPHS";#N/A,#N/A,FALSE,"COMB_GRAPHS"}</definedName>
    <definedName name="redo" localSheetId="18" hidden="1">{#N/A,#N/A,FALSE,"ACQ_GRAPHS";#N/A,#N/A,FALSE,"T_1 GRAPHS";#N/A,#N/A,FALSE,"T_2 GRAPHS";#N/A,#N/A,FALSE,"COMB_GRAPHS"}</definedName>
    <definedName name="redo" localSheetId="14" hidden="1">{#N/A,#N/A,FALSE,"ACQ_GRAPHS";#N/A,#N/A,FALSE,"T_1 GRAPHS";#N/A,#N/A,FALSE,"T_2 GRAPHS";#N/A,#N/A,FALSE,"COMB_GRAPHS"}</definedName>
    <definedName name="redo" localSheetId="12" hidden="1">{#N/A,#N/A,FALSE,"ACQ_GRAPHS";#N/A,#N/A,FALSE,"T_1 GRAPHS";#N/A,#N/A,FALSE,"T_2 GRAPHS";#N/A,#N/A,FALSE,"COMB_GRAPHS"}</definedName>
    <definedName name="redo" localSheetId="24" hidden="1">{#N/A,#N/A,FALSE,"ACQ_GRAPHS";#N/A,#N/A,FALSE,"T_1 GRAPHS";#N/A,#N/A,FALSE,"T_2 GRAPHS";#N/A,#N/A,FALSE,"COMB_GRAPHS"}</definedName>
    <definedName name="redo" localSheetId="7" hidden="1">{#N/A,#N/A,FALSE,"ACQ_GRAPHS";#N/A,#N/A,FALSE,"T_1 GRAPHS";#N/A,#N/A,FALSE,"T_2 GRAPHS";#N/A,#N/A,FALSE,"COMB_GRAPHS"}</definedName>
    <definedName name="redo" localSheetId="20" hidden="1">{#N/A,#N/A,FALSE,"ACQ_GRAPHS";#N/A,#N/A,FALSE,"T_1 GRAPHS";#N/A,#N/A,FALSE,"T_2 GRAPHS";#N/A,#N/A,FALSE,"COMB_GRAPHS"}</definedName>
    <definedName name="redo" localSheetId="21" hidden="1">{#N/A,#N/A,FALSE,"ACQ_GRAPHS";#N/A,#N/A,FALSE,"T_1 GRAPHS";#N/A,#N/A,FALSE,"T_2 GRAPHS";#N/A,#N/A,FALSE,"COMB_GRAPHS"}</definedName>
    <definedName name="redo" localSheetId="11" hidden="1">{#N/A,#N/A,FALSE,"ACQ_GRAPHS";#N/A,#N/A,FALSE,"T_1 GRAPHS";#N/A,#N/A,FALSE,"T_2 GRAPHS";#N/A,#N/A,FALSE,"COMB_GRAPHS"}</definedName>
    <definedName name="redo" localSheetId="17" hidden="1">{#N/A,#N/A,FALSE,"ACQ_GRAPHS";#N/A,#N/A,FALSE,"T_1 GRAPHS";#N/A,#N/A,FALSE,"T_2 GRAPHS";#N/A,#N/A,FALSE,"COMB_GRAPHS"}</definedName>
    <definedName name="redo" localSheetId="16" hidden="1">{#N/A,#N/A,FALSE,"ACQ_GRAPHS";#N/A,#N/A,FALSE,"T_1 GRAPHS";#N/A,#N/A,FALSE,"T_2 GRAPHS";#N/A,#N/A,FALSE,"COMB_GRAPHS"}</definedName>
    <definedName name="redo" localSheetId="22" hidden="1">{#N/A,#N/A,FALSE,"ACQ_GRAPHS";#N/A,#N/A,FALSE,"T_1 GRAPHS";#N/A,#N/A,FALSE,"T_2 GRAPHS";#N/A,#N/A,FALSE,"COMB_GRAPHS"}</definedName>
    <definedName name="redo" localSheetId="9" hidden="1">{#N/A,#N/A,FALSE,"ACQ_GRAPHS";#N/A,#N/A,FALSE,"T_1 GRAPHS";#N/A,#N/A,FALSE,"T_2 GRAPHS";#N/A,#N/A,FALSE,"COMB_GRAPHS"}</definedName>
    <definedName name="redo" localSheetId="13" hidden="1">{#N/A,#N/A,FALSE,"ACQ_GRAPHS";#N/A,#N/A,FALSE,"T_1 GRAPHS";#N/A,#N/A,FALSE,"T_2 GRAPHS";#N/A,#N/A,FALSE,"COMB_GRAPHS"}</definedName>
    <definedName name="redo" localSheetId="23" hidden="1">{#N/A,#N/A,FALSE,"ACQ_GRAPHS";#N/A,#N/A,FALSE,"T_1 GRAPHS";#N/A,#N/A,FALSE,"T_2 GRAPHS";#N/A,#N/A,FALSE,"COMB_GRAPHS"}</definedName>
    <definedName name="redo" hidden="1">{#N/A,#N/A,FALSE,"ACQ_GRAPHS";#N/A,#N/A,FALSE,"T_1 GRAPHS";#N/A,#N/A,FALSE,"T_2 GRAPHS";#N/A,#N/A,FALSE,"COMB_GRAPHS"}</definedName>
    <definedName name="redo1" localSheetId="4" hidden="1">{#N/A,#N/A,FALSE,"ACQ_GRAPHS";#N/A,#N/A,FALSE,"T_1 GRAPHS";#N/A,#N/A,FALSE,"T_2 GRAPHS";#N/A,#N/A,FALSE,"COMB_GRAPHS"}</definedName>
    <definedName name="redo1" localSheetId="5" hidden="1">{#N/A,#N/A,FALSE,"ACQ_GRAPHS";#N/A,#N/A,FALSE,"T_1 GRAPHS";#N/A,#N/A,FALSE,"T_2 GRAPHS";#N/A,#N/A,FALSE,"COMB_GRAPHS"}</definedName>
    <definedName name="redo1" localSheetId="15" hidden="1">{#N/A,#N/A,FALSE,"ACQ_GRAPHS";#N/A,#N/A,FALSE,"T_1 GRAPHS";#N/A,#N/A,FALSE,"T_2 GRAPHS";#N/A,#N/A,FALSE,"COMB_GRAPHS"}</definedName>
    <definedName name="redo1" localSheetId="19" hidden="1">{#N/A,#N/A,FALSE,"ACQ_GRAPHS";#N/A,#N/A,FALSE,"T_1 GRAPHS";#N/A,#N/A,FALSE,"T_2 GRAPHS";#N/A,#N/A,FALSE,"COMB_GRAPHS"}</definedName>
    <definedName name="redo1" localSheetId="18" hidden="1">{#N/A,#N/A,FALSE,"ACQ_GRAPHS";#N/A,#N/A,FALSE,"T_1 GRAPHS";#N/A,#N/A,FALSE,"T_2 GRAPHS";#N/A,#N/A,FALSE,"COMB_GRAPHS"}</definedName>
    <definedName name="redo1" localSheetId="14" hidden="1">{#N/A,#N/A,FALSE,"ACQ_GRAPHS";#N/A,#N/A,FALSE,"T_1 GRAPHS";#N/A,#N/A,FALSE,"T_2 GRAPHS";#N/A,#N/A,FALSE,"COMB_GRAPHS"}</definedName>
    <definedName name="redo1" localSheetId="12" hidden="1">{#N/A,#N/A,FALSE,"ACQ_GRAPHS";#N/A,#N/A,FALSE,"T_1 GRAPHS";#N/A,#N/A,FALSE,"T_2 GRAPHS";#N/A,#N/A,FALSE,"COMB_GRAPHS"}</definedName>
    <definedName name="redo1" localSheetId="24" hidden="1">{#N/A,#N/A,FALSE,"ACQ_GRAPHS";#N/A,#N/A,FALSE,"T_1 GRAPHS";#N/A,#N/A,FALSE,"T_2 GRAPHS";#N/A,#N/A,FALSE,"COMB_GRAPHS"}</definedName>
    <definedName name="redo1" localSheetId="7" hidden="1">{#N/A,#N/A,FALSE,"ACQ_GRAPHS";#N/A,#N/A,FALSE,"T_1 GRAPHS";#N/A,#N/A,FALSE,"T_2 GRAPHS";#N/A,#N/A,FALSE,"COMB_GRAPHS"}</definedName>
    <definedName name="redo1" localSheetId="20" hidden="1">{#N/A,#N/A,FALSE,"ACQ_GRAPHS";#N/A,#N/A,FALSE,"T_1 GRAPHS";#N/A,#N/A,FALSE,"T_2 GRAPHS";#N/A,#N/A,FALSE,"COMB_GRAPHS"}</definedName>
    <definedName name="redo1" localSheetId="21" hidden="1">{#N/A,#N/A,FALSE,"ACQ_GRAPHS";#N/A,#N/A,FALSE,"T_1 GRAPHS";#N/A,#N/A,FALSE,"T_2 GRAPHS";#N/A,#N/A,FALSE,"COMB_GRAPHS"}</definedName>
    <definedName name="redo1" localSheetId="11" hidden="1">{#N/A,#N/A,FALSE,"ACQ_GRAPHS";#N/A,#N/A,FALSE,"T_1 GRAPHS";#N/A,#N/A,FALSE,"T_2 GRAPHS";#N/A,#N/A,FALSE,"COMB_GRAPHS"}</definedName>
    <definedName name="redo1" localSheetId="17" hidden="1">{#N/A,#N/A,FALSE,"ACQ_GRAPHS";#N/A,#N/A,FALSE,"T_1 GRAPHS";#N/A,#N/A,FALSE,"T_2 GRAPHS";#N/A,#N/A,FALSE,"COMB_GRAPHS"}</definedName>
    <definedName name="redo1" localSheetId="16" hidden="1">{#N/A,#N/A,FALSE,"ACQ_GRAPHS";#N/A,#N/A,FALSE,"T_1 GRAPHS";#N/A,#N/A,FALSE,"T_2 GRAPHS";#N/A,#N/A,FALSE,"COMB_GRAPHS"}</definedName>
    <definedName name="redo1" localSheetId="22" hidden="1">{#N/A,#N/A,FALSE,"ACQ_GRAPHS";#N/A,#N/A,FALSE,"T_1 GRAPHS";#N/A,#N/A,FALSE,"T_2 GRAPHS";#N/A,#N/A,FALSE,"COMB_GRAPHS"}</definedName>
    <definedName name="redo1" localSheetId="9" hidden="1">{#N/A,#N/A,FALSE,"ACQ_GRAPHS";#N/A,#N/A,FALSE,"T_1 GRAPHS";#N/A,#N/A,FALSE,"T_2 GRAPHS";#N/A,#N/A,FALSE,"COMB_GRAPHS"}</definedName>
    <definedName name="redo1" localSheetId="13" hidden="1">{#N/A,#N/A,FALSE,"ACQ_GRAPHS";#N/A,#N/A,FALSE,"T_1 GRAPHS";#N/A,#N/A,FALSE,"T_2 GRAPHS";#N/A,#N/A,FALSE,"COMB_GRAPHS"}</definedName>
    <definedName name="redo1" localSheetId="23" hidden="1">{#N/A,#N/A,FALSE,"ACQ_GRAPHS";#N/A,#N/A,FALSE,"T_1 GRAPHS";#N/A,#N/A,FALSE,"T_2 GRAPHS";#N/A,#N/A,FALSE,"COMB_GRAPHS"}</definedName>
    <definedName name="redo1" hidden="1">{#N/A,#N/A,FALSE,"ACQ_GRAPHS";#N/A,#N/A,FALSE,"T_1 GRAPHS";#N/A,#N/A,FALSE,"T_2 GRAPHS";#N/A,#N/A,FALSE,"COMB_GRAPHS"}</definedName>
    <definedName name="redo2" localSheetId="4" hidden="1">{#N/A,#N/A,FALSE,"ACQ_GRAPHS";#N/A,#N/A,FALSE,"T_1 GRAPHS";#N/A,#N/A,FALSE,"T_2 GRAPHS";#N/A,#N/A,FALSE,"COMB_GRAPHS"}</definedName>
    <definedName name="redo2" localSheetId="5" hidden="1">{#N/A,#N/A,FALSE,"ACQ_GRAPHS";#N/A,#N/A,FALSE,"T_1 GRAPHS";#N/A,#N/A,FALSE,"T_2 GRAPHS";#N/A,#N/A,FALSE,"COMB_GRAPHS"}</definedName>
    <definedName name="redo2" localSheetId="15" hidden="1">{#N/A,#N/A,FALSE,"ACQ_GRAPHS";#N/A,#N/A,FALSE,"T_1 GRAPHS";#N/A,#N/A,FALSE,"T_2 GRAPHS";#N/A,#N/A,FALSE,"COMB_GRAPHS"}</definedName>
    <definedName name="redo2" localSheetId="19" hidden="1">{#N/A,#N/A,FALSE,"ACQ_GRAPHS";#N/A,#N/A,FALSE,"T_1 GRAPHS";#N/A,#N/A,FALSE,"T_2 GRAPHS";#N/A,#N/A,FALSE,"COMB_GRAPHS"}</definedName>
    <definedName name="redo2" localSheetId="18" hidden="1">{#N/A,#N/A,FALSE,"ACQ_GRAPHS";#N/A,#N/A,FALSE,"T_1 GRAPHS";#N/A,#N/A,FALSE,"T_2 GRAPHS";#N/A,#N/A,FALSE,"COMB_GRAPHS"}</definedName>
    <definedName name="redo2" localSheetId="14" hidden="1">{#N/A,#N/A,FALSE,"ACQ_GRAPHS";#N/A,#N/A,FALSE,"T_1 GRAPHS";#N/A,#N/A,FALSE,"T_2 GRAPHS";#N/A,#N/A,FALSE,"COMB_GRAPHS"}</definedName>
    <definedName name="redo2" localSheetId="12" hidden="1">{#N/A,#N/A,FALSE,"ACQ_GRAPHS";#N/A,#N/A,FALSE,"T_1 GRAPHS";#N/A,#N/A,FALSE,"T_2 GRAPHS";#N/A,#N/A,FALSE,"COMB_GRAPHS"}</definedName>
    <definedName name="redo2" localSheetId="24" hidden="1">{#N/A,#N/A,FALSE,"ACQ_GRAPHS";#N/A,#N/A,FALSE,"T_1 GRAPHS";#N/A,#N/A,FALSE,"T_2 GRAPHS";#N/A,#N/A,FALSE,"COMB_GRAPHS"}</definedName>
    <definedName name="redo2" localSheetId="7" hidden="1">{#N/A,#N/A,FALSE,"ACQ_GRAPHS";#N/A,#N/A,FALSE,"T_1 GRAPHS";#N/A,#N/A,FALSE,"T_2 GRAPHS";#N/A,#N/A,FALSE,"COMB_GRAPHS"}</definedName>
    <definedName name="redo2" localSheetId="20" hidden="1">{#N/A,#N/A,FALSE,"ACQ_GRAPHS";#N/A,#N/A,FALSE,"T_1 GRAPHS";#N/A,#N/A,FALSE,"T_2 GRAPHS";#N/A,#N/A,FALSE,"COMB_GRAPHS"}</definedName>
    <definedName name="redo2" localSheetId="21" hidden="1">{#N/A,#N/A,FALSE,"ACQ_GRAPHS";#N/A,#N/A,FALSE,"T_1 GRAPHS";#N/A,#N/A,FALSE,"T_2 GRAPHS";#N/A,#N/A,FALSE,"COMB_GRAPHS"}</definedName>
    <definedName name="redo2" localSheetId="11" hidden="1">{#N/A,#N/A,FALSE,"ACQ_GRAPHS";#N/A,#N/A,FALSE,"T_1 GRAPHS";#N/A,#N/A,FALSE,"T_2 GRAPHS";#N/A,#N/A,FALSE,"COMB_GRAPHS"}</definedName>
    <definedName name="redo2" localSheetId="17" hidden="1">{#N/A,#N/A,FALSE,"ACQ_GRAPHS";#N/A,#N/A,FALSE,"T_1 GRAPHS";#N/A,#N/A,FALSE,"T_2 GRAPHS";#N/A,#N/A,FALSE,"COMB_GRAPHS"}</definedName>
    <definedName name="redo2" localSheetId="16" hidden="1">{#N/A,#N/A,FALSE,"ACQ_GRAPHS";#N/A,#N/A,FALSE,"T_1 GRAPHS";#N/A,#N/A,FALSE,"T_2 GRAPHS";#N/A,#N/A,FALSE,"COMB_GRAPHS"}</definedName>
    <definedName name="redo2" localSheetId="22" hidden="1">{#N/A,#N/A,FALSE,"ACQ_GRAPHS";#N/A,#N/A,FALSE,"T_1 GRAPHS";#N/A,#N/A,FALSE,"T_2 GRAPHS";#N/A,#N/A,FALSE,"COMB_GRAPHS"}</definedName>
    <definedName name="redo2" localSheetId="9" hidden="1">{#N/A,#N/A,FALSE,"ACQ_GRAPHS";#N/A,#N/A,FALSE,"T_1 GRAPHS";#N/A,#N/A,FALSE,"T_2 GRAPHS";#N/A,#N/A,FALSE,"COMB_GRAPHS"}</definedName>
    <definedName name="redo2" localSheetId="13" hidden="1">{#N/A,#N/A,FALSE,"ACQ_GRAPHS";#N/A,#N/A,FALSE,"T_1 GRAPHS";#N/A,#N/A,FALSE,"T_2 GRAPHS";#N/A,#N/A,FALSE,"COMB_GRAPHS"}</definedName>
    <definedName name="redo2" localSheetId="23" hidden="1">{#N/A,#N/A,FALSE,"ACQ_GRAPHS";#N/A,#N/A,FALSE,"T_1 GRAPHS";#N/A,#N/A,FALSE,"T_2 GRAPHS";#N/A,#N/A,FALSE,"COMB_GRAPHS"}</definedName>
    <definedName name="redo2" hidden="1">{#N/A,#N/A,FALSE,"ACQ_GRAPHS";#N/A,#N/A,FALSE,"T_1 GRAPHS";#N/A,#N/A,FALSE,"T_2 GRAPHS";#N/A,#N/A,FALSE,"COMB_GRAPHS"}</definedName>
    <definedName name="ref2print">#REF!</definedName>
    <definedName name="ref3print">#REF!</definedName>
    <definedName name="refdate">#REF!</definedName>
    <definedName name="relperfdata" localSheetId="4">#REF!</definedName>
    <definedName name="relperfdata" localSheetId="5">#REF!</definedName>
    <definedName name="relperfdata" localSheetId="15">#REF!</definedName>
    <definedName name="relperfdata" localSheetId="19">#REF!</definedName>
    <definedName name="relperfdata" localSheetId="18">#REF!</definedName>
    <definedName name="relperfdata" localSheetId="14">#REF!</definedName>
    <definedName name="relperfdata" localSheetId="12">#REF!</definedName>
    <definedName name="relperfdata" localSheetId="24">#REF!</definedName>
    <definedName name="relperfdata" localSheetId="7">#REF!</definedName>
    <definedName name="relperfdata" localSheetId="20">#REF!</definedName>
    <definedName name="relperfdata" localSheetId="21">#REF!</definedName>
    <definedName name="relperfdata" localSheetId="11">#REF!</definedName>
    <definedName name="relperfdata" localSheetId="17">#REF!</definedName>
    <definedName name="relperfdata" localSheetId="16">#REF!</definedName>
    <definedName name="relperfdata" localSheetId="22">#REF!</definedName>
    <definedName name="relperfdata" localSheetId="9">#REF!</definedName>
    <definedName name="relperfdata" localSheetId="13">#REF!</definedName>
    <definedName name="relperfdata" localSheetId="23">#REF!</definedName>
    <definedName name="relperfdata">#REF!</definedName>
    <definedName name="Rent">#REF!</definedName>
    <definedName name="RentElecAlloc">#REF!</definedName>
    <definedName name="REP" localSheetId="4">#REF!</definedName>
    <definedName name="REP" localSheetId="5">#REF!</definedName>
    <definedName name="REP" localSheetId="15">#REF!</definedName>
    <definedName name="REP" localSheetId="19">#REF!</definedName>
    <definedName name="REP" localSheetId="18">#REF!</definedName>
    <definedName name="REP" localSheetId="14">#REF!</definedName>
    <definedName name="REP" localSheetId="12">#REF!</definedName>
    <definedName name="REP" localSheetId="24">#REF!</definedName>
    <definedName name="REP" localSheetId="7">#REF!</definedName>
    <definedName name="REP" localSheetId="20">#REF!</definedName>
    <definedName name="REP" localSheetId="21">#REF!</definedName>
    <definedName name="REP" localSheetId="11">#REF!</definedName>
    <definedName name="REP" localSheetId="17">#REF!</definedName>
    <definedName name="REP" localSheetId="16">#REF!</definedName>
    <definedName name="REP" localSheetId="22">#REF!</definedName>
    <definedName name="REP" localSheetId="9">#REF!</definedName>
    <definedName name="REP" localSheetId="13">#REF!</definedName>
    <definedName name="REP" localSheetId="23">#REF!</definedName>
    <definedName name="REP">#REF!</definedName>
    <definedName name="REP_BankingRatios" localSheetId="4">#REF!</definedName>
    <definedName name="REP_BankingRatios" localSheetId="5">#REF!</definedName>
    <definedName name="REP_BankingRatios" localSheetId="15">#REF!</definedName>
    <definedName name="REP_BankingRatios" localSheetId="19">#REF!</definedName>
    <definedName name="REP_BankingRatios" localSheetId="18">#REF!</definedName>
    <definedName name="REP_BankingRatios" localSheetId="14">#REF!</definedName>
    <definedName name="REP_BankingRatios" localSheetId="12">#REF!</definedName>
    <definedName name="REP_BankingRatios" localSheetId="24">#REF!</definedName>
    <definedName name="REP_BankingRatios" localSheetId="7">#REF!</definedName>
    <definedName name="REP_BankingRatios" localSheetId="20">#REF!</definedName>
    <definedName name="REP_BankingRatios" localSheetId="21">#REF!</definedName>
    <definedName name="REP_BankingRatios" localSheetId="11">#REF!</definedName>
    <definedName name="REP_BankingRatios" localSheetId="17">#REF!</definedName>
    <definedName name="REP_BankingRatios" localSheetId="16">#REF!</definedName>
    <definedName name="REP_BankingRatios" localSheetId="22">#REF!</definedName>
    <definedName name="REP_BankingRatios" localSheetId="9">#REF!</definedName>
    <definedName name="REP_BankingRatios" localSheetId="13">#REF!</definedName>
    <definedName name="REP_BankingRatios" localSheetId="23">#REF!</definedName>
    <definedName name="REP_BankingRatios">#REF!</definedName>
    <definedName name="REP_CHT_DivisionalBreakdown">"Chart 416"</definedName>
    <definedName name="REP_CHT_GeographicalBreakdown">"Chart 417"</definedName>
    <definedName name="REP_CHT_Spare1">"Chart 422"</definedName>
    <definedName name="REP_CHT_Spare2">"Chart 423"</definedName>
    <definedName name="rep_eps" localSheetId="4">#REF!</definedName>
    <definedName name="rep_eps" localSheetId="5">#REF!</definedName>
    <definedName name="rep_eps" localSheetId="15">#REF!</definedName>
    <definedName name="rep_eps" localSheetId="19">#REF!</definedName>
    <definedName name="rep_eps" localSheetId="18">#REF!</definedName>
    <definedName name="rep_eps" localSheetId="14">#REF!</definedName>
    <definedName name="rep_eps" localSheetId="12">#REF!</definedName>
    <definedName name="rep_eps" localSheetId="24">#REF!</definedName>
    <definedName name="rep_eps" localSheetId="7">#REF!</definedName>
    <definedName name="rep_eps" localSheetId="20">#REF!</definedName>
    <definedName name="rep_eps" localSheetId="21">#REF!</definedName>
    <definedName name="rep_eps" localSheetId="11">#REF!</definedName>
    <definedName name="rep_eps" localSheetId="17">#REF!</definedName>
    <definedName name="rep_eps" localSheetId="16">#REF!</definedName>
    <definedName name="rep_eps" localSheetId="22">#REF!</definedName>
    <definedName name="rep_eps" localSheetId="9">#REF!</definedName>
    <definedName name="rep_eps" localSheetId="13">#REF!</definedName>
    <definedName name="rep_eps" localSheetId="23">#REF!</definedName>
    <definedName name="rep_eps">#REF!</definedName>
    <definedName name="REP_EWL_CorporateProfile2" localSheetId="4">#REF!</definedName>
    <definedName name="REP_EWL_CorporateProfile2" localSheetId="5">#REF!</definedName>
    <definedName name="REP_EWL_CorporateProfile2" localSheetId="15">#REF!</definedName>
    <definedName name="REP_EWL_CorporateProfile2" localSheetId="19">#REF!</definedName>
    <definedName name="REP_EWL_CorporateProfile2" localSheetId="18">#REF!</definedName>
    <definedName name="REP_EWL_CorporateProfile2" localSheetId="14">#REF!</definedName>
    <definedName name="REP_EWL_CorporateProfile2" localSheetId="12">#REF!</definedName>
    <definedName name="REP_EWL_CorporateProfile2" localSheetId="24">#REF!</definedName>
    <definedName name="REP_EWL_CorporateProfile2" localSheetId="7">#REF!</definedName>
    <definedName name="REP_EWL_CorporateProfile2" localSheetId="20">#REF!</definedName>
    <definedName name="REP_EWL_CorporateProfile2" localSheetId="21">#REF!</definedName>
    <definedName name="REP_EWL_CorporateProfile2" localSheetId="11">#REF!</definedName>
    <definedName name="REP_EWL_CorporateProfile2" localSheetId="17">#REF!</definedName>
    <definedName name="REP_EWL_CorporateProfile2" localSheetId="16">#REF!</definedName>
    <definedName name="REP_EWL_CorporateProfile2" localSheetId="22">#REF!</definedName>
    <definedName name="REP_EWL_CorporateProfile2" localSheetId="9">#REF!</definedName>
    <definedName name="REP_EWL_CorporateProfile2" localSheetId="13">#REF!</definedName>
    <definedName name="REP_EWL_CorporateProfile2" localSheetId="23">#REF!</definedName>
    <definedName name="REP_EWL_CorporateProfile2">#REF!</definedName>
    <definedName name="REP_EWL_Divisional_Column1" localSheetId="4">#REF!</definedName>
    <definedName name="REP_EWL_Divisional_Column1" localSheetId="5">#REF!</definedName>
    <definedName name="REP_EWL_Divisional_Column1" localSheetId="15">#REF!</definedName>
    <definedName name="REP_EWL_Divisional_Column1" localSheetId="19">#REF!</definedName>
    <definedName name="REP_EWL_Divisional_Column1" localSheetId="18">#REF!</definedName>
    <definedName name="REP_EWL_Divisional_Column1" localSheetId="14">#REF!</definedName>
    <definedName name="REP_EWL_Divisional_Column1" localSheetId="12">#REF!</definedName>
    <definedName name="REP_EWL_Divisional_Column1" localSheetId="24">#REF!</definedName>
    <definedName name="REP_EWL_Divisional_Column1" localSheetId="7">#REF!</definedName>
    <definedName name="REP_EWL_Divisional_Column1" localSheetId="20">#REF!</definedName>
    <definedName name="REP_EWL_Divisional_Column1" localSheetId="21">#REF!</definedName>
    <definedName name="REP_EWL_Divisional_Column1" localSheetId="11">#REF!</definedName>
    <definedName name="REP_EWL_Divisional_Column1" localSheetId="17">#REF!</definedName>
    <definedName name="REP_EWL_Divisional_Column1" localSheetId="16">#REF!</definedName>
    <definedName name="REP_EWL_Divisional_Column1" localSheetId="22">#REF!</definedName>
    <definedName name="REP_EWL_Divisional_Column1" localSheetId="9">#REF!</definedName>
    <definedName name="REP_EWL_Divisional_Column1" localSheetId="13">#REF!</definedName>
    <definedName name="REP_EWL_Divisional_Column1" localSheetId="23">#REF!</definedName>
    <definedName name="REP_EWL_Divisional_Column1">#REF!</definedName>
    <definedName name="REP_EWL_Divisional_Column2" localSheetId="4">#REF!</definedName>
    <definedName name="REP_EWL_Divisional_Column2" localSheetId="9">#REF!</definedName>
    <definedName name="REP_EWL_Divisional_Column2">#REF!</definedName>
    <definedName name="REP_EWL_Geographical_Column1" localSheetId="4">#REF!</definedName>
    <definedName name="REP_EWL_Geographical_Column1" localSheetId="9">#REF!</definedName>
    <definedName name="REP_EWL_Geographical_Column1">#REF!</definedName>
    <definedName name="REP_EWL_Geographical_Column2" localSheetId="4">#REF!</definedName>
    <definedName name="REP_EWL_Geographical_Column2" localSheetId="9">#REF!</definedName>
    <definedName name="REP_EWL_Geographical_Column2">#REF!</definedName>
    <definedName name="REP_EWL_Lookup_Years" localSheetId="4">#REF!</definedName>
    <definedName name="REP_EWL_Lookup_Years" localSheetId="9">#REF!</definedName>
    <definedName name="REP_EWL_Lookup_Years">#REF!</definedName>
    <definedName name="REP_EWL_Other1_Column1" localSheetId="4">#REF!</definedName>
    <definedName name="REP_EWL_Other1_Column1" localSheetId="9">#REF!</definedName>
    <definedName name="REP_EWL_Other1_Column1">#REF!</definedName>
    <definedName name="REP_EWL_Other1_Column2" localSheetId="4">#REF!</definedName>
    <definedName name="REP_EWL_Other1_Column2" localSheetId="9">#REF!</definedName>
    <definedName name="REP_EWL_Other1_Column2">#REF!</definedName>
    <definedName name="REP_EWL_Other2_Column1" localSheetId="4">#REF!</definedName>
    <definedName name="REP_EWL_Other2_Column1" localSheetId="9">#REF!</definedName>
    <definedName name="REP_EWL_Other2_Column1">#REF!</definedName>
    <definedName name="REP_EWL_Other2_Column2" localSheetId="4">#REF!</definedName>
    <definedName name="REP_EWL_Other2_Column2" localSheetId="9">#REF!</definedName>
    <definedName name="REP_EWL_Other2_Column2">#REF!</definedName>
    <definedName name="REP_EWL_QuarterlyRange" localSheetId="4">#REF!</definedName>
    <definedName name="REP_EWL_QuarterlyRange" localSheetId="9">#REF!</definedName>
    <definedName name="REP_EWL_QuarterlyRange">#REF!</definedName>
    <definedName name="REP_EWL_Range1" localSheetId="4">#REF!</definedName>
    <definedName name="REP_EWL_Range1" localSheetId="9">#REF!</definedName>
    <definedName name="REP_EWL_Range1">#REF!</definedName>
    <definedName name="REP_EWL_Range2" localSheetId="4">#REF!</definedName>
    <definedName name="REP_EWL_Range2" localSheetId="9">#REF!</definedName>
    <definedName name="REP_EWL_Range2">#REF!</definedName>
    <definedName name="REP_EWL_Semi_AnnualRange" localSheetId="4">#REF!</definedName>
    <definedName name="REP_EWL_Semi_AnnualRange" localSheetId="9">#REF!</definedName>
    <definedName name="REP_EWL_Semi_AnnualRange">#REF!</definedName>
    <definedName name="REP_EWL_Sheet1" localSheetId="4">#REF!</definedName>
    <definedName name="REP_EWL_Sheet1" localSheetId="9">#REF!</definedName>
    <definedName name="REP_EWL_Sheet1">#REF!</definedName>
    <definedName name="REP_EWL_Sheet2" localSheetId="4">#REF!</definedName>
    <definedName name="REP_EWL_Sheet2" localSheetId="9">#REF!</definedName>
    <definedName name="REP_EWL_Sheet2">#REF!</definedName>
    <definedName name="REP_EWL_Sheet3" localSheetId="4">#REF!</definedName>
    <definedName name="REP_EWL_Sheet3" localSheetId="9">#REF!</definedName>
    <definedName name="REP_EWL_Sheet3">#REF!</definedName>
    <definedName name="REP_EWL_Table" localSheetId="4">#REF!</definedName>
    <definedName name="REP_EWL_Table" localSheetId="9">#REF!</definedName>
    <definedName name="REP_EWL_Table">#REF!</definedName>
    <definedName name="REP_EWL_Title_Chart1" localSheetId="4">#REF!</definedName>
    <definedName name="REP_EWL_Title_Chart1" localSheetId="9">#REF!</definedName>
    <definedName name="REP_EWL_Title_Chart1">#REF!</definedName>
    <definedName name="REP_EWL_Title_Chart2" localSheetId="4">#REF!</definedName>
    <definedName name="REP_EWL_Title_Chart2" localSheetId="9">#REF!</definedName>
    <definedName name="REP_EWL_Title_Chart2">#REF!</definedName>
    <definedName name="REP_EWL_Title_Chart3" localSheetId="4">#REF!</definedName>
    <definedName name="REP_EWL_Title_Chart3" localSheetId="9">#REF!</definedName>
    <definedName name="REP_EWL_Title_Chart3">#REF!</definedName>
    <definedName name="REP_EWL_Title_Chart4" localSheetId="4">#REF!</definedName>
    <definedName name="REP_EWL_Title_Chart4" localSheetId="9">#REF!</definedName>
    <definedName name="REP_EWL_Title_Chart4">#REF!</definedName>
    <definedName name="REP_EWL_ValuationRange" localSheetId="4">#REF!</definedName>
    <definedName name="REP_EWL_ValuationRange" localSheetId="9">#REF!</definedName>
    <definedName name="REP_EWL_ValuationRange">#REF!</definedName>
    <definedName name="REP_HideRowsRange1" localSheetId="4">#REF!</definedName>
    <definedName name="REP_HideRowsRange1" localSheetId="9">#REF!</definedName>
    <definedName name="REP_HideRowsRange1">#REF!</definedName>
    <definedName name="REP_HideRowsRange10" localSheetId="4">#REF!</definedName>
    <definedName name="REP_HideRowsRange10" localSheetId="9">#REF!</definedName>
    <definedName name="REP_HideRowsRange10">#REF!</definedName>
    <definedName name="REP_HideRowsRange11" localSheetId="4">#REF!</definedName>
    <definedName name="REP_HideRowsRange11" localSheetId="9">#REF!</definedName>
    <definedName name="REP_HideRowsRange11">#REF!</definedName>
    <definedName name="REP_HideRowsRange12" localSheetId="4">#REF!</definedName>
    <definedName name="REP_HideRowsRange12" localSheetId="9">#REF!</definedName>
    <definedName name="REP_HideRowsRange12">#REF!</definedName>
    <definedName name="REP_HideRowsRange13" localSheetId="4">#REF!</definedName>
    <definedName name="REP_HideRowsRange13" localSheetId="9">#REF!</definedName>
    <definedName name="REP_HideRowsRange13">#REF!</definedName>
    <definedName name="REP_HideRowsRange14" localSheetId="4">#REF!</definedName>
    <definedName name="REP_HideRowsRange14" localSheetId="9">#REF!</definedName>
    <definedName name="REP_HideRowsRange14">#REF!</definedName>
    <definedName name="REP_HideRowsRange15" localSheetId="4">#REF!</definedName>
    <definedName name="REP_HideRowsRange15" localSheetId="9">#REF!</definedName>
    <definedName name="REP_HideRowsRange15">#REF!</definedName>
    <definedName name="REP_HideRowsRange16" localSheetId="4">#REF!</definedName>
    <definedName name="REP_HideRowsRange16" localSheetId="9">#REF!</definedName>
    <definedName name="REP_HideRowsRange16">#REF!</definedName>
    <definedName name="REP_HideRowsRange17" localSheetId="4">#REF!</definedName>
    <definedName name="REP_HideRowsRange17" localSheetId="9">#REF!</definedName>
    <definedName name="REP_HideRowsRange17">#REF!</definedName>
    <definedName name="REP_HideRowsRange18" localSheetId="4">#REF!</definedName>
    <definedName name="REP_HideRowsRange18" localSheetId="9">#REF!</definedName>
    <definedName name="REP_HideRowsRange18">#REF!</definedName>
    <definedName name="REP_HideRowsRange19" localSheetId="4">#REF!</definedName>
    <definedName name="REP_HideRowsRange19" localSheetId="9">#REF!</definedName>
    <definedName name="REP_HideRowsRange19">#REF!</definedName>
    <definedName name="REP_HideRowsRange2" localSheetId="4">#REF!</definedName>
    <definedName name="REP_HideRowsRange2" localSheetId="9">#REF!</definedName>
    <definedName name="REP_HideRowsRange2">#REF!</definedName>
    <definedName name="REP_HideRowsRange20" localSheetId="4">#REF!</definedName>
    <definedName name="REP_HideRowsRange20" localSheetId="9">#REF!</definedName>
    <definedName name="REP_HideRowsRange20">#REF!</definedName>
    <definedName name="REP_HideRowsRange21" localSheetId="4">#REF!</definedName>
    <definedName name="REP_HideRowsRange21" localSheetId="9">#REF!</definedName>
    <definedName name="REP_HideRowsRange21">#REF!</definedName>
    <definedName name="REP_HideRowsRange22" localSheetId="4">#REF!</definedName>
    <definedName name="REP_HideRowsRange22" localSheetId="9">#REF!</definedName>
    <definedName name="REP_HideRowsRange22">#REF!</definedName>
    <definedName name="REP_HideRowsRange23" localSheetId="4">#REF!</definedName>
    <definedName name="REP_HideRowsRange23" localSheetId="9">#REF!</definedName>
    <definedName name="REP_HideRowsRange23">#REF!</definedName>
    <definedName name="REP_HideRowsRange24" localSheetId="4">#REF!</definedName>
    <definedName name="REP_HideRowsRange24" localSheetId="9">#REF!</definedName>
    <definedName name="REP_HideRowsRange24">#REF!</definedName>
    <definedName name="REP_HideRowsRange25" localSheetId="4">#REF!</definedName>
    <definedName name="REP_HideRowsRange25" localSheetId="9">#REF!</definedName>
    <definedName name="REP_HideRowsRange25">#REF!</definedName>
    <definedName name="REP_HideRowsRange26" localSheetId="4">#REF!</definedName>
    <definedName name="REP_HideRowsRange26" localSheetId="9">#REF!</definedName>
    <definedName name="REP_HideRowsRange26">#REF!</definedName>
    <definedName name="REP_HideRowsRange27" localSheetId="4">#REF!</definedName>
    <definedName name="REP_HideRowsRange27" localSheetId="9">#REF!</definedName>
    <definedName name="REP_HideRowsRange27">#REF!</definedName>
    <definedName name="REP_HideRowsRange28" localSheetId="4">#REF!</definedName>
    <definedName name="REP_HideRowsRange28" localSheetId="9">#REF!</definedName>
    <definedName name="REP_HideRowsRange28">#REF!</definedName>
    <definedName name="REP_HideRowsRange29" localSheetId="4">#REF!</definedName>
    <definedName name="REP_HideRowsRange29" localSheetId="9">#REF!</definedName>
    <definedName name="REP_HideRowsRange29">#REF!</definedName>
    <definedName name="REP_HideRowsRange3" localSheetId="4">#REF!</definedName>
    <definedName name="REP_HideRowsRange3" localSheetId="9">#REF!</definedName>
    <definedName name="REP_HideRowsRange3">#REF!</definedName>
    <definedName name="REP_HideRowsRange30" localSheetId="4">#REF!</definedName>
    <definedName name="REP_HideRowsRange30" localSheetId="9">#REF!</definedName>
    <definedName name="REP_HideRowsRange30">#REF!</definedName>
    <definedName name="REP_HideRowsRange4" localSheetId="4">#REF!</definedName>
    <definedName name="REP_HideRowsRange4" localSheetId="9">#REF!</definedName>
    <definedName name="REP_HideRowsRange4">#REF!</definedName>
    <definedName name="REP_HideRowsRange5" localSheetId="4">#REF!</definedName>
    <definedName name="REP_HideRowsRange5" localSheetId="9">#REF!</definedName>
    <definedName name="REP_HideRowsRange5">#REF!</definedName>
    <definedName name="REP_HideRowsRange6" localSheetId="4">#REF!</definedName>
    <definedName name="REP_HideRowsRange6" localSheetId="9">#REF!</definedName>
    <definedName name="REP_HideRowsRange6">#REF!</definedName>
    <definedName name="REP_HideRowsRange7" localSheetId="4">#REF!</definedName>
    <definedName name="REP_HideRowsRange7" localSheetId="9">#REF!</definedName>
    <definedName name="REP_HideRowsRange7">#REF!</definedName>
    <definedName name="REP_HideRowsRange8" localSheetId="4">#REF!</definedName>
    <definedName name="REP_HideRowsRange8" localSheetId="9">#REF!</definedName>
    <definedName name="REP_HideRowsRange8">#REF!</definedName>
    <definedName name="REP_HideRowsRange9" localSheetId="4">#REF!</definedName>
    <definedName name="REP_HideRowsRange9" localSheetId="9">#REF!</definedName>
    <definedName name="REP_HideRowsRange9">#REF!</definedName>
    <definedName name="rep_net_profit_growth" localSheetId="4">#REF!</definedName>
    <definedName name="rep_net_profit_growth" localSheetId="9">#REF!</definedName>
    <definedName name="rep_net_profit_growth">#REF!</definedName>
    <definedName name="REP_RangeBalanceSheet" localSheetId="4">#REF!</definedName>
    <definedName name="REP_RangeBalanceSheet" localSheetId="9">#REF!</definedName>
    <definedName name="REP_RangeBalanceSheet">#REF!</definedName>
    <definedName name="REP_RangeCashFlow" localSheetId="4">#REF!</definedName>
    <definedName name="REP_RangeCashFlow" localSheetId="9">#REF!</definedName>
    <definedName name="REP_RangeCashFlow">#REF!</definedName>
    <definedName name="REP_RangeEarningsDrivers" localSheetId="4">#REF!</definedName>
    <definedName name="REP_RangeEarningsDrivers" localSheetId="9">#REF!</definedName>
    <definedName name="REP_RangeEarningsDrivers">#REF!</definedName>
    <definedName name="REP_RangeProfitLoss" localSheetId="4">#REF!</definedName>
    <definedName name="REP_RangeProfitLoss" localSheetId="9">#REF!</definedName>
    <definedName name="REP_RangeProfitLoss">#REF!</definedName>
    <definedName name="REP_RangeRatios" localSheetId="4">#REF!</definedName>
    <definedName name="REP_RangeRatios" localSheetId="9">#REF!</definedName>
    <definedName name="REP_RangeRatios">#REF!</definedName>
    <definedName name="REP_RangeRatios2" localSheetId="4">#REF!</definedName>
    <definedName name="REP_RangeRatios2" localSheetId="9">#REF!</definedName>
    <definedName name="REP_RangeRatios2">#REF!</definedName>
    <definedName name="REP_RatiosCapStructure" localSheetId="4">#REF!</definedName>
    <definedName name="REP_RatiosCapStructure" localSheetId="9">#REF!</definedName>
    <definedName name="REP_RatiosCapStructure">#REF!</definedName>
    <definedName name="REP_RatiosEPS" localSheetId="4">#REF!</definedName>
    <definedName name="REP_RatiosEPS" localSheetId="9">#REF!</definedName>
    <definedName name="REP_RatiosEPS">#REF!</definedName>
    <definedName name="REP_RatiosOperatingGrowth" localSheetId="4">#REF!</definedName>
    <definedName name="REP_RatiosOperatingGrowth" localSheetId="9">#REF!</definedName>
    <definedName name="REP_RatiosOperatingGrowth">#REF!</definedName>
    <definedName name="REP_RatiosOperatingRatios" localSheetId="4">#REF!</definedName>
    <definedName name="REP_RatiosOperatingRatios" localSheetId="9">#REF!</definedName>
    <definedName name="REP_RatiosOperatingRatios">#REF!</definedName>
    <definedName name="REP_RatiosPESharePriceMatrix" localSheetId="4">#REF!</definedName>
    <definedName name="REP_RatiosPESharePriceMatrix" localSheetId="9">#REF!</definedName>
    <definedName name="REP_RatiosPESharePriceMatrix">#REF!</definedName>
    <definedName name="REP_RatiosROI" localSheetId="4">#REF!</definedName>
    <definedName name="REP_RatiosROI" localSheetId="9">#REF!</definedName>
    <definedName name="REP_RatiosROI">#REF!</definedName>
    <definedName name="REP_RatiosSharePriceMatrix" localSheetId="4">#REF!</definedName>
    <definedName name="REP_RatiosSharePriceMatrix" localSheetId="9">#REF!</definedName>
    <definedName name="REP_RatiosSharePriceMatrix">#REF!</definedName>
    <definedName name="REP_RatiosValuation" localSheetId="4">#REF!</definedName>
    <definedName name="REP_RatiosValuation" localSheetId="9">#REF!</definedName>
    <definedName name="REP_RatiosValuation">#REF!</definedName>
    <definedName name="REP_Reporting_Table1" localSheetId="4">#REF!</definedName>
    <definedName name="REP_Reporting_Table1" localSheetId="9">#REF!</definedName>
    <definedName name="REP_Reporting_Table1">#REF!</definedName>
    <definedName name="REP_Reporting_Table2" localSheetId="4">#REF!</definedName>
    <definedName name="REP_Reporting_Table2" localSheetId="9">#REF!</definedName>
    <definedName name="REP_Reporting_Table2">#REF!</definedName>
    <definedName name="REP_Reporting_Table3" localSheetId="4">#REF!</definedName>
    <definedName name="REP_Reporting_Table3" localSheetId="9">#REF!</definedName>
    <definedName name="REP_Reporting_Table3">#REF!</definedName>
    <definedName name="REP_Reporting_Table4" localSheetId="4">#REF!</definedName>
    <definedName name="REP_Reporting_Table4" localSheetId="9">#REF!</definedName>
    <definedName name="REP_Reporting_Table4">#REF!</definedName>
    <definedName name="REP_Reporting_Table5" localSheetId="4">#REF!</definedName>
    <definedName name="REP_Reporting_Table5" localSheetId="9">#REF!</definedName>
    <definedName name="REP_Reporting_Table5">#REF!</definedName>
    <definedName name="REP_UserDefinedNamedRows" localSheetId="4">#REF!</definedName>
    <definedName name="REP_UserDefinedNamedRows" localSheetId="9">#REF!</definedName>
    <definedName name="REP_UserDefinedNamedRows">#REF!</definedName>
    <definedName name="Repairs___Maintenance" localSheetId="4">#REF!</definedName>
    <definedName name="Repairs___Maintenance" localSheetId="9">#REF!</definedName>
    <definedName name="Repairs___Maintenance">#REF!</definedName>
    <definedName name="Repay_Orig" localSheetId="4">#REF!</definedName>
    <definedName name="Repay_Orig" localSheetId="9">#REF!</definedName>
    <definedName name="Repay_Orig">#REF!</definedName>
    <definedName name="Repay_Sensitivity" localSheetId="4">#REF!</definedName>
    <definedName name="Repay_Sensitivity" localSheetId="9">#REF!</definedName>
    <definedName name="Repay_Sensitivity">#REF!</definedName>
    <definedName name="Repayment_period" localSheetId="4">#REF!</definedName>
    <definedName name="Repayment_period" localSheetId="9">#REF!</definedName>
    <definedName name="Repayment_period">#REF!</definedName>
    <definedName name="Repayment_Starts_on" localSheetId="4">#REF!</definedName>
    <definedName name="Repayment_Starts_on" localSheetId="9">#REF!</definedName>
    <definedName name="Repayment_Starts_on">#REF!</definedName>
    <definedName name="Reported_Profit___Loss_for_the_period">#REF!</definedName>
    <definedName name="Reported_Profit_after_tax">#REF!</definedName>
    <definedName name="reported_profit_after_tax_Q">#REF!</definedName>
    <definedName name="Required_cash" localSheetId="4">#REF!</definedName>
    <definedName name="Required_cash" localSheetId="9">#REF!</definedName>
    <definedName name="Required_cash">#REF!</definedName>
    <definedName name="Required_Cash_Core" localSheetId="4">#REF!</definedName>
    <definedName name="Required_Cash_Core" localSheetId="9">#REF!</definedName>
    <definedName name="Required_Cash_Core">#REF!</definedName>
    <definedName name="Required_cash_percent" localSheetId="4">#REF!</definedName>
    <definedName name="Required_cash_percent" localSheetId="9">#REF!</definedName>
    <definedName name="Required_cash_percent">#REF!</definedName>
    <definedName name="rere" localSheetId="4" hidden="1">#REF!</definedName>
    <definedName name="rere" localSheetId="5" hidden="1">#REF!</definedName>
    <definedName name="rere" localSheetId="15" hidden="1">#REF!</definedName>
    <definedName name="rere" localSheetId="19" hidden="1">#REF!</definedName>
    <definedName name="rere" localSheetId="18" hidden="1">#REF!</definedName>
    <definedName name="rere" localSheetId="14" hidden="1">#REF!</definedName>
    <definedName name="rere" localSheetId="12" hidden="1">#REF!</definedName>
    <definedName name="rere" localSheetId="24" hidden="1">#REF!</definedName>
    <definedName name="rere" localSheetId="7" hidden="1">#REF!</definedName>
    <definedName name="rere" localSheetId="20" hidden="1">#REF!</definedName>
    <definedName name="rere" localSheetId="21" hidden="1">#REF!</definedName>
    <definedName name="rere" localSheetId="11" hidden="1">#REF!</definedName>
    <definedName name="rere" localSheetId="17" hidden="1">#REF!</definedName>
    <definedName name="rere" localSheetId="16" hidden="1">#REF!</definedName>
    <definedName name="rere" localSheetId="22" hidden="1">#REF!</definedName>
    <definedName name="rere" localSheetId="9" hidden="1">#REF!</definedName>
    <definedName name="rere" localSheetId="13" hidden="1">#REF!</definedName>
    <definedName name="rere" localSheetId="23" hidden="1">#REF!</definedName>
    <definedName name="rere" hidden="1">#REF!</definedName>
    <definedName name="rerwer" hidden="1">#REF!</definedName>
    <definedName name="Reserve_for_Bad___Doubtful_Debts" localSheetId="4">#REF!</definedName>
    <definedName name="Reserve_for_Bad___Doubtful_Debts" localSheetId="5">#REF!</definedName>
    <definedName name="Reserve_for_Bad___Doubtful_Debts" localSheetId="15">#REF!</definedName>
    <definedName name="Reserve_for_Bad___Doubtful_Debts" localSheetId="19">#REF!</definedName>
    <definedName name="Reserve_for_Bad___Doubtful_Debts" localSheetId="18">#REF!</definedName>
    <definedName name="Reserve_for_Bad___Doubtful_Debts" localSheetId="14">#REF!</definedName>
    <definedName name="Reserve_for_Bad___Doubtful_Debts" localSheetId="12">#REF!</definedName>
    <definedName name="Reserve_for_Bad___Doubtful_Debts" localSheetId="24">#REF!</definedName>
    <definedName name="Reserve_for_Bad___Doubtful_Debts" localSheetId="7">#REF!</definedName>
    <definedName name="Reserve_for_Bad___Doubtful_Debts" localSheetId="20">#REF!</definedName>
    <definedName name="Reserve_for_Bad___Doubtful_Debts" localSheetId="21">#REF!</definedName>
    <definedName name="Reserve_for_Bad___Doubtful_Debts" localSheetId="11">#REF!</definedName>
    <definedName name="Reserve_for_Bad___Doubtful_Debts" localSheetId="17">#REF!</definedName>
    <definedName name="Reserve_for_Bad___Doubtful_Debts" localSheetId="16">#REF!</definedName>
    <definedName name="Reserve_for_Bad___Doubtful_Debts" localSheetId="22">#REF!</definedName>
    <definedName name="Reserve_for_Bad___Doubtful_Debts" localSheetId="9">#REF!</definedName>
    <definedName name="Reserve_for_Bad___Doubtful_Debts" localSheetId="13">#REF!</definedName>
    <definedName name="Reserve_for_Bad___Doubtful_Debts" localSheetId="23">#REF!</definedName>
    <definedName name="Reserve_for_Bad___Doubtful_Debts">#REF!</definedName>
    <definedName name="Reserve_for_Bad___Doubtful_Debts_BS" localSheetId="4">#REF!</definedName>
    <definedName name="Reserve_for_Bad___Doubtful_Debts_BS" localSheetId="5">#REF!</definedName>
    <definedName name="Reserve_for_Bad___Doubtful_Debts_BS" localSheetId="15">#REF!</definedName>
    <definedName name="Reserve_for_Bad___Doubtful_Debts_BS" localSheetId="19">#REF!</definedName>
    <definedName name="Reserve_for_Bad___Doubtful_Debts_BS" localSheetId="18">#REF!</definedName>
    <definedName name="Reserve_for_Bad___Doubtful_Debts_BS" localSheetId="14">#REF!</definedName>
    <definedName name="Reserve_for_Bad___Doubtful_Debts_BS" localSheetId="12">#REF!</definedName>
    <definedName name="Reserve_for_Bad___Doubtful_Debts_BS" localSheetId="24">#REF!</definedName>
    <definedName name="Reserve_for_Bad___Doubtful_Debts_BS" localSheetId="7">#REF!</definedName>
    <definedName name="Reserve_for_Bad___Doubtful_Debts_BS" localSheetId="20">#REF!</definedName>
    <definedName name="Reserve_for_Bad___Doubtful_Debts_BS" localSheetId="21">#REF!</definedName>
    <definedName name="Reserve_for_Bad___Doubtful_Debts_BS" localSheetId="11">#REF!</definedName>
    <definedName name="Reserve_for_Bad___Doubtful_Debts_BS" localSheetId="17">#REF!</definedName>
    <definedName name="Reserve_for_Bad___Doubtful_Debts_BS" localSheetId="16">#REF!</definedName>
    <definedName name="Reserve_for_Bad___Doubtful_Debts_BS" localSheetId="22">#REF!</definedName>
    <definedName name="Reserve_for_Bad___Doubtful_Debts_BS" localSheetId="9">#REF!</definedName>
    <definedName name="Reserve_for_Bad___Doubtful_Debts_BS" localSheetId="13">#REF!</definedName>
    <definedName name="Reserve_for_Bad___Doubtful_Debts_BS" localSheetId="23">#REF!</definedName>
    <definedName name="Reserve_for_Bad___Doubtful_Debts_BS">#REF!</definedName>
    <definedName name="Reserve_for_Bad_and_Doubtful_Debts" localSheetId="4">#REF!</definedName>
    <definedName name="Reserve_for_Bad_and_Doubtful_Debts" localSheetId="5">#REF!</definedName>
    <definedName name="Reserve_for_Bad_and_Doubtful_Debts" localSheetId="15">#REF!</definedName>
    <definedName name="Reserve_for_Bad_and_Doubtful_Debts" localSheetId="19">#REF!</definedName>
    <definedName name="Reserve_for_Bad_and_Doubtful_Debts" localSheetId="18">#REF!</definedName>
    <definedName name="Reserve_for_Bad_and_Doubtful_Debts" localSheetId="14">#REF!</definedName>
    <definedName name="Reserve_for_Bad_and_Doubtful_Debts" localSheetId="12">#REF!</definedName>
    <definedName name="Reserve_for_Bad_and_Doubtful_Debts" localSheetId="24">#REF!</definedName>
    <definedName name="Reserve_for_Bad_and_Doubtful_Debts" localSheetId="7">#REF!</definedName>
    <definedName name="Reserve_for_Bad_and_Doubtful_Debts" localSheetId="20">#REF!</definedName>
    <definedName name="Reserve_for_Bad_and_Doubtful_Debts" localSheetId="21">#REF!</definedName>
    <definedName name="Reserve_for_Bad_and_Doubtful_Debts" localSheetId="11">#REF!</definedName>
    <definedName name="Reserve_for_Bad_and_Doubtful_Debts" localSheetId="17">#REF!</definedName>
    <definedName name="Reserve_for_Bad_and_Doubtful_Debts" localSheetId="16">#REF!</definedName>
    <definedName name="Reserve_for_Bad_and_Doubtful_Debts" localSheetId="22">#REF!</definedName>
    <definedName name="Reserve_for_Bad_and_Doubtful_Debts" localSheetId="9">#REF!</definedName>
    <definedName name="Reserve_for_Bad_and_Doubtful_Debts" localSheetId="13">#REF!</definedName>
    <definedName name="Reserve_for_Bad_and_Doubtful_Debts" localSheetId="23">#REF!</definedName>
    <definedName name="Reserve_for_Bad_and_Doubtful_Debts">#REF!</definedName>
    <definedName name="Reserve_for_Bad_and_Doubtful_DebtsPL">#REF!</definedName>
    <definedName name="Reserve_for_Bad_Doubtful_Debts_PL">#REF!</definedName>
    <definedName name="reserves">#REF!</definedName>
    <definedName name="Reserves_And_Surplus">#REF!</definedName>
    <definedName name="Reserves_and_surplus_Q" localSheetId="4">#REF!</definedName>
    <definedName name="Reserves_and_surplus_Q" localSheetId="5">#REF!</definedName>
    <definedName name="Reserves_and_surplus_Q" localSheetId="15">#REF!</definedName>
    <definedName name="Reserves_and_surplus_Q" localSheetId="19">#REF!</definedName>
    <definedName name="Reserves_and_surplus_Q" localSheetId="18">#REF!</definedName>
    <definedName name="Reserves_and_surplus_Q" localSheetId="14">#REF!</definedName>
    <definedName name="Reserves_and_surplus_Q" localSheetId="12">#REF!</definedName>
    <definedName name="Reserves_and_surplus_Q" localSheetId="24">#REF!</definedName>
    <definedName name="Reserves_and_surplus_Q" localSheetId="7">#REF!</definedName>
    <definedName name="Reserves_and_surplus_Q" localSheetId="20">#REF!</definedName>
    <definedName name="Reserves_and_surplus_Q" localSheetId="21">#REF!</definedName>
    <definedName name="Reserves_and_surplus_Q" localSheetId="11">#REF!</definedName>
    <definedName name="Reserves_and_surplus_Q" localSheetId="17">#REF!</definedName>
    <definedName name="Reserves_and_surplus_Q" localSheetId="16">#REF!</definedName>
    <definedName name="Reserves_and_surplus_Q" localSheetId="22">#REF!</definedName>
    <definedName name="Reserves_and_surplus_Q" localSheetId="9">#REF!</definedName>
    <definedName name="Reserves_and_surplus_Q" localSheetId="13">#REF!</definedName>
    <definedName name="Reserves_and_surplus_Q" localSheetId="23">#REF!</definedName>
    <definedName name="Reserves_and_surplus_Q">#REF!</definedName>
    <definedName name="reserves_specific">#REF!</definedName>
    <definedName name="reserves_surplus">#REF!</definedName>
    <definedName name="reserves_surplus_A">#REF!</definedName>
    <definedName name="reserves_surplus_Q">#REF!</definedName>
    <definedName name="ReservesAndSurplus" localSheetId="4">#REF!</definedName>
    <definedName name="ReservesAndSurplus" localSheetId="9">#REF!</definedName>
    <definedName name="ReservesAndSurplus">#REF!</definedName>
    <definedName name="Residual_Value" localSheetId="4">#REF!</definedName>
    <definedName name="Residual_Value" localSheetId="9">#REF!</definedName>
    <definedName name="Residual_Value">#REF!</definedName>
    <definedName name="Restructuring_charges">#REF!</definedName>
    <definedName name="Restructuring_charges_growth_fore" localSheetId="4">#REF!</definedName>
    <definedName name="Restructuring_charges_growth_fore" localSheetId="5">#REF!</definedName>
    <definedName name="Restructuring_charges_growth_fore" localSheetId="15">#REF!</definedName>
    <definedName name="Restructuring_charges_growth_fore" localSheetId="19">#REF!</definedName>
    <definedName name="Restructuring_charges_growth_fore" localSheetId="18">#REF!</definedName>
    <definedName name="Restructuring_charges_growth_fore" localSheetId="14">#REF!</definedName>
    <definedName name="Restructuring_charges_growth_fore" localSheetId="12">#REF!</definedName>
    <definedName name="Restructuring_charges_growth_fore" localSheetId="24">#REF!</definedName>
    <definedName name="Restructuring_charges_growth_fore" localSheetId="7">#REF!</definedName>
    <definedName name="Restructuring_charges_growth_fore" localSheetId="20">#REF!</definedName>
    <definedName name="Restructuring_charges_growth_fore" localSheetId="21">#REF!</definedName>
    <definedName name="Restructuring_charges_growth_fore" localSheetId="11">#REF!</definedName>
    <definedName name="Restructuring_charges_growth_fore" localSheetId="17">#REF!</definedName>
    <definedName name="Restructuring_charges_growth_fore" localSheetId="16">#REF!</definedName>
    <definedName name="Restructuring_charges_growth_fore" localSheetId="22">#REF!</definedName>
    <definedName name="Restructuring_charges_growth_fore" localSheetId="9">#REF!</definedName>
    <definedName name="Restructuring_charges_growth_fore" localSheetId="13">#REF!</definedName>
    <definedName name="Restructuring_charges_growth_fore" localSheetId="23">#REF!</definedName>
    <definedName name="Restructuring_charges_growth_fore">#REF!</definedName>
    <definedName name="Result" localSheetId="4">#REF!</definedName>
    <definedName name="Result" localSheetId="5">#REF!</definedName>
    <definedName name="Result" localSheetId="15">#REF!</definedName>
    <definedName name="Result" localSheetId="19">#REF!</definedName>
    <definedName name="Result" localSheetId="18">#REF!</definedName>
    <definedName name="Result" localSheetId="14">#REF!</definedName>
    <definedName name="Result" localSheetId="12">#REF!</definedName>
    <definedName name="Result" localSheetId="24">#REF!</definedName>
    <definedName name="Result" localSheetId="7">#REF!</definedName>
    <definedName name="Result" localSheetId="20">#REF!</definedName>
    <definedName name="Result" localSheetId="21">#REF!</definedName>
    <definedName name="Result" localSheetId="11">#REF!</definedName>
    <definedName name="Result" localSheetId="17">#REF!</definedName>
    <definedName name="Result" localSheetId="16">#REF!</definedName>
    <definedName name="Result" localSheetId="22">#REF!</definedName>
    <definedName name="Result" localSheetId="9">#REF!</definedName>
    <definedName name="Result" localSheetId="13">#REF!</definedName>
    <definedName name="Result" localSheetId="23">#REF!</definedName>
    <definedName name="Result">#REF!</definedName>
    <definedName name="RESULTS" localSheetId="4">#REF!</definedName>
    <definedName name="RESULTS" localSheetId="9">#REF!</definedName>
    <definedName name="RESULTS">#REF!</definedName>
    <definedName name="ret_ratios_jb">#REF!</definedName>
    <definedName name="Retail_deposits_4QMA">#REF!</definedName>
    <definedName name="Retail_deposits_ex_SA_4QMA">#REF!</definedName>
    <definedName name="retained_earnings">#REF!</definedName>
    <definedName name="retained_earnings_A">#REF!</definedName>
    <definedName name="Retained_Interest_in_Securitised_Assets">#REF!</definedName>
    <definedName name="Retained_Interest_in_Securitised_Assets_BS">#REF!</definedName>
    <definedName name="RetainedProfit" localSheetId="4">#REF!</definedName>
    <definedName name="RetainedProfit" localSheetId="9">#REF!</definedName>
    <definedName name="RetainedProfit">#REF!</definedName>
    <definedName name="RetEarn">#REF!</definedName>
    <definedName name="retirement_provision">#REF!</definedName>
    <definedName name="ReturnOnAssets">#REF!</definedName>
    <definedName name="ReturnOnAverageAssets" localSheetId="4">#REF!</definedName>
    <definedName name="ReturnOnAverageAssets" localSheetId="9">#REF!</definedName>
    <definedName name="ReturnOnAverageAssets">#REF!</definedName>
    <definedName name="ReturnOnAverageEquity" localSheetId="4">#REF!</definedName>
    <definedName name="ReturnOnAverageEquity" localSheetId="9">#REF!</definedName>
    <definedName name="ReturnOnAverageEquity">#REF!</definedName>
    <definedName name="ReturnOnEquity" localSheetId="4">#REF!</definedName>
    <definedName name="ReturnOnEquity" localSheetId="5">#REF!</definedName>
    <definedName name="ReturnOnEquity" localSheetId="15">#REF!</definedName>
    <definedName name="ReturnOnEquity" localSheetId="19">#REF!</definedName>
    <definedName name="ReturnOnEquity" localSheetId="18">#REF!</definedName>
    <definedName name="ReturnOnEquity" localSheetId="14">#REF!</definedName>
    <definedName name="ReturnOnEquity" localSheetId="12">#REF!</definedName>
    <definedName name="ReturnOnEquity" localSheetId="24">#REF!</definedName>
    <definedName name="ReturnOnEquity" localSheetId="7">#REF!</definedName>
    <definedName name="ReturnOnEquity" localSheetId="20">#REF!</definedName>
    <definedName name="ReturnOnEquity" localSheetId="21">#REF!</definedName>
    <definedName name="ReturnOnEquity" localSheetId="11">#REF!</definedName>
    <definedName name="ReturnOnEquity" localSheetId="17">#REF!</definedName>
    <definedName name="ReturnOnEquity" localSheetId="16">#REF!</definedName>
    <definedName name="ReturnOnEquity" localSheetId="22">#REF!</definedName>
    <definedName name="ReturnOnEquity" localSheetId="9">#REF!</definedName>
    <definedName name="ReturnOnEquity" localSheetId="13">#REF!</definedName>
    <definedName name="ReturnOnEquity" localSheetId="23">#REF!</definedName>
    <definedName name="ReturnOnEquity">#REF!</definedName>
    <definedName name="returnsprint2">#REF!</definedName>
    <definedName name="reuters" localSheetId="4">#REF!</definedName>
    <definedName name="reuters" localSheetId="5">#REF!</definedName>
    <definedName name="reuters" localSheetId="15">#REF!</definedName>
    <definedName name="reuters" localSheetId="19">#REF!</definedName>
    <definedName name="reuters" localSheetId="18">#REF!</definedName>
    <definedName name="reuters" localSheetId="14">#REF!</definedName>
    <definedName name="reuters" localSheetId="12">#REF!</definedName>
    <definedName name="reuters" localSheetId="24">#REF!</definedName>
    <definedName name="reuters" localSheetId="7">#REF!</definedName>
    <definedName name="reuters" localSheetId="20">#REF!</definedName>
    <definedName name="reuters" localSheetId="21">#REF!</definedName>
    <definedName name="reuters" localSheetId="11">#REF!</definedName>
    <definedName name="reuters" localSheetId="17">#REF!</definedName>
    <definedName name="reuters" localSheetId="16">#REF!</definedName>
    <definedName name="reuters" localSheetId="22">#REF!</definedName>
    <definedName name="reuters" localSheetId="9">#REF!</definedName>
    <definedName name="reuters" localSheetId="13">#REF!</definedName>
    <definedName name="reuters" localSheetId="23">#REF!</definedName>
    <definedName name="reuters">#REF!</definedName>
    <definedName name="reuters_code" localSheetId="4">#REF!</definedName>
    <definedName name="reuters_code" localSheetId="5">#REF!</definedName>
    <definedName name="reuters_code" localSheetId="15">#REF!</definedName>
    <definedName name="reuters_code" localSheetId="19">#REF!</definedName>
    <definedName name="reuters_code" localSheetId="18">#REF!</definedName>
    <definedName name="reuters_code" localSheetId="14">#REF!</definedName>
    <definedName name="reuters_code" localSheetId="12">#REF!</definedName>
    <definedName name="reuters_code" localSheetId="24">#REF!</definedName>
    <definedName name="reuters_code" localSheetId="7">#REF!</definedName>
    <definedName name="reuters_code" localSheetId="20">#REF!</definedName>
    <definedName name="reuters_code" localSheetId="21">#REF!</definedName>
    <definedName name="reuters_code" localSheetId="11">#REF!</definedName>
    <definedName name="reuters_code" localSheetId="17">#REF!</definedName>
    <definedName name="reuters_code" localSheetId="16">#REF!</definedName>
    <definedName name="reuters_code" localSheetId="22">#REF!</definedName>
    <definedName name="reuters_code" localSheetId="9">#REF!</definedName>
    <definedName name="reuters_code" localSheetId="13">#REF!</definedName>
    <definedName name="reuters_code" localSheetId="23">#REF!</definedName>
    <definedName name="reuters_code">#REF!</definedName>
    <definedName name="reuters_codeh" localSheetId="4">#REF!</definedName>
    <definedName name="reuters_codeh" localSheetId="5">#REF!</definedName>
    <definedName name="reuters_codeh" localSheetId="15">#REF!</definedName>
    <definedName name="reuters_codeh" localSheetId="19">#REF!</definedName>
    <definedName name="reuters_codeh" localSheetId="18">#REF!</definedName>
    <definedName name="reuters_codeh" localSheetId="14">#REF!</definedName>
    <definedName name="reuters_codeh" localSheetId="12">#REF!</definedName>
    <definedName name="reuters_codeh" localSheetId="24">#REF!</definedName>
    <definedName name="reuters_codeh" localSheetId="7">#REF!</definedName>
    <definedName name="reuters_codeh" localSheetId="20">#REF!</definedName>
    <definedName name="reuters_codeh" localSheetId="21">#REF!</definedName>
    <definedName name="reuters_codeh" localSheetId="11">#REF!</definedName>
    <definedName name="reuters_codeh" localSheetId="17">#REF!</definedName>
    <definedName name="reuters_codeh" localSheetId="16">#REF!</definedName>
    <definedName name="reuters_codeh" localSheetId="22">#REF!</definedName>
    <definedName name="reuters_codeh" localSheetId="9">#REF!</definedName>
    <definedName name="reuters_codeh" localSheetId="13">#REF!</definedName>
    <definedName name="reuters_codeh" localSheetId="23">#REF!</definedName>
    <definedName name="reuters_codeh">#REF!</definedName>
    <definedName name="rev" localSheetId="4">#REF!</definedName>
    <definedName name="rev" localSheetId="9">#REF!</definedName>
    <definedName name="rev">#REF!</definedName>
    <definedName name="Rev_anal" localSheetId="4">#REF!</definedName>
    <definedName name="Rev_anal" localSheetId="9">#REF!</definedName>
    <definedName name="Rev_anal">#REF!</definedName>
    <definedName name="RevalRsrv">#REF!</definedName>
    <definedName name="revaluation_reserves">#REF!</definedName>
    <definedName name="Revanal_client_conc" localSheetId="4">#REF!</definedName>
    <definedName name="Revanal_client_conc" localSheetId="5">#REF!</definedName>
    <definedName name="Revanal_client_conc" localSheetId="15">#REF!</definedName>
    <definedName name="Revanal_client_conc" localSheetId="19">#REF!</definedName>
    <definedName name="Revanal_client_conc" localSheetId="18">#REF!</definedName>
    <definedName name="Revanal_client_conc" localSheetId="14">#REF!</definedName>
    <definedName name="Revanal_client_conc" localSheetId="12">#REF!</definedName>
    <definedName name="Revanal_client_conc" localSheetId="24">#REF!</definedName>
    <definedName name="Revanal_client_conc" localSheetId="7">#REF!</definedName>
    <definedName name="Revanal_client_conc" localSheetId="20">#REF!</definedName>
    <definedName name="Revanal_client_conc" localSheetId="21">#REF!</definedName>
    <definedName name="Revanal_client_conc" localSheetId="11">#REF!</definedName>
    <definedName name="Revanal_client_conc" localSheetId="17">#REF!</definedName>
    <definedName name="Revanal_client_conc" localSheetId="16">#REF!</definedName>
    <definedName name="Revanal_client_conc" localSheetId="22">#REF!</definedName>
    <definedName name="Revanal_client_conc" localSheetId="9">#REF!</definedName>
    <definedName name="Revanal_client_conc" localSheetId="13">#REF!</definedName>
    <definedName name="Revanal_client_conc" localSheetId="23">#REF!</definedName>
    <definedName name="Revanal_client_conc">#REF!</definedName>
    <definedName name="Revanal_contract" localSheetId="4">#REF!</definedName>
    <definedName name="Revanal_contract" localSheetId="5">#REF!</definedName>
    <definedName name="Revanal_contract" localSheetId="15">#REF!</definedName>
    <definedName name="Revanal_contract" localSheetId="19">#REF!</definedName>
    <definedName name="Revanal_contract" localSheetId="18">#REF!</definedName>
    <definedName name="Revanal_contract" localSheetId="14">#REF!</definedName>
    <definedName name="Revanal_contract" localSheetId="12">#REF!</definedName>
    <definedName name="Revanal_contract" localSheetId="24">#REF!</definedName>
    <definedName name="Revanal_contract" localSheetId="7">#REF!</definedName>
    <definedName name="Revanal_contract" localSheetId="20">#REF!</definedName>
    <definedName name="Revanal_contract" localSheetId="21">#REF!</definedName>
    <definedName name="Revanal_contract" localSheetId="11">#REF!</definedName>
    <definedName name="Revanal_contract" localSheetId="17">#REF!</definedName>
    <definedName name="Revanal_contract" localSheetId="16">#REF!</definedName>
    <definedName name="Revanal_contract" localSheetId="22">#REF!</definedName>
    <definedName name="Revanal_contract" localSheetId="9">#REF!</definedName>
    <definedName name="Revanal_contract" localSheetId="13">#REF!</definedName>
    <definedName name="Revanal_contract" localSheetId="23">#REF!</definedName>
    <definedName name="Revanal_contract">#REF!</definedName>
    <definedName name="Revanal_Domain" localSheetId="4">#REF!</definedName>
    <definedName name="Revanal_Domain" localSheetId="5">#REF!</definedName>
    <definedName name="Revanal_Domain" localSheetId="15">#REF!</definedName>
    <definedName name="Revanal_Domain" localSheetId="19">#REF!</definedName>
    <definedName name="Revanal_Domain" localSheetId="18">#REF!</definedName>
    <definedName name="Revanal_Domain" localSheetId="14">#REF!</definedName>
    <definedName name="Revanal_Domain" localSheetId="12">#REF!</definedName>
    <definedName name="Revanal_Domain" localSheetId="24">#REF!</definedName>
    <definedName name="Revanal_Domain" localSheetId="7">#REF!</definedName>
    <definedName name="Revanal_Domain" localSheetId="20">#REF!</definedName>
    <definedName name="Revanal_Domain" localSheetId="21">#REF!</definedName>
    <definedName name="Revanal_Domain" localSheetId="11">#REF!</definedName>
    <definedName name="Revanal_Domain" localSheetId="17">#REF!</definedName>
    <definedName name="Revanal_Domain" localSheetId="16">#REF!</definedName>
    <definedName name="Revanal_Domain" localSheetId="22">#REF!</definedName>
    <definedName name="Revanal_Domain" localSheetId="9">#REF!</definedName>
    <definedName name="Revanal_Domain" localSheetId="13">#REF!</definedName>
    <definedName name="Revanal_Domain" localSheetId="23">#REF!</definedName>
    <definedName name="Revanal_Domain">#REF!</definedName>
    <definedName name="Revanal_Geog" localSheetId="4">#REF!</definedName>
    <definedName name="Revanal_Geog" localSheetId="9">#REF!</definedName>
    <definedName name="Revanal_Geog">#REF!</definedName>
    <definedName name="Revanal_Service" localSheetId="4">#REF!</definedName>
    <definedName name="Revanal_Service" localSheetId="9">#REF!</definedName>
    <definedName name="Revanal_Service">#REF!</definedName>
    <definedName name="Revanal_tech" localSheetId="4">#REF!</definedName>
    <definedName name="Revanal_tech" localSheetId="9">#REF!</definedName>
    <definedName name="Revanal_tech">#REF!</definedName>
    <definedName name="REVENUE" localSheetId="4">#REF!</definedName>
    <definedName name="REVENUE" localSheetId="9">#REF!</definedName>
    <definedName name="REVENUE">#REF!</definedName>
    <definedName name="Revenue_from_Operations">#REF!</definedName>
    <definedName name="RevGrowth" localSheetId="4">#REF!</definedName>
    <definedName name="RevGrowth" localSheetId="5">#REF!</definedName>
    <definedName name="RevGrowth" localSheetId="15">#REF!</definedName>
    <definedName name="RevGrowth" localSheetId="19">#REF!</definedName>
    <definedName name="RevGrowth" localSheetId="18">#REF!</definedName>
    <definedName name="RevGrowth" localSheetId="14">#REF!</definedName>
    <definedName name="RevGrowth" localSheetId="12">#REF!</definedName>
    <definedName name="RevGrowth" localSheetId="24">#REF!</definedName>
    <definedName name="RevGrowth" localSheetId="7">#REF!</definedName>
    <definedName name="RevGrowth" localSheetId="20">#REF!</definedName>
    <definedName name="RevGrowth" localSheetId="21">#REF!</definedName>
    <definedName name="RevGrowth" localSheetId="11">#REF!</definedName>
    <definedName name="RevGrowth" localSheetId="17">#REF!</definedName>
    <definedName name="RevGrowth" localSheetId="16">#REF!</definedName>
    <definedName name="RevGrowth" localSheetId="22">#REF!</definedName>
    <definedName name="RevGrowth" localSheetId="9">#REF!</definedName>
    <definedName name="RevGrowth" localSheetId="13">#REF!</definedName>
    <definedName name="RevGrowth" localSheetId="23">#REF!</definedName>
    <definedName name="RevGrowth">#REF!</definedName>
    <definedName name="REVLOC">#REF!</definedName>
    <definedName name="Rf">#REF!</definedName>
    <definedName name="rfa" localSheetId="4">#REF!</definedName>
    <definedName name="rfa" localSheetId="5">#REF!</definedName>
    <definedName name="rfa" localSheetId="15">#REF!</definedName>
    <definedName name="rfa" localSheetId="19">#REF!</definedName>
    <definedName name="rfa" localSheetId="18">#REF!</definedName>
    <definedName name="rfa" localSheetId="14">#REF!</definedName>
    <definedName name="rfa" localSheetId="12">#REF!</definedName>
    <definedName name="rfa" localSheetId="24">#REF!</definedName>
    <definedName name="rfa" localSheetId="7">#REF!</definedName>
    <definedName name="rfa" localSheetId="20">#REF!</definedName>
    <definedName name="rfa" localSheetId="21">#REF!</definedName>
    <definedName name="rfa" localSheetId="11">#REF!</definedName>
    <definedName name="rfa" localSheetId="17">#REF!</definedName>
    <definedName name="rfa" localSheetId="16">#REF!</definedName>
    <definedName name="rfa" localSheetId="22">#REF!</definedName>
    <definedName name="rfa" localSheetId="9">#REF!</definedName>
    <definedName name="rfa" localSheetId="13">#REF!</definedName>
    <definedName name="rfa" localSheetId="23">#REF!</definedName>
    <definedName name="rfa">#REF!</definedName>
    <definedName name="rfs" localSheetId="4">#REF!</definedName>
    <definedName name="rfs" localSheetId="5">#REF!</definedName>
    <definedName name="rfs" localSheetId="15">#REF!</definedName>
    <definedName name="rfs" localSheetId="19">#REF!</definedName>
    <definedName name="rfs" localSheetId="18">#REF!</definedName>
    <definedName name="rfs" localSheetId="14">#REF!</definedName>
    <definedName name="rfs" localSheetId="12">#REF!</definedName>
    <definedName name="rfs" localSheetId="24">#REF!</definedName>
    <definedName name="rfs" localSheetId="7">#REF!</definedName>
    <definedName name="rfs" localSheetId="20">#REF!</definedName>
    <definedName name="rfs" localSheetId="21">#REF!</definedName>
    <definedName name="rfs" localSheetId="11">#REF!</definedName>
    <definedName name="rfs" localSheetId="17">#REF!</definedName>
    <definedName name="rfs" localSheetId="16">#REF!</definedName>
    <definedName name="rfs" localSheetId="22">#REF!</definedName>
    <definedName name="rfs" localSheetId="9">#REF!</definedName>
    <definedName name="rfs" localSheetId="13">#REF!</definedName>
    <definedName name="rfs" localSheetId="23">#REF!</definedName>
    <definedName name="rfs">#REF!</definedName>
    <definedName name="RI_BM11" localSheetId="4">#REF!</definedName>
    <definedName name="RI_BM11" localSheetId="5">#REF!</definedName>
    <definedName name="RI_BM11" localSheetId="15">#REF!</definedName>
    <definedName name="RI_BM11" localSheetId="19">#REF!</definedName>
    <definedName name="RI_BM11" localSheetId="18">#REF!</definedName>
    <definedName name="RI_BM11" localSheetId="14">#REF!</definedName>
    <definedName name="RI_BM11" localSheetId="12">#REF!</definedName>
    <definedName name="RI_BM11" localSheetId="24">#REF!</definedName>
    <definedName name="RI_BM11" localSheetId="7">#REF!</definedName>
    <definedName name="RI_BM11" localSheetId="20">#REF!</definedName>
    <definedName name="RI_BM11" localSheetId="21">#REF!</definedName>
    <definedName name="RI_BM11" localSheetId="11">#REF!</definedName>
    <definedName name="RI_BM11" localSheetId="17">#REF!</definedName>
    <definedName name="RI_BM11" localSheetId="16">#REF!</definedName>
    <definedName name="RI_BM11" localSheetId="22">#REF!</definedName>
    <definedName name="RI_BM11" localSheetId="9">#REF!</definedName>
    <definedName name="RI_BM11" localSheetId="13">#REF!</definedName>
    <definedName name="RI_BM11" localSheetId="23">#REF!</definedName>
    <definedName name="RI_BM11">#REF!</definedName>
    <definedName name="RI_BM12" localSheetId="4">#REF!</definedName>
    <definedName name="RI_BM12" localSheetId="9">#REF!</definedName>
    <definedName name="RI_BM12">#REF!</definedName>
    <definedName name="RI_BM13" localSheetId="4">#REF!</definedName>
    <definedName name="RI_BM13" localSheetId="9">#REF!</definedName>
    <definedName name="RI_BM13">#REF!</definedName>
    <definedName name="RI_BM14" localSheetId="4">#REF!</definedName>
    <definedName name="RI_BM14" localSheetId="9">#REF!</definedName>
    <definedName name="RI_BM14">#REF!</definedName>
    <definedName name="RI_BM15" localSheetId="4">#REF!</definedName>
    <definedName name="RI_BM15" localSheetId="9">#REF!</definedName>
    <definedName name="RI_BM15">#REF!</definedName>
    <definedName name="RI_BM16" localSheetId="4">#REF!</definedName>
    <definedName name="RI_BM16" localSheetId="9">#REF!</definedName>
    <definedName name="RI_BM16">#REF!</definedName>
    <definedName name="RI_BM17" localSheetId="4">#REF!</definedName>
    <definedName name="RI_BM17" localSheetId="9">#REF!</definedName>
    <definedName name="RI_BM17">#REF!</definedName>
    <definedName name="RI_BM18" localSheetId="4">#REF!</definedName>
    <definedName name="RI_BM18" localSheetId="9">#REF!</definedName>
    <definedName name="RI_BM18">#REF!</definedName>
    <definedName name="RI_BM19" localSheetId="4">#REF!</definedName>
    <definedName name="RI_BM19" localSheetId="9">#REF!</definedName>
    <definedName name="RI_BM19">#REF!</definedName>
    <definedName name="RI_BM21_N0" localSheetId="4">#REF!</definedName>
    <definedName name="RI_BM21_N0" localSheetId="9">#REF!</definedName>
    <definedName name="RI_BM21_N0">#REF!</definedName>
    <definedName name="RI_BM22_N0" localSheetId="4">#REF!</definedName>
    <definedName name="RI_BM22_N0" localSheetId="9">#REF!</definedName>
    <definedName name="RI_BM22_N0">#REF!</definedName>
    <definedName name="RI_BM23" localSheetId="4">#REF!</definedName>
    <definedName name="RI_BM23" localSheetId="9">#REF!</definedName>
    <definedName name="RI_BM23">#REF!</definedName>
    <definedName name="RI_BM24" localSheetId="4">#REF!</definedName>
    <definedName name="RI_BM24" localSheetId="9">#REF!</definedName>
    <definedName name="RI_BM24">#REF!</definedName>
    <definedName name="RI_BM25" localSheetId="4">#REF!</definedName>
    <definedName name="RI_BM25" localSheetId="9">#REF!</definedName>
    <definedName name="RI_BM25">#REF!</definedName>
    <definedName name="RI_BM26_N0" localSheetId="4">#REF!</definedName>
    <definedName name="RI_BM26_N0" localSheetId="9">#REF!</definedName>
    <definedName name="RI_BM26_N0">#REF!</definedName>
    <definedName name="RI_BM27_N0" localSheetId="4">#REF!</definedName>
    <definedName name="RI_BM27_N0" localSheetId="9">#REF!</definedName>
    <definedName name="RI_BM27_N0">#REF!</definedName>
    <definedName name="RI_BM28" localSheetId="4">#REF!</definedName>
    <definedName name="RI_BM28" localSheetId="9">#REF!</definedName>
    <definedName name="RI_BM28">#REF!</definedName>
    <definedName name="RI_BM29" localSheetId="4">#REF!</definedName>
    <definedName name="RI_BM29" localSheetId="9">#REF!</definedName>
    <definedName name="RI_BM29">#REF!</definedName>
    <definedName name="RIsk_free_30yr_Treas" localSheetId="4">#REF!</definedName>
    <definedName name="RIsk_free_30yr_Treas" localSheetId="9">#REF!</definedName>
    <definedName name="RIsk_free_30yr_Treas">#REF!</definedName>
    <definedName name="RiskTemplateSheetName">"myTemplate"</definedName>
    <definedName name="RJASSET">#REF!</definedName>
    <definedName name="RM">#REF!</definedName>
    <definedName name="rm_price" localSheetId="4">#REF!</definedName>
    <definedName name="rm_price" localSheetId="5">#REF!</definedName>
    <definedName name="rm_price" localSheetId="15">#REF!</definedName>
    <definedName name="rm_price" localSheetId="19">#REF!</definedName>
    <definedName name="rm_price" localSheetId="18">#REF!</definedName>
    <definedName name="rm_price" localSheetId="14">#REF!</definedName>
    <definedName name="rm_price" localSheetId="12">#REF!</definedName>
    <definedName name="rm_price" localSheetId="24">#REF!</definedName>
    <definedName name="rm_price" localSheetId="7">#REF!</definedName>
    <definedName name="rm_price" localSheetId="20">#REF!</definedName>
    <definedName name="rm_price" localSheetId="21">#REF!</definedName>
    <definedName name="rm_price" localSheetId="11">#REF!</definedName>
    <definedName name="rm_price" localSheetId="17">#REF!</definedName>
    <definedName name="rm_price" localSheetId="16">#REF!</definedName>
    <definedName name="rm_price" localSheetId="22">#REF!</definedName>
    <definedName name="rm_price" localSheetId="9">#REF!</definedName>
    <definedName name="rm_price" localSheetId="13">#REF!</definedName>
    <definedName name="rm_price" localSheetId="23">#REF!</definedName>
    <definedName name="rm_price">#REF!</definedName>
    <definedName name="RMconsumed" localSheetId="4">#REF!</definedName>
    <definedName name="RMconsumed" localSheetId="5">#REF!</definedName>
    <definedName name="RMconsumed" localSheetId="15">#REF!</definedName>
    <definedName name="RMconsumed" localSheetId="19">#REF!</definedName>
    <definedName name="RMconsumed" localSheetId="18">#REF!</definedName>
    <definedName name="RMconsumed" localSheetId="14">#REF!</definedName>
    <definedName name="RMconsumed" localSheetId="12">#REF!</definedName>
    <definedName name="RMconsumed" localSheetId="24">#REF!</definedName>
    <definedName name="RMconsumed" localSheetId="7">#REF!</definedName>
    <definedName name="RMconsumed" localSheetId="20">#REF!</definedName>
    <definedName name="RMconsumed" localSheetId="21">#REF!</definedName>
    <definedName name="RMconsumed" localSheetId="11">#REF!</definedName>
    <definedName name="RMconsumed" localSheetId="17">#REF!</definedName>
    <definedName name="RMconsumed" localSheetId="16">#REF!</definedName>
    <definedName name="RMconsumed" localSheetId="22">#REF!</definedName>
    <definedName name="RMconsumed" localSheetId="9">#REF!</definedName>
    <definedName name="RMconsumed" localSheetId="13">#REF!</definedName>
    <definedName name="RMconsumed" localSheetId="23">#REF!</definedName>
    <definedName name="RMconsumed">#REF!</definedName>
    <definedName name="RMDmy" hidden="1">#REF!</definedName>
    <definedName name="RMUnit" hidden="1">#REF!</definedName>
    <definedName name="RnD_expense" localSheetId="4">#REF!</definedName>
    <definedName name="RnD_expense" localSheetId="9">#REF!</definedName>
    <definedName name="RnD_expense">#REF!</definedName>
    <definedName name="RnD_expense_fore" localSheetId="4">#REF!</definedName>
    <definedName name="RnD_expense_fore" localSheetId="5">#REF!</definedName>
    <definedName name="RnD_expense_fore" localSheetId="15">#REF!</definedName>
    <definedName name="RnD_expense_fore" localSheetId="19">#REF!</definedName>
    <definedName name="RnD_expense_fore" localSheetId="18">#REF!</definedName>
    <definedName name="RnD_expense_fore" localSheetId="14">#REF!</definedName>
    <definedName name="RnD_expense_fore" localSheetId="12">#REF!</definedName>
    <definedName name="RnD_expense_fore" localSheetId="24">#REF!</definedName>
    <definedName name="RnD_expense_fore" localSheetId="7">#REF!</definedName>
    <definedName name="RnD_expense_fore" localSheetId="20">#REF!</definedName>
    <definedName name="RnD_expense_fore" localSheetId="21">#REF!</definedName>
    <definedName name="RnD_expense_fore" localSheetId="11">#REF!</definedName>
    <definedName name="RnD_expense_fore" localSheetId="17">#REF!</definedName>
    <definedName name="RnD_expense_fore" localSheetId="16">#REF!</definedName>
    <definedName name="RnD_expense_fore" localSheetId="22">#REF!</definedName>
    <definedName name="RnD_expense_fore" localSheetId="9">#REF!</definedName>
    <definedName name="RnD_expense_fore" localSheetId="13">#REF!</definedName>
    <definedName name="RnD_expense_fore" localSheetId="23">#REF!</definedName>
    <definedName name="RnD_expense_fore">#REF!</definedName>
    <definedName name="RnD_expense_growth_fore" localSheetId="4">#REF!</definedName>
    <definedName name="RnD_expense_growth_fore" localSheetId="5">#REF!</definedName>
    <definedName name="RnD_expense_growth_fore" localSheetId="15">#REF!</definedName>
    <definedName name="RnD_expense_growth_fore" localSheetId="19">#REF!</definedName>
    <definedName name="RnD_expense_growth_fore" localSheetId="18">#REF!</definedName>
    <definedName name="RnD_expense_growth_fore" localSheetId="14">#REF!</definedName>
    <definedName name="RnD_expense_growth_fore" localSheetId="12">#REF!</definedName>
    <definedName name="RnD_expense_growth_fore" localSheetId="24">#REF!</definedName>
    <definedName name="RnD_expense_growth_fore" localSheetId="7">#REF!</definedName>
    <definedName name="RnD_expense_growth_fore" localSheetId="20">#REF!</definedName>
    <definedName name="RnD_expense_growth_fore" localSheetId="21">#REF!</definedName>
    <definedName name="RnD_expense_growth_fore" localSheetId="11">#REF!</definedName>
    <definedName name="RnD_expense_growth_fore" localSheetId="17">#REF!</definedName>
    <definedName name="RnD_expense_growth_fore" localSheetId="16">#REF!</definedName>
    <definedName name="RnD_expense_growth_fore" localSheetId="22">#REF!</definedName>
    <definedName name="RnD_expense_growth_fore" localSheetId="9">#REF!</definedName>
    <definedName name="RnD_expense_growth_fore" localSheetId="13">#REF!</definedName>
    <definedName name="RnD_expense_growth_fore" localSheetId="23">#REF!</definedName>
    <definedName name="RnD_expense_growth_fore">#REF!</definedName>
    <definedName name="RnD_expenses_fore" localSheetId="4">#REF!</definedName>
    <definedName name="RnD_expenses_fore" localSheetId="5">#REF!</definedName>
    <definedName name="RnD_expenses_fore" localSheetId="15">#REF!</definedName>
    <definedName name="RnD_expenses_fore" localSheetId="19">#REF!</definedName>
    <definedName name="RnD_expenses_fore" localSheetId="18">#REF!</definedName>
    <definedName name="RnD_expenses_fore" localSheetId="14">#REF!</definedName>
    <definedName name="RnD_expenses_fore" localSheetId="12">#REF!</definedName>
    <definedName name="RnD_expenses_fore" localSheetId="24">#REF!</definedName>
    <definedName name="RnD_expenses_fore" localSheetId="7">#REF!</definedName>
    <definedName name="RnD_expenses_fore" localSheetId="20">#REF!</definedName>
    <definedName name="RnD_expenses_fore" localSheetId="21">#REF!</definedName>
    <definedName name="RnD_expenses_fore" localSheetId="11">#REF!</definedName>
    <definedName name="RnD_expenses_fore" localSheetId="17">#REF!</definedName>
    <definedName name="RnD_expenses_fore" localSheetId="16">#REF!</definedName>
    <definedName name="RnD_expenses_fore" localSheetId="22">#REF!</definedName>
    <definedName name="RnD_expenses_fore" localSheetId="9">#REF!</definedName>
    <definedName name="RnD_expenses_fore" localSheetId="13">#REF!</definedName>
    <definedName name="RnD_expenses_fore" localSheetId="23">#REF!</definedName>
    <definedName name="RnD_expenses_fore">#REF!</definedName>
    <definedName name="rnf" localSheetId="4">#REF!</definedName>
    <definedName name="rnf" localSheetId="9">#REF!</definedName>
    <definedName name="rnf">#REF!</definedName>
    <definedName name="rns" localSheetId="4">#REF!</definedName>
    <definedName name="rns" localSheetId="9">#REF!</definedName>
    <definedName name="rns">#REF!</definedName>
    <definedName name="roa" localSheetId="4">#REF!</definedName>
    <definedName name="roa" localSheetId="9">#REF!</definedName>
    <definedName name="roa">#REF!</definedName>
    <definedName name="ROAA" localSheetId="4">#REF!</definedName>
    <definedName name="ROAA" localSheetId="9">#REF!</definedName>
    <definedName name="ROAA">#REF!</definedName>
    <definedName name="roads_July04" hidden="1">#N/A</definedName>
    <definedName name="ROAE" localSheetId="4">#REF!</definedName>
    <definedName name="ROAE" localSheetId="5">#REF!</definedName>
    <definedName name="ROAE" localSheetId="15">#REF!</definedName>
    <definedName name="ROAE" localSheetId="19">#REF!</definedName>
    <definedName name="ROAE" localSheetId="18">#REF!</definedName>
    <definedName name="ROAE" localSheetId="14">#REF!</definedName>
    <definedName name="ROAE" localSheetId="12">#REF!</definedName>
    <definedName name="ROAE" localSheetId="24">#REF!</definedName>
    <definedName name="ROAE" localSheetId="7">#REF!</definedName>
    <definedName name="ROAE" localSheetId="20">#REF!</definedName>
    <definedName name="ROAE" localSheetId="21">#REF!</definedName>
    <definedName name="ROAE" localSheetId="11">#REF!</definedName>
    <definedName name="ROAE" localSheetId="17">#REF!</definedName>
    <definedName name="ROAE" localSheetId="16">#REF!</definedName>
    <definedName name="ROAE" localSheetId="22">#REF!</definedName>
    <definedName name="ROAE" localSheetId="9">#REF!</definedName>
    <definedName name="ROAE" localSheetId="13">#REF!</definedName>
    <definedName name="ROAE" localSheetId="23">#REF!</definedName>
    <definedName name="ROAE">#REF!</definedName>
    <definedName name="ROCE" localSheetId="4">#REF!</definedName>
    <definedName name="ROCE" localSheetId="5">#REF!</definedName>
    <definedName name="ROCE" localSheetId="15">#REF!</definedName>
    <definedName name="ROCE" localSheetId="19">#REF!</definedName>
    <definedName name="ROCE" localSheetId="18">#REF!</definedName>
    <definedName name="ROCE" localSheetId="14">#REF!</definedName>
    <definedName name="ROCE" localSheetId="12">#REF!</definedName>
    <definedName name="ROCE" localSheetId="24">#REF!</definedName>
    <definedName name="ROCE" localSheetId="7">#REF!</definedName>
    <definedName name="ROCE" localSheetId="20">#REF!</definedName>
    <definedName name="ROCE" localSheetId="21">#REF!</definedName>
    <definedName name="ROCE" localSheetId="11">#REF!</definedName>
    <definedName name="ROCE" localSheetId="17">#REF!</definedName>
    <definedName name="ROCE" localSheetId="16">#REF!</definedName>
    <definedName name="ROCE" localSheetId="22">#REF!</definedName>
    <definedName name="ROCE" localSheetId="9">#REF!</definedName>
    <definedName name="ROCE" localSheetId="13">#REF!</definedName>
    <definedName name="ROCE" localSheetId="23">#REF!</definedName>
    <definedName name="ROCE">#REF!</definedName>
    <definedName name="ROE" localSheetId="4">#REF!</definedName>
    <definedName name="ROE" localSheetId="9">#REF!</definedName>
    <definedName name="ROE">#REF!</definedName>
    <definedName name="roic" localSheetId="4">#REF!</definedName>
    <definedName name="roic" localSheetId="9">#REF!</definedName>
    <definedName name="roic">#REF!</definedName>
    <definedName name="ROIC_DCF" localSheetId="4">#REF!</definedName>
    <definedName name="ROIC_DCF" localSheetId="9">#REF!</definedName>
    <definedName name="ROIC_DCF">#REF!</definedName>
    <definedName name="roic_print" localSheetId="4">#REF!</definedName>
    <definedName name="roic_print" localSheetId="9">#REF!</definedName>
    <definedName name="roic_print">#REF!</definedName>
    <definedName name="roic_wacc">#REF!</definedName>
    <definedName name="ROICF" localSheetId="4">#REF!</definedName>
    <definedName name="ROICF" localSheetId="9">#REF!</definedName>
    <definedName name="ROICF">#REF!</definedName>
    <definedName name="ROICYEARS" localSheetId="4">#REF!</definedName>
    <definedName name="ROICYEARS" localSheetId="9">#REF!</definedName>
    <definedName name="ROICYEARS">#REF!</definedName>
    <definedName name="RONE">"ARRAY(I7:T7)"</definedName>
    <definedName name="RORIC__3_yr_rolling" localSheetId="4">#REF!</definedName>
    <definedName name="RORIC__3_yr_rolling" localSheetId="9">#REF!</definedName>
    <definedName name="RORIC__3_yr_rolling">#REF!</definedName>
    <definedName name="rot" localSheetId="4">#REF!</definedName>
    <definedName name="rot" localSheetId="5">#REF!</definedName>
    <definedName name="rot" localSheetId="15">#REF!</definedName>
    <definedName name="rot" localSheetId="19">#REF!</definedName>
    <definedName name="rot" localSheetId="18">#REF!</definedName>
    <definedName name="rot" localSheetId="14">#REF!</definedName>
    <definedName name="rot" localSheetId="12">#REF!</definedName>
    <definedName name="rot" localSheetId="24">#REF!</definedName>
    <definedName name="rot" localSheetId="7">#REF!</definedName>
    <definedName name="rot" localSheetId="20">#REF!</definedName>
    <definedName name="rot" localSheetId="21">#REF!</definedName>
    <definedName name="rot" localSheetId="11">#REF!</definedName>
    <definedName name="rot" localSheetId="17">#REF!</definedName>
    <definedName name="rot" localSheetId="16">#REF!</definedName>
    <definedName name="rot" localSheetId="22">#REF!</definedName>
    <definedName name="rot" localSheetId="9">#REF!</definedName>
    <definedName name="rot" localSheetId="13">#REF!</definedName>
    <definedName name="rot" localSheetId="23">#REF!</definedName>
    <definedName name="rot">#REF!</definedName>
    <definedName name="Rowend" localSheetId="4">#REF!</definedName>
    <definedName name="Rowend" localSheetId="5">#REF!</definedName>
    <definedName name="Rowend" localSheetId="15">#REF!</definedName>
    <definedName name="Rowend" localSheetId="19">#REF!</definedName>
    <definedName name="Rowend" localSheetId="18">#REF!</definedName>
    <definedName name="Rowend" localSheetId="14">#REF!</definedName>
    <definedName name="Rowend" localSheetId="12">#REF!</definedName>
    <definedName name="Rowend" localSheetId="24">#REF!</definedName>
    <definedName name="Rowend" localSheetId="7">#REF!</definedName>
    <definedName name="Rowend" localSheetId="20">#REF!</definedName>
    <definedName name="Rowend" localSheetId="21">#REF!</definedName>
    <definedName name="Rowend" localSheetId="11">#REF!</definedName>
    <definedName name="Rowend" localSheetId="17">#REF!</definedName>
    <definedName name="Rowend" localSheetId="16">#REF!</definedName>
    <definedName name="Rowend" localSheetId="22">#REF!</definedName>
    <definedName name="Rowend" localSheetId="9">#REF!</definedName>
    <definedName name="Rowend" localSheetId="13">#REF!</definedName>
    <definedName name="Rowend" localSheetId="23">#REF!</definedName>
    <definedName name="Rowend">#REF!</definedName>
    <definedName name="royalty">#REF!</definedName>
    <definedName name="rr" localSheetId="4" hidden="1">#REF!</definedName>
    <definedName name="rr" localSheetId="5" hidden="1">#REF!</definedName>
    <definedName name="rr" localSheetId="15" hidden="1">#REF!</definedName>
    <definedName name="rr" localSheetId="19" hidden="1">#REF!</definedName>
    <definedName name="rr" localSheetId="18" hidden="1">#REF!</definedName>
    <definedName name="rr" localSheetId="14" hidden="1">#REF!</definedName>
    <definedName name="rr" localSheetId="12" hidden="1">#REF!</definedName>
    <definedName name="rr" localSheetId="24" hidden="1">#REF!</definedName>
    <definedName name="rr" localSheetId="7" hidden="1">#REF!</definedName>
    <definedName name="rr" localSheetId="20" hidden="1">#REF!</definedName>
    <definedName name="rr" localSheetId="21" hidden="1">#REF!</definedName>
    <definedName name="rr" localSheetId="11" hidden="1">#REF!</definedName>
    <definedName name="rr" localSheetId="17" hidden="1">#REF!</definedName>
    <definedName name="rr" localSheetId="16" hidden="1">#REF!</definedName>
    <definedName name="rr" localSheetId="22" hidden="1">#REF!</definedName>
    <definedName name="rr" localSheetId="9" hidden="1">#REF!</definedName>
    <definedName name="rr" localSheetId="13" hidden="1">#REF!</definedName>
    <definedName name="rr" localSheetId="23" hidden="1">#REF!</definedName>
    <definedName name="rr" hidden="1">#REF!</definedName>
    <definedName name="rre" localSheetId="4">#REF!</definedName>
    <definedName name="rre" localSheetId="5">#REF!</definedName>
    <definedName name="rre" localSheetId="15">#REF!</definedName>
    <definedName name="rre" localSheetId="19">#REF!</definedName>
    <definedName name="rre" localSheetId="18">#REF!</definedName>
    <definedName name="rre" localSheetId="14">#REF!</definedName>
    <definedName name="rre" localSheetId="12">#REF!</definedName>
    <definedName name="rre" localSheetId="24">#REF!</definedName>
    <definedName name="rre" localSheetId="7">#REF!</definedName>
    <definedName name="rre" localSheetId="20">#REF!</definedName>
    <definedName name="rre" localSheetId="21">#REF!</definedName>
    <definedName name="rre" localSheetId="11">#REF!</definedName>
    <definedName name="rre" localSheetId="17">#REF!</definedName>
    <definedName name="rre" localSheetId="16">#REF!</definedName>
    <definedName name="rre" localSheetId="22">#REF!</definedName>
    <definedName name="rre" localSheetId="9">#REF!</definedName>
    <definedName name="rre" localSheetId="13">#REF!</definedName>
    <definedName name="rre" localSheetId="23">#REF!</definedName>
    <definedName name="rre">#REF!</definedName>
    <definedName name="RRROIC" localSheetId="4">#REF!</definedName>
    <definedName name="RRROIC" localSheetId="9">#REF!</definedName>
    <definedName name="RRROIC">#REF!</definedName>
    <definedName name="RSAccountsPayable">#REF!</definedName>
    <definedName name="RSBasicDPS">#REF!</definedName>
    <definedName name="RSBasicEPS">#REF!</definedName>
    <definedName name="RSBookIncomeTax">#REF!</definedName>
    <definedName name="RSCapitalExpenditure">#REF!</definedName>
    <definedName name="RSCash">#REF!</definedName>
    <definedName name="RSChangesinCommonStock">#REF!</definedName>
    <definedName name="RSChangesinLTDebt">#REF!</definedName>
    <definedName name="RSChangesinOtherEquity">#REF!</definedName>
    <definedName name="RSChangesinSTDebt">#REF!</definedName>
    <definedName name="RSChangesinWorkingCapital">#REF!</definedName>
    <definedName name="RSCOGS">#REF!</definedName>
    <definedName name="RSCommonDividendsPaid">#REF!</definedName>
    <definedName name="RSCommonStock">#REF!</definedName>
    <definedName name="RSInvestments">#REF!</definedName>
    <definedName name="RSLongTermDebt">#REF!</definedName>
    <definedName name="RSNetFixedAssets">#REF!</definedName>
    <definedName name="RSNetInterest">#REF!</definedName>
    <definedName name="RSNetRevenue">#REF!</definedName>
    <definedName name="RSOtherIncome">#REF!</definedName>
    <definedName name="RSPretaxProfit">#REF!</definedName>
    <definedName name="RSReservesandPremium">#REF!</definedName>
    <definedName name="RSRetainedEarnings" localSheetId="4">#REF!</definedName>
    <definedName name="RSRetainedEarnings" localSheetId="5">#REF!</definedName>
    <definedName name="RSRetainedEarnings" localSheetId="15">#REF!</definedName>
    <definedName name="RSRetainedEarnings" localSheetId="19">#REF!</definedName>
    <definedName name="RSRetainedEarnings" localSheetId="18">#REF!</definedName>
    <definedName name="RSRetainedEarnings" localSheetId="14">#REF!</definedName>
    <definedName name="RSRetainedEarnings" localSheetId="12">#REF!</definedName>
    <definedName name="RSRetainedEarnings" localSheetId="24">#REF!</definedName>
    <definedName name="RSRetainedEarnings" localSheetId="7">#REF!</definedName>
    <definedName name="RSRetainedEarnings" localSheetId="20">#REF!</definedName>
    <definedName name="RSRetainedEarnings" localSheetId="21">#REF!</definedName>
    <definedName name="RSRetainedEarnings" localSheetId="11">#REF!</definedName>
    <definedName name="RSRetainedEarnings" localSheetId="17">#REF!</definedName>
    <definedName name="RSRetainedEarnings" localSheetId="16">#REF!</definedName>
    <definedName name="RSRetainedEarnings" localSheetId="22">#REF!</definedName>
    <definedName name="RSRetainedEarnings" localSheetId="9">#REF!</definedName>
    <definedName name="RSRetainedEarnings" localSheetId="13">#REF!</definedName>
    <definedName name="RSRetainedEarnings" localSheetId="23">#REF!</definedName>
    <definedName name="RSRetainedEarnings">#REF!</definedName>
    <definedName name="RSSGandA">#REF!</definedName>
    <definedName name="RSShortTermDebt">#REF!</definedName>
    <definedName name="RSTotalCurrentAssets">#REF!</definedName>
    <definedName name="RSTotalCurrentLiabilities">#REF!</definedName>
    <definedName name="RSTotalEquity">#REF!</definedName>
    <definedName name="RSWeightedaverageeps" localSheetId="4">#REF!</definedName>
    <definedName name="RSWeightedaverageeps" localSheetId="5">#REF!</definedName>
    <definedName name="RSWeightedaverageeps" localSheetId="15">#REF!</definedName>
    <definedName name="RSWeightedaverageeps" localSheetId="19">#REF!</definedName>
    <definedName name="RSWeightedaverageeps" localSheetId="18">#REF!</definedName>
    <definedName name="RSWeightedaverageeps" localSheetId="14">#REF!</definedName>
    <definedName name="RSWeightedaverageeps" localSheetId="12">#REF!</definedName>
    <definedName name="RSWeightedaverageeps" localSheetId="24">#REF!</definedName>
    <definedName name="RSWeightedaverageeps" localSheetId="7">#REF!</definedName>
    <definedName name="RSWeightedaverageeps" localSheetId="20">#REF!</definedName>
    <definedName name="RSWeightedaverageeps" localSheetId="21">#REF!</definedName>
    <definedName name="RSWeightedaverageeps" localSheetId="11">#REF!</definedName>
    <definedName name="RSWeightedaverageeps" localSheetId="17">#REF!</definedName>
    <definedName name="RSWeightedaverageeps" localSheetId="16">#REF!</definedName>
    <definedName name="RSWeightedaverageeps" localSheetId="22">#REF!</definedName>
    <definedName name="RSWeightedaverageeps" localSheetId="9">#REF!</definedName>
    <definedName name="RSWeightedaverageeps" localSheetId="13">#REF!</definedName>
    <definedName name="RSWeightedaverageeps" localSheetId="23">#REF!</definedName>
    <definedName name="RSWeightedaverageeps">#REF!</definedName>
    <definedName name="RSweightedaverageshares" localSheetId="4">#REF!</definedName>
    <definedName name="RSweightedaverageshares" localSheetId="5">#REF!</definedName>
    <definedName name="RSweightedaverageshares" localSheetId="15">#REF!</definedName>
    <definedName name="RSweightedaverageshares" localSheetId="19">#REF!</definedName>
    <definedName name="RSweightedaverageshares" localSheetId="18">#REF!</definedName>
    <definedName name="RSweightedaverageshares" localSheetId="14">#REF!</definedName>
    <definedName name="RSweightedaverageshares" localSheetId="12">#REF!</definedName>
    <definedName name="RSweightedaverageshares" localSheetId="24">#REF!</definedName>
    <definedName name="RSweightedaverageshares" localSheetId="7">#REF!</definedName>
    <definedName name="RSweightedaverageshares" localSheetId="20">#REF!</definedName>
    <definedName name="RSweightedaverageshares" localSheetId="21">#REF!</definedName>
    <definedName name="RSweightedaverageshares" localSheetId="11">#REF!</definedName>
    <definedName name="RSweightedaverageshares" localSheetId="17">#REF!</definedName>
    <definedName name="RSweightedaverageshares" localSheetId="16">#REF!</definedName>
    <definedName name="RSweightedaverageshares" localSheetId="22">#REF!</definedName>
    <definedName name="RSweightedaverageshares" localSheetId="9">#REF!</definedName>
    <definedName name="RSweightedaverageshares" localSheetId="13">#REF!</definedName>
    <definedName name="RSweightedaverageshares" localSheetId="23">#REF!</definedName>
    <definedName name="RSweightedaverageshares">#REF!</definedName>
    <definedName name="RSYears">#REF!</definedName>
    <definedName name="rtghbgfkj" localSheetId="4" hidden="1">#REF!</definedName>
    <definedName name="rtghbgfkj" localSheetId="5" hidden="1">#REF!</definedName>
    <definedName name="rtghbgfkj" localSheetId="15" hidden="1">#REF!</definedName>
    <definedName name="rtghbgfkj" localSheetId="19" hidden="1">#REF!</definedName>
    <definedName name="rtghbgfkj" localSheetId="18" hidden="1">#REF!</definedName>
    <definedName name="rtghbgfkj" localSheetId="14" hidden="1">#REF!</definedName>
    <definedName name="rtghbgfkj" localSheetId="12" hidden="1">#REF!</definedName>
    <definedName name="rtghbgfkj" localSheetId="24" hidden="1">#REF!</definedName>
    <definedName name="rtghbgfkj" localSheetId="7" hidden="1">#REF!</definedName>
    <definedName name="rtghbgfkj" localSheetId="20" hidden="1">#REF!</definedName>
    <definedName name="rtghbgfkj" localSheetId="21" hidden="1">#REF!</definedName>
    <definedName name="rtghbgfkj" localSheetId="11" hidden="1">#REF!</definedName>
    <definedName name="rtghbgfkj" localSheetId="17" hidden="1">#REF!</definedName>
    <definedName name="rtghbgfkj" localSheetId="16" hidden="1">#REF!</definedName>
    <definedName name="rtghbgfkj" localSheetId="22" hidden="1">#REF!</definedName>
    <definedName name="rtghbgfkj" localSheetId="9" hidden="1">#REF!</definedName>
    <definedName name="rtghbgfkj" localSheetId="13" hidden="1">#REF!</definedName>
    <definedName name="rtghbgfkj" localSheetId="23" hidden="1">#REF!</definedName>
    <definedName name="rtghbgfkj" hidden="1">#REF!</definedName>
    <definedName name="RTREE" localSheetId="4">#REF!</definedName>
    <definedName name="RTREE" localSheetId="9">#REF!</definedName>
    <definedName name="RTREE">#REF!</definedName>
    <definedName name="rtret" localSheetId="4"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5"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15"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19"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18"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14"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12"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24"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7"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20"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21"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11"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17"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16"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22"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9"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13"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localSheetId="23"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et" hidden="1">{"fdsup://directions/FAT Viewer?action=UPDATE&amp;creator=factset&amp;DYN_ARGS=TRUE&amp;DOC_NAME=FAT:FQL_AUDITING_CLIENT_TEMPLATE.FAT&amp;display_string=Audit&amp;VAR:KEY=ZEFUVOTAXC&amp;VAR:QUERY=RkZfUEJLKCdBTk4nLDAp&amp;WINDOW=FIRST_POPUP&amp;HEIGHT=450&amp;WIDTH=450&amp;START_MAXIMIZED=FALSE&amp;VA","R:CALENDAR=FIVEDAY&amp;VAR:SYMBOL=81685110&amp;VAR:INDEX=0"}</definedName>
    <definedName name="rtrg"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rt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ty">#REF!</definedName>
    <definedName name="Rupee_Loans_to_Equipment_Manufacturers_Secured_Doubtful" localSheetId="4">#REF!</definedName>
    <definedName name="Rupee_Loans_to_Equipment_Manufacturers_Secured_Doubtful" localSheetId="5">#REF!</definedName>
    <definedName name="Rupee_Loans_to_Equipment_Manufacturers_Secured_Doubtful" localSheetId="15">#REF!</definedName>
    <definedName name="Rupee_Loans_to_Equipment_Manufacturers_Secured_Doubtful" localSheetId="19">#REF!</definedName>
    <definedName name="Rupee_Loans_to_Equipment_Manufacturers_Secured_Doubtful" localSheetId="18">#REF!</definedName>
    <definedName name="Rupee_Loans_to_Equipment_Manufacturers_Secured_Doubtful" localSheetId="14">#REF!</definedName>
    <definedName name="Rupee_Loans_to_Equipment_Manufacturers_Secured_Doubtful" localSheetId="12">#REF!</definedName>
    <definedName name="Rupee_Loans_to_Equipment_Manufacturers_Secured_Doubtful" localSheetId="24">#REF!</definedName>
    <definedName name="Rupee_Loans_to_Equipment_Manufacturers_Secured_Doubtful" localSheetId="7">#REF!</definedName>
    <definedName name="Rupee_Loans_to_Equipment_Manufacturers_Secured_Doubtful" localSheetId="20">#REF!</definedName>
    <definedName name="Rupee_Loans_to_Equipment_Manufacturers_Secured_Doubtful" localSheetId="21">#REF!</definedName>
    <definedName name="Rupee_Loans_to_Equipment_Manufacturers_Secured_Doubtful" localSheetId="11">#REF!</definedName>
    <definedName name="Rupee_Loans_to_Equipment_Manufacturers_Secured_Doubtful" localSheetId="17">#REF!</definedName>
    <definedName name="Rupee_Loans_to_Equipment_Manufacturers_Secured_Doubtful" localSheetId="16">#REF!</definedName>
    <definedName name="Rupee_Loans_to_Equipment_Manufacturers_Secured_Doubtful" localSheetId="22">#REF!</definedName>
    <definedName name="Rupee_Loans_to_Equipment_Manufacturers_Secured_Doubtful" localSheetId="9">#REF!</definedName>
    <definedName name="Rupee_Loans_to_Equipment_Manufacturers_Secured_Doubtful" localSheetId="13">#REF!</definedName>
    <definedName name="Rupee_Loans_to_Equipment_Manufacturers_Secured_Doubtful" localSheetId="23">#REF!</definedName>
    <definedName name="Rupee_Loans_to_Equipment_Manufacturers_Secured_Doubtful">#REF!</definedName>
    <definedName name="Rupee_Term_Loans_from_banks" localSheetId="4">#REF!</definedName>
    <definedName name="Rupee_Term_Loans_from_banks" localSheetId="5">#REF!</definedName>
    <definedName name="Rupee_Term_Loans_from_banks" localSheetId="15">#REF!</definedName>
    <definedName name="Rupee_Term_Loans_from_banks" localSheetId="19">#REF!</definedName>
    <definedName name="Rupee_Term_Loans_from_banks" localSheetId="18">#REF!</definedName>
    <definedName name="Rupee_Term_Loans_from_banks" localSheetId="14">#REF!</definedName>
    <definedName name="Rupee_Term_Loans_from_banks" localSheetId="12">#REF!</definedName>
    <definedName name="Rupee_Term_Loans_from_banks" localSheetId="24">#REF!</definedName>
    <definedName name="Rupee_Term_Loans_from_banks" localSheetId="7">#REF!</definedName>
    <definedName name="Rupee_Term_Loans_from_banks" localSheetId="20">#REF!</definedName>
    <definedName name="Rupee_Term_Loans_from_banks" localSheetId="21">#REF!</definedName>
    <definedName name="Rupee_Term_Loans_from_banks" localSheetId="11">#REF!</definedName>
    <definedName name="Rupee_Term_Loans_from_banks" localSheetId="17">#REF!</definedName>
    <definedName name="Rupee_Term_Loans_from_banks" localSheetId="16">#REF!</definedName>
    <definedName name="Rupee_Term_Loans_from_banks" localSheetId="22">#REF!</definedName>
    <definedName name="Rupee_Term_Loans_from_banks" localSheetId="9">#REF!</definedName>
    <definedName name="Rupee_Term_Loans_from_banks" localSheetId="13">#REF!</definedName>
    <definedName name="Rupee_Term_Loans_from_banks" localSheetId="23">#REF!</definedName>
    <definedName name="Rupee_Term_Loans_from_banks">#REF!</definedName>
    <definedName name="Rupee_Term_Loans_to_IPP_Secured_Doubtful" localSheetId="4">#REF!</definedName>
    <definedName name="Rupee_Term_Loans_to_IPP_Secured_Doubtful" localSheetId="5">#REF!</definedName>
    <definedName name="Rupee_Term_Loans_to_IPP_Secured_Doubtful" localSheetId="15">#REF!</definedName>
    <definedName name="Rupee_Term_Loans_to_IPP_Secured_Doubtful" localSheetId="19">#REF!</definedName>
    <definedName name="Rupee_Term_Loans_to_IPP_Secured_Doubtful" localSheetId="18">#REF!</definedName>
    <definedName name="Rupee_Term_Loans_to_IPP_Secured_Doubtful" localSheetId="14">#REF!</definedName>
    <definedName name="Rupee_Term_Loans_to_IPP_Secured_Doubtful" localSheetId="12">#REF!</definedName>
    <definedName name="Rupee_Term_Loans_to_IPP_Secured_Doubtful" localSheetId="24">#REF!</definedName>
    <definedName name="Rupee_Term_Loans_to_IPP_Secured_Doubtful" localSheetId="7">#REF!</definedName>
    <definedName name="Rupee_Term_Loans_to_IPP_Secured_Doubtful" localSheetId="20">#REF!</definedName>
    <definedName name="Rupee_Term_Loans_to_IPP_Secured_Doubtful" localSheetId="21">#REF!</definedName>
    <definedName name="Rupee_Term_Loans_to_IPP_Secured_Doubtful" localSheetId="11">#REF!</definedName>
    <definedName name="Rupee_Term_Loans_to_IPP_Secured_Doubtful" localSheetId="17">#REF!</definedName>
    <definedName name="Rupee_Term_Loans_to_IPP_Secured_Doubtful" localSheetId="16">#REF!</definedName>
    <definedName name="Rupee_Term_Loans_to_IPP_Secured_Doubtful" localSheetId="22">#REF!</definedName>
    <definedName name="Rupee_Term_Loans_to_IPP_Secured_Doubtful" localSheetId="9">#REF!</definedName>
    <definedName name="Rupee_Term_Loans_to_IPP_Secured_Doubtful" localSheetId="13">#REF!</definedName>
    <definedName name="Rupee_Term_Loans_to_IPP_Secured_Doubtful" localSheetId="23">#REF!</definedName>
    <definedName name="Rupee_Term_Loans_to_IPP_Secured_Doubtful">#REF!</definedName>
    <definedName name="Rupee_Term_Loans_to_IPP_Unsecured" localSheetId="4">#REF!</definedName>
    <definedName name="Rupee_Term_Loans_to_IPP_Unsecured" localSheetId="9">#REF!</definedName>
    <definedName name="Rupee_Term_Loans_to_IPP_Unsecured">#REF!</definedName>
    <definedName name="rural">#REF!</definedName>
    <definedName name="rural_urban">#REF!</definedName>
    <definedName name="rus" localSheetId="4">#REF!</definedName>
    <definedName name="rus" localSheetId="5">#REF!</definedName>
    <definedName name="rus" localSheetId="15">#REF!</definedName>
    <definedName name="rus" localSheetId="19">#REF!</definedName>
    <definedName name="rus" localSheetId="18">#REF!</definedName>
    <definedName name="rus" localSheetId="14">#REF!</definedName>
    <definedName name="rus" localSheetId="12">#REF!</definedName>
    <definedName name="rus" localSheetId="24">#REF!</definedName>
    <definedName name="rus" localSheetId="7">#REF!</definedName>
    <definedName name="rus" localSheetId="20">#REF!</definedName>
    <definedName name="rus" localSheetId="21">#REF!</definedName>
    <definedName name="rus" localSheetId="11">#REF!</definedName>
    <definedName name="rus" localSheetId="17">#REF!</definedName>
    <definedName name="rus" localSheetId="16">#REF!</definedName>
    <definedName name="rus" localSheetId="22">#REF!</definedName>
    <definedName name="rus" localSheetId="9">#REF!</definedName>
    <definedName name="rus" localSheetId="13">#REF!</definedName>
    <definedName name="rus" localSheetId="23">#REF!</definedName>
    <definedName name="rus">#REF!</definedName>
    <definedName name="rwc" localSheetId="4">#REF!</definedName>
    <definedName name="rwc" localSheetId="5">#REF!</definedName>
    <definedName name="rwc" localSheetId="15">#REF!</definedName>
    <definedName name="rwc" localSheetId="19">#REF!</definedName>
    <definedName name="rwc" localSheetId="18">#REF!</definedName>
    <definedName name="rwc" localSheetId="14">#REF!</definedName>
    <definedName name="rwc" localSheetId="12">#REF!</definedName>
    <definedName name="rwc" localSheetId="24">#REF!</definedName>
    <definedName name="rwc" localSheetId="7">#REF!</definedName>
    <definedName name="rwc" localSheetId="20">#REF!</definedName>
    <definedName name="rwc" localSheetId="21">#REF!</definedName>
    <definedName name="rwc" localSheetId="11">#REF!</definedName>
    <definedName name="rwc" localSheetId="17">#REF!</definedName>
    <definedName name="rwc" localSheetId="16">#REF!</definedName>
    <definedName name="rwc" localSheetId="22">#REF!</definedName>
    <definedName name="rwc" localSheetId="9">#REF!</definedName>
    <definedName name="rwc" localSheetId="13">#REF!</definedName>
    <definedName name="rwc" localSheetId="23">#REF!</definedName>
    <definedName name="rwc">#REF!</definedName>
    <definedName name="rwt" localSheetId="4">#REF!</definedName>
    <definedName name="rwt" localSheetId="5">#REF!</definedName>
    <definedName name="rwt" localSheetId="15">#REF!</definedName>
    <definedName name="rwt" localSheetId="19">#REF!</definedName>
    <definedName name="rwt" localSheetId="18">#REF!</definedName>
    <definedName name="rwt" localSheetId="14">#REF!</definedName>
    <definedName name="rwt" localSheetId="12">#REF!</definedName>
    <definedName name="rwt" localSheetId="24">#REF!</definedName>
    <definedName name="rwt" localSheetId="7">#REF!</definedName>
    <definedName name="rwt" localSheetId="20">#REF!</definedName>
    <definedName name="rwt" localSheetId="21">#REF!</definedName>
    <definedName name="rwt" localSheetId="11">#REF!</definedName>
    <definedName name="rwt" localSheetId="17">#REF!</definedName>
    <definedName name="rwt" localSheetId="16">#REF!</definedName>
    <definedName name="rwt" localSheetId="22">#REF!</definedName>
    <definedName name="rwt" localSheetId="9">#REF!</definedName>
    <definedName name="rwt" localSheetId="13">#REF!</definedName>
    <definedName name="rwt" localSheetId="23">#REF!</definedName>
    <definedName name="rwt">#REF!</definedName>
    <definedName name="s" localSheetId="4">#REF!</definedName>
    <definedName name="s" localSheetId="9">#REF!</definedName>
    <definedName name="s">#REF!</definedName>
    <definedName name="S_T_obligations_under_cap_leases" localSheetId="4">#REF!</definedName>
    <definedName name="S_T_obligations_under_cap_leases" localSheetId="9">#REF!</definedName>
    <definedName name="S_T_obligations_under_cap_leases">#REF!</definedName>
    <definedName name="SA_Adj._Net_Profit_16" localSheetId="4">#REF!</definedName>
    <definedName name="SA_Adj._Net_Profit_16" localSheetId="5">#REF!</definedName>
    <definedName name="SA_Adj._Net_Profit_16" localSheetId="15">#REF!</definedName>
    <definedName name="SA_Adj._Net_Profit_16" localSheetId="19">#REF!</definedName>
    <definedName name="SA_Adj._Net_Profit_16" localSheetId="18">#REF!</definedName>
    <definedName name="SA_Adj._Net_Profit_16" localSheetId="14">#REF!</definedName>
    <definedName name="SA_Adj._Net_Profit_16" localSheetId="12">#REF!</definedName>
    <definedName name="SA_Adj._Net_Profit_16" localSheetId="24">#REF!</definedName>
    <definedName name="SA_Adj._Net_Profit_16" localSheetId="7">#REF!</definedName>
    <definedName name="SA_Adj._Net_Profit_16" localSheetId="20">#REF!</definedName>
    <definedName name="SA_Adj._Net_Profit_16" localSheetId="21">#REF!</definedName>
    <definedName name="SA_Adj._Net_Profit_16" localSheetId="11">#REF!</definedName>
    <definedName name="SA_Adj._Net_Profit_16" localSheetId="17">#REF!</definedName>
    <definedName name="SA_Adj._Net_Profit_16" localSheetId="16">#REF!</definedName>
    <definedName name="SA_Adj._Net_Profit_16" localSheetId="22">#REF!</definedName>
    <definedName name="SA_Adj._Net_Profit_16" localSheetId="9">#REF!</definedName>
    <definedName name="SA_Adj._Net_Profit_16" localSheetId="13">#REF!</definedName>
    <definedName name="SA_Adj._Net_Profit_16" localSheetId="23">#REF!</definedName>
    <definedName name="SA_Adj._Net_Profit_16">#REF!</definedName>
    <definedName name="SA_Adj._Net_Profit_17" localSheetId="4">#REF!</definedName>
    <definedName name="SA_Adj._Net_Profit_17" localSheetId="5">#REF!</definedName>
    <definedName name="SA_Adj._Net_Profit_17" localSheetId="15">#REF!</definedName>
    <definedName name="SA_Adj._Net_Profit_17" localSheetId="19">#REF!</definedName>
    <definedName name="SA_Adj._Net_Profit_17" localSheetId="18">#REF!</definedName>
    <definedName name="SA_Adj._Net_Profit_17" localSheetId="14">#REF!</definedName>
    <definedName name="SA_Adj._Net_Profit_17" localSheetId="12">#REF!</definedName>
    <definedName name="SA_Adj._Net_Profit_17" localSheetId="24">#REF!</definedName>
    <definedName name="SA_Adj._Net_Profit_17" localSheetId="7">#REF!</definedName>
    <definedName name="SA_Adj._Net_Profit_17" localSheetId="20">#REF!</definedName>
    <definedName name="SA_Adj._Net_Profit_17" localSheetId="21">#REF!</definedName>
    <definedName name="SA_Adj._Net_Profit_17" localSheetId="11">#REF!</definedName>
    <definedName name="SA_Adj._Net_Profit_17" localSheetId="17">#REF!</definedName>
    <definedName name="SA_Adj._Net_Profit_17" localSheetId="16">#REF!</definedName>
    <definedName name="SA_Adj._Net_Profit_17" localSheetId="22">#REF!</definedName>
    <definedName name="SA_Adj._Net_Profit_17" localSheetId="9">#REF!</definedName>
    <definedName name="SA_Adj._Net_Profit_17" localSheetId="13">#REF!</definedName>
    <definedName name="SA_Adj._Net_Profit_17" localSheetId="23">#REF!</definedName>
    <definedName name="SA_Adj._Net_Profit_17">#REF!</definedName>
    <definedName name="SA_Adj._Net_Profit_18" localSheetId="4">#REF!</definedName>
    <definedName name="SA_Adj._Net_Profit_18" localSheetId="5">#REF!</definedName>
    <definedName name="SA_Adj._Net_Profit_18" localSheetId="15">#REF!</definedName>
    <definedName name="SA_Adj._Net_Profit_18" localSheetId="19">#REF!</definedName>
    <definedName name="SA_Adj._Net_Profit_18" localSheetId="18">#REF!</definedName>
    <definedName name="SA_Adj._Net_Profit_18" localSheetId="14">#REF!</definedName>
    <definedName name="SA_Adj._Net_Profit_18" localSheetId="12">#REF!</definedName>
    <definedName name="SA_Adj._Net_Profit_18" localSheetId="24">#REF!</definedName>
    <definedName name="SA_Adj._Net_Profit_18" localSheetId="7">#REF!</definedName>
    <definedName name="SA_Adj._Net_Profit_18" localSheetId="20">#REF!</definedName>
    <definedName name="SA_Adj._Net_Profit_18" localSheetId="21">#REF!</definedName>
    <definedName name="SA_Adj._Net_Profit_18" localSheetId="11">#REF!</definedName>
    <definedName name="SA_Adj._Net_Profit_18" localSheetId="17">#REF!</definedName>
    <definedName name="SA_Adj._Net_Profit_18" localSheetId="16">#REF!</definedName>
    <definedName name="SA_Adj._Net_Profit_18" localSheetId="22">#REF!</definedName>
    <definedName name="SA_Adj._Net_Profit_18" localSheetId="9">#REF!</definedName>
    <definedName name="SA_Adj._Net_Profit_18" localSheetId="13">#REF!</definedName>
    <definedName name="SA_Adj._Net_Profit_18" localSheetId="23">#REF!</definedName>
    <definedName name="SA_Adj._Net_Profit_18">#REF!</definedName>
    <definedName name="SA_Adj._Net_Profit_19" localSheetId="4">#REF!</definedName>
    <definedName name="SA_Adj._Net_Profit_19" localSheetId="9">#REF!</definedName>
    <definedName name="SA_Adj._Net_Profit_19">#REF!</definedName>
    <definedName name="SA_Book_Value_16" localSheetId="4">#REF!</definedName>
    <definedName name="SA_Book_Value_16" localSheetId="9">#REF!</definedName>
    <definedName name="SA_Book_Value_16">#REF!</definedName>
    <definedName name="SA_Book_Value_17" localSheetId="4">#REF!</definedName>
    <definedName name="SA_Book_Value_17" localSheetId="9">#REF!</definedName>
    <definedName name="SA_Book_Value_17">#REF!</definedName>
    <definedName name="SA_Book_Value_18" localSheetId="4">#REF!</definedName>
    <definedName name="SA_Book_Value_18" localSheetId="9">#REF!</definedName>
    <definedName name="SA_Book_Value_18">#REF!</definedName>
    <definedName name="SA_Book_Value_19" localSheetId="4">#REF!</definedName>
    <definedName name="SA_Book_Value_19" localSheetId="9">#REF!</definedName>
    <definedName name="SA_Book_Value_19">#REF!</definedName>
    <definedName name="SA_Cash_16" localSheetId="4">#REF!</definedName>
    <definedName name="SA_Cash_16" localSheetId="9">#REF!</definedName>
    <definedName name="SA_Cash_16">#REF!</definedName>
    <definedName name="SA_Cash_17" localSheetId="4">#REF!</definedName>
    <definedName name="SA_Cash_17" localSheetId="9">#REF!</definedName>
    <definedName name="SA_Cash_17">#REF!</definedName>
    <definedName name="SA_Cash_18" localSheetId="4">#REF!</definedName>
    <definedName name="SA_Cash_18" localSheetId="9">#REF!</definedName>
    <definedName name="SA_Cash_18">#REF!</definedName>
    <definedName name="SA_Cash_19" localSheetId="4">#REF!</definedName>
    <definedName name="SA_Cash_19" localSheetId="9">#REF!</definedName>
    <definedName name="SA_Cash_19">#REF!</definedName>
    <definedName name="SA_Core_ROIC_16" localSheetId="4">#REF!</definedName>
    <definedName name="SA_Core_ROIC_16" localSheetId="9">#REF!</definedName>
    <definedName name="SA_Core_ROIC_16">#REF!</definedName>
    <definedName name="SA_Core_ROIC_17" localSheetId="4">#REF!</definedName>
    <definedName name="SA_Core_ROIC_17" localSheetId="9">#REF!</definedName>
    <definedName name="SA_Core_ROIC_17">#REF!</definedName>
    <definedName name="SA_Core_ROIC_18" localSheetId="4">#REF!</definedName>
    <definedName name="SA_Core_ROIC_18" localSheetId="9">#REF!</definedName>
    <definedName name="SA_Core_ROIC_18">#REF!</definedName>
    <definedName name="SA_Core_ROIC_19" localSheetId="4">#REF!</definedName>
    <definedName name="SA_Core_ROIC_19" localSheetId="9">#REF!</definedName>
    <definedName name="SA_Core_ROIC_19">#REF!</definedName>
    <definedName name="SA_Depreciation_16" localSheetId="4">#REF!</definedName>
    <definedName name="SA_Depreciation_16" localSheetId="9">#REF!</definedName>
    <definedName name="SA_Depreciation_16">#REF!</definedName>
    <definedName name="SA_Depreciation_17" localSheetId="4">#REF!</definedName>
    <definedName name="SA_Depreciation_17" localSheetId="9">#REF!</definedName>
    <definedName name="SA_Depreciation_17">#REF!</definedName>
    <definedName name="SA_Depreciation_18" localSheetId="4">#REF!</definedName>
    <definedName name="SA_Depreciation_18" localSheetId="9">#REF!</definedName>
    <definedName name="SA_Depreciation_18">#REF!</definedName>
    <definedName name="SA_Depreciation_19" localSheetId="4">#REF!</definedName>
    <definedName name="SA_Depreciation_19" localSheetId="9">#REF!</definedName>
    <definedName name="SA_Depreciation_19">#REF!</definedName>
    <definedName name="SA_Dividends_16" localSheetId="4">#REF!</definedName>
    <definedName name="SA_Dividends_16" localSheetId="9">#REF!</definedName>
    <definedName name="SA_Dividends_16">#REF!</definedName>
    <definedName name="SA_Dividends_17" localSheetId="4">#REF!</definedName>
    <definedName name="SA_Dividends_17" localSheetId="9">#REF!</definedName>
    <definedName name="SA_Dividends_17">#REF!</definedName>
    <definedName name="SA_Dividends_18" localSheetId="4">#REF!</definedName>
    <definedName name="SA_Dividends_18" localSheetId="9">#REF!</definedName>
    <definedName name="SA_Dividends_18">#REF!</definedName>
    <definedName name="SA_Dividends_19" localSheetId="4">#REF!</definedName>
    <definedName name="SA_Dividends_19" localSheetId="9">#REF!</definedName>
    <definedName name="SA_Dividends_19">#REF!</definedName>
    <definedName name="SA_Earnings_16" localSheetId="4">#REF!</definedName>
    <definedName name="SA_Earnings_16" localSheetId="9">#REF!</definedName>
    <definedName name="SA_Earnings_16">#REF!</definedName>
    <definedName name="SA_Earnings_17" localSheetId="4">#REF!</definedName>
    <definedName name="SA_Earnings_17" localSheetId="9">#REF!</definedName>
    <definedName name="SA_Earnings_17">#REF!</definedName>
    <definedName name="SA_Earnings_18" localSheetId="4">#REF!</definedName>
    <definedName name="SA_Earnings_18" localSheetId="9">#REF!</definedName>
    <definedName name="SA_Earnings_18">#REF!</definedName>
    <definedName name="SA_Earnings_19" localSheetId="4">#REF!</definedName>
    <definedName name="SA_Earnings_19" localSheetId="9">#REF!</definedName>
    <definedName name="SA_Earnings_19">#REF!</definedName>
    <definedName name="SA_EBITDA_16" localSheetId="4">#REF!</definedName>
    <definedName name="SA_EBITDA_16" localSheetId="9">#REF!</definedName>
    <definedName name="SA_EBITDA_16">#REF!</definedName>
    <definedName name="SA_EBITDA_17" localSheetId="4">#REF!</definedName>
    <definedName name="SA_EBITDA_17" localSheetId="9">#REF!</definedName>
    <definedName name="SA_EBITDA_17">#REF!</definedName>
    <definedName name="SA_EBITDA_18" localSheetId="4">#REF!</definedName>
    <definedName name="SA_EBITDA_18" localSheetId="9">#REF!</definedName>
    <definedName name="SA_EBITDA_18">#REF!</definedName>
    <definedName name="SA_EBITDA_19" localSheetId="4">#REF!</definedName>
    <definedName name="SA_EBITDA_19" localSheetId="9">#REF!</definedName>
    <definedName name="SA_EBITDA_19">#REF!</definedName>
    <definedName name="SA_EBITDA_Margin_16" localSheetId="4">#REF!</definedName>
    <definedName name="SA_EBITDA_Margin_16" localSheetId="9">#REF!</definedName>
    <definedName name="SA_EBITDA_Margin_16">#REF!</definedName>
    <definedName name="SA_EBITDA_Margin_17" localSheetId="4">#REF!</definedName>
    <definedName name="SA_EBITDA_Margin_17" localSheetId="9">#REF!</definedName>
    <definedName name="SA_EBITDA_Margin_17">#REF!</definedName>
    <definedName name="SA_EBITDA_Margin_18" localSheetId="4">#REF!</definedName>
    <definedName name="SA_EBITDA_Margin_18" localSheetId="9">#REF!</definedName>
    <definedName name="SA_EBITDA_Margin_18">#REF!</definedName>
    <definedName name="SA_EBITDA_Margin_19" localSheetId="4">#REF!</definedName>
    <definedName name="SA_EBITDA_Margin_19" localSheetId="9">#REF!</definedName>
    <definedName name="SA_EBITDA_Margin_19">#REF!</definedName>
    <definedName name="SA_EV_EBITDA__x_16" localSheetId="4">#REF!</definedName>
    <definedName name="SA_EV_EBITDA__x_16" localSheetId="9">#REF!</definedName>
    <definedName name="SA_EV_EBITDA__x_16">#REF!</definedName>
    <definedName name="SA_EV_EBITDA__x_17" localSheetId="4">#REF!</definedName>
    <definedName name="SA_EV_EBITDA__x_17" localSheetId="9">#REF!</definedName>
    <definedName name="SA_EV_EBITDA__x_17">#REF!</definedName>
    <definedName name="SA_EV_EBITDA__x_18" localSheetId="4">#REF!</definedName>
    <definedName name="SA_EV_EBITDA__x_18" localSheetId="9">#REF!</definedName>
    <definedName name="SA_EV_EBITDA__x_18">#REF!</definedName>
    <definedName name="SA_EV_EBITDA__x_19" localSheetId="4">#REF!</definedName>
    <definedName name="SA_EV_EBITDA__x_19" localSheetId="9">#REF!</definedName>
    <definedName name="SA_EV_EBITDA__x_19">#REF!</definedName>
    <definedName name="SA_FCFF_16" localSheetId="4">#REF!</definedName>
    <definedName name="SA_FCFF_16" localSheetId="9">#REF!</definedName>
    <definedName name="SA_FCFF_16">#REF!</definedName>
    <definedName name="SA_FCFF_17" localSheetId="4">#REF!</definedName>
    <definedName name="SA_FCFF_17" localSheetId="9">#REF!</definedName>
    <definedName name="SA_FCFF_17">#REF!</definedName>
    <definedName name="SA_FCFF_18" localSheetId="4">#REF!</definedName>
    <definedName name="SA_FCFF_18" localSheetId="9">#REF!</definedName>
    <definedName name="SA_FCFF_18">#REF!</definedName>
    <definedName name="SA_FCFF_19" localSheetId="4">#REF!</definedName>
    <definedName name="SA_FCFF_19" localSheetId="9">#REF!</definedName>
    <definedName name="SA_FCFF_19">#REF!</definedName>
    <definedName name="SA_Gross_Debt_16" localSheetId="4">#REF!</definedName>
    <definedName name="SA_Gross_Debt_16" localSheetId="9">#REF!</definedName>
    <definedName name="SA_Gross_Debt_16">#REF!</definedName>
    <definedName name="SA_Gross_Debt_17" localSheetId="4">#REF!</definedName>
    <definedName name="SA_Gross_Debt_17" localSheetId="9">#REF!</definedName>
    <definedName name="SA_Gross_Debt_17">#REF!</definedName>
    <definedName name="SA_Gross_Debt_18" localSheetId="4">#REF!</definedName>
    <definedName name="SA_Gross_Debt_18" localSheetId="9">#REF!</definedName>
    <definedName name="SA_Gross_Debt_18">#REF!</definedName>
    <definedName name="SA_Gross_Debt_19" localSheetId="4">#REF!</definedName>
    <definedName name="SA_Gross_Debt_19" localSheetId="9">#REF!</definedName>
    <definedName name="SA_Gross_Debt_19">#REF!</definedName>
    <definedName name="SA_Interest_Expense_16" localSheetId="4">#REF!</definedName>
    <definedName name="SA_Interest_Expense_16" localSheetId="9">#REF!</definedName>
    <definedName name="SA_Interest_Expense_16">#REF!</definedName>
    <definedName name="SA_Interest_Expense_17" localSheetId="4">#REF!</definedName>
    <definedName name="SA_Interest_Expense_17" localSheetId="9">#REF!</definedName>
    <definedName name="SA_Interest_Expense_17">#REF!</definedName>
    <definedName name="SA_Interest_Expense_18" localSheetId="4">#REF!</definedName>
    <definedName name="SA_Interest_Expense_18" localSheetId="9">#REF!</definedName>
    <definedName name="SA_Interest_Expense_18">#REF!</definedName>
    <definedName name="SA_Interest_Expense_19" localSheetId="4">#REF!</definedName>
    <definedName name="SA_Interest_Expense_19" localSheetId="9">#REF!</definedName>
    <definedName name="SA_Interest_Expense_19">#REF!</definedName>
    <definedName name="SA_Net_Margin_16" localSheetId="4">#REF!</definedName>
    <definedName name="SA_Net_Margin_16" localSheetId="9">#REF!</definedName>
    <definedName name="SA_Net_Margin_16">#REF!</definedName>
    <definedName name="SA_Net_Margin_17" localSheetId="4">#REF!</definedName>
    <definedName name="SA_Net_Margin_17" localSheetId="9">#REF!</definedName>
    <definedName name="SA_Net_Margin_17">#REF!</definedName>
    <definedName name="SA_Net_Margin_18" localSheetId="4">#REF!</definedName>
    <definedName name="SA_Net_Margin_18" localSheetId="9">#REF!</definedName>
    <definedName name="SA_Net_Margin_18">#REF!</definedName>
    <definedName name="SA_Net_Margin_19" localSheetId="4">#REF!</definedName>
    <definedName name="SA_Net_Margin_19" localSheetId="9">#REF!</definedName>
    <definedName name="SA_Net_Margin_19">#REF!</definedName>
    <definedName name="SA_Net_Profit_16" localSheetId="4">#REF!</definedName>
    <definedName name="SA_Net_Profit_16" localSheetId="9">#REF!</definedName>
    <definedName name="SA_Net_Profit_16">#REF!</definedName>
    <definedName name="SA_Net_Profit_17" localSheetId="4">#REF!</definedName>
    <definedName name="SA_Net_Profit_17" localSheetId="9">#REF!</definedName>
    <definedName name="SA_Net_Profit_17">#REF!</definedName>
    <definedName name="SA_Net_Profit_18" localSheetId="4">#REF!</definedName>
    <definedName name="SA_Net_Profit_18" localSheetId="9">#REF!</definedName>
    <definedName name="SA_Net_Profit_18">#REF!</definedName>
    <definedName name="SA_Net_Profit_19" localSheetId="4">#REF!</definedName>
    <definedName name="SA_Net_Profit_19" localSheetId="9">#REF!</definedName>
    <definedName name="SA_Net_Profit_19">#REF!</definedName>
    <definedName name="SA_Other_Income_16" localSheetId="4">#REF!</definedName>
    <definedName name="SA_Other_Income_16" localSheetId="9">#REF!</definedName>
    <definedName name="SA_Other_Income_16">#REF!</definedName>
    <definedName name="SA_Other_Income_17" localSheetId="4">#REF!</definedName>
    <definedName name="SA_Other_Income_17" localSheetId="9">#REF!</definedName>
    <definedName name="SA_Other_Income_17">#REF!</definedName>
    <definedName name="SA_Other_Income_18" localSheetId="4">#REF!</definedName>
    <definedName name="SA_Other_Income_18" localSheetId="9">#REF!</definedName>
    <definedName name="SA_Other_Income_18">#REF!</definedName>
    <definedName name="SA_Other_Income_19" localSheetId="4">#REF!</definedName>
    <definedName name="SA_Other_Income_19" localSheetId="9">#REF!</definedName>
    <definedName name="SA_Other_Income_19">#REF!</definedName>
    <definedName name="SA_P_B__x_16" localSheetId="4">#REF!</definedName>
    <definedName name="SA_P_B__x_16" localSheetId="9">#REF!</definedName>
    <definedName name="SA_P_B__x_16">#REF!</definedName>
    <definedName name="SA_P_B__x_17" localSheetId="4">#REF!</definedName>
    <definedName name="SA_P_B__x_17" localSheetId="9">#REF!</definedName>
    <definedName name="SA_P_B__x_17">#REF!</definedName>
    <definedName name="SA_P_B__x_18" localSheetId="4">#REF!</definedName>
    <definedName name="SA_P_B__x_18" localSheetId="9">#REF!</definedName>
    <definedName name="SA_P_B__x_18">#REF!</definedName>
    <definedName name="SA_P_B__x_19" localSheetId="4">#REF!</definedName>
    <definedName name="SA_P_B__x_19" localSheetId="9">#REF!</definedName>
    <definedName name="SA_P_B__x_19">#REF!</definedName>
    <definedName name="SA_P_E__x_16" localSheetId="4">#REF!</definedName>
    <definedName name="SA_P_E__x_16" localSheetId="9">#REF!</definedName>
    <definedName name="SA_P_E__x_16">#REF!</definedName>
    <definedName name="SA_P_E__x_17" localSheetId="4">#REF!</definedName>
    <definedName name="SA_P_E__x_17" localSheetId="9">#REF!</definedName>
    <definedName name="SA_P_E__x_17">#REF!</definedName>
    <definedName name="SA_P_E__x_18" localSheetId="4">#REF!</definedName>
    <definedName name="SA_P_E__x_18" localSheetId="9">#REF!</definedName>
    <definedName name="SA_P_E__x_18">#REF!</definedName>
    <definedName name="SA_P_E__x_19" localSheetId="4">#REF!</definedName>
    <definedName name="SA_P_E__x_19" localSheetId="9">#REF!</definedName>
    <definedName name="SA_P_E__x_19">#REF!</definedName>
    <definedName name="SA_ROE_16" localSheetId="4">#REF!</definedName>
    <definedName name="SA_ROE_16" localSheetId="9">#REF!</definedName>
    <definedName name="SA_ROE_16">#REF!</definedName>
    <definedName name="SA_ROE_17" localSheetId="4">#REF!</definedName>
    <definedName name="SA_ROE_17" localSheetId="9">#REF!</definedName>
    <definedName name="SA_ROE_17">#REF!</definedName>
    <definedName name="SA_ROE_18" localSheetId="4">#REF!</definedName>
    <definedName name="SA_ROE_18" localSheetId="9">#REF!</definedName>
    <definedName name="SA_ROE_18">#REF!</definedName>
    <definedName name="SA_ROE_19" localSheetId="4">#REF!</definedName>
    <definedName name="SA_ROE_19" localSheetId="9">#REF!</definedName>
    <definedName name="SA_ROE_19">#REF!</definedName>
    <definedName name="SA_Sales_16" localSheetId="4">#REF!</definedName>
    <definedName name="SA_Sales_16" localSheetId="9">#REF!</definedName>
    <definedName name="SA_Sales_16">#REF!</definedName>
    <definedName name="SA_Sales_17" localSheetId="4">#REF!</definedName>
    <definedName name="SA_Sales_17" localSheetId="9">#REF!</definedName>
    <definedName name="SA_Sales_17">#REF!</definedName>
    <definedName name="SA_Sales_18" localSheetId="4">#REF!</definedName>
    <definedName name="SA_Sales_18" localSheetId="9">#REF!</definedName>
    <definedName name="SA_Sales_18">#REF!</definedName>
    <definedName name="SA_Sales_19" localSheetId="4">#REF!</definedName>
    <definedName name="SA_Sales_19" localSheetId="9">#REF!</definedName>
    <definedName name="SA_Sales_19">#REF!</definedName>
    <definedName name="SA_Total_Equity_16" localSheetId="4">#REF!</definedName>
    <definedName name="SA_Total_Equity_16" localSheetId="9">#REF!</definedName>
    <definedName name="SA_Total_Equity_16">#REF!</definedName>
    <definedName name="SA_Total_Equity_17" localSheetId="4">#REF!</definedName>
    <definedName name="SA_Total_Equity_17" localSheetId="9">#REF!</definedName>
    <definedName name="SA_Total_Equity_17">#REF!</definedName>
    <definedName name="SA_Total_Equity_18" localSheetId="4">#REF!</definedName>
    <definedName name="SA_Total_Equity_18" localSheetId="9">#REF!</definedName>
    <definedName name="SA_Total_Equity_18">#REF!</definedName>
    <definedName name="SA_Total_Equity_19" localSheetId="4">#REF!</definedName>
    <definedName name="SA_Total_Equity_19" localSheetId="9">#REF!</definedName>
    <definedName name="SA_Total_Equity_19">#REF!</definedName>
    <definedName name="sad" localSheetId="4">#REF!</definedName>
    <definedName name="sad" localSheetId="9">#REF!</definedName>
    <definedName name="sad">#REF!</definedName>
    <definedName name="saf" localSheetId="4">#REF!</definedName>
    <definedName name="saf" localSheetId="9">#REF!</definedName>
    <definedName name="saf">#REF!</definedName>
    <definedName name="sal" localSheetId="4">#REF!</definedName>
    <definedName name="sal" localSheetId="9">#REF!</definedName>
    <definedName name="sal">#REF!</definedName>
    <definedName name="Salaries__Wases_and_Bonus" localSheetId="4">#REF!</definedName>
    <definedName name="Salaries__Wases_and_Bonus" localSheetId="9">#REF!</definedName>
    <definedName name="Salaries__Wases_and_Bonus">#REF!</definedName>
    <definedName name="Salary_Bonus_Incentives">#REF!</definedName>
    <definedName name="sale2006" localSheetId="4">#REF!</definedName>
    <definedName name="sale2006" localSheetId="9">#REF!</definedName>
    <definedName name="sale2006">#REF!</definedName>
    <definedName name="sale2007" localSheetId="4">#REF!</definedName>
    <definedName name="sale2007" localSheetId="9">#REF!</definedName>
    <definedName name="sale2007">#REF!</definedName>
    <definedName name="sale2008" localSheetId="4">#REF!</definedName>
    <definedName name="sale2008" localSheetId="9">#REF!</definedName>
    <definedName name="sale2008">#REF!</definedName>
    <definedName name="sale2009" localSheetId="4">#REF!</definedName>
    <definedName name="sale2009" localSheetId="9">#REF!</definedName>
    <definedName name="sale2009">#REF!</definedName>
    <definedName name="sale2010" localSheetId="4">#REF!</definedName>
    <definedName name="sale2010" localSheetId="9">#REF!</definedName>
    <definedName name="sale2010">#REF!</definedName>
    <definedName name="sale2011" localSheetId="4">#REF!</definedName>
    <definedName name="sale2011" localSheetId="9">#REF!</definedName>
    <definedName name="sale2011">#REF!</definedName>
    <definedName name="SALE2012" localSheetId="4">#REF!</definedName>
    <definedName name="SALE2012" localSheetId="9">#REF!</definedName>
    <definedName name="SALE2012">#REF!</definedName>
    <definedName name="Sales" localSheetId="4">#REF!</definedName>
    <definedName name="Sales" localSheetId="5">#REF!</definedName>
    <definedName name="Sales" localSheetId="15">#REF!</definedName>
    <definedName name="Sales" localSheetId="19">#REF!</definedName>
    <definedName name="Sales" localSheetId="18">#REF!</definedName>
    <definedName name="Sales" localSheetId="14">#REF!</definedName>
    <definedName name="Sales" localSheetId="12">#REF!</definedName>
    <definedName name="Sales" localSheetId="24">#REF!</definedName>
    <definedName name="Sales" localSheetId="7">#REF!</definedName>
    <definedName name="Sales" localSheetId="20">#REF!</definedName>
    <definedName name="Sales" localSheetId="21">#REF!</definedName>
    <definedName name="Sales" localSheetId="11">#REF!</definedName>
    <definedName name="Sales" localSheetId="17">#REF!</definedName>
    <definedName name="Sales" localSheetId="16">#REF!</definedName>
    <definedName name="Sales" localSheetId="22">#REF!</definedName>
    <definedName name="Sales" localSheetId="9">#REF!</definedName>
    <definedName name="Sales" localSheetId="13">#REF!</definedName>
    <definedName name="Sales" localSheetId="23">#REF!</definedName>
    <definedName name="Sales">#REF!</definedName>
    <definedName name="Sales_Breakup" localSheetId="4">#REF!</definedName>
    <definedName name="Sales_Breakup" localSheetId="5">#REF!</definedName>
    <definedName name="Sales_Breakup" localSheetId="15">#REF!</definedName>
    <definedName name="Sales_Breakup" localSheetId="19">#REF!</definedName>
    <definedName name="Sales_Breakup" localSheetId="18">#REF!</definedName>
    <definedName name="Sales_Breakup" localSheetId="14">#REF!</definedName>
    <definedName name="Sales_Breakup" localSheetId="12">#REF!</definedName>
    <definedName name="Sales_Breakup" localSheetId="24">#REF!</definedName>
    <definedName name="Sales_Breakup" localSheetId="7">#REF!</definedName>
    <definedName name="Sales_Breakup" localSheetId="20">#REF!</definedName>
    <definedName name="Sales_Breakup" localSheetId="21">#REF!</definedName>
    <definedName name="Sales_Breakup" localSheetId="11">#REF!</definedName>
    <definedName name="Sales_Breakup" localSheetId="17">#REF!</definedName>
    <definedName name="Sales_Breakup" localSheetId="16">#REF!</definedName>
    <definedName name="Sales_Breakup" localSheetId="22">#REF!</definedName>
    <definedName name="Sales_Breakup" localSheetId="9">#REF!</definedName>
    <definedName name="Sales_Breakup" localSheetId="13">#REF!</definedName>
    <definedName name="Sales_Breakup" localSheetId="23">#REF!</definedName>
    <definedName name="Sales_Breakup">#REF!</definedName>
    <definedName name="Sales_growth" localSheetId="4">#REF!</definedName>
    <definedName name="Sales_growth" localSheetId="9">#REF!</definedName>
    <definedName name="Sales_growth">#REF!</definedName>
    <definedName name="Sales_growth_avg" localSheetId="4">#REF!</definedName>
    <definedName name="Sales_growth_avg" localSheetId="5">#REF!</definedName>
    <definedName name="Sales_growth_avg" localSheetId="15">#REF!</definedName>
    <definedName name="Sales_growth_avg" localSheetId="19">#REF!</definedName>
    <definedName name="Sales_growth_avg" localSheetId="18">#REF!</definedName>
    <definedName name="Sales_growth_avg" localSheetId="14">#REF!</definedName>
    <definedName name="Sales_growth_avg" localSheetId="12">#REF!</definedName>
    <definedName name="Sales_growth_avg" localSheetId="24">#REF!</definedName>
    <definedName name="Sales_growth_avg" localSheetId="7">#REF!</definedName>
    <definedName name="Sales_growth_avg" localSheetId="20">#REF!</definedName>
    <definedName name="Sales_growth_avg" localSheetId="21">#REF!</definedName>
    <definedName name="Sales_growth_avg" localSheetId="11">#REF!</definedName>
    <definedName name="Sales_growth_avg" localSheetId="17">#REF!</definedName>
    <definedName name="Sales_growth_avg" localSheetId="16">#REF!</definedName>
    <definedName name="Sales_growth_avg" localSheetId="22">#REF!</definedName>
    <definedName name="Sales_growth_avg" localSheetId="9">#REF!</definedName>
    <definedName name="Sales_growth_avg" localSheetId="13">#REF!</definedName>
    <definedName name="Sales_growth_avg" localSheetId="23">#REF!</definedName>
    <definedName name="Sales_growth_avg">#REF!</definedName>
    <definedName name="sales_netfa" localSheetId="4">#REF!</definedName>
    <definedName name="sales_netfa" localSheetId="5">#REF!</definedName>
    <definedName name="sales_netfa" localSheetId="15">#REF!</definedName>
    <definedName name="sales_netfa" localSheetId="19">#REF!</definedName>
    <definedName name="sales_netfa" localSheetId="18">#REF!</definedName>
    <definedName name="sales_netfa" localSheetId="14">#REF!</definedName>
    <definedName name="sales_netfa" localSheetId="12">#REF!</definedName>
    <definedName name="sales_netfa" localSheetId="24">#REF!</definedName>
    <definedName name="sales_netfa" localSheetId="7">#REF!</definedName>
    <definedName name="sales_netfa" localSheetId="20">#REF!</definedName>
    <definedName name="sales_netfa" localSheetId="21">#REF!</definedName>
    <definedName name="sales_netfa" localSheetId="11">#REF!</definedName>
    <definedName name="sales_netfa" localSheetId="17">#REF!</definedName>
    <definedName name="sales_netfa" localSheetId="16">#REF!</definedName>
    <definedName name="sales_netfa" localSheetId="22">#REF!</definedName>
    <definedName name="sales_netfa" localSheetId="9">#REF!</definedName>
    <definedName name="sales_netfa" localSheetId="13">#REF!</definedName>
    <definedName name="sales_netfa" localSheetId="23">#REF!</definedName>
    <definedName name="sales_netfa">#REF!</definedName>
    <definedName name="sales_real_growth" localSheetId="4">#REF!</definedName>
    <definedName name="sales_real_growth" localSheetId="5">#REF!</definedName>
    <definedName name="sales_real_growth" localSheetId="15">#REF!</definedName>
    <definedName name="sales_real_growth" localSheetId="19">#REF!</definedName>
    <definedName name="sales_real_growth" localSheetId="18">#REF!</definedName>
    <definedName name="sales_real_growth" localSheetId="14">#REF!</definedName>
    <definedName name="sales_real_growth" localSheetId="12">#REF!</definedName>
    <definedName name="sales_real_growth" localSheetId="24">#REF!</definedName>
    <definedName name="sales_real_growth" localSheetId="7">#REF!</definedName>
    <definedName name="sales_real_growth" localSheetId="20">#REF!</definedName>
    <definedName name="sales_real_growth" localSheetId="21">#REF!</definedName>
    <definedName name="sales_real_growth" localSheetId="11">#REF!</definedName>
    <definedName name="sales_real_growth" localSheetId="17">#REF!</definedName>
    <definedName name="sales_real_growth" localSheetId="16">#REF!</definedName>
    <definedName name="sales_real_growth" localSheetId="22">#REF!</definedName>
    <definedName name="sales_real_growth" localSheetId="9">#REF!</definedName>
    <definedName name="sales_real_growth" localSheetId="13">#REF!</definedName>
    <definedName name="sales_real_growth" localSheetId="23">#REF!</definedName>
    <definedName name="sales_real_growth">#REF!</definedName>
    <definedName name="sales_realisation" localSheetId="4">#REF!</definedName>
    <definedName name="sales_realisation" localSheetId="9">#REF!</definedName>
    <definedName name="sales_realisation">#REF!</definedName>
    <definedName name="sales_totalassets" localSheetId="4">#REF!</definedName>
    <definedName name="sales_totalassets" localSheetId="9">#REF!</definedName>
    <definedName name="sales_totalassets">#REF!</definedName>
    <definedName name="sales_val_growth" localSheetId="4">#REF!</definedName>
    <definedName name="sales_val_growth" localSheetId="9">#REF!</definedName>
    <definedName name="sales_val_growth">#REF!</definedName>
    <definedName name="sales_value" localSheetId="4">#REF!</definedName>
    <definedName name="sales_value" localSheetId="9">#REF!</definedName>
    <definedName name="sales_value">#REF!</definedName>
    <definedName name="sales_vol" localSheetId="4">#REF!</definedName>
    <definedName name="sales_vol" localSheetId="9">#REF!</definedName>
    <definedName name="sales_vol">#REF!</definedName>
    <definedName name="sales_vol_growth" localSheetId="4">#REF!</definedName>
    <definedName name="sales_vol_growth" localSheetId="9">#REF!</definedName>
    <definedName name="sales_vol_growth">#REF!</definedName>
    <definedName name="sales07" localSheetId="4">#REF!</definedName>
    <definedName name="sales07" localSheetId="9">#REF!</definedName>
    <definedName name="sales07">#REF!</definedName>
    <definedName name="sales08" localSheetId="4">#REF!</definedName>
    <definedName name="sales08" localSheetId="9">#REF!</definedName>
    <definedName name="sales08">#REF!</definedName>
    <definedName name="sales09" localSheetId="4">#REF!</definedName>
    <definedName name="sales09" localSheetId="9">#REF!</definedName>
    <definedName name="sales09">#REF!</definedName>
    <definedName name="sales10" localSheetId="4">#REF!</definedName>
    <definedName name="sales10" localSheetId="9">#REF!</definedName>
    <definedName name="sales10">#REF!</definedName>
    <definedName name="sales11" localSheetId="4">#REF!</definedName>
    <definedName name="sales11" localSheetId="9">#REF!</definedName>
    <definedName name="sales11">#REF!</definedName>
    <definedName name="sales12" localSheetId="4">#REF!</definedName>
    <definedName name="sales12" localSheetId="9">#REF!</definedName>
    <definedName name="sales12">#REF!</definedName>
    <definedName name="sales13" localSheetId="4">#REF!</definedName>
    <definedName name="sales13" localSheetId="9">#REF!</definedName>
    <definedName name="sales13">#REF!</definedName>
    <definedName name="sales14" localSheetId="4">#REF!</definedName>
    <definedName name="sales14" localSheetId="9">#REF!</definedName>
    <definedName name="sales14">#REF!</definedName>
    <definedName name="SalesTax">#REF!</definedName>
    <definedName name="SalestoRevenue" localSheetId="4">#REF!</definedName>
    <definedName name="SalestoRevenue" localSheetId="5">#REF!</definedName>
    <definedName name="SalestoRevenue" localSheetId="15">#REF!</definedName>
    <definedName name="SalestoRevenue" localSheetId="19">#REF!</definedName>
    <definedName name="SalestoRevenue" localSheetId="18">#REF!</definedName>
    <definedName name="SalestoRevenue" localSheetId="14">#REF!</definedName>
    <definedName name="SalestoRevenue" localSheetId="12">#REF!</definedName>
    <definedName name="SalestoRevenue" localSheetId="24">#REF!</definedName>
    <definedName name="SalestoRevenue" localSheetId="7">#REF!</definedName>
    <definedName name="SalestoRevenue" localSheetId="20">#REF!</definedName>
    <definedName name="SalestoRevenue" localSheetId="21">#REF!</definedName>
    <definedName name="SalestoRevenue" localSheetId="11">#REF!</definedName>
    <definedName name="SalestoRevenue" localSheetId="17">#REF!</definedName>
    <definedName name="SalestoRevenue" localSheetId="16">#REF!</definedName>
    <definedName name="SalestoRevenue" localSheetId="22">#REF!</definedName>
    <definedName name="SalestoRevenue" localSheetId="9">#REF!</definedName>
    <definedName name="SalestoRevenue" localSheetId="13">#REF!</definedName>
    <definedName name="SalestoRevenue" localSheetId="23">#REF!</definedName>
    <definedName name="SalestoRevenue">#REF!</definedName>
    <definedName name="SaleUnit" localSheetId="4" hidden="1">#REF!,#REF!,#REF!,#REF!,#REF!,#REF!,#REF!,#REF!</definedName>
    <definedName name="SaleUnit" localSheetId="9" hidden="1">#REF!,#REF!,#REF!,#REF!,#REF!,#REF!,#REF!,#REF!</definedName>
    <definedName name="SaleUnit" hidden="1">#REF!,#REF!,#REF!,#REF!,#REF!,#REF!,#REF!,#REF!</definedName>
    <definedName name="SaleVal">#REF!</definedName>
    <definedName name="SaleValue" localSheetId="4" hidden="1">#REF!,#REF!,#REF!,#REF!,#REF!,#REF!,#REF!,#REF!</definedName>
    <definedName name="SaleValue" localSheetId="9" hidden="1">#REF!,#REF!,#REF!,#REF!,#REF!,#REF!,#REF!,#REF!</definedName>
    <definedName name="SaleValue" hidden="1">#REF!,#REF!,#REF!,#REF!,#REF!,#REF!,#REF!,#REF!</definedName>
    <definedName name="SaleVol">#REF!</definedName>
    <definedName name="sas" localSheetId="4">#REF!</definedName>
    <definedName name="sas" localSheetId="5">#REF!</definedName>
    <definedName name="sas" localSheetId="15">#REF!</definedName>
    <definedName name="sas" localSheetId="19">#REF!</definedName>
    <definedName name="sas" localSheetId="18">#REF!</definedName>
    <definedName name="sas" localSheetId="14">#REF!</definedName>
    <definedName name="sas" localSheetId="12">#REF!</definedName>
    <definedName name="sas" localSheetId="24">#REF!</definedName>
    <definedName name="sas" localSheetId="7">#REF!</definedName>
    <definedName name="sas" localSheetId="20">#REF!</definedName>
    <definedName name="sas" localSheetId="21">#REF!</definedName>
    <definedName name="sas" localSheetId="11">#REF!</definedName>
    <definedName name="sas" localSheetId="17">#REF!</definedName>
    <definedName name="sas" localSheetId="16">#REF!</definedName>
    <definedName name="sas" localSheetId="22">#REF!</definedName>
    <definedName name="sas" localSheetId="9">#REF!</definedName>
    <definedName name="sas" localSheetId="13">#REF!</definedName>
    <definedName name="sas" localSheetId="23">#REF!</definedName>
    <definedName name="sas">#REF!</definedName>
    <definedName name="savings_deposits">#REF!</definedName>
    <definedName name="savings_deposits_Q">#REF!</definedName>
    <definedName name="sbiwgt">#REF!</definedName>
    <definedName name="scaff" localSheetId="4">#REF!</definedName>
    <definedName name="scaff" localSheetId="5">#REF!</definedName>
    <definedName name="scaff" localSheetId="15">#REF!</definedName>
    <definedName name="scaff" localSheetId="19">#REF!</definedName>
    <definedName name="scaff" localSheetId="18">#REF!</definedName>
    <definedName name="scaff" localSheetId="14">#REF!</definedName>
    <definedName name="scaff" localSheetId="12">#REF!</definedName>
    <definedName name="scaff" localSheetId="24">#REF!</definedName>
    <definedName name="scaff" localSheetId="7">#REF!</definedName>
    <definedName name="scaff" localSheetId="20">#REF!</definedName>
    <definedName name="scaff" localSheetId="21">#REF!</definedName>
    <definedName name="scaff" localSheetId="11">#REF!</definedName>
    <definedName name="scaff" localSheetId="17">#REF!</definedName>
    <definedName name="scaff" localSheetId="16">#REF!</definedName>
    <definedName name="scaff" localSheetId="22">#REF!</definedName>
    <definedName name="scaff" localSheetId="9">#REF!</definedName>
    <definedName name="scaff" localSheetId="13">#REF!</definedName>
    <definedName name="scaff" localSheetId="23">#REF!</definedName>
    <definedName name="scaff">#REF!</definedName>
    <definedName name="scbwgt">#REF!</definedName>
    <definedName name="SCENTER">#REF!</definedName>
    <definedName name="SCI_Afra" localSheetId="4">#REF!</definedName>
    <definedName name="SCI_Afra" localSheetId="5">#REF!</definedName>
    <definedName name="SCI_Afra" localSheetId="15">#REF!</definedName>
    <definedName name="SCI_Afra" localSheetId="19">#REF!</definedName>
    <definedName name="SCI_Afra" localSheetId="18">#REF!</definedName>
    <definedName name="SCI_Afra" localSheetId="14">#REF!</definedName>
    <definedName name="SCI_Afra" localSheetId="12">#REF!</definedName>
    <definedName name="SCI_Afra" localSheetId="24">#REF!</definedName>
    <definedName name="SCI_Afra" localSheetId="7">#REF!</definedName>
    <definedName name="SCI_Afra" localSheetId="20">#REF!</definedName>
    <definedName name="SCI_Afra" localSheetId="21">#REF!</definedName>
    <definedName name="SCI_Afra" localSheetId="11">#REF!</definedName>
    <definedName name="SCI_Afra" localSheetId="17">#REF!</definedName>
    <definedName name="SCI_Afra" localSheetId="16">#REF!</definedName>
    <definedName name="SCI_Afra" localSheetId="22">#REF!</definedName>
    <definedName name="SCI_Afra" localSheetId="9">#REF!</definedName>
    <definedName name="SCI_Afra" localSheetId="13">#REF!</definedName>
    <definedName name="SCI_Afra" localSheetId="23">#REF!</definedName>
    <definedName name="SCI_Afra">#REF!</definedName>
    <definedName name="SCi_Loan" localSheetId="4">#REF!</definedName>
    <definedName name="SCi_Loan" localSheetId="5">#REF!</definedName>
    <definedName name="SCi_Loan" localSheetId="15">#REF!</definedName>
    <definedName name="SCi_Loan" localSheetId="19">#REF!</definedName>
    <definedName name="SCi_Loan" localSheetId="18">#REF!</definedName>
    <definedName name="SCi_Loan" localSheetId="14">#REF!</definedName>
    <definedName name="SCi_Loan" localSheetId="12">#REF!</definedName>
    <definedName name="SCi_Loan" localSheetId="24">#REF!</definedName>
    <definedName name="SCi_Loan" localSheetId="7">#REF!</definedName>
    <definedName name="SCi_Loan" localSheetId="20">#REF!</definedName>
    <definedName name="SCi_Loan" localSheetId="21">#REF!</definedName>
    <definedName name="SCi_Loan" localSheetId="11">#REF!</definedName>
    <definedName name="SCi_Loan" localSheetId="17">#REF!</definedName>
    <definedName name="SCi_Loan" localSheetId="16">#REF!</definedName>
    <definedName name="SCi_Loan" localSheetId="22">#REF!</definedName>
    <definedName name="SCi_Loan" localSheetId="9">#REF!</definedName>
    <definedName name="SCi_Loan" localSheetId="13">#REF!</definedName>
    <definedName name="SCi_Loan" localSheetId="23">#REF!</definedName>
    <definedName name="SCi_Loan">#REF!</definedName>
    <definedName name="SCI_Suez" localSheetId="4">#REF!</definedName>
    <definedName name="SCI_Suez" localSheetId="5">#REF!</definedName>
    <definedName name="SCI_Suez" localSheetId="15">#REF!</definedName>
    <definedName name="SCI_Suez" localSheetId="19">#REF!</definedName>
    <definedName name="SCI_Suez" localSheetId="18">#REF!</definedName>
    <definedName name="SCI_Suez" localSheetId="14">#REF!</definedName>
    <definedName name="SCI_Suez" localSheetId="12">#REF!</definedName>
    <definedName name="SCI_Suez" localSheetId="24">#REF!</definedName>
    <definedName name="SCI_Suez" localSheetId="7">#REF!</definedName>
    <definedName name="SCI_Suez" localSheetId="20">#REF!</definedName>
    <definedName name="SCI_Suez" localSheetId="21">#REF!</definedName>
    <definedName name="SCI_Suez" localSheetId="11">#REF!</definedName>
    <definedName name="SCI_Suez" localSheetId="17">#REF!</definedName>
    <definedName name="SCI_Suez" localSheetId="16">#REF!</definedName>
    <definedName name="SCI_Suez" localSheetId="22">#REF!</definedName>
    <definedName name="SCI_Suez" localSheetId="9">#REF!</definedName>
    <definedName name="SCI_Suez" localSheetId="13">#REF!</definedName>
    <definedName name="SCI_Suez" localSheetId="23">#REF!</definedName>
    <definedName name="SCI_Suez">#REF!</definedName>
    <definedName name="sciciwgt">#REF!</definedName>
    <definedName name="SCrt">#REF!</definedName>
    <definedName name="ScrtDays">#REF!</definedName>
    <definedName name="sd"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 localSheetId="5">#REF!</definedName>
    <definedName name="sd" localSheetId="15">#REF!</definedName>
    <definedName name="sd" localSheetId="19">#REF!</definedName>
    <definedName name="sd" localSheetId="18">#REF!</definedName>
    <definedName name="sd" localSheetId="14">#REF!</definedName>
    <definedName name="sd" localSheetId="12">#REF!</definedName>
    <definedName name="sd" localSheetId="24">#REF!</definedName>
    <definedName name="sd" localSheetId="7">#REF!</definedName>
    <definedName name="sd" localSheetId="20">#REF!</definedName>
    <definedName name="sd" localSheetId="21">#REF!</definedName>
    <definedName name="sd" localSheetId="11">#REF!</definedName>
    <definedName name="sd" localSheetId="17">#REF!</definedName>
    <definedName name="sd" localSheetId="16">#REF!</definedName>
    <definedName name="sd" localSheetId="22">#REF!</definedName>
    <definedName name="sd"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 localSheetId="13">#REF!</definedName>
    <definedName name="sd" localSheetId="23">#REF!</definedName>
    <definedName name="sd">#REF!</definedName>
    <definedName name="SDbt">#REF!</definedName>
    <definedName name="SdbtDays">#REF!</definedName>
    <definedName name="sdcasc"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casc"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casc"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dd" localSheetId="5" hidden="1">#REF!</definedName>
    <definedName name="sdd" localSheetId="15" hidden="1">#REF!</definedName>
    <definedName name="sdd" localSheetId="19" hidden="1">#REF!</definedName>
    <definedName name="sdd" localSheetId="18" hidden="1">#REF!</definedName>
    <definedName name="sdd" localSheetId="14" hidden="1">#REF!</definedName>
    <definedName name="sdd" localSheetId="12" hidden="1">#REF!</definedName>
    <definedName name="sdd" localSheetId="24" hidden="1">#REF!</definedName>
    <definedName name="sdd" localSheetId="7" hidden="1">#REF!</definedName>
    <definedName name="sdd" localSheetId="20" hidden="1">#REF!</definedName>
    <definedName name="sdd" localSheetId="21" hidden="1">#REF!</definedName>
    <definedName name="sdd" localSheetId="11" hidden="1">#REF!</definedName>
    <definedName name="sdd" localSheetId="17" hidden="1">#REF!</definedName>
    <definedName name="sdd" localSheetId="16" hidden="1">#REF!</definedName>
    <definedName name="sdd" localSheetId="22" hidden="1">#REF!</definedName>
    <definedName name="sdd" localSheetId="13" hidden="1">#REF!</definedName>
    <definedName name="sdd" localSheetId="23" hidden="1">#REF!</definedName>
    <definedName name="sdd" hidden="1">#REF!</definedName>
    <definedName name="sds" localSheetId="4" hidden="1">{"Print Summary",#N/A,FALSE,"Bal_Graphs";"Print Summary",#N/A,FALSE,"DCF";"Print Summary",#N/A,FALSE,"Graphs";"Print Summary",#N/A,FALSE,"Summary"}</definedName>
    <definedName name="sds" localSheetId="5" hidden="1">{"Print Summary",#N/A,FALSE,"Bal_Graphs";"Print Summary",#N/A,FALSE,"DCF";"Print Summary",#N/A,FALSE,"Graphs";"Print Summary",#N/A,FALSE,"Summary"}</definedName>
    <definedName name="sds" localSheetId="15" hidden="1">{"Print Summary",#N/A,FALSE,"Bal_Graphs";"Print Summary",#N/A,FALSE,"DCF";"Print Summary",#N/A,FALSE,"Graphs";"Print Summary",#N/A,FALSE,"Summary"}</definedName>
    <definedName name="sds" localSheetId="19" hidden="1">{"Print Summary",#N/A,FALSE,"Bal_Graphs";"Print Summary",#N/A,FALSE,"DCF";"Print Summary",#N/A,FALSE,"Graphs";"Print Summary",#N/A,FALSE,"Summary"}</definedName>
    <definedName name="sds" localSheetId="18" hidden="1">{"Print Summary",#N/A,FALSE,"Bal_Graphs";"Print Summary",#N/A,FALSE,"DCF";"Print Summary",#N/A,FALSE,"Graphs";"Print Summary",#N/A,FALSE,"Summary"}</definedName>
    <definedName name="sds" localSheetId="14" hidden="1">{"Print Summary",#N/A,FALSE,"Bal_Graphs";"Print Summary",#N/A,FALSE,"DCF";"Print Summary",#N/A,FALSE,"Graphs";"Print Summary",#N/A,FALSE,"Summary"}</definedName>
    <definedName name="sds" localSheetId="12" hidden="1">{"Print Summary",#N/A,FALSE,"Bal_Graphs";"Print Summary",#N/A,FALSE,"DCF";"Print Summary",#N/A,FALSE,"Graphs";"Print Summary",#N/A,FALSE,"Summary"}</definedName>
    <definedName name="sds" localSheetId="24" hidden="1">{"Print Summary",#N/A,FALSE,"Bal_Graphs";"Print Summary",#N/A,FALSE,"DCF";"Print Summary",#N/A,FALSE,"Graphs";"Print Summary",#N/A,FALSE,"Summary"}</definedName>
    <definedName name="sds" localSheetId="7" hidden="1">{"Print Summary",#N/A,FALSE,"Bal_Graphs";"Print Summary",#N/A,FALSE,"DCF";"Print Summary",#N/A,FALSE,"Graphs";"Print Summary",#N/A,FALSE,"Summary"}</definedName>
    <definedName name="sds" localSheetId="20" hidden="1">{"Print Summary",#N/A,FALSE,"Bal_Graphs";"Print Summary",#N/A,FALSE,"DCF";"Print Summary",#N/A,FALSE,"Graphs";"Print Summary",#N/A,FALSE,"Summary"}</definedName>
    <definedName name="sds" localSheetId="21" hidden="1">{"Print Summary",#N/A,FALSE,"Bal_Graphs";"Print Summary",#N/A,FALSE,"DCF";"Print Summary",#N/A,FALSE,"Graphs";"Print Summary",#N/A,FALSE,"Summary"}</definedName>
    <definedName name="sds" localSheetId="11" hidden="1">{"Print Summary",#N/A,FALSE,"Bal_Graphs";"Print Summary",#N/A,FALSE,"DCF";"Print Summary",#N/A,FALSE,"Graphs";"Print Summary",#N/A,FALSE,"Summary"}</definedName>
    <definedName name="sds" localSheetId="17" hidden="1">{"Print Summary",#N/A,FALSE,"Bal_Graphs";"Print Summary",#N/A,FALSE,"DCF";"Print Summary",#N/A,FALSE,"Graphs";"Print Summary",#N/A,FALSE,"Summary"}</definedName>
    <definedName name="sds" localSheetId="16" hidden="1">{"Print Summary",#N/A,FALSE,"Bal_Graphs";"Print Summary",#N/A,FALSE,"DCF";"Print Summary",#N/A,FALSE,"Graphs";"Print Summary",#N/A,FALSE,"Summary"}</definedName>
    <definedName name="sds" localSheetId="22" hidden="1">{"Print Summary",#N/A,FALSE,"Bal_Graphs";"Print Summary",#N/A,FALSE,"DCF";"Print Summary",#N/A,FALSE,"Graphs";"Print Summary",#N/A,FALSE,"Summary"}</definedName>
    <definedName name="sds" localSheetId="9" hidden="1">{"Print Summary",#N/A,FALSE,"Bal_Graphs";"Print Summary",#N/A,FALSE,"DCF";"Print Summary",#N/A,FALSE,"Graphs";"Print Summary",#N/A,FALSE,"Summary"}</definedName>
    <definedName name="sds" localSheetId="13" hidden="1">{"Print Summary",#N/A,FALSE,"Bal_Graphs";"Print Summary",#N/A,FALSE,"DCF";"Print Summary",#N/A,FALSE,"Graphs";"Print Summary",#N/A,FALSE,"Summary"}</definedName>
    <definedName name="sds" localSheetId="23" hidden="1">{"Print Summary",#N/A,FALSE,"Bal_Graphs";"Print Summary",#N/A,FALSE,"DCF";"Print Summary",#N/A,FALSE,"Graphs";"Print Summary",#N/A,FALSE,"Summary"}</definedName>
    <definedName name="sds" hidden="1">{"Print Summary",#N/A,FALSE,"Bal_Graphs";"Print Summary",#N/A,FALSE,"DCF";"Print Summary",#N/A,FALSE,"Graphs";"Print Summary",#N/A,FALSE,"Summary"}</definedName>
    <definedName name="secsplit">"Chart 3"</definedName>
    <definedName name="sector" localSheetId="4">#REF!</definedName>
    <definedName name="sector" localSheetId="5">#REF!</definedName>
    <definedName name="sector" localSheetId="15">#REF!</definedName>
    <definedName name="sector" localSheetId="19">#REF!</definedName>
    <definedName name="sector" localSheetId="18">#REF!</definedName>
    <definedName name="sector" localSheetId="14">#REF!</definedName>
    <definedName name="sector" localSheetId="12">#REF!</definedName>
    <definedName name="sector" localSheetId="24">#REF!</definedName>
    <definedName name="sector" localSheetId="7">#REF!</definedName>
    <definedName name="sector" localSheetId="20">#REF!</definedName>
    <definedName name="sector" localSheetId="21">#REF!</definedName>
    <definedName name="sector" localSheetId="11">#REF!</definedName>
    <definedName name="sector" localSheetId="17">#REF!</definedName>
    <definedName name="sector" localSheetId="16">#REF!</definedName>
    <definedName name="sector" localSheetId="22">#REF!</definedName>
    <definedName name="sector" localSheetId="9">#REF!</definedName>
    <definedName name="sector" localSheetId="13">#REF!</definedName>
    <definedName name="sector" localSheetId="23">#REF!</definedName>
    <definedName name="sector">#REF!</definedName>
    <definedName name="sector_name" localSheetId="4">#REF!</definedName>
    <definedName name="sector_name" localSheetId="5">#REF!</definedName>
    <definedName name="sector_name" localSheetId="15">#REF!</definedName>
    <definedName name="sector_name" localSheetId="19">#REF!</definedName>
    <definedName name="sector_name" localSheetId="18">#REF!</definedName>
    <definedName name="sector_name" localSheetId="14">#REF!</definedName>
    <definedName name="sector_name" localSheetId="12">#REF!</definedName>
    <definedName name="sector_name" localSheetId="24">#REF!</definedName>
    <definedName name="sector_name" localSheetId="7">#REF!</definedName>
    <definedName name="sector_name" localSheetId="20">#REF!</definedName>
    <definedName name="sector_name" localSheetId="21">#REF!</definedName>
    <definedName name="sector_name" localSheetId="11">#REF!</definedName>
    <definedName name="sector_name" localSheetId="17">#REF!</definedName>
    <definedName name="sector_name" localSheetId="16">#REF!</definedName>
    <definedName name="sector_name" localSheetId="22">#REF!</definedName>
    <definedName name="sector_name" localSheetId="9">#REF!</definedName>
    <definedName name="sector_name" localSheetId="13">#REF!</definedName>
    <definedName name="sector_name" localSheetId="23">#REF!</definedName>
    <definedName name="sector_name">#REF!</definedName>
    <definedName name="SECTORa" localSheetId="4">#REF!</definedName>
    <definedName name="SECTORa" localSheetId="5">#REF!</definedName>
    <definedName name="SECTORa" localSheetId="15">#REF!</definedName>
    <definedName name="SECTORa" localSheetId="19">#REF!</definedName>
    <definedName name="SECTORa" localSheetId="18">#REF!</definedName>
    <definedName name="SECTORa" localSheetId="14">#REF!</definedName>
    <definedName name="SECTORa" localSheetId="12">#REF!</definedName>
    <definedName name="SECTORa" localSheetId="24">#REF!</definedName>
    <definedName name="SECTORa" localSheetId="7">#REF!</definedName>
    <definedName name="SECTORa" localSheetId="20">#REF!</definedName>
    <definedName name="SECTORa" localSheetId="21">#REF!</definedName>
    <definedName name="SECTORa" localSheetId="11">#REF!</definedName>
    <definedName name="SECTORa" localSheetId="17">#REF!</definedName>
    <definedName name="SECTORa" localSheetId="16">#REF!</definedName>
    <definedName name="SECTORa" localSheetId="22">#REF!</definedName>
    <definedName name="SECTORa" localSheetId="9">#REF!</definedName>
    <definedName name="SECTORa" localSheetId="13">#REF!</definedName>
    <definedName name="SECTORa" localSheetId="23">#REF!</definedName>
    <definedName name="SECTORa">#REF!</definedName>
    <definedName name="Secured_borrowings_total">#REF!</definedName>
    <definedName name="SecuredLoans" localSheetId="4">#REF!</definedName>
    <definedName name="SecuredLoans" localSheetId="9">#REF!</definedName>
    <definedName name="SecuredLoans">#REF!</definedName>
    <definedName name="sed"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e"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ef"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1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1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1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2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7"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20"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2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17"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2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1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localSheetId="2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f"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eg">#REF!</definedName>
    <definedName name="Segment1_income" localSheetId="4">#REF!</definedName>
    <definedName name="Segment1_income" localSheetId="9">#REF!</definedName>
    <definedName name="Segment1_income">#REF!</definedName>
    <definedName name="Segment1_income_DCF" localSheetId="4">#REF!</definedName>
    <definedName name="Segment1_income_DCF" localSheetId="9">#REF!</definedName>
    <definedName name="Segment1_income_DCF">#REF!</definedName>
    <definedName name="Segment1_income_fore" localSheetId="4">#REF!</definedName>
    <definedName name="Segment1_income_fore" localSheetId="5">#REF!</definedName>
    <definedName name="Segment1_income_fore" localSheetId="15">#REF!</definedName>
    <definedName name="Segment1_income_fore" localSheetId="19">#REF!</definedName>
    <definedName name="Segment1_income_fore" localSheetId="18">#REF!</definedName>
    <definedName name="Segment1_income_fore" localSheetId="14">#REF!</definedName>
    <definedName name="Segment1_income_fore" localSheetId="12">#REF!</definedName>
    <definedName name="Segment1_income_fore" localSheetId="24">#REF!</definedName>
    <definedName name="Segment1_income_fore" localSheetId="7">#REF!</definedName>
    <definedName name="Segment1_income_fore" localSheetId="20">#REF!</definedName>
    <definedName name="Segment1_income_fore" localSheetId="21">#REF!</definedName>
    <definedName name="Segment1_income_fore" localSheetId="11">#REF!</definedName>
    <definedName name="Segment1_income_fore" localSheetId="17">#REF!</definedName>
    <definedName name="Segment1_income_fore" localSheetId="16">#REF!</definedName>
    <definedName name="Segment1_income_fore" localSheetId="22">#REF!</definedName>
    <definedName name="Segment1_income_fore" localSheetId="9">#REF!</definedName>
    <definedName name="Segment1_income_fore" localSheetId="13">#REF!</definedName>
    <definedName name="Segment1_income_fore" localSheetId="23">#REF!</definedName>
    <definedName name="Segment1_income_fore">#REF!</definedName>
    <definedName name="Segment1_income_growth_fore" localSheetId="4">#REF!</definedName>
    <definedName name="Segment1_income_growth_fore" localSheetId="5">#REF!</definedName>
    <definedName name="Segment1_income_growth_fore" localSheetId="15">#REF!</definedName>
    <definedName name="Segment1_income_growth_fore" localSheetId="19">#REF!</definedName>
    <definedName name="Segment1_income_growth_fore" localSheetId="18">#REF!</definedName>
    <definedName name="Segment1_income_growth_fore" localSheetId="14">#REF!</definedName>
    <definedName name="Segment1_income_growth_fore" localSheetId="12">#REF!</definedName>
    <definedName name="Segment1_income_growth_fore" localSheetId="24">#REF!</definedName>
    <definedName name="Segment1_income_growth_fore" localSheetId="7">#REF!</definedName>
    <definedName name="Segment1_income_growth_fore" localSheetId="20">#REF!</definedName>
    <definedName name="Segment1_income_growth_fore" localSheetId="21">#REF!</definedName>
    <definedName name="Segment1_income_growth_fore" localSheetId="11">#REF!</definedName>
    <definedName name="Segment1_income_growth_fore" localSheetId="17">#REF!</definedName>
    <definedName name="Segment1_income_growth_fore" localSheetId="16">#REF!</definedName>
    <definedName name="Segment1_income_growth_fore" localSheetId="22">#REF!</definedName>
    <definedName name="Segment1_income_growth_fore" localSheetId="9">#REF!</definedName>
    <definedName name="Segment1_income_growth_fore" localSheetId="13">#REF!</definedName>
    <definedName name="Segment1_income_growth_fore" localSheetId="23">#REF!</definedName>
    <definedName name="Segment1_income_growth_fore">#REF!</definedName>
    <definedName name="Segment2_income" localSheetId="4">#REF!</definedName>
    <definedName name="Segment2_income" localSheetId="9">#REF!</definedName>
    <definedName name="Segment2_income">#REF!</definedName>
    <definedName name="Segment2_income_DCF" localSheetId="4">#REF!</definedName>
    <definedName name="Segment2_income_DCF" localSheetId="9">#REF!</definedName>
    <definedName name="Segment2_income_DCF">#REF!</definedName>
    <definedName name="Segment2_income_fore" localSheetId="4">#REF!</definedName>
    <definedName name="Segment2_income_fore" localSheetId="5">#REF!</definedName>
    <definedName name="Segment2_income_fore" localSheetId="15">#REF!</definedName>
    <definedName name="Segment2_income_fore" localSheetId="19">#REF!</definedName>
    <definedName name="Segment2_income_fore" localSheetId="18">#REF!</definedName>
    <definedName name="Segment2_income_fore" localSheetId="14">#REF!</definedName>
    <definedName name="Segment2_income_fore" localSheetId="12">#REF!</definedName>
    <definedName name="Segment2_income_fore" localSheetId="24">#REF!</definedName>
    <definedName name="Segment2_income_fore" localSheetId="7">#REF!</definedName>
    <definedName name="Segment2_income_fore" localSheetId="20">#REF!</definedName>
    <definedName name="Segment2_income_fore" localSheetId="21">#REF!</definedName>
    <definedName name="Segment2_income_fore" localSheetId="11">#REF!</definedName>
    <definedName name="Segment2_income_fore" localSheetId="17">#REF!</definedName>
    <definedName name="Segment2_income_fore" localSheetId="16">#REF!</definedName>
    <definedName name="Segment2_income_fore" localSheetId="22">#REF!</definedName>
    <definedName name="Segment2_income_fore" localSheetId="9">#REF!</definedName>
    <definedName name="Segment2_income_fore" localSheetId="13">#REF!</definedName>
    <definedName name="Segment2_income_fore" localSheetId="23">#REF!</definedName>
    <definedName name="Segment2_income_fore">#REF!</definedName>
    <definedName name="Segment2_income_growth_fore" localSheetId="4">#REF!</definedName>
    <definedName name="Segment2_income_growth_fore" localSheetId="5">#REF!</definedName>
    <definedName name="Segment2_income_growth_fore" localSheetId="15">#REF!</definedName>
    <definedName name="Segment2_income_growth_fore" localSheetId="19">#REF!</definedName>
    <definedName name="Segment2_income_growth_fore" localSheetId="18">#REF!</definedName>
    <definedName name="Segment2_income_growth_fore" localSheetId="14">#REF!</definedName>
    <definedName name="Segment2_income_growth_fore" localSheetId="12">#REF!</definedName>
    <definedName name="Segment2_income_growth_fore" localSheetId="24">#REF!</definedName>
    <definedName name="Segment2_income_growth_fore" localSheetId="7">#REF!</definedName>
    <definedName name="Segment2_income_growth_fore" localSheetId="20">#REF!</definedName>
    <definedName name="Segment2_income_growth_fore" localSheetId="21">#REF!</definedName>
    <definedName name="Segment2_income_growth_fore" localSheetId="11">#REF!</definedName>
    <definedName name="Segment2_income_growth_fore" localSheetId="17">#REF!</definedName>
    <definedName name="Segment2_income_growth_fore" localSheetId="16">#REF!</definedName>
    <definedName name="Segment2_income_growth_fore" localSheetId="22">#REF!</definedName>
    <definedName name="Segment2_income_growth_fore" localSheetId="9">#REF!</definedName>
    <definedName name="Segment2_income_growth_fore" localSheetId="13">#REF!</definedName>
    <definedName name="Segment2_income_growth_fore" localSheetId="23">#REF!</definedName>
    <definedName name="Segment2_income_growth_fore">#REF!</definedName>
    <definedName name="Segmental_income" localSheetId="4">#REF!</definedName>
    <definedName name="Segmental_income" localSheetId="5">#REF!</definedName>
    <definedName name="Segmental_income" localSheetId="15">#REF!</definedName>
    <definedName name="Segmental_income" localSheetId="19">#REF!</definedName>
    <definedName name="Segmental_income" localSheetId="18">#REF!</definedName>
    <definedName name="Segmental_income" localSheetId="14">#REF!</definedName>
    <definedName name="Segmental_income" localSheetId="12">#REF!</definedName>
    <definedName name="Segmental_income" localSheetId="24">#REF!</definedName>
    <definedName name="Segmental_income" localSheetId="7">#REF!</definedName>
    <definedName name="Segmental_income" localSheetId="20">#REF!</definedName>
    <definedName name="Segmental_income" localSheetId="21">#REF!</definedName>
    <definedName name="Segmental_income" localSheetId="11">#REF!</definedName>
    <definedName name="Segmental_income" localSheetId="17">#REF!</definedName>
    <definedName name="Segmental_income" localSheetId="16">#REF!</definedName>
    <definedName name="Segmental_income" localSheetId="22">#REF!</definedName>
    <definedName name="Segmental_income" localSheetId="9">#REF!</definedName>
    <definedName name="Segmental_income" localSheetId="13">#REF!</definedName>
    <definedName name="Segmental_income" localSheetId="23">#REF!</definedName>
    <definedName name="Segmental_income">#REF!</definedName>
    <definedName name="SelExp">#REF!</definedName>
    <definedName name="SelExpSer" hidden="1">#REF!</definedName>
    <definedName name="selling_admin_exp_Q">#REF!</definedName>
    <definedName name="selling_distribution_expenses">#REF!</definedName>
    <definedName name="Selling_general_and_admn_expenses_total">#REF!</definedName>
    <definedName name="sencount" hidden="1">1</definedName>
    <definedName name="sensit_analysis">#REF!</definedName>
    <definedName name="Sensitivity" localSheetId="4">#REF!</definedName>
    <definedName name="Sensitivity" localSheetId="5">#REF!</definedName>
    <definedName name="Sensitivity" localSheetId="15">#REF!</definedName>
    <definedName name="Sensitivity" localSheetId="19">#REF!</definedName>
    <definedName name="Sensitivity" localSheetId="18">#REF!</definedName>
    <definedName name="Sensitivity" localSheetId="14">#REF!</definedName>
    <definedName name="Sensitivity" localSheetId="12">#REF!</definedName>
    <definedName name="Sensitivity" localSheetId="24">#REF!</definedName>
    <definedName name="Sensitivity" localSheetId="7">#REF!</definedName>
    <definedName name="Sensitivity" localSheetId="20">#REF!</definedName>
    <definedName name="Sensitivity" localSheetId="21">#REF!</definedName>
    <definedName name="Sensitivity" localSheetId="11">#REF!</definedName>
    <definedName name="Sensitivity" localSheetId="17">#REF!</definedName>
    <definedName name="Sensitivity" localSheetId="16">#REF!</definedName>
    <definedName name="Sensitivity" localSheetId="22">#REF!</definedName>
    <definedName name="Sensitivity" localSheetId="9">#REF!</definedName>
    <definedName name="Sensitivity" localSheetId="13">#REF!</definedName>
    <definedName name="Sensitivity" localSheetId="23">#REF!</definedName>
    <definedName name="Sensitivity">#REF!</definedName>
    <definedName name="sensprint">#REF!</definedName>
    <definedName name="Serial_number">#REF!</definedName>
    <definedName name="sert" localSheetId="4" hidden="1">{#N/A,#N/A,FALSE,"Status of Projects";#N/A,#N/A,FALSE,"CEA-TEC";#N/A,#N/A,FALSE,"U-Constr.";#N/A,#N/A,FALSE,"summary";#N/A,#N/A,FALSE,"PPP-3 yrs"}</definedName>
    <definedName name="sert" localSheetId="5" hidden="1">{#N/A,#N/A,FALSE,"Status of Projects";#N/A,#N/A,FALSE,"CEA-TEC";#N/A,#N/A,FALSE,"U-Constr.";#N/A,#N/A,FALSE,"summary";#N/A,#N/A,FALSE,"PPP-3 yrs"}</definedName>
    <definedName name="sert" localSheetId="15" hidden="1">{#N/A,#N/A,FALSE,"Status of Projects";#N/A,#N/A,FALSE,"CEA-TEC";#N/A,#N/A,FALSE,"U-Constr.";#N/A,#N/A,FALSE,"summary";#N/A,#N/A,FALSE,"PPP-3 yrs"}</definedName>
    <definedName name="sert" localSheetId="19" hidden="1">{#N/A,#N/A,FALSE,"Status of Projects";#N/A,#N/A,FALSE,"CEA-TEC";#N/A,#N/A,FALSE,"U-Constr.";#N/A,#N/A,FALSE,"summary";#N/A,#N/A,FALSE,"PPP-3 yrs"}</definedName>
    <definedName name="sert" localSheetId="18" hidden="1">{#N/A,#N/A,FALSE,"Status of Projects";#N/A,#N/A,FALSE,"CEA-TEC";#N/A,#N/A,FALSE,"U-Constr.";#N/A,#N/A,FALSE,"summary";#N/A,#N/A,FALSE,"PPP-3 yrs"}</definedName>
    <definedName name="sert" localSheetId="14" hidden="1">{#N/A,#N/A,FALSE,"Status of Projects";#N/A,#N/A,FALSE,"CEA-TEC";#N/A,#N/A,FALSE,"U-Constr.";#N/A,#N/A,FALSE,"summary";#N/A,#N/A,FALSE,"PPP-3 yrs"}</definedName>
    <definedName name="sert" localSheetId="12" hidden="1">{#N/A,#N/A,FALSE,"Status of Projects";#N/A,#N/A,FALSE,"CEA-TEC";#N/A,#N/A,FALSE,"U-Constr.";#N/A,#N/A,FALSE,"summary";#N/A,#N/A,FALSE,"PPP-3 yrs"}</definedName>
    <definedName name="sert" localSheetId="24" hidden="1">{#N/A,#N/A,FALSE,"Status of Projects";#N/A,#N/A,FALSE,"CEA-TEC";#N/A,#N/A,FALSE,"U-Constr.";#N/A,#N/A,FALSE,"summary";#N/A,#N/A,FALSE,"PPP-3 yrs"}</definedName>
    <definedName name="sert" localSheetId="7" hidden="1">{#N/A,#N/A,FALSE,"Status of Projects";#N/A,#N/A,FALSE,"CEA-TEC";#N/A,#N/A,FALSE,"U-Constr.";#N/A,#N/A,FALSE,"summary";#N/A,#N/A,FALSE,"PPP-3 yrs"}</definedName>
    <definedName name="sert" localSheetId="20" hidden="1">{#N/A,#N/A,FALSE,"Status of Projects";#N/A,#N/A,FALSE,"CEA-TEC";#N/A,#N/A,FALSE,"U-Constr.";#N/A,#N/A,FALSE,"summary";#N/A,#N/A,FALSE,"PPP-3 yrs"}</definedName>
    <definedName name="sert" localSheetId="21" hidden="1">{#N/A,#N/A,FALSE,"Status of Projects";#N/A,#N/A,FALSE,"CEA-TEC";#N/A,#N/A,FALSE,"U-Constr.";#N/A,#N/A,FALSE,"summary";#N/A,#N/A,FALSE,"PPP-3 yrs"}</definedName>
    <definedName name="sert" localSheetId="11" hidden="1">{#N/A,#N/A,FALSE,"Status of Projects";#N/A,#N/A,FALSE,"CEA-TEC";#N/A,#N/A,FALSE,"U-Constr.";#N/A,#N/A,FALSE,"summary";#N/A,#N/A,FALSE,"PPP-3 yrs"}</definedName>
    <definedName name="sert" localSheetId="17" hidden="1">{#N/A,#N/A,FALSE,"Status of Projects";#N/A,#N/A,FALSE,"CEA-TEC";#N/A,#N/A,FALSE,"U-Constr.";#N/A,#N/A,FALSE,"summary";#N/A,#N/A,FALSE,"PPP-3 yrs"}</definedName>
    <definedName name="sert" localSheetId="16" hidden="1">{#N/A,#N/A,FALSE,"Status of Projects";#N/A,#N/A,FALSE,"CEA-TEC";#N/A,#N/A,FALSE,"U-Constr.";#N/A,#N/A,FALSE,"summary";#N/A,#N/A,FALSE,"PPP-3 yrs"}</definedName>
    <definedName name="sert" localSheetId="22" hidden="1">{#N/A,#N/A,FALSE,"Status of Projects";#N/A,#N/A,FALSE,"CEA-TEC";#N/A,#N/A,FALSE,"U-Constr.";#N/A,#N/A,FALSE,"summary";#N/A,#N/A,FALSE,"PPP-3 yrs"}</definedName>
    <definedName name="sert" localSheetId="9" hidden="1">{#N/A,#N/A,FALSE,"Status of Projects";#N/A,#N/A,FALSE,"CEA-TEC";#N/A,#N/A,FALSE,"U-Constr.";#N/A,#N/A,FALSE,"summary";#N/A,#N/A,FALSE,"PPP-3 yrs"}</definedName>
    <definedName name="sert" localSheetId="13" hidden="1">{#N/A,#N/A,FALSE,"Status of Projects";#N/A,#N/A,FALSE,"CEA-TEC";#N/A,#N/A,FALSE,"U-Constr.";#N/A,#N/A,FALSE,"summary";#N/A,#N/A,FALSE,"PPP-3 yrs"}</definedName>
    <definedName name="sert" localSheetId="23" hidden="1">{#N/A,#N/A,FALSE,"Status of Projects";#N/A,#N/A,FALSE,"CEA-TEC";#N/A,#N/A,FALSE,"U-Constr.";#N/A,#N/A,FALSE,"summary";#N/A,#N/A,FALSE,"PPP-3 yrs"}</definedName>
    <definedName name="sert" hidden="1">{#N/A,#N/A,FALSE,"Status of Projects";#N/A,#N/A,FALSE,"CEA-TEC";#N/A,#N/A,FALSE,"U-Constr.";#N/A,#N/A,FALSE,"summary";#N/A,#N/A,FALSE,"PPP-3 yrs"}</definedName>
    <definedName name="Service_charses_on_Loans" localSheetId="4">#REF!</definedName>
    <definedName name="Service_charses_on_Loans" localSheetId="5">#REF!</definedName>
    <definedName name="Service_charses_on_Loans" localSheetId="15">#REF!</definedName>
    <definedName name="Service_charses_on_Loans" localSheetId="19">#REF!</definedName>
    <definedName name="Service_charses_on_Loans" localSheetId="18">#REF!</definedName>
    <definedName name="Service_charses_on_Loans" localSheetId="14">#REF!</definedName>
    <definedName name="Service_charses_on_Loans" localSheetId="12">#REF!</definedName>
    <definedName name="Service_charses_on_Loans" localSheetId="24">#REF!</definedName>
    <definedName name="Service_charses_on_Loans" localSheetId="7">#REF!</definedName>
    <definedName name="Service_charses_on_Loans" localSheetId="20">#REF!</definedName>
    <definedName name="Service_charses_on_Loans" localSheetId="21">#REF!</definedName>
    <definedName name="Service_charses_on_Loans" localSheetId="11">#REF!</definedName>
    <definedName name="Service_charses_on_Loans" localSheetId="17">#REF!</definedName>
    <definedName name="Service_charses_on_Loans" localSheetId="16">#REF!</definedName>
    <definedName name="Service_charses_on_Loans" localSheetId="22">#REF!</definedName>
    <definedName name="Service_charses_on_Loans" localSheetId="9">#REF!</definedName>
    <definedName name="Service_charses_on_Loans" localSheetId="13">#REF!</definedName>
    <definedName name="Service_charses_on_Loans" localSheetId="23">#REF!</definedName>
    <definedName name="Service_charses_on_Loans">#REF!</definedName>
    <definedName name="sfdsdf" hidden="1">#N/A</definedName>
    <definedName name="sfsd" localSheetId="5" hidden="1">#REF!</definedName>
    <definedName name="sfsd" localSheetId="15" hidden="1">#REF!</definedName>
    <definedName name="sfsd" localSheetId="19" hidden="1">#REF!</definedName>
    <definedName name="sfsd" localSheetId="18" hidden="1">#REF!</definedName>
    <definedName name="sfsd" localSheetId="14" hidden="1">#REF!</definedName>
    <definedName name="sfsd" localSheetId="12" hidden="1">#REF!</definedName>
    <definedName name="sfsd" localSheetId="24" hidden="1">#REF!</definedName>
    <definedName name="sfsd" localSheetId="7" hidden="1">#REF!</definedName>
    <definedName name="sfsd" localSheetId="20" hidden="1">#REF!</definedName>
    <definedName name="sfsd" localSheetId="21" hidden="1">#REF!</definedName>
    <definedName name="sfsd" localSheetId="11" hidden="1">#REF!</definedName>
    <definedName name="sfsd" localSheetId="17" hidden="1">#REF!</definedName>
    <definedName name="sfsd" localSheetId="16" hidden="1">#REF!</definedName>
    <definedName name="sfsd" localSheetId="22" hidden="1">#REF!</definedName>
    <definedName name="sfsd" localSheetId="13" hidden="1">#REF!</definedName>
    <definedName name="sfsd" localSheetId="23" hidden="1">#REF!</definedName>
    <definedName name="sfsd" hidden="1">#REF!</definedName>
    <definedName name="SG_A" localSheetId="4">#REF!</definedName>
    <definedName name="SG_A" localSheetId="9">#REF!</definedName>
    <definedName name="SG_A">#REF!</definedName>
    <definedName name="SGA" localSheetId="4">#REF!</definedName>
    <definedName name="SGA" localSheetId="9">#REF!</definedName>
    <definedName name="SGA">#REF!</definedName>
    <definedName name="sga_expenses">#REF!</definedName>
    <definedName name="sga_expenses_A">#REF!</definedName>
    <definedName name="SGA_fore" localSheetId="4">#REF!</definedName>
    <definedName name="SGA_fore" localSheetId="5">#REF!</definedName>
    <definedName name="SGA_fore" localSheetId="15">#REF!</definedName>
    <definedName name="SGA_fore" localSheetId="19">#REF!</definedName>
    <definedName name="SGA_fore" localSheetId="18">#REF!</definedName>
    <definedName name="SGA_fore" localSheetId="14">#REF!</definedName>
    <definedName name="SGA_fore" localSheetId="12">#REF!</definedName>
    <definedName name="SGA_fore" localSheetId="24">#REF!</definedName>
    <definedName name="SGA_fore" localSheetId="7">#REF!</definedName>
    <definedName name="SGA_fore" localSheetId="20">#REF!</definedName>
    <definedName name="SGA_fore" localSheetId="21">#REF!</definedName>
    <definedName name="SGA_fore" localSheetId="11">#REF!</definedName>
    <definedName name="SGA_fore" localSheetId="17">#REF!</definedName>
    <definedName name="SGA_fore" localSheetId="16">#REF!</definedName>
    <definedName name="SGA_fore" localSheetId="22">#REF!</definedName>
    <definedName name="SGA_fore" localSheetId="9">#REF!</definedName>
    <definedName name="SGA_fore" localSheetId="13">#REF!</definedName>
    <definedName name="SGA_fore" localSheetId="23">#REF!</definedName>
    <definedName name="SGA_fore">#REF!</definedName>
    <definedName name="SGA_growth" localSheetId="4">#REF!</definedName>
    <definedName name="SGA_growth" localSheetId="5">#REF!</definedName>
    <definedName name="SGA_growth" localSheetId="15">#REF!</definedName>
    <definedName name="SGA_growth" localSheetId="19">#REF!</definedName>
    <definedName name="SGA_growth" localSheetId="18">#REF!</definedName>
    <definedName name="SGA_growth" localSheetId="14">#REF!</definedName>
    <definedName name="SGA_growth" localSheetId="12">#REF!</definedName>
    <definedName name="SGA_growth" localSheetId="24">#REF!</definedName>
    <definedName name="SGA_growth" localSheetId="7">#REF!</definedName>
    <definedName name="SGA_growth" localSheetId="20">#REF!</definedName>
    <definedName name="SGA_growth" localSheetId="21">#REF!</definedName>
    <definedName name="SGA_growth" localSheetId="11">#REF!</definedName>
    <definedName name="SGA_growth" localSheetId="17">#REF!</definedName>
    <definedName name="SGA_growth" localSheetId="16">#REF!</definedName>
    <definedName name="SGA_growth" localSheetId="22">#REF!</definedName>
    <definedName name="SGA_growth" localSheetId="9">#REF!</definedName>
    <definedName name="SGA_growth" localSheetId="13">#REF!</definedName>
    <definedName name="SGA_growth" localSheetId="23">#REF!</definedName>
    <definedName name="SGA_growth">#REF!</definedName>
    <definedName name="SGA_growth_avg" localSheetId="4">#REF!</definedName>
    <definedName name="SGA_growth_avg" localSheetId="5">#REF!</definedName>
    <definedName name="SGA_growth_avg" localSheetId="15">#REF!</definedName>
    <definedName name="SGA_growth_avg" localSheetId="19">#REF!</definedName>
    <definedName name="SGA_growth_avg" localSheetId="18">#REF!</definedName>
    <definedName name="SGA_growth_avg" localSheetId="14">#REF!</definedName>
    <definedName name="SGA_growth_avg" localSheetId="12">#REF!</definedName>
    <definedName name="SGA_growth_avg" localSheetId="24">#REF!</definedName>
    <definedName name="SGA_growth_avg" localSheetId="7">#REF!</definedName>
    <definedName name="SGA_growth_avg" localSheetId="20">#REF!</definedName>
    <definedName name="SGA_growth_avg" localSheetId="21">#REF!</definedName>
    <definedName name="SGA_growth_avg" localSheetId="11">#REF!</definedName>
    <definedName name="SGA_growth_avg" localSheetId="17">#REF!</definedName>
    <definedName name="SGA_growth_avg" localSheetId="16">#REF!</definedName>
    <definedName name="SGA_growth_avg" localSheetId="22">#REF!</definedName>
    <definedName name="SGA_growth_avg" localSheetId="9">#REF!</definedName>
    <definedName name="SGA_growth_avg" localSheetId="13">#REF!</definedName>
    <definedName name="SGA_growth_avg" localSheetId="23">#REF!</definedName>
    <definedName name="SGA_growth_avg">#REF!</definedName>
    <definedName name="SGA_growth_fore" localSheetId="4">#REF!</definedName>
    <definedName name="SGA_growth_fore" localSheetId="5">#REF!</definedName>
    <definedName name="SGA_growth_fore" localSheetId="15">#REF!</definedName>
    <definedName name="SGA_growth_fore" localSheetId="19">#REF!</definedName>
    <definedName name="SGA_growth_fore" localSheetId="18">#REF!</definedName>
    <definedName name="SGA_growth_fore" localSheetId="14">#REF!</definedName>
    <definedName name="SGA_growth_fore" localSheetId="12">#REF!</definedName>
    <definedName name="SGA_growth_fore" localSheetId="24">#REF!</definedName>
    <definedName name="SGA_growth_fore" localSheetId="7">#REF!</definedName>
    <definedName name="SGA_growth_fore" localSheetId="20">#REF!</definedName>
    <definedName name="SGA_growth_fore" localSheetId="21">#REF!</definedName>
    <definedName name="SGA_growth_fore" localSheetId="11">#REF!</definedName>
    <definedName name="SGA_growth_fore" localSheetId="17">#REF!</definedName>
    <definedName name="SGA_growth_fore" localSheetId="16">#REF!</definedName>
    <definedName name="SGA_growth_fore" localSheetId="22">#REF!</definedName>
    <definedName name="SGA_growth_fore" localSheetId="9">#REF!</definedName>
    <definedName name="SGA_growth_fore" localSheetId="13">#REF!</definedName>
    <definedName name="SGA_growth_fore" localSheetId="23">#REF!</definedName>
    <definedName name="SGA_growth_fore">#REF!</definedName>
    <definedName name="SGA_margin" localSheetId="4">#REF!</definedName>
    <definedName name="SGA_margin" localSheetId="9">#REF!</definedName>
    <definedName name="SGA_margin">#REF!</definedName>
    <definedName name="SGA_margin_fore" localSheetId="4">#REF!</definedName>
    <definedName name="SGA_margin_fore" localSheetId="5">#REF!</definedName>
    <definedName name="SGA_margin_fore" localSheetId="15">#REF!</definedName>
    <definedName name="SGA_margin_fore" localSheetId="19">#REF!</definedName>
    <definedName name="SGA_margin_fore" localSheetId="18">#REF!</definedName>
    <definedName name="SGA_margin_fore" localSheetId="14">#REF!</definedName>
    <definedName name="SGA_margin_fore" localSheetId="12">#REF!</definedName>
    <definedName name="SGA_margin_fore" localSheetId="24">#REF!</definedName>
    <definedName name="SGA_margin_fore" localSheetId="7">#REF!</definedName>
    <definedName name="SGA_margin_fore" localSheetId="20">#REF!</definedName>
    <definedName name="SGA_margin_fore" localSheetId="21">#REF!</definedName>
    <definedName name="SGA_margin_fore" localSheetId="11">#REF!</definedName>
    <definedName name="SGA_margin_fore" localSheetId="17">#REF!</definedName>
    <definedName name="SGA_margin_fore" localSheetId="16">#REF!</definedName>
    <definedName name="SGA_margin_fore" localSheetId="22">#REF!</definedName>
    <definedName name="SGA_margin_fore" localSheetId="9">#REF!</definedName>
    <definedName name="SGA_margin_fore" localSheetId="13">#REF!</definedName>
    <definedName name="SGA_margin_fore" localSheetId="23">#REF!</definedName>
    <definedName name="SGA_margin_fore">#REF!</definedName>
    <definedName name="SGCInv">#REF!</definedName>
    <definedName name="SGCInvChg" hidden="1">#REF!</definedName>
    <definedName name="sh_pri" localSheetId="4">#REF!</definedName>
    <definedName name="sh_pri" localSheetId="5">#REF!</definedName>
    <definedName name="sh_pri" localSheetId="15">#REF!</definedName>
    <definedName name="sh_pri" localSheetId="19">#REF!</definedName>
    <definedName name="sh_pri" localSheetId="18">#REF!</definedName>
    <definedName name="sh_pri" localSheetId="14">#REF!</definedName>
    <definedName name="sh_pri" localSheetId="12">#REF!</definedName>
    <definedName name="sh_pri" localSheetId="24">#REF!</definedName>
    <definedName name="sh_pri" localSheetId="7">#REF!</definedName>
    <definedName name="sh_pri" localSheetId="20">#REF!</definedName>
    <definedName name="sh_pri" localSheetId="21">#REF!</definedName>
    <definedName name="sh_pri" localSheetId="11">#REF!</definedName>
    <definedName name="sh_pri" localSheetId="17">#REF!</definedName>
    <definedName name="sh_pri" localSheetId="16">#REF!</definedName>
    <definedName name="sh_pri" localSheetId="22">#REF!</definedName>
    <definedName name="sh_pri" localSheetId="9">#REF!</definedName>
    <definedName name="sh_pri" localSheetId="13">#REF!</definedName>
    <definedName name="sh_pri" localSheetId="23">#REF!</definedName>
    <definedName name="sh_pri">#REF!</definedName>
    <definedName name="sh_pti" localSheetId="4">#REF!</definedName>
    <definedName name="sh_pti" localSheetId="5">#REF!</definedName>
    <definedName name="sh_pti" localSheetId="15">#REF!</definedName>
    <definedName name="sh_pti" localSheetId="19">#REF!</definedName>
    <definedName name="sh_pti" localSheetId="18">#REF!</definedName>
    <definedName name="sh_pti" localSheetId="14">#REF!</definedName>
    <definedName name="sh_pti" localSheetId="12">#REF!</definedName>
    <definedName name="sh_pti" localSheetId="24">#REF!</definedName>
    <definedName name="sh_pti" localSheetId="7">#REF!</definedName>
    <definedName name="sh_pti" localSheetId="20">#REF!</definedName>
    <definedName name="sh_pti" localSheetId="21">#REF!</definedName>
    <definedName name="sh_pti" localSheetId="11">#REF!</definedName>
    <definedName name="sh_pti" localSheetId="17">#REF!</definedName>
    <definedName name="sh_pti" localSheetId="16">#REF!</definedName>
    <definedName name="sh_pti" localSheetId="22">#REF!</definedName>
    <definedName name="sh_pti" localSheetId="9">#REF!</definedName>
    <definedName name="sh_pti" localSheetId="13">#REF!</definedName>
    <definedName name="sh_pti" localSheetId="23">#REF!</definedName>
    <definedName name="sh_pti">#REF!</definedName>
    <definedName name="Share_Data" localSheetId="4">#REF!</definedName>
    <definedName name="Share_Data" localSheetId="5">#REF!</definedName>
    <definedName name="Share_Data" localSheetId="15">#REF!</definedName>
    <definedName name="Share_Data" localSheetId="19">#REF!</definedName>
    <definedName name="Share_Data" localSheetId="18">#REF!</definedName>
    <definedName name="Share_Data" localSheetId="14">#REF!</definedName>
    <definedName name="Share_Data" localSheetId="12">#REF!</definedName>
    <definedName name="Share_Data" localSheetId="24">#REF!</definedName>
    <definedName name="Share_Data" localSheetId="7">#REF!</definedName>
    <definedName name="Share_Data" localSheetId="20">#REF!</definedName>
    <definedName name="Share_Data" localSheetId="21">#REF!</definedName>
    <definedName name="Share_Data" localSheetId="11">#REF!</definedName>
    <definedName name="Share_Data" localSheetId="17">#REF!</definedName>
    <definedName name="Share_Data" localSheetId="16">#REF!</definedName>
    <definedName name="Share_Data" localSheetId="22">#REF!</definedName>
    <definedName name="Share_Data" localSheetId="9">#REF!</definedName>
    <definedName name="Share_Data" localSheetId="13">#REF!</definedName>
    <definedName name="Share_Data" localSheetId="23">#REF!</definedName>
    <definedName name="Share_Data">#REF!</definedName>
    <definedName name="share_of_associate_profit_qtr">#REF!</definedName>
    <definedName name="share_premium">#REF!</definedName>
    <definedName name="share_premium_A">#REF!</definedName>
    <definedName name="Share_price" localSheetId="4">#REF!</definedName>
    <definedName name="share_price" localSheetId="5">#REF!</definedName>
    <definedName name="share_price" localSheetId="15">#REF!</definedName>
    <definedName name="share_price" localSheetId="19">#REF!</definedName>
    <definedName name="share_price" localSheetId="18">#REF!</definedName>
    <definedName name="share_price" localSheetId="14">#REF!</definedName>
    <definedName name="share_price" localSheetId="12">#REF!</definedName>
    <definedName name="share_price" localSheetId="24">#REF!</definedName>
    <definedName name="share_price" localSheetId="7">#REF!</definedName>
    <definedName name="share_price" localSheetId="20">#REF!</definedName>
    <definedName name="share_price" localSheetId="21">#REF!</definedName>
    <definedName name="share_price" localSheetId="11">#REF!</definedName>
    <definedName name="share_price" localSheetId="17">#REF!</definedName>
    <definedName name="share_price" localSheetId="16">#REF!</definedName>
    <definedName name="share_price" localSheetId="22">#REF!</definedName>
    <definedName name="Share_price" localSheetId="9">#REF!</definedName>
    <definedName name="share_price" localSheetId="13">#REF!</definedName>
    <definedName name="share_price" localSheetId="23">#REF!</definedName>
    <definedName name="share_price">#REF!</definedName>
    <definedName name="share_vol">#REF!</definedName>
    <definedName name="ShareCapital" localSheetId="4">#REF!</definedName>
    <definedName name="ShareCapital" localSheetId="9">#REF!</definedName>
    <definedName name="ShareCapital">#REF!</definedName>
    <definedName name="Shareholder_value" localSheetId="4">#REF!</definedName>
    <definedName name="Shareholder_value" localSheetId="9">#REF!</definedName>
    <definedName name="Shareholder_value">#REF!</definedName>
    <definedName name="Shareholder_Value_EVA" localSheetId="4">#REF!</definedName>
    <definedName name="Shareholder_Value_EVA" localSheetId="9">#REF!</definedName>
    <definedName name="Shareholder_Value_EVA">#REF!</definedName>
    <definedName name="ShareholderFunds" localSheetId="4">#REF!</definedName>
    <definedName name="ShareholderFunds" localSheetId="9">#REF!</definedName>
    <definedName name="ShareholderFunds">#REF!</definedName>
    <definedName name="Shareholders__Funds_Q" localSheetId="4">#REF!</definedName>
    <definedName name="Shareholders__Funds_Q" localSheetId="5">#REF!</definedName>
    <definedName name="Shareholders__Funds_Q" localSheetId="15">#REF!</definedName>
    <definedName name="Shareholders__Funds_Q" localSheetId="19">#REF!</definedName>
    <definedName name="Shareholders__Funds_Q" localSheetId="18">#REF!</definedName>
    <definedName name="Shareholders__Funds_Q" localSheetId="14">#REF!</definedName>
    <definedName name="Shareholders__Funds_Q" localSheetId="12">#REF!</definedName>
    <definedName name="Shareholders__Funds_Q" localSheetId="24">#REF!</definedName>
    <definedName name="Shareholders__Funds_Q" localSheetId="7">#REF!</definedName>
    <definedName name="Shareholders__Funds_Q" localSheetId="20">#REF!</definedName>
    <definedName name="Shareholders__Funds_Q" localSheetId="21">#REF!</definedName>
    <definedName name="Shareholders__Funds_Q" localSheetId="11">#REF!</definedName>
    <definedName name="Shareholders__Funds_Q" localSheetId="17">#REF!</definedName>
    <definedName name="Shareholders__Funds_Q" localSheetId="16">#REF!</definedName>
    <definedName name="Shareholders__Funds_Q" localSheetId="22">#REF!</definedName>
    <definedName name="Shareholders__Funds_Q" localSheetId="9">#REF!</definedName>
    <definedName name="Shareholders__Funds_Q" localSheetId="13">#REF!</definedName>
    <definedName name="Shareholders__Funds_Q" localSheetId="23">#REF!</definedName>
    <definedName name="Shareholders__Funds_Q">#REF!</definedName>
    <definedName name="shareholders_equity">#REF!</definedName>
    <definedName name="shareholders_equity_A">#REF!</definedName>
    <definedName name="shareholders_equity_Q">#REF!</definedName>
    <definedName name="shareholders_funds">#REF!</definedName>
    <definedName name="Shareholders_Funds_Q" localSheetId="4">#REF!</definedName>
    <definedName name="Shareholders_Funds_Q" localSheetId="5">#REF!</definedName>
    <definedName name="Shareholders_Funds_Q" localSheetId="15">#REF!</definedName>
    <definedName name="Shareholders_Funds_Q" localSheetId="19">#REF!</definedName>
    <definedName name="Shareholders_Funds_Q" localSheetId="18">#REF!</definedName>
    <definedName name="Shareholders_Funds_Q" localSheetId="14">#REF!</definedName>
    <definedName name="Shareholders_Funds_Q" localSheetId="12">#REF!</definedName>
    <definedName name="Shareholders_Funds_Q" localSheetId="24">#REF!</definedName>
    <definedName name="Shareholders_Funds_Q" localSheetId="7">#REF!</definedName>
    <definedName name="Shareholders_Funds_Q" localSheetId="20">#REF!</definedName>
    <definedName name="Shareholders_Funds_Q" localSheetId="21">#REF!</definedName>
    <definedName name="Shareholders_Funds_Q" localSheetId="11">#REF!</definedName>
    <definedName name="Shareholders_Funds_Q" localSheetId="17">#REF!</definedName>
    <definedName name="Shareholders_Funds_Q" localSheetId="16">#REF!</definedName>
    <definedName name="Shareholders_Funds_Q" localSheetId="22">#REF!</definedName>
    <definedName name="Shareholders_Funds_Q" localSheetId="9">#REF!</definedName>
    <definedName name="Shareholders_Funds_Q" localSheetId="13">#REF!</definedName>
    <definedName name="Shareholders_Funds_Q" localSheetId="23">#REF!</definedName>
    <definedName name="Shareholders_Funds_Q">#REF!</definedName>
    <definedName name="ShareholdersFunds" localSheetId="4">#REF!</definedName>
    <definedName name="ShareholdersFunds" localSheetId="9">#REF!</definedName>
    <definedName name="ShareholdersFunds">#REF!</definedName>
    <definedName name="SHARES" localSheetId="4">#REF!</definedName>
    <definedName name="SHARES" localSheetId="5">#REF!</definedName>
    <definedName name="SHARES" localSheetId="15">#REF!</definedName>
    <definedName name="SHARES" localSheetId="19">#REF!</definedName>
    <definedName name="SHARES" localSheetId="18">#REF!</definedName>
    <definedName name="SHARES" localSheetId="14">#REF!</definedName>
    <definedName name="SHARES" localSheetId="12">#REF!</definedName>
    <definedName name="SHARES" localSheetId="24">#REF!</definedName>
    <definedName name="SHARES" localSheetId="7">#REF!</definedName>
    <definedName name="SHARES" localSheetId="20">#REF!</definedName>
    <definedName name="SHARES" localSheetId="21">#REF!</definedName>
    <definedName name="SHARES" localSheetId="11">#REF!</definedName>
    <definedName name="SHARES" localSheetId="17">#REF!</definedName>
    <definedName name="SHARES" localSheetId="16">#REF!</definedName>
    <definedName name="SHARES" localSheetId="22">#REF!</definedName>
    <definedName name="SHARES" localSheetId="9">#REF!</definedName>
    <definedName name="SHARES" localSheetId="13">#REF!</definedName>
    <definedName name="SHARES" localSheetId="23">#REF!</definedName>
    <definedName name="SHARES">#REF!</definedName>
    <definedName name="Shares_DCF" localSheetId="4">#REF!</definedName>
    <definedName name="Shares_DCF" localSheetId="9">#REF!</definedName>
    <definedName name="Shares_DCF">#REF!</definedName>
    <definedName name="Shares_fore" localSheetId="4">#REF!</definedName>
    <definedName name="Shares_fore" localSheetId="5">#REF!</definedName>
    <definedName name="Shares_fore" localSheetId="15">#REF!</definedName>
    <definedName name="Shares_fore" localSheetId="19">#REF!</definedName>
    <definedName name="Shares_fore" localSheetId="18">#REF!</definedName>
    <definedName name="Shares_fore" localSheetId="14">#REF!</definedName>
    <definedName name="Shares_fore" localSheetId="12">#REF!</definedName>
    <definedName name="Shares_fore" localSheetId="24">#REF!</definedName>
    <definedName name="Shares_fore" localSheetId="7">#REF!</definedName>
    <definedName name="Shares_fore" localSheetId="20">#REF!</definedName>
    <definedName name="Shares_fore" localSheetId="21">#REF!</definedName>
    <definedName name="Shares_fore" localSheetId="11">#REF!</definedName>
    <definedName name="Shares_fore" localSheetId="17">#REF!</definedName>
    <definedName name="Shares_fore" localSheetId="16">#REF!</definedName>
    <definedName name="Shares_fore" localSheetId="22">#REF!</definedName>
    <definedName name="Shares_fore" localSheetId="9">#REF!</definedName>
    <definedName name="Shares_fore" localSheetId="13">#REF!</definedName>
    <definedName name="Shares_fore" localSheetId="23">#REF!</definedName>
    <definedName name="Shares_fore">#REF!</definedName>
    <definedName name="Shares_growth" localSheetId="4">#REF!</definedName>
    <definedName name="Shares_growth" localSheetId="9">#REF!</definedName>
    <definedName name="Shares_growth">#REF!</definedName>
    <definedName name="Shares_growth_fore" localSheetId="4">#REF!</definedName>
    <definedName name="Shares_growth_fore" localSheetId="5">#REF!</definedName>
    <definedName name="Shares_growth_fore" localSheetId="15">#REF!</definedName>
    <definedName name="Shares_growth_fore" localSheetId="19">#REF!</definedName>
    <definedName name="Shares_growth_fore" localSheetId="18">#REF!</definedName>
    <definedName name="Shares_growth_fore" localSheetId="14">#REF!</definedName>
    <definedName name="Shares_growth_fore" localSheetId="12">#REF!</definedName>
    <definedName name="Shares_growth_fore" localSheetId="24">#REF!</definedName>
    <definedName name="Shares_growth_fore" localSheetId="7">#REF!</definedName>
    <definedName name="Shares_growth_fore" localSheetId="20">#REF!</definedName>
    <definedName name="Shares_growth_fore" localSheetId="21">#REF!</definedName>
    <definedName name="Shares_growth_fore" localSheetId="11">#REF!</definedName>
    <definedName name="Shares_growth_fore" localSheetId="17">#REF!</definedName>
    <definedName name="Shares_growth_fore" localSheetId="16">#REF!</definedName>
    <definedName name="Shares_growth_fore" localSheetId="22">#REF!</definedName>
    <definedName name="Shares_growth_fore" localSheetId="9">#REF!</definedName>
    <definedName name="Shares_growth_fore" localSheetId="13">#REF!</definedName>
    <definedName name="Shares_growth_fore" localSheetId="23">#REF!</definedName>
    <definedName name="Shares_growth_fore">#REF!</definedName>
    <definedName name="shares_outstanding_Q">#REF!</definedName>
    <definedName name="Shares_repurchase_liability">#REF!</definedName>
    <definedName name="shinhanwgt">#REF!</definedName>
    <definedName name="SHIP">#REF!</definedName>
    <definedName name="Short_Flow_Data" localSheetId="4">#REF!</definedName>
    <definedName name="Short_Flow_Data" localSheetId="5">#REF!</definedName>
    <definedName name="Short_Flow_Data" localSheetId="15">#REF!</definedName>
    <definedName name="Short_Flow_Data" localSheetId="19">#REF!</definedName>
    <definedName name="Short_Flow_Data" localSheetId="18">#REF!</definedName>
    <definedName name="Short_Flow_Data" localSheetId="14">#REF!</definedName>
    <definedName name="Short_Flow_Data" localSheetId="12">#REF!</definedName>
    <definedName name="Short_Flow_Data" localSheetId="24">#REF!</definedName>
    <definedName name="Short_Flow_Data" localSheetId="7">#REF!</definedName>
    <definedName name="Short_Flow_Data" localSheetId="20">#REF!</definedName>
    <definedName name="Short_Flow_Data" localSheetId="21">#REF!</definedName>
    <definedName name="Short_Flow_Data" localSheetId="11">#REF!</definedName>
    <definedName name="Short_Flow_Data" localSheetId="17">#REF!</definedName>
    <definedName name="Short_Flow_Data" localSheetId="16">#REF!</definedName>
    <definedName name="Short_Flow_Data" localSheetId="22">#REF!</definedName>
    <definedName name="Short_Flow_Data" localSheetId="9">#REF!</definedName>
    <definedName name="Short_Flow_Data" localSheetId="13">#REF!</definedName>
    <definedName name="Short_Flow_Data" localSheetId="23">#REF!</definedName>
    <definedName name="Short_Flow_Data">#REF!</definedName>
    <definedName name="short_term_debt">#REF!</definedName>
    <definedName name="ShortTermDebt" localSheetId="4">#REF!</definedName>
    <definedName name="ShortTermDebt" localSheetId="5">#REF!</definedName>
    <definedName name="ShortTermDebt" localSheetId="15">#REF!</definedName>
    <definedName name="ShortTermDebt" localSheetId="19">#REF!</definedName>
    <definedName name="ShortTermDebt" localSheetId="18">#REF!</definedName>
    <definedName name="ShortTermDebt" localSheetId="14">#REF!</definedName>
    <definedName name="ShortTermDebt" localSheetId="12">#REF!</definedName>
    <definedName name="ShortTermDebt" localSheetId="24">#REF!</definedName>
    <definedName name="ShortTermDebt" localSheetId="7">#REF!</definedName>
    <definedName name="ShortTermDebt" localSheetId="20">#REF!</definedName>
    <definedName name="ShortTermDebt" localSheetId="21">#REF!</definedName>
    <definedName name="ShortTermDebt" localSheetId="11">#REF!</definedName>
    <definedName name="ShortTermDebt" localSheetId="17">#REF!</definedName>
    <definedName name="ShortTermDebt" localSheetId="16">#REF!</definedName>
    <definedName name="ShortTermDebt" localSheetId="22">#REF!</definedName>
    <definedName name="ShortTermDebt" localSheetId="9">#REF!</definedName>
    <definedName name="ShortTermDebt" localSheetId="13">#REF!</definedName>
    <definedName name="ShortTermDebt" localSheetId="23">#REF!</definedName>
    <definedName name="ShortTermDebt">#REF!</definedName>
    <definedName name="ShOutst">#REF!</definedName>
    <definedName name="ShPrm">#REF!</definedName>
    <definedName name="ShPrmChg" hidden="1">#REF!</definedName>
    <definedName name="SI_BM11" localSheetId="4">#REF!</definedName>
    <definedName name="SI_BM11" localSheetId="5">#REF!</definedName>
    <definedName name="SI_BM11" localSheetId="15">#REF!</definedName>
    <definedName name="SI_BM11" localSheetId="19">#REF!</definedName>
    <definedName name="SI_BM11" localSheetId="18">#REF!</definedName>
    <definedName name="SI_BM11" localSheetId="14">#REF!</definedName>
    <definedName name="SI_BM11" localSheetId="12">#REF!</definedName>
    <definedName name="SI_BM11" localSheetId="24">#REF!</definedName>
    <definedName name="SI_BM11" localSheetId="7">#REF!</definedName>
    <definedName name="SI_BM11" localSheetId="20">#REF!</definedName>
    <definedName name="SI_BM11" localSheetId="21">#REF!</definedName>
    <definedName name="SI_BM11" localSheetId="11">#REF!</definedName>
    <definedName name="SI_BM11" localSheetId="17">#REF!</definedName>
    <definedName name="SI_BM11" localSheetId="16">#REF!</definedName>
    <definedName name="SI_BM11" localSheetId="22">#REF!</definedName>
    <definedName name="SI_BM11" localSheetId="9">#REF!</definedName>
    <definedName name="SI_BM11" localSheetId="13">#REF!</definedName>
    <definedName name="SI_BM11" localSheetId="23">#REF!</definedName>
    <definedName name="SI_BM11">#REF!</definedName>
    <definedName name="SI_BM12" localSheetId="4">#REF!</definedName>
    <definedName name="SI_BM12" localSheetId="5">#REF!</definedName>
    <definedName name="SI_BM12" localSheetId="15">#REF!</definedName>
    <definedName name="SI_BM12" localSheetId="19">#REF!</definedName>
    <definedName name="SI_BM12" localSheetId="18">#REF!</definedName>
    <definedName name="SI_BM12" localSheetId="14">#REF!</definedName>
    <definedName name="SI_BM12" localSheetId="12">#REF!</definedName>
    <definedName name="SI_BM12" localSheetId="24">#REF!</definedName>
    <definedName name="SI_BM12" localSheetId="7">#REF!</definedName>
    <definedName name="SI_BM12" localSheetId="20">#REF!</definedName>
    <definedName name="SI_BM12" localSheetId="21">#REF!</definedName>
    <definedName name="SI_BM12" localSheetId="11">#REF!</definedName>
    <definedName name="SI_BM12" localSheetId="17">#REF!</definedName>
    <definedName name="SI_BM12" localSheetId="16">#REF!</definedName>
    <definedName name="SI_BM12" localSheetId="22">#REF!</definedName>
    <definedName name="SI_BM12" localSheetId="9">#REF!</definedName>
    <definedName name="SI_BM12" localSheetId="13">#REF!</definedName>
    <definedName name="SI_BM12" localSheetId="23">#REF!</definedName>
    <definedName name="SI_BM12">#REF!</definedName>
    <definedName name="SI_BM13" localSheetId="4">#REF!</definedName>
    <definedName name="SI_BM13" localSheetId="5">#REF!</definedName>
    <definedName name="SI_BM13" localSheetId="15">#REF!</definedName>
    <definedName name="SI_BM13" localSheetId="19">#REF!</definedName>
    <definedName name="SI_BM13" localSheetId="18">#REF!</definedName>
    <definedName name="SI_BM13" localSheetId="14">#REF!</definedName>
    <definedName name="SI_BM13" localSheetId="12">#REF!</definedName>
    <definedName name="SI_BM13" localSheetId="24">#REF!</definedName>
    <definedName name="SI_BM13" localSheetId="7">#REF!</definedName>
    <definedName name="SI_BM13" localSheetId="20">#REF!</definedName>
    <definedName name="SI_BM13" localSheetId="21">#REF!</definedName>
    <definedName name="SI_BM13" localSheetId="11">#REF!</definedName>
    <definedName name="SI_BM13" localSheetId="17">#REF!</definedName>
    <definedName name="SI_BM13" localSheetId="16">#REF!</definedName>
    <definedName name="SI_BM13" localSheetId="22">#REF!</definedName>
    <definedName name="SI_BM13" localSheetId="9">#REF!</definedName>
    <definedName name="SI_BM13" localSheetId="13">#REF!</definedName>
    <definedName name="SI_BM13" localSheetId="23">#REF!</definedName>
    <definedName name="SI_BM13">#REF!</definedName>
    <definedName name="SI_BM14" localSheetId="4">#REF!</definedName>
    <definedName name="SI_BM14" localSheetId="9">#REF!</definedName>
    <definedName name="SI_BM14">#REF!</definedName>
    <definedName name="SI_BM15" localSheetId="4">#REF!</definedName>
    <definedName name="SI_BM15" localSheetId="9">#REF!</definedName>
    <definedName name="SI_BM15">#REF!</definedName>
    <definedName name="SI_BM16" localSheetId="4">#REF!</definedName>
    <definedName name="SI_BM16" localSheetId="9">#REF!</definedName>
    <definedName name="SI_BM16">#REF!</definedName>
    <definedName name="SI_BM17" localSheetId="4">#REF!</definedName>
    <definedName name="SI_BM17" localSheetId="9">#REF!</definedName>
    <definedName name="SI_BM17">#REF!</definedName>
    <definedName name="SI_BM18" localSheetId="4">#REF!</definedName>
    <definedName name="SI_BM18" localSheetId="9">#REF!</definedName>
    <definedName name="SI_BM18">#REF!</definedName>
    <definedName name="SI_BM21_N0" localSheetId="4">#REF!</definedName>
    <definedName name="SI_BM21_N0" localSheetId="9">#REF!</definedName>
    <definedName name="SI_BM21_N0">#REF!</definedName>
    <definedName name="SI_BM22_P2" localSheetId="4">#REF!</definedName>
    <definedName name="SI_BM22_P2" localSheetId="9">#REF!</definedName>
    <definedName name="SI_BM22_P2">#REF!</definedName>
    <definedName name="SI_BM23" localSheetId="4">#REF!</definedName>
    <definedName name="SI_BM23" localSheetId="9">#REF!</definedName>
    <definedName name="SI_BM23">#REF!</definedName>
    <definedName name="SI_BM24" localSheetId="4">#REF!</definedName>
    <definedName name="SI_BM24" localSheetId="9">#REF!</definedName>
    <definedName name="SI_BM24">#REF!</definedName>
    <definedName name="SI_BM25_N0" localSheetId="4">#REF!</definedName>
    <definedName name="SI_BM25_N0" localSheetId="9">#REF!</definedName>
    <definedName name="SI_BM25_N0">#REF!</definedName>
    <definedName name="SI_BM26_N0" localSheetId="4">#REF!</definedName>
    <definedName name="SI_BM26_N0" localSheetId="9">#REF!</definedName>
    <definedName name="SI_BM26_N0">#REF!</definedName>
    <definedName name="Simplex" localSheetId="4">#REF!</definedName>
    <definedName name="Simplex" localSheetId="9">#REF!</definedName>
    <definedName name="Simplex">#REF!</definedName>
    <definedName name="sin"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1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1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1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2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7"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20"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2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17"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2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1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localSheetId="2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singapore">#REF!</definedName>
    <definedName name="Site_Num">#REF!</definedName>
    <definedName name="SKV_BM11" localSheetId="4">#REF!</definedName>
    <definedName name="SKV_BM11" localSheetId="5">#REF!</definedName>
    <definedName name="SKV_BM11" localSheetId="15">#REF!</definedName>
    <definedName name="SKV_BM11" localSheetId="19">#REF!</definedName>
    <definedName name="SKV_BM11" localSheetId="18">#REF!</definedName>
    <definedName name="SKV_BM11" localSheetId="14">#REF!</definedName>
    <definedName name="SKV_BM11" localSheetId="12">#REF!</definedName>
    <definedName name="SKV_BM11" localSheetId="24">#REF!</definedName>
    <definedName name="SKV_BM11" localSheetId="7">#REF!</definedName>
    <definedName name="SKV_BM11" localSheetId="20">#REF!</definedName>
    <definedName name="SKV_BM11" localSheetId="21">#REF!</definedName>
    <definedName name="SKV_BM11" localSheetId="11">#REF!</definedName>
    <definedName name="SKV_BM11" localSheetId="17">#REF!</definedName>
    <definedName name="SKV_BM11" localSheetId="16">#REF!</definedName>
    <definedName name="SKV_BM11" localSheetId="22">#REF!</definedName>
    <definedName name="SKV_BM11" localSheetId="9">#REF!</definedName>
    <definedName name="SKV_BM11" localSheetId="13">#REF!</definedName>
    <definedName name="SKV_BM11" localSheetId="23">#REF!</definedName>
    <definedName name="SKV_BM11">#REF!</definedName>
    <definedName name="SKV_BM12" localSheetId="4">#REF!</definedName>
    <definedName name="SKV_BM12" localSheetId="5">#REF!</definedName>
    <definedName name="SKV_BM12" localSheetId="15">#REF!</definedName>
    <definedName name="SKV_BM12" localSheetId="19">#REF!</definedName>
    <definedName name="SKV_BM12" localSheetId="18">#REF!</definedName>
    <definedName name="SKV_BM12" localSheetId="14">#REF!</definedName>
    <definedName name="SKV_BM12" localSheetId="12">#REF!</definedName>
    <definedName name="SKV_BM12" localSheetId="24">#REF!</definedName>
    <definedName name="SKV_BM12" localSheetId="7">#REF!</definedName>
    <definedName name="SKV_BM12" localSheetId="20">#REF!</definedName>
    <definedName name="SKV_BM12" localSheetId="21">#REF!</definedName>
    <definedName name="SKV_BM12" localSheetId="11">#REF!</definedName>
    <definedName name="SKV_BM12" localSheetId="17">#REF!</definedName>
    <definedName name="SKV_BM12" localSheetId="16">#REF!</definedName>
    <definedName name="SKV_BM12" localSheetId="22">#REF!</definedName>
    <definedName name="SKV_BM12" localSheetId="9">#REF!</definedName>
    <definedName name="SKV_BM12" localSheetId="13">#REF!</definedName>
    <definedName name="SKV_BM12" localSheetId="23">#REF!</definedName>
    <definedName name="SKV_BM12">#REF!</definedName>
    <definedName name="SKV_BM13" localSheetId="4">#REF!</definedName>
    <definedName name="SKV_BM13" localSheetId="5">#REF!</definedName>
    <definedName name="SKV_BM13" localSheetId="15">#REF!</definedName>
    <definedName name="SKV_BM13" localSheetId="19">#REF!</definedName>
    <definedName name="SKV_BM13" localSheetId="18">#REF!</definedName>
    <definedName name="SKV_BM13" localSheetId="14">#REF!</definedName>
    <definedName name="SKV_BM13" localSheetId="12">#REF!</definedName>
    <definedName name="SKV_BM13" localSheetId="24">#REF!</definedName>
    <definedName name="SKV_BM13" localSheetId="7">#REF!</definedName>
    <definedName name="SKV_BM13" localSheetId="20">#REF!</definedName>
    <definedName name="SKV_BM13" localSheetId="21">#REF!</definedName>
    <definedName name="SKV_BM13" localSheetId="11">#REF!</definedName>
    <definedName name="SKV_BM13" localSheetId="17">#REF!</definedName>
    <definedName name="SKV_BM13" localSheetId="16">#REF!</definedName>
    <definedName name="SKV_BM13" localSheetId="22">#REF!</definedName>
    <definedName name="SKV_BM13" localSheetId="9">#REF!</definedName>
    <definedName name="SKV_BM13" localSheetId="13">#REF!</definedName>
    <definedName name="SKV_BM13" localSheetId="23">#REF!</definedName>
    <definedName name="SKV_BM13">#REF!</definedName>
    <definedName name="SKV_BM14" localSheetId="4">#REF!</definedName>
    <definedName name="SKV_BM14" localSheetId="9">#REF!</definedName>
    <definedName name="SKV_BM14">#REF!</definedName>
    <definedName name="SKV_BM21" localSheetId="4">#REF!</definedName>
    <definedName name="SKV_BM21" localSheetId="9">#REF!</definedName>
    <definedName name="SKV_BM21">#REF!</definedName>
    <definedName name="SKV_BM22_P0" localSheetId="4">#REF!</definedName>
    <definedName name="SKV_BM22_P0" localSheetId="9">#REF!</definedName>
    <definedName name="SKV_BM22_P0">#REF!</definedName>
    <definedName name="SKV_BM23_P0" localSheetId="4">#REF!</definedName>
    <definedName name="SKV_BM23_P0" localSheetId="9">#REF!</definedName>
    <definedName name="SKV_BM23_P0">#REF!</definedName>
    <definedName name="SKV_BM24_P0" localSheetId="4">#REF!</definedName>
    <definedName name="SKV_BM24_P0" localSheetId="9">#REF!</definedName>
    <definedName name="SKV_BM24_P0">#REF!</definedName>
    <definedName name="SKV_BM31" localSheetId="4">#REF!</definedName>
    <definedName name="SKV_BM31" localSheetId="9">#REF!</definedName>
    <definedName name="SKV_BM31">#REF!</definedName>
    <definedName name="SKV_BM32_P0" localSheetId="4">#REF!</definedName>
    <definedName name="SKV_BM32_P0" localSheetId="9">#REF!</definedName>
    <definedName name="SKV_BM32_P0">#REF!</definedName>
    <definedName name="SKV_BM33_P0" localSheetId="4">#REF!</definedName>
    <definedName name="SKV_BM33_P0" localSheetId="9">#REF!</definedName>
    <definedName name="SKV_BM33_P0">#REF!</definedName>
    <definedName name="SKV_BM34_P0" localSheetId="4">#REF!</definedName>
    <definedName name="SKV_BM34_P0" localSheetId="9">#REF!</definedName>
    <definedName name="SKV_BM34_P0">#REF!</definedName>
    <definedName name="small_cap" localSheetId="4">#REF!</definedName>
    <definedName name="small_cap" localSheetId="9">#REF!</definedName>
    <definedName name="small_cap">#REF!</definedName>
    <definedName name="Small_is_beautiful_fund_bonds_Investment" localSheetId="4">#REF!</definedName>
    <definedName name="Small_is_beautiful_fund_bonds_Investment" localSheetId="9">#REF!</definedName>
    <definedName name="Small_is_beautiful_fund_bonds_Investment">#REF!</definedName>
    <definedName name="software" localSheetId="4">#REF!</definedName>
    <definedName name="software" localSheetId="9">#REF!</definedName>
    <definedName name="software">#REF!</definedName>
    <definedName name="Softwares_GB">#REF!</definedName>
    <definedName name="solver_adj" localSheetId="5" hidden="1">#REF!</definedName>
    <definedName name="solver_adj" localSheetId="15" hidden="1">#REF!</definedName>
    <definedName name="solver_adj" localSheetId="19" hidden="1">#REF!</definedName>
    <definedName name="solver_adj" localSheetId="18" hidden="1">#REF!</definedName>
    <definedName name="solver_adj" localSheetId="14" hidden="1">#REF!</definedName>
    <definedName name="solver_adj" localSheetId="12" hidden="1">#REF!</definedName>
    <definedName name="solver_adj" localSheetId="24" hidden="1">#REF!</definedName>
    <definedName name="solver_adj" localSheetId="7" hidden="1">#REF!</definedName>
    <definedName name="solver_adj" localSheetId="20" hidden="1">#REF!</definedName>
    <definedName name="solver_adj" localSheetId="21" hidden="1">#REF!</definedName>
    <definedName name="solver_adj" localSheetId="11" hidden="1">#REF!</definedName>
    <definedName name="solver_adj" localSheetId="17" hidden="1">#REF!</definedName>
    <definedName name="solver_adj" localSheetId="16" hidden="1">#REF!</definedName>
    <definedName name="solver_adj" localSheetId="22" hidden="1">#REF!</definedName>
    <definedName name="solver_adj" localSheetId="13" hidden="1">#REF!</definedName>
    <definedName name="solver_adj" localSheetId="23" hidden="1">#REF!</definedName>
    <definedName name="solver_adj" hidden="1">#REF!</definedName>
    <definedName name="solver_lhs10" localSheetId="4" hidden="1">#REF!</definedName>
    <definedName name="solver_lhs10" localSheetId="5" hidden="1">#REF!</definedName>
    <definedName name="solver_lhs10" localSheetId="15" hidden="1">#REF!</definedName>
    <definedName name="solver_lhs10" localSheetId="19" hidden="1">#REF!</definedName>
    <definedName name="solver_lhs10" localSheetId="18" hidden="1">#REF!</definedName>
    <definedName name="solver_lhs10" localSheetId="14" hidden="1">#REF!</definedName>
    <definedName name="solver_lhs10" localSheetId="12" hidden="1">#REF!</definedName>
    <definedName name="solver_lhs10" localSheetId="24" hidden="1">#REF!</definedName>
    <definedName name="solver_lhs10" localSheetId="7" hidden="1">#REF!</definedName>
    <definedName name="solver_lhs10" localSheetId="20" hidden="1">#REF!</definedName>
    <definedName name="solver_lhs10" localSheetId="21" hidden="1">#REF!</definedName>
    <definedName name="solver_lhs10" localSheetId="11" hidden="1">#REF!</definedName>
    <definedName name="solver_lhs10" localSheetId="17" hidden="1">#REF!</definedName>
    <definedName name="solver_lhs10" localSheetId="16" hidden="1">#REF!</definedName>
    <definedName name="solver_lhs10" localSheetId="22" hidden="1">#REF!</definedName>
    <definedName name="solver_lhs10" localSheetId="9" hidden="1">#REF!</definedName>
    <definedName name="solver_lhs10" localSheetId="13" hidden="1">#REF!</definedName>
    <definedName name="solver_lhs10" localSheetId="23" hidden="1">#REF!</definedName>
    <definedName name="solver_lhs10" hidden="1">#REF!</definedName>
    <definedName name="solver_lhs11" localSheetId="4" hidden="1">#REF!</definedName>
    <definedName name="solver_lhs11" localSheetId="5" hidden="1">#REF!</definedName>
    <definedName name="solver_lhs11" localSheetId="15" hidden="1">#REF!</definedName>
    <definedName name="solver_lhs11" localSheetId="19" hidden="1">#REF!</definedName>
    <definedName name="solver_lhs11" localSheetId="18" hidden="1">#REF!</definedName>
    <definedName name="solver_lhs11" localSheetId="14" hidden="1">#REF!</definedName>
    <definedName name="solver_lhs11" localSheetId="12" hidden="1">#REF!</definedName>
    <definedName name="solver_lhs11" localSheetId="24" hidden="1">#REF!</definedName>
    <definedName name="solver_lhs11" localSheetId="7" hidden="1">#REF!</definedName>
    <definedName name="solver_lhs11" localSheetId="20" hidden="1">#REF!</definedName>
    <definedName name="solver_lhs11" localSheetId="21" hidden="1">#REF!</definedName>
    <definedName name="solver_lhs11" localSheetId="11" hidden="1">#REF!</definedName>
    <definedName name="solver_lhs11" localSheetId="17" hidden="1">#REF!</definedName>
    <definedName name="solver_lhs11" localSheetId="16" hidden="1">#REF!</definedName>
    <definedName name="solver_lhs11" localSheetId="22" hidden="1">#REF!</definedName>
    <definedName name="solver_lhs11" localSheetId="9" hidden="1">#REF!</definedName>
    <definedName name="solver_lhs11" localSheetId="13" hidden="1">#REF!</definedName>
    <definedName name="solver_lhs11" localSheetId="23" hidden="1">#REF!</definedName>
    <definedName name="solver_lhs11" hidden="1">#REF!</definedName>
    <definedName name="solver_lhs12" localSheetId="4" hidden="1">#REF!</definedName>
    <definedName name="solver_lhs12" localSheetId="5" hidden="1">#REF!</definedName>
    <definedName name="solver_lhs12" localSheetId="15" hidden="1">#REF!</definedName>
    <definedName name="solver_lhs12" localSheetId="19" hidden="1">#REF!</definedName>
    <definedName name="solver_lhs12" localSheetId="18" hidden="1">#REF!</definedName>
    <definedName name="solver_lhs12" localSheetId="14" hidden="1">#REF!</definedName>
    <definedName name="solver_lhs12" localSheetId="12" hidden="1">#REF!</definedName>
    <definedName name="solver_lhs12" localSheetId="24" hidden="1">#REF!</definedName>
    <definedName name="solver_lhs12" localSheetId="7" hidden="1">#REF!</definedName>
    <definedName name="solver_lhs12" localSheetId="20" hidden="1">#REF!</definedName>
    <definedName name="solver_lhs12" localSheetId="21" hidden="1">#REF!</definedName>
    <definedName name="solver_lhs12" localSheetId="11" hidden="1">#REF!</definedName>
    <definedName name="solver_lhs12" localSheetId="17" hidden="1">#REF!</definedName>
    <definedName name="solver_lhs12" localSheetId="16" hidden="1">#REF!</definedName>
    <definedName name="solver_lhs12" localSheetId="22" hidden="1">#REF!</definedName>
    <definedName name="solver_lhs12" localSheetId="9" hidden="1">#REF!</definedName>
    <definedName name="solver_lhs12" localSheetId="13" hidden="1">#REF!</definedName>
    <definedName name="solver_lhs12" localSheetId="23" hidden="1">#REF!</definedName>
    <definedName name="solver_lhs12" hidden="1">#REF!</definedName>
    <definedName name="solver_lhs13" localSheetId="4" hidden="1">#REF!</definedName>
    <definedName name="solver_lhs13" localSheetId="9" hidden="1">#REF!</definedName>
    <definedName name="solver_lhs13" hidden="1">#REF!</definedName>
    <definedName name="solver_lhs14" localSheetId="4" hidden="1">#REF!</definedName>
    <definedName name="solver_lhs14" localSheetId="9" hidden="1">#REF!</definedName>
    <definedName name="solver_lhs14" hidden="1">#REF!</definedName>
    <definedName name="solver_lhs15" localSheetId="4" hidden="1">#REF!</definedName>
    <definedName name="solver_lhs15" localSheetId="9" hidden="1">#REF!</definedName>
    <definedName name="solver_lhs15" hidden="1">#REF!</definedName>
    <definedName name="solver_lhs16" localSheetId="4" hidden="1">#REF!</definedName>
    <definedName name="solver_lhs16" localSheetId="9" hidden="1">#REF!</definedName>
    <definedName name="solver_lhs16" hidden="1">#REF!</definedName>
    <definedName name="solver_lhs17" localSheetId="4" hidden="1">#REF!</definedName>
    <definedName name="solver_lhs17" localSheetId="9" hidden="1">#REF!</definedName>
    <definedName name="solver_lhs17" hidden="1">#REF!</definedName>
    <definedName name="solver_lhs18" localSheetId="4" hidden="1">#REF!</definedName>
    <definedName name="solver_lhs18" localSheetId="9" hidden="1">#REF!</definedName>
    <definedName name="solver_lhs18" hidden="1">#REF!</definedName>
    <definedName name="solver_lhs19" localSheetId="4" hidden="1">#REF!</definedName>
    <definedName name="solver_lhs19" localSheetId="9" hidden="1">#REF!</definedName>
    <definedName name="solver_lhs19" hidden="1">#REF!</definedName>
    <definedName name="solver_lhs20" localSheetId="4" hidden="1">#REF!</definedName>
    <definedName name="solver_lhs20" localSheetId="9" hidden="1">#REF!</definedName>
    <definedName name="solver_lhs20" hidden="1">#REF!</definedName>
    <definedName name="solver_lhs21" localSheetId="4" hidden="1">#REF!</definedName>
    <definedName name="solver_lhs21" localSheetId="9" hidden="1">#REF!</definedName>
    <definedName name="solver_lhs21" hidden="1">#REF!</definedName>
    <definedName name="solver_lhs22" localSheetId="4" hidden="1">#REF!</definedName>
    <definedName name="solver_lhs22" localSheetId="9" hidden="1">#REF!</definedName>
    <definedName name="solver_lhs22" hidden="1">#REF!</definedName>
    <definedName name="solver_lhs23" localSheetId="4" hidden="1">#REF!</definedName>
    <definedName name="solver_lhs23" localSheetId="9" hidden="1">#REF!</definedName>
    <definedName name="solver_lhs23" hidden="1">#REF!</definedName>
    <definedName name="solver_lhs24" localSheetId="4" hidden="1">#REF!</definedName>
    <definedName name="solver_lhs24" localSheetId="9" hidden="1">#REF!</definedName>
    <definedName name="solver_lhs24" hidden="1">#REF!</definedName>
    <definedName name="solver_lhs25" localSheetId="4" hidden="1">#REF!</definedName>
    <definedName name="solver_lhs25" localSheetId="9" hidden="1">#REF!</definedName>
    <definedName name="solver_lhs25" hidden="1">#REF!</definedName>
    <definedName name="solver_lhs26" localSheetId="4" hidden="1">#REF!</definedName>
    <definedName name="solver_lhs26" localSheetId="9" hidden="1">#REF!</definedName>
    <definedName name="solver_lhs26" hidden="1">#REF!</definedName>
    <definedName name="solver_lhs27" localSheetId="4" hidden="1">#REF!</definedName>
    <definedName name="solver_lhs27" localSheetId="9" hidden="1">#REF!</definedName>
    <definedName name="solver_lhs27" hidden="1">#REF!</definedName>
    <definedName name="solver_lhs6" localSheetId="4" hidden="1">#REF!</definedName>
    <definedName name="solver_lhs6" localSheetId="9" hidden="1">#REF!</definedName>
    <definedName name="solver_lhs6" hidden="1">#REF!</definedName>
    <definedName name="solver_lhs7" localSheetId="4" hidden="1">#REF!</definedName>
    <definedName name="solver_lhs7" localSheetId="9" hidden="1">#REF!</definedName>
    <definedName name="solver_lhs7" hidden="1">#REF!</definedName>
    <definedName name="solver_lhs8" localSheetId="4" hidden="1">#REF!</definedName>
    <definedName name="solver_lhs8" localSheetId="9" hidden="1">#REF!</definedName>
    <definedName name="solver_lhs8" hidden="1">#REF!</definedName>
    <definedName name="solver_lhs9" localSheetId="4" hidden="1">#REF!</definedName>
    <definedName name="solver_lhs9" localSheetId="9" hidden="1">#REF!</definedName>
    <definedName name="solver_lhs9" hidden="1">#REF!</definedName>
    <definedName name="solver_lin" hidden="1">0</definedName>
    <definedName name="solver_num" hidden="1">0</definedName>
    <definedName name="solver_opt" localSheetId="4" hidden="1">#REF!</definedName>
    <definedName name="solver_opt" localSheetId="5" hidden="1">#REF!</definedName>
    <definedName name="solver_opt" localSheetId="15" hidden="1">#REF!</definedName>
    <definedName name="solver_opt" localSheetId="19" hidden="1">#REF!</definedName>
    <definedName name="solver_opt" localSheetId="18" hidden="1">#REF!</definedName>
    <definedName name="solver_opt" localSheetId="14" hidden="1">#REF!</definedName>
    <definedName name="solver_opt" localSheetId="12" hidden="1">#REF!</definedName>
    <definedName name="solver_opt" localSheetId="24" hidden="1">#REF!</definedName>
    <definedName name="solver_opt" localSheetId="7" hidden="1">#REF!</definedName>
    <definedName name="solver_opt" localSheetId="20" hidden="1">#REF!</definedName>
    <definedName name="solver_opt" localSheetId="21" hidden="1">#REF!</definedName>
    <definedName name="solver_opt" localSheetId="11" hidden="1">#REF!</definedName>
    <definedName name="solver_opt" localSheetId="17" hidden="1">#REF!</definedName>
    <definedName name="solver_opt" localSheetId="16" hidden="1">#REF!</definedName>
    <definedName name="solver_opt" localSheetId="22" hidden="1">#REF!</definedName>
    <definedName name="solver_opt" localSheetId="9" hidden="1">#REF!</definedName>
    <definedName name="solver_opt" localSheetId="13" hidden="1">#REF!</definedName>
    <definedName name="solver_opt" localSheetId="23" hidden="1">#REF!</definedName>
    <definedName name="solver_opt" hidden="1">#REF!</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2</definedName>
    <definedName name="solver_rel16" hidden="1">3</definedName>
    <definedName name="solver_rel17" hidden="1">3</definedName>
    <definedName name="solver_rel18" hidden="1">3</definedName>
    <definedName name="solver_rel19" hidden="1">3</definedName>
    <definedName name="solver_rel20" hidden="1">3</definedName>
    <definedName name="solver_rel21" hidden="1">3</definedName>
    <definedName name="solver_rel22" hidden="1">2</definedName>
    <definedName name="solver_rel23" hidden="1">2</definedName>
    <definedName name="solver_rel24" hidden="1">3</definedName>
    <definedName name="solver_rel25" hidden="1">3</definedName>
    <definedName name="solver_rel26" hidden="1">1</definedName>
    <definedName name="solver_rel27" hidden="1">3</definedName>
    <definedName name="solver_rel6" hidden="1">3</definedName>
    <definedName name="solver_rel7" hidden="1">3</definedName>
    <definedName name="solver_rel8" hidden="1">3</definedName>
    <definedName name="solver_rel9" hidden="1">3</definedName>
    <definedName name="solver_rhs10" hidden="1">270</definedName>
    <definedName name="solver_rhs11" hidden="1">10</definedName>
    <definedName name="solver_rhs12" hidden="1">40</definedName>
    <definedName name="solver_rhs13" hidden="1">30</definedName>
    <definedName name="solver_rhs14" hidden="1">20</definedName>
    <definedName name="solver_rhs15" hidden="1">100</definedName>
    <definedName name="solver_rhs16" hidden="1">15</definedName>
    <definedName name="solver_rhs17" hidden="1">10</definedName>
    <definedName name="solver_rhs18" hidden="1">5</definedName>
    <definedName name="solver_rhs19" hidden="1">1</definedName>
    <definedName name="solver_rhs20" hidden="1">1</definedName>
    <definedName name="solver_rhs21" hidden="1">15</definedName>
    <definedName name="solver_rhs22" hidden="1">0</definedName>
    <definedName name="solver_rhs23" hidden="1">0</definedName>
    <definedName name="solver_rhs24" hidden="1">4</definedName>
    <definedName name="solver_rhs25" hidden="1">5</definedName>
    <definedName name="solver_rhs26" hidden="1">3</definedName>
    <definedName name="solver_rhs27" hidden="1">10</definedName>
    <definedName name="solver_rhs6" hidden="1">8.5</definedName>
    <definedName name="solver_rhs7" hidden="1">25</definedName>
    <definedName name="solver_rhs8" hidden="1">110</definedName>
    <definedName name="solver_rhs9" hidden="1">40</definedName>
    <definedName name="solver_typ" localSheetId="4" hidden="1">1</definedName>
    <definedName name="solver_typ" localSheetId="9" hidden="1">1</definedName>
    <definedName name="solver_typ" hidden="1">3</definedName>
    <definedName name="solver_val" localSheetId="4" hidden="1">0</definedName>
    <definedName name="solver_val" localSheetId="9" hidden="1">0</definedName>
    <definedName name="solver_val" hidden="1">0.1076</definedName>
    <definedName name="Sources" hidden="1">{TRUE,TRUE,-1.25,-15.5,604.5,369,FALSE,FALSE,TRUE,TRUE,0,1,83,1,38,4,5,4,TRUE,TRUE,3,TRUE,1,TRUE,75,"Swvu.inputs._.raw._.data.","ACwvu.inputs._.raw._.data.",#N/A,FALSE,FALSE,0.5,0.5,0.5,0.5,2,"&amp;F","&amp;A&amp;RPage &amp;P",FALSE,FALSE,FALSE,FALSE,1,60,#N/A,#N/A,"=R1C61:R53C89","=C1:C5",#N/A,#N/A,FALSE,FALSE,FALSE,1,600,600,FALSE,FALSE,TRUE,TRUE,TRUE}</definedName>
    <definedName name="SP">#REF!</definedName>
    <definedName name="Special_Reserve_created___maintained" localSheetId="4">#REF!</definedName>
    <definedName name="Special_Reserve_created___maintained" localSheetId="5">#REF!</definedName>
    <definedName name="Special_Reserve_created___maintained" localSheetId="15">#REF!</definedName>
    <definedName name="Special_Reserve_created___maintained" localSheetId="19">#REF!</definedName>
    <definedName name="Special_Reserve_created___maintained" localSheetId="18">#REF!</definedName>
    <definedName name="Special_Reserve_created___maintained" localSheetId="14">#REF!</definedName>
    <definedName name="Special_Reserve_created___maintained" localSheetId="12">#REF!</definedName>
    <definedName name="Special_Reserve_created___maintained" localSheetId="24">#REF!</definedName>
    <definedName name="Special_Reserve_created___maintained" localSheetId="7">#REF!</definedName>
    <definedName name="Special_Reserve_created___maintained" localSheetId="20">#REF!</definedName>
    <definedName name="Special_Reserve_created___maintained" localSheetId="21">#REF!</definedName>
    <definedName name="Special_Reserve_created___maintained" localSheetId="11">#REF!</definedName>
    <definedName name="Special_Reserve_created___maintained" localSheetId="17">#REF!</definedName>
    <definedName name="Special_Reserve_created___maintained" localSheetId="16">#REF!</definedName>
    <definedName name="Special_Reserve_created___maintained" localSheetId="22">#REF!</definedName>
    <definedName name="Special_Reserve_created___maintained" localSheetId="9">#REF!</definedName>
    <definedName name="Special_Reserve_created___maintained" localSheetId="13">#REF!</definedName>
    <definedName name="Special_Reserve_created___maintained" localSheetId="23">#REF!</definedName>
    <definedName name="Special_Reserve_created___maintained">#REF!</definedName>
    <definedName name="Special_Reserve_created_and_maintained_PL">#REF!</definedName>
    <definedName name="Special_Reserve_created_maintained_BS_1" localSheetId="4">#REF!</definedName>
    <definedName name="Special_Reserve_created_maintained_BS_1" localSheetId="5">#REF!</definedName>
    <definedName name="Special_Reserve_created_maintained_BS_1" localSheetId="15">#REF!</definedName>
    <definedName name="Special_Reserve_created_maintained_BS_1" localSheetId="19">#REF!</definedName>
    <definedName name="Special_Reserve_created_maintained_BS_1" localSheetId="18">#REF!</definedName>
    <definedName name="Special_Reserve_created_maintained_BS_1" localSheetId="14">#REF!</definedName>
    <definedName name="Special_Reserve_created_maintained_BS_1" localSheetId="12">#REF!</definedName>
    <definedName name="Special_Reserve_created_maintained_BS_1" localSheetId="24">#REF!</definedName>
    <definedName name="Special_Reserve_created_maintained_BS_1" localSheetId="7">#REF!</definedName>
    <definedName name="Special_Reserve_created_maintained_BS_1" localSheetId="20">#REF!</definedName>
    <definedName name="Special_Reserve_created_maintained_BS_1" localSheetId="21">#REF!</definedName>
    <definedName name="Special_Reserve_created_maintained_BS_1" localSheetId="11">#REF!</definedName>
    <definedName name="Special_Reserve_created_maintained_BS_1" localSheetId="17">#REF!</definedName>
    <definedName name="Special_Reserve_created_maintained_BS_1" localSheetId="16">#REF!</definedName>
    <definedName name="Special_Reserve_created_maintained_BS_1" localSheetId="22">#REF!</definedName>
    <definedName name="Special_Reserve_created_maintained_BS_1" localSheetId="9">#REF!</definedName>
    <definedName name="Special_Reserve_created_maintained_BS_1" localSheetId="13">#REF!</definedName>
    <definedName name="Special_Reserve_created_maintained_BS_1" localSheetId="23">#REF!</definedName>
    <definedName name="Special_Reserve_created_maintained_BS_1">#REF!</definedName>
    <definedName name="Special_Reserve_created_maintained_BS_2" localSheetId="4">#REF!</definedName>
    <definedName name="Special_Reserve_created_maintained_BS_2" localSheetId="5">#REF!</definedName>
    <definedName name="Special_Reserve_created_maintained_BS_2" localSheetId="15">#REF!</definedName>
    <definedName name="Special_Reserve_created_maintained_BS_2" localSheetId="19">#REF!</definedName>
    <definedName name="Special_Reserve_created_maintained_BS_2" localSheetId="18">#REF!</definedName>
    <definedName name="Special_Reserve_created_maintained_BS_2" localSheetId="14">#REF!</definedName>
    <definedName name="Special_Reserve_created_maintained_BS_2" localSheetId="12">#REF!</definedName>
    <definedName name="Special_Reserve_created_maintained_BS_2" localSheetId="24">#REF!</definedName>
    <definedName name="Special_Reserve_created_maintained_BS_2" localSheetId="7">#REF!</definedName>
    <definedName name="Special_Reserve_created_maintained_BS_2" localSheetId="20">#REF!</definedName>
    <definedName name="Special_Reserve_created_maintained_BS_2" localSheetId="21">#REF!</definedName>
    <definedName name="Special_Reserve_created_maintained_BS_2" localSheetId="11">#REF!</definedName>
    <definedName name="Special_Reserve_created_maintained_BS_2" localSheetId="17">#REF!</definedName>
    <definedName name="Special_Reserve_created_maintained_BS_2" localSheetId="16">#REF!</definedName>
    <definedName name="Special_Reserve_created_maintained_BS_2" localSheetId="22">#REF!</definedName>
    <definedName name="Special_Reserve_created_maintained_BS_2" localSheetId="9">#REF!</definedName>
    <definedName name="Special_Reserve_created_maintained_BS_2" localSheetId="13">#REF!</definedName>
    <definedName name="Special_Reserve_created_maintained_BS_2" localSheetId="23">#REF!</definedName>
    <definedName name="Special_Reserve_created_maintained_BS_2">#REF!</definedName>
    <definedName name="speciality_chem" localSheetId="4">#REF!</definedName>
    <definedName name="speciality_chem" localSheetId="5">#REF!</definedName>
    <definedName name="speciality_chem" localSheetId="15">#REF!</definedName>
    <definedName name="speciality_chem" localSheetId="19">#REF!</definedName>
    <definedName name="speciality_chem" localSheetId="18">#REF!</definedName>
    <definedName name="speciality_chem" localSheetId="14">#REF!</definedName>
    <definedName name="speciality_chem" localSheetId="12">#REF!</definedName>
    <definedName name="speciality_chem" localSheetId="24">#REF!</definedName>
    <definedName name="speciality_chem" localSheetId="7">#REF!</definedName>
    <definedName name="speciality_chem" localSheetId="20">#REF!</definedName>
    <definedName name="speciality_chem" localSheetId="21">#REF!</definedName>
    <definedName name="speciality_chem" localSheetId="11">#REF!</definedName>
    <definedName name="speciality_chem" localSheetId="17">#REF!</definedName>
    <definedName name="speciality_chem" localSheetId="16">#REF!</definedName>
    <definedName name="speciality_chem" localSheetId="22">#REF!</definedName>
    <definedName name="speciality_chem" localSheetId="9">#REF!</definedName>
    <definedName name="speciality_chem" localSheetId="13">#REF!</definedName>
    <definedName name="speciality_chem" localSheetId="23">#REF!</definedName>
    <definedName name="speciality_chem">#REF!</definedName>
    <definedName name="Spread" localSheetId="4">#REF!</definedName>
    <definedName name="Spread" localSheetId="9">#REF!</definedName>
    <definedName name="Spread">#REF!</definedName>
    <definedName name="Spread_on_debt" localSheetId="4">#REF!</definedName>
    <definedName name="Spread_on_debt" localSheetId="9">#REF!</definedName>
    <definedName name="Spread_on_debt">#REF!</definedName>
    <definedName name="Spread_Q" localSheetId="4">#REF!</definedName>
    <definedName name="Spread_Q" localSheetId="9">#REF!</definedName>
    <definedName name="Spread_Q">#REF!</definedName>
    <definedName name="sps" localSheetId="4">#REF!</definedName>
    <definedName name="sps" localSheetId="9">#REF!</definedName>
    <definedName name="sps">#REF!</definedName>
    <definedName name="SQEF_BM011" localSheetId="4">#REF!</definedName>
    <definedName name="SQEF_BM011" localSheetId="9">#REF!</definedName>
    <definedName name="SQEF_BM011">#REF!</definedName>
    <definedName name="SQEF_BM0110" localSheetId="4">#REF!</definedName>
    <definedName name="SQEF_BM0110" localSheetId="9">#REF!</definedName>
    <definedName name="SQEF_BM0110">#REF!</definedName>
    <definedName name="SQEF_BM0111" localSheetId="4">#REF!</definedName>
    <definedName name="SQEF_BM0111" localSheetId="9">#REF!</definedName>
    <definedName name="SQEF_BM0111">#REF!</definedName>
    <definedName name="SQEF_BM0112" localSheetId="4">#REF!</definedName>
    <definedName name="SQEF_BM0112" localSheetId="9">#REF!</definedName>
    <definedName name="SQEF_BM0112">#REF!</definedName>
    <definedName name="SQEF_BM0113" localSheetId="4">#REF!</definedName>
    <definedName name="SQEF_BM0113" localSheetId="9">#REF!</definedName>
    <definedName name="SQEF_BM0113">#REF!</definedName>
    <definedName name="SQEF_BM0114" localSheetId="4">#REF!</definedName>
    <definedName name="SQEF_BM0114" localSheetId="9">#REF!</definedName>
    <definedName name="SQEF_BM0114">#REF!</definedName>
    <definedName name="SQEF_BM0115" localSheetId="4">#REF!</definedName>
    <definedName name="SQEF_BM0115" localSheetId="9">#REF!</definedName>
    <definedName name="SQEF_BM0115">#REF!</definedName>
    <definedName name="SQEF_BM0116" localSheetId="4">#REF!</definedName>
    <definedName name="SQEF_BM0116" localSheetId="9">#REF!</definedName>
    <definedName name="SQEF_BM0116">#REF!</definedName>
    <definedName name="SQEF_BM0117" localSheetId="4">#REF!</definedName>
    <definedName name="SQEF_BM0117" localSheetId="9">#REF!</definedName>
    <definedName name="SQEF_BM0117">#REF!</definedName>
    <definedName name="SQEF_BM0118" localSheetId="4">#REF!</definedName>
    <definedName name="SQEF_BM0118" localSheetId="9">#REF!</definedName>
    <definedName name="SQEF_BM0118">#REF!</definedName>
    <definedName name="SQEF_BM0119" localSheetId="4">#REF!</definedName>
    <definedName name="SQEF_BM0119" localSheetId="9">#REF!</definedName>
    <definedName name="SQEF_BM0119">#REF!</definedName>
    <definedName name="SQEF_BM012" localSheetId="4">#REF!</definedName>
    <definedName name="SQEF_BM012" localSheetId="9">#REF!</definedName>
    <definedName name="SQEF_BM012">#REF!</definedName>
    <definedName name="SQEF_BM0120" localSheetId="4">#REF!</definedName>
    <definedName name="SQEF_BM0120" localSheetId="9">#REF!</definedName>
    <definedName name="SQEF_BM0120">#REF!</definedName>
    <definedName name="SQEF_BM0121" localSheetId="4">#REF!</definedName>
    <definedName name="SQEF_BM0121" localSheetId="9">#REF!</definedName>
    <definedName name="SQEF_BM0121">#REF!</definedName>
    <definedName name="SQEF_BM0122" localSheetId="4">#REF!</definedName>
    <definedName name="SQEF_BM0122" localSheetId="9">#REF!</definedName>
    <definedName name="SQEF_BM0122">#REF!</definedName>
    <definedName name="SQEF_BM0123" localSheetId="4">#REF!</definedName>
    <definedName name="SQEF_BM0123" localSheetId="9">#REF!</definedName>
    <definedName name="SQEF_BM0123">#REF!</definedName>
    <definedName name="SQEF_BM0124" localSheetId="4">#REF!</definedName>
    <definedName name="SQEF_BM0124" localSheetId="9">#REF!</definedName>
    <definedName name="SQEF_BM0124">#REF!</definedName>
    <definedName name="SQEF_BM0125" localSheetId="4">#REF!</definedName>
    <definedName name="SQEF_BM0125" localSheetId="9">#REF!</definedName>
    <definedName name="SQEF_BM0125">#REF!</definedName>
    <definedName name="SQEF_BM0126" localSheetId="4">#REF!</definedName>
    <definedName name="SQEF_BM0126" localSheetId="9">#REF!</definedName>
    <definedName name="SQEF_BM0126">#REF!</definedName>
    <definedName name="SQEF_BM0127" localSheetId="4">#REF!</definedName>
    <definedName name="SQEF_BM0127" localSheetId="9">#REF!</definedName>
    <definedName name="SQEF_BM0127">#REF!</definedName>
    <definedName name="SQEF_BM0128" localSheetId="4">#REF!</definedName>
    <definedName name="SQEF_BM0128" localSheetId="9">#REF!</definedName>
    <definedName name="SQEF_BM0128">#REF!</definedName>
    <definedName name="SQEF_BM0129" localSheetId="4">#REF!</definedName>
    <definedName name="SQEF_BM0129" localSheetId="9">#REF!</definedName>
    <definedName name="SQEF_BM0129">#REF!</definedName>
    <definedName name="SQEF_BM013" localSheetId="4">#REF!</definedName>
    <definedName name="SQEF_BM013" localSheetId="9">#REF!</definedName>
    <definedName name="SQEF_BM013">#REF!</definedName>
    <definedName name="SQEF_BM0130" localSheetId="4">#REF!</definedName>
    <definedName name="SQEF_BM0130" localSheetId="9">#REF!</definedName>
    <definedName name="SQEF_BM0130">#REF!</definedName>
    <definedName name="SQEF_BM0131" localSheetId="4">#REF!</definedName>
    <definedName name="SQEF_BM0131" localSheetId="9">#REF!</definedName>
    <definedName name="SQEF_BM0131">#REF!</definedName>
    <definedName name="SQEF_BM0132" localSheetId="4">#REF!</definedName>
    <definedName name="SQEF_BM0132" localSheetId="9">#REF!</definedName>
    <definedName name="SQEF_BM0132">#REF!</definedName>
    <definedName name="SQEF_BM0133" localSheetId="4">#REF!</definedName>
    <definedName name="SQEF_BM0133" localSheetId="9">#REF!</definedName>
    <definedName name="SQEF_BM0133">#REF!</definedName>
    <definedName name="SQEF_BM0134" localSheetId="4">#REF!</definedName>
    <definedName name="SQEF_BM0134" localSheetId="9">#REF!</definedName>
    <definedName name="SQEF_BM0134">#REF!</definedName>
    <definedName name="SQEF_BM0135" localSheetId="4">#REF!</definedName>
    <definedName name="SQEF_BM0135" localSheetId="9">#REF!</definedName>
    <definedName name="SQEF_BM0135">#REF!</definedName>
    <definedName name="SQEF_BM0136" localSheetId="4">#REF!</definedName>
    <definedName name="SQEF_BM0136" localSheetId="9">#REF!</definedName>
    <definedName name="SQEF_BM0136">#REF!</definedName>
    <definedName name="SQEF_BM0137" localSheetId="4">#REF!</definedName>
    <definedName name="SQEF_BM0137" localSheetId="9">#REF!</definedName>
    <definedName name="SQEF_BM0137">#REF!</definedName>
    <definedName name="SQEF_BM0138" localSheetId="4">#REF!</definedName>
    <definedName name="SQEF_BM0138" localSheetId="9">#REF!</definedName>
    <definedName name="SQEF_BM0138">#REF!</definedName>
    <definedName name="SQEF_BM0139" localSheetId="4">#REF!</definedName>
    <definedName name="SQEF_BM0139" localSheetId="9">#REF!</definedName>
    <definedName name="SQEF_BM0139">#REF!</definedName>
    <definedName name="SQEF_BM014" localSheetId="4">#REF!</definedName>
    <definedName name="SQEF_BM014" localSheetId="9">#REF!</definedName>
    <definedName name="SQEF_BM014">#REF!</definedName>
    <definedName name="SQEF_BM0140" localSheetId="4">#REF!</definedName>
    <definedName name="SQEF_BM0140" localSheetId="9">#REF!</definedName>
    <definedName name="SQEF_BM0140">#REF!</definedName>
    <definedName name="SQEF_BM0141" localSheetId="4">#REF!</definedName>
    <definedName name="SQEF_BM0141" localSheetId="9">#REF!</definedName>
    <definedName name="SQEF_BM0141">#REF!</definedName>
    <definedName name="SQEF_BM0142" localSheetId="4">#REF!</definedName>
    <definedName name="SQEF_BM0142" localSheetId="9">#REF!</definedName>
    <definedName name="SQEF_BM0142">#REF!</definedName>
    <definedName name="SQEF_BM0143" localSheetId="4">#REF!</definedName>
    <definedName name="SQEF_BM0143" localSheetId="9">#REF!</definedName>
    <definedName name="SQEF_BM0143">#REF!</definedName>
    <definedName name="SQEF_BM015" localSheetId="4">#REF!</definedName>
    <definedName name="SQEF_BM015" localSheetId="9">#REF!</definedName>
    <definedName name="SQEF_BM015">#REF!</definedName>
    <definedName name="SQEF_BM016" localSheetId="4">#REF!</definedName>
    <definedName name="SQEF_BM016" localSheetId="9">#REF!</definedName>
    <definedName name="SQEF_BM016">#REF!</definedName>
    <definedName name="SQEF_BM017" localSheetId="4">#REF!</definedName>
    <definedName name="SQEF_BM017" localSheetId="9">#REF!</definedName>
    <definedName name="SQEF_BM017">#REF!</definedName>
    <definedName name="SQEF_BM018" localSheetId="4">#REF!</definedName>
    <definedName name="SQEF_BM018" localSheetId="9">#REF!</definedName>
    <definedName name="SQEF_BM018">#REF!</definedName>
    <definedName name="SQEF_BM019" localSheetId="4">#REF!</definedName>
    <definedName name="SQEF_BM019" localSheetId="9">#REF!</definedName>
    <definedName name="SQEF_BM019">#REF!</definedName>
    <definedName name="SQEF_BM021" localSheetId="4">#REF!</definedName>
    <definedName name="SQEF_BM021" localSheetId="9">#REF!</definedName>
    <definedName name="SQEF_BM021">#REF!</definedName>
    <definedName name="SQEF_BM0210_N0" localSheetId="4">#REF!</definedName>
    <definedName name="SQEF_BM0210_N0" localSheetId="9">#REF!</definedName>
    <definedName name="SQEF_BM0210_N0">#REF!</definedName>
    <definedName name="SQEF_BM0211_N0" localSheetId="4">#REF!</definedName>
    <definedName name="SQEF_BM0211_N0" localSheetId="9">#REF!</definedName>
    <definedName name="SQEF_BM0211_N0">#REF!</definedName>
    <definedName name="SQEF_BM0212_N0" localSheetId="4">#REF!</definedName>
    <definedName name="SQEF_BM0212_N0" localSheetId="9">#REF!</definedName>
    <definedName name="SQEF_BM0212_N0">#REF!</definedName>
    <definedName name="SQEF_BM0213_N0" localSheetId="4">#REF!</definedName>
    <definedName name="SQEF_BM0213_N0" localSheetId="9">#REF!</definedName>
    <definedName name="SQEF_BM0213_N0">#REF!</definedName>
    <definedName name="SQEF_BM0214_N0" localSheetId="4">#REF!</definedName>
    <definedName name="SQEF_BM0214_N0" localSheetId="9">#REF!</definedName>
    <definedName name="SQEF_BM0214_N0">#REF!</definedName>
    <definedName name="SQEF_BM0215_N0" localSheetId="4">#REF!</definedName>
    <definedName name="SQEF_BM0215_N0" localSheetId="9">#REF!</definedName>
    <definedName name="SQEF_BM0215_N0">#REF!</definedName>
    <definedName name="SQEF_BM0216_N0" localSheetId="4">#REF!</definedName>
    <definedName name="SQEF_BM0216_N0" localSheetId="9">#REF!</definedName>
    <definedName name="SQEF_BM0216_N0">#REF!</definedName>
    <definedName name="SQEF_BM0217_N0" localSheetId="4">#REF!</definedName>
    <definedName name="SQEF_BM0217_N0" localSheetId="9">#REF!</definedName>
    <definedName name="SQEF_BM0217_N0">#REF!</definedName>
    <definedName name="SQEF_BM0218_N2" localSheetId="4">#REF!</definedName>
    <definedName name="SQEF_BM0218_N2" localSheetId="9">#REF!</definedName>
    <definedName name="SQEF_BM0218_N2">#REF!</definedName>
    <definedName name="SQEF_BM0219" localSheetId="4">#REF!</definedName>
    <definedName name="SQEF_BM0219" localSheetId="9">#REF!</definedName>
    <definedName name="SQEF_BM0219">#REF!</definedName>
    <definedName name="SQEF_BM022_N0" localSheetId="4">#REF!</definedName>
    <definedName name="SQEF_BM022_N0" localSheetId="9">#REF!</definedName>
    <definedName name="SQEF_BM022_N0">#REF!</definedName>
    <definedName name="SQEF_BM0220" localSheetId="4">#REF!</definedName>
    <definedName name="SQEF_BM0220" localSheetId="9">#REF!</definedName>
    <definedName name="SQEF_BM0220">#REF!</definedName>
    <definedName name="SQEF_BM0221" localSheetId="4">#REF!</definedName>
    <definedName name="SQEF_BM0221" localSheetId="9">#REF!</definedName>
    <definedName name="SQEF_BM0221">#REF!</definedName>
    <definedName name="SQEF_BM0222" localSheetId="4">#REF!</definedName>
    <definedName name="SQEF_BM0222" localSheetId="9">#REF!</definedName>
    <definedName name="SQEF_BM0222">#REF!</definedName>
    <definedName name="SQEF_BM0223" localSheetId="4">#REF!</definedName>
    <definedName name="SQEF_BM0223" localSheetId="9">#REF!</definedName>
    <definedName name="SQEF_BM0223">#REF!</definedName>
    <definedName name="SQEF_BM0224" localSheetId="4">#REF!</definedName>
    <definedName name="SQEF_BM0224" localSheetId="9">#REF!</definedName>
    <definedName name="SQEF_BM0224">#REF!</definedName>
    <definedName name="SQEF_BM0225" localSheetId="4">#REF!</definedName>
    <definedName name="SQEF_BM0225" localSheetId="9">#REF!</definedName>
    <definedName name="SQEF_BM0225">#REF!</definedName>
    <definedName name="SQEF_BM0226" localSheetId="4">#REF!</definedName>
    <definedName name="SQEF_BM0226" localSheetId="9">#REF!</definedName>
    <definedName name="SQEF_BM0226">#REF!</definedName>
    <definedName name="SQEF_BM0229_P0" localSheetId="4">#REF!</definedName>
    <definedName name="SQEF_BM0229_P0" localSheetId="9">#REF!</definedName>
    <definedName name="SQEF_BM0229_P0">#REF!</definedName>
    <definedName name="SQEF_BM023_N0" localSheetId="4">#REF!</definedName>
    <definedName name="SQEF_BM023_N0" localSheetId="9">#REF!</definedName>
    <definedName name="SQEF_BM023_N0">#REF!</definedName>
    <definedName name="SQEF_BM0230_P0" localSheetId="4">#REF!</definedName>
    <definedName name="SQEF_BM0230_P0" localSheetId="9">#REF!</definedName>
    <definedName name="SQEF_BM0230_P0">#REF!</definedName>
    <definedName name="SQEF_BM0231_P0" localSheetId="4">#REF!</definedName>
    <definedName name="SQEF_BM0231_P0" localSheetId="9">#REF!</definedName>
    <definedName name="SQEF_BM0231_P0">#REF!</definedName>
    <definedName name="SQEF_BM0232_P0" localSheetId="4">#REF!</definedName>
    <definedName name="SQEF_BM0232_P0" localSheetId="9">#REF!</definedName>
    <definedName name="SQEF_BM0232_P0">#REF!</definedName>
    <definedName name="SQEF_BM0233" localSheetId="4">#REF!</definedName>
    <definedName name="SQEF_BM0233" localSheetId="9">#REF!</definedName>
    <definedName name="SQEF_BM0233">#REF!</definedName>
    <definedName name="SQEF_BM0234_P0" localSheetId="4">#REF!</definedName>
    <definedName name="SQEF_BM0234_P0" localSheetId="9">#REF!</definedName>
    <definedName name="SQEF_BM0234_P0">#REF!</definedName>
    <definedName name="SQEF_BM0235_P0" localSheetId="4">#REF!</definedName>
    <definedName name="SQEF_BM0235_P0" localSheetId="9">#REF!</definedName>
    <definedName name="SQEF_BM0235_P0">#REF!</definedName>
    <definedName name="SQEF_BM0236_P0" localSheetId="4">#REF!</definedName>
    <definedName name="SQEF_BM0236_P0" localSheetId="9">#REF!</definedName>
    <definedName name="SQEF_BM0236_P0">#REF!</definedName>
    <definedName name="SQEF_BM0237_P0" localSheetId="4">#REF!</definedName>
    <definedName name="SQEF_BM0237_P0" localSheetId="9">#REF!</definedName>
    <definedName name="SQEF_BM0237_P0">#REF!</definedName>
    <definedName name="SQEF_BM0238_P0" localSheetId="4">#REF!</definedName>
    <definedName name="SQEF_BM0238_P0" localSheetId="9">#REF!</definedName>
    <definedName name="SQEF_BM0238_P0">#REF!</definedName>
    <definedName name="SQEF_BM0239" localSheetId="4">#REF!</definedName>
    <definedName name="SQEF_BM0239" localSheetId="9">#REF!</definedName>
    <definedName name="SQEF_BM0239">#REF!</definedName>
    <definedName name="SQEF_BM024_N0" localSheetId="4">#REF!</definedName>
    <definedName name="SQEF_BM024_N0" localSheetId="9">#REF!</definedName>
    <definedName name="SQEF_BM024_N0">#REF!</definedName>
    <definedName name="SQEF_BM0240_P0" localSheetId="4">#REF!</definedName>
    <definedName name="SQEF_BM0240_P0" localSheetId="9">#REF!</definedName>
    <definedName name="SQEF_BM0240_P0">#REF!</definedName>
    <definedName name="SQEF_BM0241_P0" localSheetId="4">#REF!</definedName>
    <definedName name="SQEF_BM0241_P0" localSheetId="9">#REF!</definedName>
    <definedName name="SQEF_BM0241_P0">#REF!</definedName>
    <definedName name="SQEF_BM0242_P0" localSheetId="4">#REF!</definedName>
    <definedName name="SQEF_BM0242_P0" localSheetId="9">#REF!</definedName>
    <definedName name="SQEF_BM0242_P0">#REF!</definedName>
    <definedName name="SQEF_BM0243_P0" localSheetId="4">#REF!</definedName>
    <definedName name="SQEF_BM0243_P0" localSheetId="9">#REF!</definedName>
    <definedName name="SQEF_BM0243_P0">#REF!</definedName>
    <definedName name="SQEF_BM025_N0" localSheetId="4">#REF!</definedName>
    <definedName name="SQEF_BM025_N0" localSheetId="9">#REF!</definedName>
    <definedName name="SQEF_BM025_N0">#REF!</definedName>
    <definedName name="SQEF_BM026_N0" localSheetId="4">#REF!</definedName>
    <definedName name="SQEF_BM026_N0" localSheetId="9">#REF!</definedName>
    <definedName name="SQEF_BM026_N0">#REF!</definedName>
    <definedName name="SQEF_BM027_N0" localSheetId="4">#REF!</definedName>
    <definedName name="SQEF_BM027_N0" localSheetId="9">#REF!</definedName>
    <definedName name="SQEF_BM027_N0">#REF!</definedName>
    <definedName name="SQEF_BM028_N0" localSheetId="4">#REF!</definedName>
    <definedName name="SQEF_BM028_N0" localSheetId="9">#REF!</definedName>
    <definedName name="SQEF_BM028_N0">#REF!</definedName>
    <definedName name="SQEF_BM029_N0" localSheetId="4">#REF!</definedName>
    <definedName name="SQEF_BM029_N0" localSheetId="9">#REF!</definedName>
    <definedName name="SQEF_BM029_N0">#REF!</definedName>
    <definedName name="SQEF_BM031" localSheetId="4">#REF!</definedName>
    <definedName name="SQEF_BM031" localSheetId="9">#REF!</definedName>
    <definedName name="SQEF_BM031">#REF!</definedName>
    <definedName name="SQEF_BM0310_N0" localSheetId="4">#REF!</definedName>
    <definedName name="SQEF_BM0310_N0" localSheetId="9">#REF!</definedName>
    <definedName name="SQEF_BM0310_N0">#REF!</definedName>
    <definedName name="SQEF_BM0311_N0" localSheetId="4">#REF!</definedName>
    <definedName name="SQEF_BM0311_N0" localSheetId="9">#REF!</definedName>
    <definedName name="SQEF_BM0311_N0">#REF!</definedName>
    <definedName name="SQEF_BM0312_N0" localSheetId="4">#REF!</definedName>
    <definedName name="SQEF_BM0312_N0" localSheetId="9">#REF!</definedName>
    <definedName name="SQEF_BM0312_N0">#REF!</definedName>
    <definedName name="SQEF_BM0313_N0" localSheetId="4">#REF!</definedName>
    <definedName name="SQEF_BM0313_N0" localSheetId="9">#REF!</definedName>
    <definedName name="SQEF_BM0313_N0">#REF!</definedName>
    <definedName name="SQEF_BM0314_N0" localSheetId="4">#REF!</definedName>
    <definedName name="SQEF_BM0314_N0" localSheetId="9">#REF!</definedName>
    <definedName name="SQEF_BM0314_N0">#REF!</definedName>
    <definedName name="SQEF_BM0315_N0" localSheetId="4">#REF!</definedName>
    <definedName name="SQEF_BM0315_N0" localSheetId="9">#REF!</definedName>
    <definedName name="SQEF_BM0315_N0">#REF!</definedName>
    <definedName name="SQEF_BM0316_N0" localSheetId="4">#REF!</definedName>
    <definedName name="SQEF_BM0316_N0" localSheetId="9">#REF!</definedName>
    <definedName name="SQEF_BM0316_N0">#REF!</definedName>
    <definedName name="SQEF_BM0317_N0" localSheetId="4">#REF!</definedName>
    <definedName name="SQEF_BM0317_N0" localSheetId="9">#REF!</definedName>
    <definedName name="SQEF_BM0317_N0">#REF!</definedName>
    <definedName name="SQEF_BM0318_N2" localSheetId="4">#REF!</definedName>
    <definedName name="SQEF_BM0318_N2" localSheetId="9">#REF!</definedName>
    <definedName name="SQEF_BM0318_N2">#REF!</definedName>
    <definedName name="SQEF_BM0319" localSheetId="4">#REF!</definedName>
    <definedName name="SQEF_BM0319" localSheetId="9">#REF!</definedName>
    <definedName name="SQEF_BM0319">#REF!</definedName>
    <definedName name="SQEF_BM032_N0" localSheetId="4">#REF!</definedName>
    <definedName name="SQEF_BM032_N0" localSheetId="9">#REF!</definedName>
    <definedName name="SQEF_BM032_N0">#REF!</definedName>
    <definedName name="SQEF_BM0320" localSheetId="4">#REF!</definedName>
    <definedName name="SQEF_BM0320" localSheetId="9">#REF!</definedName>
    <definedName name="SQEF_BM0320">#REF!</definedName>
    <definedName name="SQEF_BM0321" localSheetId="4">#REF!</definedName>
    <definedName name="SQEF_BM0321" localSheetId="9">#REF!</definedName>
    <definedName name="SQEF_BM0321">#REF!</definedName>
    <definedName name="SQEF_BM0322" localSheetId="4">#REF!</definedName>
    <definedName name="SQEF_BM0322" localSheetId="9">#REF!</definedName>
    <definedName name="SQEF_BM0322">#REF!</definedName>
    <definedName name="SQEF_BM0323" localSheetId="4">#REF!</definedName>
    <definedName name="SQEF_BM0323" localSheetId="9">#REF!</definedName>
    <definedName name="SQEF_BM0323">#REF!</definedName>
    <definedName name="SQEF_BM0324" localSheetId="4">#REF!</definedName>
    <definedName name="SQEF_BM0324" localSheetId="9">#REF!</definedName>
    <definedName name="SQEF_BM0324">#REF!</definedName>
    <definedName name="SQEF_BM0325" localSheetId="4">#REF!</definedName>
    <definedName name="SQEF_BM0325" localSheetId="9">#REF!</definedName>
    <definedName name="SQEF_BM0325">#REF!</definedName>
    <definedName name="SQEF_BM0326" localSheetId="4">#REF!</definedName>
    <definedName name="SQEF_BM0326" localSheetId="9">#REF!</definedName>
    <definedName name="SQEF_BM0326">#REF!</definedName>
    <definedName name="SQEF_BM0329_P0" localSheetId="4">#REF!</definedName>
    <definedName name="SQEF_BM0329_P0" localSheetId="9">#REF!</definedName>
    <definedName name="SQEF_BM0329_P0">#REF!</definedName>
    <definedName name="SQEF_BM033_N0" localSheetId="4">#REF!</definedName>
    <definedName name="SQEF_BM033_N0" localSheetId="9">#REF!</definedName>
    <definedName name="SQEF_BM033_N0">#REF!</definedName>
    <definedName name="SQEF_BM0330_P0" localSheetId="4">#REF!</definedName>
    <definedName name="SQEF_BM0330_P0" localSheetId="9">#REF!</definedName>
    <definedName name="SQEF_BM0330_P0">#REF!</definedName>
    <definedName name="SQEF_BM0331_P0" localSheetId="4">#REF!</definedName>
    <definedName name="SQEF_BM0331_P0" localSheetId="9">#REF!</definedName>
    <definedName name="SQEF_BM0331_P0">#REF!</definedName>
    <definedName name="SQEF_BM0332_P0" localSheetId="4">#REF!</definedName>
    <definedName name="SQEF_BM0332_P0" localSheetId="9">#REF!</definedName>
    <definedName name="SQEF_BM0332_P0">#REF!</definedName>
    <definedName name="SQEF_BM0333" localSheetId="4">#REF!</definedName>
    <definedName name="SQEF_BM0333" localSheetId="9">#REF!</definedName>
    <definedName name="SQEF_BM0333">#REF!</definedName>
    <definedName name="SQEF_BM0334_P0" localSheetId="4">#REF!</definedName>
    <definedName name="SQEF_BM0334_P0" localSheetId="9">#REF!</definedName>
    <definedName name="SQEF_BM0334_P0">#REF!</definedName>
    <definedName name="SQEF_BM0335_P0" localSheetId="4">#REF!</definedName>
    <definedName name="SQEF_BM0335_P0" localSheetId="9">#REF!</definedName>
    <definedName name="SQEF_BM0335_P0">#REF!</definedName>
    <definedName name="SQEF_BM0336_P0" localSheetId="4">#REF!</definedName>
    <definedName name="SQEF_BM0336_P0" localSheetId="9">#REF!</definedName>
    <definedName name="SQEF_BM0336_P0">#REF!</definedName>
    <definedName name="SQEF_BM0337_P0" localSheetId="4">#REF!</definedName>
    <definedName name="SQEF_BM0337_P0" localSheetId="9">#REF!</definedName>
    <definedName name="SQEF_BM0337_P0">#REF!</definedName>
    <definedName name="SQEF_BM0338_P0" localSheetId="4">#REF!</definedName>
    <definedName name="SQEF_BM0338_P0" localSheetId="9">#REF!</definedName>
    <definedName name="SQEF_BM0338_P0">#REF!</definedName>
    <definedName name="SQEF_BM0339" localSheetId="4">#REF!</definedName>
    <definedName name="SQEF_BM0339" localSheetId="9">#REF!</definedName>
    <definedName name="SQEF_BM0339">#REF!</definedName>
    <definedName name="SQEF_BM034_N0" localSheetId="4">#REF!</definedName>
    <definedName name="SQEF_BM034_N0" localSheetId="9">#REF!</definedName>
    <definedName name="SQEF_BM034_N0">#REF!</definedName>
    <definedName name="SQEF_BM0340_P0" localSheetId="4">#REF!</definedName>
    <definedName name="SQEF_BM0340_P0" localSheetId="9">#REF!</definedName>
    <definedName name="SQEF_BM0340_P0">#REF!</definedName>
    <definedName name="SQEF_BM0341_P0" localSheetId="4">#REF!</definedName>
    <definedName name="SQEF_BM0341_P0" localSheetId="9">#REF!</definedName>
    <definedName name="SQEF_BM0341_P0">#REF!</definedName>
    <definedName name="SQEF_BM0342_P0" localSheetId="4">#REF!</definedName>
    <definedName name="SQEF_BM0342_P0" localSheetId="9">#REF!</definedName>
    <definedName name="SQEF_BM0342_P0">#REF!</definedName>
    <definedName name="SQEF_BM0343_P0" localSheetId="4">#REF!</definedName>
    <definedName name="SQEF_BM0343_P0" localSheetId="9">#REF!</definedName>
    <definedName name="SQEF_BM0343_P0">#REF!</definedName>
    <definedName name="SQEF_BM035_N0" localSheetId="4">#REF!</definedName>
    <definedName name="SQEF_BM035_N0" localSheetId="9">#REF!</definedName>
    <definedName name="SQEF_BM035_N0">#REF!</definedName>
    <definedName name="SQEF_BM036_N0" localSheetId="4">#REF!</definedName>
    <definedName name="SQEF_BM036_N0" localSheetId="9">#REF!</definedName>
    <definedName name="SQEF_BM036_N0">#REF!</definedName>
    <definedName name="SQEF_BM037_N0" localSheetId="4">#REF!</definedName>
    <definedName name="SQEF_BM037_N0" localSheetId="9">#REF!</definedName>
    <definedName name="SQEF_BM037_N0">#REF!</definedName>
    <definedName name="SQEF_BM038_N0" localSheetId="4">#REF!</definedName>
    <definedName name="SQEF_BM038_N0" localSheetId="9">#REF!</definedName>
    <definedName name="SQEF_BM038_N0">#REF!</definedName>
    <definedName name="SQEF_BM039_N0" localSheetId="4">#REF!</definedName>
    <definedName name="SQEF_BM039_N0" localSheetId="9">#REF!</definedName>
    <definedName name="SQEF_BM039_N0">#REF!</definedName>
    <definedName name="SQEF_BM041" localSheetId="4">#REF!</definedName>
    <definedName name="SQEF_BM041" localSheetId="9">#REF!</definedName>
    <definedName name="SQEF_BM041">#REF!</definedName>
    <definedName name="SQEF_BM0410_N0" localSheetId="4">#REF!</definedName>
    <definedName name="SQEF_BM0410_N0" localSheetId="9">#REF!</definedName>
    <definedName name="SQEF_BM0410_N0">#REF!</definedName>
    <definedName name="SQEF_BM0411_N0" localSheetId="4">#REF!</definedName>
    <definedName name="SQEF_BM0411_N0" localSheetId="9">#REF!</definedName>
    <definedName name="SQEF_BM0411_N0">#REF!</definedName>
    <definedName name="SQEF_BM0412_N0" localSheetId="4">#REF!</definedName>
    <definedName name="SQEF_BM0412_N0" localSheetId="9">#REF!</definedName>
    <definedName name="SQEF_BM0412_N0">#REF!</definedName>
    <definedName name="SQEF_BM0413_N0" localSheetId="4">#REF!</definedName>
    <definedName name="SQEF_BM0413_N0" localSheetId="9">#REF!</definedName>
    <definedName name="SQEF_BM0413_N0">#REF!</definedName>
    <definedName name="SQEF_BM0414_N0" localSheetId="4">#REF!</definedName>
    <definedName name="SQEF_BM0414_N0" localSheetId="9">#REF!</definedName>
    <definedName name="SQEF_BM0414_N0">#REF!</definedName>
    <definedName name="SQEF_BM0415_N0" localSheetId="4">#REF!</definedName>
    <definedName name="SQEF_BM0415_N0" localSheetId="9">#REF!</definedName>
    <definedName name="SQEF_BM0415_N0">#REF!</definedName>
    <definedName name="SQEF_BM0416_N0" localSheetId="4">#REF!</definedName>
    <definedName name="SQEF_BM0416_N0" localSheetId="9">#REF!</definedName>
    <definedName name="SQEF_BM0416_N0">#REF!</definedName>
    <definedName name="SQEF_BM0417_N0" localSheetId="4">#REF!</definedName>
    <definedName name="SQEF_BM0417_N0" localSheetId="9">#REF!</definedName>
    <definedName name="SQEF_BM0417_N0">#REF!</definedName>
    <definedName name="SQEF_BM0418_N2" localSheetId="4">#REF!</definedName>
    <definedName name="SQEF_BM0418_N2" localSheetId="9">#REF!</definedName>
    <definedName name="SQEF_BM0418_N2">#REF!</definedName>
    <definedName name="SQEF_BM0419" localSheetId="4">#REF!</definedName>
    <definedName name="SQEF_BM0419" localSheetId="9">#REF!</definedName>
    <definedName name="SQEF_BM0419">#REF!</definedName>
    <definedName name="SQEF_BM042_N0" localSheetId="4">#REF!</definedName>
    <definedName name="SQEF_BM042_N0" localSheetId="9">#REF!</definedName>
    <definedName name="SQEF_BM042_N0">#REF!</definedName>
    <definedName name="SQEF_BM0420" localSheetId="4">#REF!</definedName>
    <definedName name="SQEF_BM0420" localSheetId="9">#REF!</definedName>
    <definedName name="SQEF_BM0420">#REF!</definedName>
    <definedName name="SQEF_BM0421" localSheetId="4">#REF!</definedName>
    <definedName name="SQEF_BM0421" localSheetId="9">#REF!</definedName>
    <definedName name="SQEF_BM0421">#REF!</definedName>
    <definedName name="SQEF_BM0422" localSheetId="4">#REF!</definedName>
    <definedName name="SQEF_BM0422" localSheetId="9">#REF!</definedName>
    <definedName name="SQEF_BM0422">#REF!</definedName>
    <definedName name="SQEF_BM0423" localSheetId="4">#REF!</definedName>
    <definedName name="SQEF_BM0423" localSheetId="9">#REF!</definedName>
    <definedName name="SQEF_BM0423">#REF!</definedName>
    <definedName name="SQEF_BM0424" localSheetId="4">#REF!</definedName>
    <definedName name="SQEF_BM0424" localSheetId="9">#REF!</definedName>
    <definedName name="SQEF_BM0424">#REF!</definedName>
    <definedName name="SQEF_BM0425" localSheetId="4">#REF!</definedName>
    <definedName name="SQEF_BM0425" localSheetId="9">#REF!</definedName>
    <definedName name="SQEF_BM0425">#REF!</definedName>
    <definedName name="SQEF_BM0426" localSheetId="4">#REF!</definedName>
    <definedName name="SQEF_BM0426" localSheetId="9">#REF!</definedName>
    <definedName name="SQEF_BM0426">#REF!</definedName>
    <definedName name="SQEF_BM0429_P0" localSheetId="4">#REF!</definedName>
    <definedName name="SQEF_BM0429_P0" localSheetId="9">#REF!</definedName>
    <definedName name="SQEF_BM0429_P0">#REF!</definedName>
    <definedName name="SQEF_BM043_N0" localSheetId="4">#REF!</definedName>
    <definedName name="SQEF_BM043_N0" localSheetId="9">#REF!</definedName>
    <definedName name="SQEF_BM043_N0">#REF!</definedName>
    <definedName name="SQEF_BM0430_P0" localSheetId="4">#REF!</definedName>
    <definedName name="SQEF_BM0430_P0" localSheetId="9">#REF!</definedName>
    <definedName name="SQEF_BM0430_P0">#REF!</definedName>
    <definedName name="SQEF_BM0431_P0" localSheetId="4">#REF!</definedName>
    <definedName name="SQEF_BM0431_P0" localSheetId="9">#REF!</definedName>
    <definedName name="SQEF_BM0431_P0">#REF!</definedName>
    <definedName name="SQEF_BM0432_P0" localSheetId="4">#REF!</definedName>
    <definedName name="SQEF_BM0432_P0" localSheetId="9">#REF!</definedName>
    <definedName name="SQEF_BM0432_P0">#REF!</definedName>
    <definedName name="SQEF_BM0433" localSheetId="4">#REF!</definedName>
    <definedName name="SQEF_BM0433" localSheetId="9">#REF!</definedName>
    <definedName name="SQEF_BM0433">#REF!</definedName>
    <definedName name="SQEF_BM0434_P0" localSheetId="4">#REF!</definedName>
    <definedName name="SQEF_BM0434_P0" localSheetId="9">#REF!</definedName>
    <definedName name="SQEF_BM0434_P0">#REF!</definedName>
    <definedName name="SQEF_BM0435_P0" localSheetId="4">#REF!</definedName>
    <definedName name="SQEF_BM0435_P0" localSheetId="9">#REF!</definedName>
    <definedName name="SQEF_BM0435_P0">#REF!</definedName>
    <definedName name="SQEF_BM0436_P0" localSheetId="4">#REF!</definedName>
    <definedName name="SQEF_BM0436_P0" localSheetId="9">#REF!</definedName>
    <definedName name="SQEF_BM0436_P0">#REF!</definedName>
    <definedName name="SQEF_BM0437_P0" localSheetId="4">#REF!</definedName>
    <definedName name="SQEF_BM0437_P0" localSheetId="9">#REF!</definedName>
    <definedName name="SQEF_BM0437_P0">#REF!</definedName>
    <definedName name="SQEF_BM0438_P0" localSheetId="4">#REF!</definedName>
    <definedName name="SQEF_BM0438_P0" localSheetId="9">#REF!</definedName>
    <definedName name="SQEF_BM0438_P0">#REF!</definedName>
    <definedName name="SQEF_BM0439" localSheetId="4">#REF!</definedName>
    <definedName name="SQEF_BM0439" localSheetId="9">#REF!</definedName>
    <definedName name="SQEF_BM0439">#REF!</definedName>
    <definedName name="SQEF_BM044_N0" localSheetId="4">#REF!</definedName>
    <definedName name="SQEF_BM044_N0" localSheetId="9">#REF!</definedName>
    <definedName name="SQEF_BM044_N0">#REF!</definedName>
    <definedName name="SQEF_BM0440_P0" localSheetId="4">#REF!</definedName>
    <definedName name="SQEF_BM0440_P0" localSheetId="9">#REF!</definedName>
    <definedName name="SQEF_BM0440_P0">#REF!</definedName>
    <definedName name="SQEF_BM0441_P0" localSheetId="4">#REF!</definedName>
    <definedName name="SQEF_BM0441_P0" localSheetId="9">#REF!</definedName>
    <definedName name="SQEF_BM0441_P0">#REF!</definedName>
    <definedName name="SQEF_BM0442_P0" localSheetId="4">#REF!</definedName>
    <definedName name="SQEF_BM0442_P0" localSheetId="9">#REF!</definedName>
    <definedName name="SQEF_BM0442_P0">#REF!</definedName>
    <definedName name="SQEF_BM0443_P0" localSheetId="4">#REF!</definedName>
    <definedName name="SQEF_BM0443_P0" localSheetId="9">#REF!</definedName>
    <definedName name="SQEF_BM0443_P0">#REF!</definedName>
    <definedName name="SQEF_BM045_N0" localSheetId="4">#REF!</definedName>
    <definedName name="SQEF_BM045_N0" localSheetId="9">#REF!</definedName>
    <definedName name="SQEF_BM045_N0">#REF!</definedName>
    <definedName name="SQEF_BM046_N0" localSheetId="4">#REF!</definedName>
    <definedName name="SQEF_BM046_N0" localSheetId="9">#REF!</definedName>
    <definedName name="SQEF_BM046_N0">#REF!</definedName>
    <definedName name="SQEF_BM047_N0" localSheetId="4">#REF!</definedName>
    <definedName name="SQEF_BM047_N0" localSheetId="9">#REF!</definedName>
    <definedName name="SQEF_BM047_N0">#REF!</definedName>
    <definedName name="SQEF_BM048_N0" localSheetId="4">#REF!</definedName>
    <definedName name="SQEF_BM048_N0" localSheetId="9">#REF!</definedName>
    <definedName name="SQEF_BM048_N0">#REF!</definedName>
    <definedName name="SQEF_BM049_N0" localSheetId="4">#REF!</definedName>
    <definedName name="SQEF_BM049_N0" localSheetId="9">#REF!</definedName>
    <definedName name="SQEF_BM049_N0">#REF!</definedName>
    <definedName name="SQEF_BM051" localSheetId="4">#REF!</definedName>
    <definedName name="SQEF_BM051" localSheetId="9">#REF!</definedName>
    <definedName name="SQEF_BM051">#REF!</definedName>
    <definedName name="SQEF_BM0510_N0" localSheetId="4">#REF!</definedName>
    <definedName name="SQEF_BM0510_N0" localSheetId="9">#REF!</definedName>
    <definedName name="SQEF_BM0510_N0">#REF!</definedName>
    <definedName name="SQEF_BM0511_N0" localSheetId="4">#REF!</definedName>
    <definedName name="SQEF_BM0511_N0" localSheetId="9">#REF!</definedName>
    <definedName name="SQEF_BM0511_N0">#REF!</definedName>
    <definedName name="SQEF_BM0512_N0" localSheetId="4">#REF!</definedName>
    <definedName name="SQEF_BM0512_N0" localSheetId="9">#REF!</definedName>
    <definedName name="SQEF_BM0512_N0">#REF!</definedName>
    <definedName name="SQEF_BM0513_N0" localSheetId="4">#REF!</definedName>
    <definedName name="SQEF_BM0513_N0" localSheetId="9">#REF!</definedName>
    <definedName name="SQEF_BM0513_N0">#REF!</definedName>
    <definedName name="SQEF_BM0514_N0" localSheetId="4">#REF!</definedName>
    <definedName name="SQEF_BM0514_N0" localSheetId="9">#REF!</definedName>
    <definedName name="SQEF_BM0514_N0">#REF!</definedName>
    <definedName name="SQEF_BM0515_N0" localSheetId="4">#REF!</definedName>
    <definedName name="SQEF_BM0515_N0" localSheetId="9">#REF!</definedName>
    <definedName name="SQEF_BM0515_N0">#REF!</definedName>
    <definedName name="SQEF_BM0516_N0" localSheetId="4">#REF!</definedName>
    <definedName name="SQEF_BM0516_N0" localSheetId="9">#REF!</definedName>
    <definedName name="SQEF_BM0516_N0">#REF!</definedName>
    <definedName name="SQEF_BM0517_N0" localSheetId="4">#REF!</definedName>
    <definedName name="SQEF_BM0517_N0" localSheetId="9">#REF!</definedName>
    <definedName name="SQEF_BM0517_N0">#REF!</definedName>
    <definedName name="SQEF_BM0518_N2" localSheetId="4">#REF!</definedName>
    <definedName name="SQEF_BM0518_N2" localSheetId="9">#REF!</definedName>
    <definedName name="SQEF_BM0518_N2">#REF!</definedName>
    <definedName name="SQEF_BM0519" localSheetId="4">#REF!</definedName>
    <definedName name="SQEF_BM0519" localSheetId="9">#REF!</definedName>
    <definedName name="SQEF_BM0519">#REF!</definedName>
    <definedName name="SQEF_BM052_N0" localSheetId="4">#REF!</definedName>
    <definedName name="SQEF_BM052_N0" localSheetId="9">#REF!</definedName>
    <definedName name="SQEF_BM052_N0">#REF!</definedName>
    <definedName name="SQEF_BM0520" localSheetId="4">#REF!</definedName>
    <definedName name="SQEF_BM0520" localSheetId="9">#REF!</definedName>
    <definedName name="SQEF_BM0520">#REF!</definedName>
    <definedName name="SQEF_BM0521" localSheetId="4">#REF!</definedName>
    <definedName name="SQEF_BM0521" localSheetId="9">#REF!</definedName>
    <definedName name="SQEF_BM0521">#REF!</definedName>
    <definedName name="SQEF_BM0522" localSheetId="4">#REF!</definedName>
    <definedName name="SQEF_BM0522" localSheetId="9">#REF!</definedName>
    <definedName name="SQEF_BM0522">#REF!</definedName>
    <definedName name="SQEF_BM0523" localSheetId="4">#REF!</definedName>
    <definedName name="SQEF_BM0523" localSheetId="9">#REF!</definedName>
    <definedName name="SQEF_BM0523">#REF!</definedName>
    <definedName name="SQEF_BM0524" localSheetId="4">#REF!</definedName>
    <definedName name="SQEF_BM0524" localSheetId="9">#REF!</definedName>
    <definedName name="SQEF_BM0524">#REF!</definedName>
    <definedName name="SQEF_BM0525" localSheetId="4">#REF!</definedName>
    <definedName name="SQEF_BM0525" localSheetId="9">#REF!</definedName>
    <definedName name="SQEF_BM0525">#REF!</definedName>
    <definedName name="SQEF_BM0526" localSheetId="4">#REF!</definedName>
    <definedName name="SQEF_BM0526" localSheetId="9">#REF!</definedName>
    <definedName name="SQEF_BM0526">#REF!</definedName>
    <definedName name="SQEF_BM0529_P0" localSheetId="4">#REF!</definedName>
    <definedName name="SQEF_BM0529_P0" localSheetId="9">#REF!</definedName>
    <definedName name="SQEF_BM0529_P0">#REF!</definedName>
    <definedName name="SQEF_BM053_N0" localSheetId="4">#REF!</definedName>
    <definedName name="SQEF_BM053_N0" localSheetId="9">#REF!</definedName>
    <definedName name="SQEF_BM053_N0">#REF!</definedName>
    <definedName name="SQEF_BM0530_P0" localSheetId="4">#REF!</definedName>
    <definedName name="SQEF_BM0530_P0" localSheetId="9">#REF!</definedName>
    <definedName name="SQEF_BM0530_P0">#REF!</definedName>
    <definedName name="SQEF_BM0531_P0" localSheetId="4">#REF!</definedName>
    <definedName name="SQEF_BM0531_P0" localSheetId="9">#REF!</definedName>
    <definedName name="SQEF_BM0531_P0">#REF!</definedName>
    <definedName name="SQEF_BM0532_P0" localSheetId="4">#REF!</definedName>
    <definedName name="SQEF_BM0532_P0" localSheetId="9">#REF!</definedName>
    <definedName name="SQEF_BM0532_P0">#REF!</definedName>
    <definedName name="SQEF_BM0533" localSheetId="4">#REF!</definedName>
    <definedName name="SQEF_BM0533" localSheetId="9">#REF!</definedName>
    <definedName name="SQEF_BM0533">#REF!</definedName>
    <definedName name="SQEF_BM0534_P0" localSheetId="4">#REF!</definedName>
    <definedName name="SQEF_BM0534_P0" localSheetId="9">#REF!</definedName>
    <definedName name="SQEF_BM0534_P0">#REF!</definedName>
    <definedName name="SQEF_BM0535_P0" localSheetId="4">#REF!</definedName>
    <definedName name="SQEF_BM0535_P0" localSheetId="9">#REF!</definedName>
    <definedName name="SQEF_BM0535_P0">#REF!</definedName>
    <definedName name="SQEF_BM0536_P0" localSheetId="4">#REF!</definedName>
    <definedName name="SQEF_BM0536_P0" localSheetId="9">#REF!</definedName>
    <definedName name="SQEF_BM0536_P0">#REF!</definedName>
    <definedName name="SQEF_BM0537_P0" localSheetId="4">#REF!</definedName>
    <definedName name="SQEF_BM0537_P0" localSheetId="9">#REF!</definedName>
    <definedName name="SQEF_BM0537_P0">#REF!</definedName>
    <definedName name="SQEF_BM0538_P0" localSheetId="4">#REF!</definedName>
    <definedName name="SQEF_BM0538_P0" localSheetId="9">#REF!</definedName>
    <definedName name="SQEF_BM0538_P0">#REF!</definedName>
    <definedName name="SQEF_BM0539" localSheetId="4">#REF!</definedName>
    <definedName name="SQEF_BM0539" localSheetId="9">#REF!</definedName>
    <definedName name="SQEF_BM0539">#REF!</definedName>
    <definedName name="SQEF_BM054_N0" localSheetId="4">#REF!</definedName>
    <definedName name="SQEF_BM054_N0" localSheetId="9">#REF!</definedName>
    <definedName name="SQEF_BM054_N0">#REF!</definedName>
    <definedName name="SQEF_BM0540_P0" localSheetId="4">#REF!</definedName>
    <definedName name="SQEF_BM0540_P0" localSheetId="9">#REF!</definedName>
    <definedName name="SQEF_BM0540_P0">#REF!</definedName>
    <definedName name="SQEF_BM0541_P0" localSheetId="4">#REF!</definedName>
    <definedName name="SQEF_BM0541_P0" localSheetId="9">#REF!</definedName>
    <definedName name="SQEF_BM0541_P0">#REF!</definedName>
    <definedName name="SQEF_BM0542_P0" localSheetId="4">#REF!</definedName>
    <definedName name="SQEF_BM0542_P0" localSheetId="9">#REF!</definedName>
    <definedName name="SQEF_BM0542_P0">#REF!</definedName>
    <definedName name="SQEF_BM0543_P0" localSheetId="4">#REF!</definedName>
    <definedName name="SQEF_BM0543_P0" localSheetId="9">#REF!</definedName>
    <definedName name="SQEF_BM0543_P0">#REF!</definedName>
    <definedName name="SQEF_BM055_N0" localSheetId="4">#REF!</definedName>
    <definedName name="SQEF_BM055_N0" localSheetId="9">#REF!</definedName>
    <definedName name="SQEF_BM055_N0">#REF!</definedName>
    <definedName name="SQEF_BM056_N0" localSheetId="4">#REF!</definedName>
    <definedName name="SQEF_BM056_N0" localSheetId="9">#REF!</definedName>
    <definedName name="SQEF_BM056_N0">#REF!</definedName>
    <definedName name="SQEF_BM057_N0" localSheetId="4">#REF!</definedName>
    <definedName name="SQEF_BM057_N0" localSheetId="9">#REF!</definedName>
    <definedName name="SQEF_BM057_N0">#REF!</definedName>
    <definedName name="SQEF_BM058_N0" localSheetId="4">#REF!</definedName>
    <definedName name="SQEF_BM058_N0" localSheetId="9">#REF!</definedName>
    <definedName name="SQEF_BM058_N0">#REF!</definedName>
    <definedName name="SQEF_BM059_N0" localSheetId="4">#REF!</definedName>
    <definedName name="SQEF_BM059_N0" localSheetId="9">#REF!</definedName>
    <definedName name="SQEF_BM059_N0">#REF!</definedName>
    <definedName name="SQEF_BM061" localSheetId="4">#REF!</definedName>
    <definedName name="SQEF_BM061" localSheetId="9">#REF!</definedName>
    <definedName name="SQEF_BM061">#REF!</definedName>
    <definedName name="SQEF_BM0610_N0" localSheetId="4">#REF!</definedName>
    <definedName name="SQEF_BM0610_N0" localSheetId="9">#REF!</definedName>
    <definedName name="SQEF_BM0610_N0">#REF!</definedName>
    <definedName name="SQEF_BM0611_N0" localSheetId="4">#REF!</definedName>
    <definedName name="SQEF_BM0611_N0" localSheetId="9">#REF!</definedName>
    <definedName name="SQEF_BM0611_N0">#REF!</definedName>
    <definedName name="SQEF_BM0612_N0" localSheetId="4">#REF!</definedName>
    <definedName name="SQEF_BM0612_N0" localSheetId="9">#REF!</definedName>
    <definedName name="SQEF_BM0612_N0">#REF!</definedName>
    <definedName name="SQEF_BM0613_N0" localSheetId="4">#REF!</definedName>
    <definedName name="SQEF_BM0613_N0" localSheetId="9">#REF!</definedName>
    <definedName name="SQEF_BM0613_N0">#REF!</definedName>
    <definedName name="SQEF_BM0614_N0" localSheetId="4">#REF!</definedName>
    <definedName name="SQEF_BM0614_N0" localSheetId="9">#REF!</definedName>
    <definedName name="SQEF_BM0614_N0">#REF!</definedName>
    <definedName name="SQEF_BM0615_N0" localSheetId="4">#REF!</definedName>
    <definedName name="SQEF_BM0615_N0" localSheetId="9">#REF!</definedName>
    <definedName name="SQEF_BM0615_N0">#REF!</definedName>
    <definedName name="SQEF_BM0616_N0" localSheetId="4">#REF!</definedName>
    <definedName name="SQEF_BM0616_N0" localSheetId="9">#REF!</definedName>
    <definedName name="SQEF_BM0616_N0">#REF!</definedName>
    <definedName name="SQEF_BM0617_N0" localSheetId="4">#REF!</definedName>
    <definedName name="SQEF_BM0617_N0" localSheetId="9">#REF!</definedName>
    <definedName name="SQEF_BM0617_N0">#REF!</definedName>
    <definedName name="SQEF_BM0618_N2" localSheetId="4">#REF!</definedName>
    <definedName name="SQEF_BM0618_N2" localSheetId="9">#REF!</definedName>
    <definedName name="SQEF_BM0618_N2">#REF!</definedName>
    <definedName name="SQEF_BM0619" localSheetId="4">#REF!</definedName>
    <definedName name="SQEF_BM0619" localSheetId="9">#REF!</definedName>
    <definedName name="SQEF_BM0619">#REF!</definedName>
    <definedName name="SQEF_BM062_N0" localSheetId="4">#REF!</definedName>
    <definedName name="SQEF_BM062_N0" localSheetId="9">#REF!</definedName>
    <definedName name="SQEF_BM062_N0">#REF!</definedName>
    <definedName name="SQEF_BM0620" localSheetId="4">#REF!</definedName>
    <definedName name="SQEF_BM0620" localSheetId="9">#REF!</definedName>
    <definedName name="SQEF_BM0620">#REF!</definedName>
    <definedName name="SQEF_BM0621" localSheetId="4">#REF!</definedName>
    <definedName name="SQEF_BM0621" localSheetId="9">#REF!</definedName>
    <definedName name="SQEF_BM0621">#REF!</definedName>
    <definedName name="SQEF_BM0622" localSheetId="4">#REF!</definedName>
    <definedName name="SQEF_BM0622" localSheetId="9">#REF!</definedName>
    <definedName name="SQEF_BM0622">#REF!</definedName>
    <definedName name="SQEF_BM0623" localSheetId="4">#REF!</definedName>
    <definedName name="SQEF_BM0623" localSheetId="9">#REF!</definedName>
    <definedName name="SQEF_BM0623">#REF!</definedName>
    <definedName name="SQEF_BM0624" localSheetId="4">#REF!</definedName>
    <definedName name="SQEF_BM0624" localSheetId="9">#REF!</definedName>
    <definedName name="SQEF_BM0624">#REF!</definedName>
    <definedName name="SQEF_BM0625" localSheetId="4">#REF!</definedName>
    <definedName name="SQEF_BM0625" localSheetId="9">#REF!</definedName>
    <definedName name="SQEF_BM0625">#REF!</definedName>
    <definedName name="SQEF_BM0626" localSheetId="4">#REF!</definedName>
    <definedName name="SQEF_BM0626" localSheetId="9">#REF!</definedName>
    <definedName name="SQEF_BM0626">#REF!</definedName>
    <definedName name="SQEF_BM0629_P0" localSheetId="4">#REF!</definedName>
    <definedName name="SQEF_BM0629_P0" localSheetId="9">#REF!</definedName>
    <definedName name="SQEF_BM0629_P0">#REF!</definedName>
    <definedName name="SQEF_BM063_N0" localSheetId="4">#REF!</definedName>
    <definedName name="SQEF_BM063_N0" localSheetId="9">#REF!</definedName>
    <definedName name="SQEF_BM063_N0">#REF!</definedName>
    <definedName name="SQEF_BM0630_P0" localSheetId="4">#REF!</definedName>
    <definedName name="SQEF_BM0630_P0" localSheetId="9">#REF!</definedName>
    <definedName name="SQEF_BM0630_P0">#REF!</definedName>
    <definedName name="SQEF_BM0631_P0" localSheetId="4">#REF!</definedName>
    <definedName name="SQEF_BM0631_P0" localSheetId="9">#REF!</definedName>
    <definedName name="SQEF_BM0631_P0">#REF!</definedName>
    <definedName name="SQEF_BM0632_P0" localSheetId="4">#REF!</definedName>
    <definedName name="SQEF_BM0632_P0" localSheetId="9">#REF!</definedName>
    <definedName name="SQEF_BM0632_P0">#REF!</definedName>
    <definedName name="SQEF_BM0633" localSheetId="4">#REF!</definedName>
    <definedName name="SQEF_BM0633" localSheetId="9">#REF!</definedName>
    <definedName name="SQEF_BM0633">#REF!</definedName>
    <definedName name="SQEF_BM0634_P0" localSheetId="4">#REF!</definedName>
    <definedName name="SQEF_BM0634_P0" localSheetId="9">#REF!</definedName>
    <definedName name="SQEF_BM0634_P0">#REF!</definedName>
    <definedName name="SQEF_BM0635_P0" localSheetId="4">#REF!</definedName>
    <definedName name="SQEF_BM0635_P0" localSheetId="9">#REF!</definedName>
    <definedName name="SQEF_BM0635_P0">#REF!</definedName>
    <definedName name="SQEF_BM0636_P0" localSheetId="4">#REF!</definedName>
    <definedName name="SQEF_BM0636_P0" localSheetId="9">#REF!</definedName>
    <definedName name="SQEF_BM0636_P0">#REF!</definedName>
    <definedName name="SQEF_BM0637_P0" localSheetId="4">#REF!</definedName>
    <definedName name="SQEF_BM0637_P0" localSheetId="9">#REF!</definedName>
    <definedName name="SQEF_BM0637_P0">#REF!</definedName>
    <definedName name="SQEF_BM0638_P0" localSheetId="4">#REF!</definedName>
    <definedName name="SQEF_BM0638_P0" localSheetId="9">#REF!</definedName>
    <definedName name="SQEF_BM0638_P0">#REF!</definedName>
    <definedName name="SQEF_BM0639" localSheetId="4">#REF!</definedName>
    <definedName name="SQEF_BM0639" localSheetId="9">#REF!</definedName>
    <definedName name="SQEF_BM0639">#REF!</definedName>
    <definedName name="SQEF_BM064_N0" localSheetId="4">#REF!</definedName>
    <definedName name="SQEF_BM064_N0" localSheetId="9">#REF!</definedName>
    <definedName name="SQEF_BM064_N0">#REF!</definedName>
    <definedName name="SQEF_BM0640_P0" localSheetId="4">#REF!</definedName>
    <definedName name="SQEF_BM0640_P0" localSheetId="9">#REF!</definedName>
    <definedName name="SQEF_BM0640_P0">#REF!</definedName>
    <definedName name="SQEF_BM0641_P0" localSheetId="4">#REF!</definedName>
    <definedName name="SQEF_BM0641_P0" localSheetId="9">#REF!</definedName>
    <definedName name="SQEF_BM0641_P0">#REF!</definedName>
    <definedName name="SQEF_BM0642_P0" localSheetId="4">#REF!</definedName>
    <definedName name="SQEF_BM0642_P0" localSheetId="9">#REF!</definedName>
    <definedName name="SQEF_BM0642_P0">#REF!</definedName>
    <definedName name="SQEF_BM0643_P0" localSheetId="4">#REF!</definedName>
    <definedName name="SQEF_BM0643_P0" localSheetId="9">#REF!</definedName>
    <definedName name="SQEF_BM0643_P0">#REF!</definedName>
    <definedName name="SQEF_BM065_N0" localSheetId="4">#REF!</definedName>
    <definedName name="SQEF_BM065_N0" localSheetId="9">#REF!</definedName>
    <definedName name="SQEF_BM065_N0">#REF!</definedName>
    <definedName name="SQEF_BM066_N0" localSheetId="4">#REF!</definedName>
    <definedName name="SQEF_BM066_N0" localSheetId="9">#REF!</definedName>
    <definedName name="SQEF_BM066_N0">#REF!</definedName>
    <definedName name="SQEF_BM067_N0" localSheetId="4">#REF!</definedName>
    <definedName name="SQEF_BM067_N0" localSheetId="9">#REF!</definedName>
    <definedName name="SQEF_BM067_N0">#REF!</definedName>
    <definedName name="SQEF_BM068_N0" localSheetId="4">#REF!</definedName>
    <definedName name="SQEF_BM068_N0" localSheetId="9">#REF!</definedName>
    <definedName name="SQEF_BM068_N0">#REF!</definedName>
    <definedName name="SQEF_BM069_N0" localSheetId="4">#REF!</definedName>
    <definedName name="SQEF_BM069_N0" localSheetId="9">#REF!</definedName>
    <definedName name="SQEF_BM069_N0">#REF!</definedName>
    <definedName name="SQEF_BM071" localSheetId="4">#REF!</definedName>
    <definedName name="SQEF_BM071" localSheetId="9">#REF!</definedName>
    <definedName name="SQEF_BM071">#REF!</definedName>
    <definedName name="SQEF_BM0710_N0" localSheetId="4">#REF!</definedName>
    <definedName name="SQEF_BM0710_N0" localSheetId="9">#REF!</definedName>
    <definedName name="SQEF_BM0710_N0">#REF!</definedName>
    <definedName name="SQEF_BM0711_N0" localSheetId="4">#REF!</definedName>
    <definedName name="SQEF_BM0711_N0" localSheetId="9">#REF!</definedName>
    <definedName name="SQEF_BM0711_N0">#REF!</definedName>
    <definedName name="SQEF_BM0712_N0" localSheetId="4">#REF!</definedName>
    <definedName name="SQEF_BM0712_N0" localSheetId="9">#REF!</definedName>
    <definedName name="SQEF_BM0712_N0">#REF!</definedName>
    <definedName name="SQEF_BM0713_N0" localSheetId="4">#REF!</definedName>
    <definedName name="SQEF_BM0713_N0" localSheetId="9">#REF!</definedName>
    <definedName name="SQEF_BM0713_N0">#REF!</definedName>
    <definedName name="SQEF_BM0714_N0" localSheetId="4">#REF!</definedName>
    <definedName name="SQEF_BM0714_N0" localSheetId="9">#REF!</definedName>
    <definedName name="SQEF_BM0714_N0">#REF!</definedName>
    <definedName name="SQEF_BM0715_N0" localSheetId="4">#REF!</definedName>
    <definedName name="SQEF_BM0715_N0" localSheetId="9">#REF!</definedName>
    <definedName name="SQEF_BM0715_N0">#REF!</definedName>
    <definedName name="SQEF_BM0716_N0" localSheetId="4">#REF!</definedName>
    <definedName name="SQEF_BM0716_N0" localSheetId="9">#REF!</definedName>
    <definedName name="SQEF_BM0716_N0">#REF!</definedName>
    <definedName name="SQEF_BM0717_N0" localSheetId="4">#REF!</definedName>
    <definedName name="SQEF_BM0717_N0" localSheetId="9">#REF!</definedName>
    <definedName name="SQEF_BM0717_N0">#REF!</definedName>
    <definedName name="SQEF_BM0718_N2" localSheetId="4">#REF!</definedName>
    <definedName name="SQEF_BM0718_N2" localSheetId="9">#REF!</definedName>
    <definedName name="SQEF_BM0718_N2">#REF!</definedName>
    <definedName name="SQEF_BM0719" localSheetId="4">#REF!</definedName>
    <definedName name="SQEF_BM0719" localSheetId="9">#REF!</definedName>
    <definedName name="SQEF_BM0719">#REF!</definedName>
    <definedName name="SQEF_BM072_N0" localSheetId="4">#REF!</definedName>
    <definedName name="SQEF_BM072_N0" localSheetId="9">#REF!</definedName>
    <definedName name="SQEF_BM072_N0">#REF!</definedName>
    <definedName name="SQEF_BM0720" localSheetId="4">#REF!</definedName>
    <definedName name="SQEF_BM0720" localSheetId="9">#REF!</definedName>
    <definedName name="SQEF_BM0720">#REF!</definedName>
    <definedName name="SQEF_BM0721" localSheetId="4">#REF!</definedName>
    <definedName name="SQEF_BM0721" localSheetId="9">#REF!</definedName>
    <definedName name="SQEF_BM0721">#REF!</definedName>
    <definedName name="SQEF_BM0722" localSheetId="4">#REF!</definedName>
    <definedName name="SQEF_BM0722" localSheetId="9">#REF!</definedName>
    <definedName name="SQEF_BM0722">#REF!</definedName>
    <definedName name="SQEF_BM0723" localSheetId="4">#REF!</definedName>
    <definedName name="SQEF_BM0723" localSheetId="9">#REF!</definedName>
    <definedName name="SQEF_BM0723">#REF!</definedName>
    <definedName name="SQEF_BM0724" localSheetId="4">#REF!</definedName>
    <definedName name="SQEF_BM0724" localSheetId="9">#REF!</definedName>
    <definedName name="SQEF_BM0724">#REF!</definedName>
    <definedName name="SQEF_BM0725" localSheetId="4">#REF!</definedName>
    <definedName name="SQEF_BM0725" localSheetId="9">#REF!</definedName>
    <definedName name="SQEF_BM0725">#REF!</definedName>
    <definedName name="SQEF_BM0726" localSheetId="4">#REF!</definedName>
    <definedName name="SQEF_BM0726" localSheetId="9">#REF!</definedName>
    <definedName name="SQEF_BM0726">#REF!</definedName>
    <definedName name="SQEF_BM0729_P0" localSheetId="4">#REF!</definedName>
    <definedName name="SQEF_BM0729_P0" localSheetId="9">#REF!</definedName>
    <definedName name="SQEF_BM0729_P0">#REF!</definedName>
    <definedName name="SQEF_BM073_N0" localSheetId="4">#REF!</definedName>
    <definedName name="SQEF_BM073_N0" localSheetId="9">#REF!</definedName>
    <definedName name="SQEF_BM073_N0">#REF!</definedName>
    <definedName name="SQEF_BM0730_P0" localSheetId="4">#REF!</definedName>
    <definedName name="SQEF_BM0730_P0" localSheetId="9">#REF!</definedName>
    <definedName name="SQEF_BM0730_P0">#REF!</definedName>
    <definedName name="SQEF_BM0731_P0" localSheetId="4">#REF!</definedName>
    <definedName name="SQEF_BM0731_P0" localSheetId="9">#REF!</definedName>
    <definedName name="SQEF_BM0731_P0">#REF!</definedName>
    <definedName name="SQEF_BM0732_P0" localSheetId="4">#REF!</definedName>
    <definedName name="SQEF_BM0732_P0" localSheetId="9">#REF!</definedName>
    <definedName name="SQEF_BM0732_P0">#REF!</definedName>
    <definedName name="SQEF_BM0733" localSheetId="4">#REF!</definedName>
    <definedName name="SQEF_BM0733" localSheetId="9">#REF!</definedName>
    <definedName name="SQEF_BM0733">#REF!</definedName>
    <definedName name="SQEF_BM0734_P0" localSheetId="4">#REF!</definedName>
    <definedName name="SQEF_BM0734_P0" localSheetId="9">#REF!</definedName>
    <definedName name="SQEF_BM0734_P0">#REF!</definedName>
    <definedName name="SQEF_BM0735_P0" localSheetId="4">#REF!</definedName>
    <definedName name="SQEF_BM0735_P0" localSheetId="9">#REF!</definedName>
    <definedName name="SQEF_BM0735_P0">#REF!</definedName>
    <definedName name="SQEF_BM0736_P0" localSheetId="4">#REF!</definedName>
    <definedName name="SQEF_BM0736_P0" localSheetId="9">#REF!</definedName>
    <definedName name="SQEF_BM0736_P0">#REF!</definedName>
    <definedName name="SQEF_BM0737_P0" localSheetId="4">#REF!</definedName>
    <definedName name="SQEF_BM0737_P0" localSheetId="9">#REF!</definedName>
    <definedName name="SQEF_BM0737_P0">#REF!</definedName>
    <definedName name="SQEF_BM0738_P0" localSheetId="4">#REF!</definedName>
    <definedName name="SQEF_BM0738_P0" localSheetId="9">#REF!</definedName>
    <definedName name="SQEF_BM0738_P0">#REF!</definedName>
    <definedName name="SQEF_BM0739" localSheetId="4">#REF!</definedName>
    <definedName name="SQEF_BM0739" localSheetId="9">#REF!</definedName>
    <definedName name="SQEF_BM0739">#REF!</definedName>
    <definedName name="SQEF_BM074_N0" localSheetId="4">#REF!</definedName>
    <definedName name="SQEF_BM074_N0" localSheetId="9">#REF!</definedName>
    <definedName name="SQEF_BM074_N0">#REF!</definedName>
    <definedName name="SQEF_BM0740_P0" localSheetId="4">#REF!</definedName>
    <definedName name="SQEF_BM0740_P0" localSheetId="9">#REF!</definedName>
    <definedName name="SQEF_BM0740_P0">#REF!</definedName>
    <definedName name="SQEF_BM0741_P0" localSheetId="4">#REF!</definedName>
    <definedName name="SQEF_BM0741_P0" localSheetId="9">#REF!</definedName>
    <definedName name="SQEF_BM0741_P0">#REF!</definedName>
    <definedName name="SQEF_BM0742_P0" localSheetId="4">#REF!</definedName>
    <definedName name="SQEF_BM0742_P0" localSheetId="9">#REF!</definedName>
    <definedName name="SQEF_BM0742_P0">#REF!</definedName>
    <definedName name="SQEF_BM0743_P0" localSheetId="4">#REF!</definedName>
    <definedName name="SQEF_BM0743_P0" localSheetId="9">#REF!</definedName>
    <definedName name="SQEF_BM0743_P0">#REF!</definedName>
    <definedName name="SQEF_BM075_N0" localSheetId="4">#REF!</definedName>
    <definedName name="SQEF_BM075_N0" localSheetId="9">#REF!</definedName>
    <definedName name="SQEF_BM075_N0">#REF!</definedName>
    <definedName name="SQEF_BM076_N0" localSheetId="4">#REF!</definedName>
    <definedName name="SQEF_BM076_N0" localSheetId="9">#REF!</definedName>
    <definedName name="SQEF_BM076_N0">#REF!</definedName>
    <definedName name="SQEF_BM077_N0" localSheetId="4">#REF!</definedName>
    <definedName name="SQEF_BM077_N0" localSheetId="9">#REF!</definedName>
    <definedName name="SQEF_BM077_N0">#REF!</definedName>
    <definedName name="SQEF_BM078_N0" localSheetId="4">#REF!</definedName>
    <definedName name="SQEF_BM078_N0" localSheetId="9">#REF!</definedName>
    <definedName name="SQEF_BM078_N0">#REF!</definedName>
    <definedName name="SQEF_BM079_N0" localSheetId="4">#REF!</definedName>
    <definedName name="SQEF_BM079_N0" localSheetId="9">#REF!</definedName>
    <definedName name="SQEF_BM079_N0">#REF!</definedName>
    <definedName name="SQEF_BM081" localSheetId="4">#REF!</definedName>
    <definedName name="SQEF_BM081" localSheetId="9">#REF!</definedName>
    <definedName name="SQEF_BM081">#REF!</definedName>
    <definedName name="SQEF_BM0810_N0" localSheetId="4">#REF!</definedName>
    <definedName name="SQEF_BM0810_N0" localSheetId="9">#REF!</definedName>
    <definedName name="SQEF_BM0810_N0">#REF!</definedName>
    <definedName name="SQEF_BM0811_N0" localSheetId="4">#REF!</definedName>
    <definedName name="SQEF_BM0811_N0" localSheetId="9">#REF!</definedName>
    <definedName name="SQEF_BM0811_N0">#REF!</definedName>
    <definedName name="SQEF_BM0812_N0" localSheetId="4">#REF!</definedName>
    <definedName name="SQEF_BM0812_N0" localSheetId="9">#REF!</definedName>
    <definedName name="SQEF_BM0812_N0">#REF!</definedName>
    <definedName name="SQEF_BM0813_N0" localSheetId="4">#REF!</definedName>
    <definedName name="SQEF_BM0813_N0" localSheetId="9">#REF!</definedName>
    <definedName name="SQEF_BM0813_N0">#REF!</definedName>
    <definedName name="SQEF_BM0814_N0" localSheetId="4">#REF!</definedName>
    <definedName name="SQEF_BM0814_N0" localSheetId="9">#REF!</definedName>
    <definedName name="SQEF_BM0814_N0">#REF!</definedName>
    <definedName name="SQEF_BM0815_N0" localSheetId="4">#REF!</definedName>
    <definedName name="SQEF_BM0815_N0" localSheetId="9">#REF!</definedName>
    <definedName name="SQEF_BM0815_N0">#REF!</definedName>
    <definedName name="SQEF_BM0816_N0" localSheetId="4">#REF!</definedName>
    <definedName name="SQEF_BM0816_N0" localSheetId="9">#REF!</definedName>
    <definedName name="SQEF_BM0816_N0">#REF!</definedName>
    <definedName name="SQEF_BM0817_N0" localSheetId="4">#REF!</definedName>
    <definedName name="SQEF_BM0817_N0" localSheetId="9">#REF!</definedName>
    <definedName name="SQEF_BM0817_N0">#REF!</definedName>
    <definedName name="SQEF_BM0818_N2" localSheetId="4">#REF!</definedName>
    <definedName name="SQEF_BM0818_N2" localSheetId="9">#REF!</definedName>
    <definedName name="SQEF_BM0818_N2">#REF!</definedName>
    <definedName name="SQEF_BM0819" localSheetId="4">#REF!</definedName>
    <definedName name="SQEF_BM0819" localSheetId="9">#REF!</definedName>
    <definedName name="SQEF_BM0819">#REF!</definedName>
    <definedName name="SQEF_BM082_N0" localSheetId="4">#REF!</definedName>
    <definedName name="SQEF_BM082_N0" localSheetId="9">#REF!</definedName>
    <definedName name="SQEF_BM082_N0">#REF!</definedName>
    <definedName name="SQEF_BM0820" localSheetId="4">#REF!</definedName>
    <definedName name="SQEF_BM0820" localSheetId="9">#REF!</definedName>
    <definedName name="SQEF_BM0820">#REF!</definedName>
    <definedName name="SQEF_BM0821" localSheetId="4">#REF!</definedName>
    <definedName name="SQEF_BM0821" localSheetId="9">#REF!</definedName>
    <definedName name="SQEF_BM0821">#REF!</definedName>
    <definedName name="SQEF_BM0822" localSheetId="4">#REF!</definedName>
    <definedName name="SQEF_BM0822" localSheetId="9">#REF!</definedName>
    <definedName name="SQEF_BM0822">#REF!</definedName>
    <definedName name="SQEF_BM0823" localSheetId="4">#REF!</definedName>
    <definedName name="SQEF_BM0823" localSheetId="9">#REF!</definedName>
    <definedName name="SQEF_BM0823">#REF!</definedName>
    <definedName name="SQEF_BM0824" localSheetId="4">#REF!</definedName>
    <definedName name="SQEF_BM0824" localSheetId="9">#REF!</definedName>
    <definedName name="SQEF_BM0824">#REF!</definedName>
    <definedName name="SQEF_BM0825" localSheetId="4">#REF!</definedName>
    <definedName name="SQEF_BM0825" localSheetId="9">#REF!</definedName>
    <definedName name="SQEF_BM0825">#REF!</definedName>
    <definedName name="SQEF_BM0826" localSheetId="4">#REF!</definedName>
    <definedName name="SQEF_BM0826" localSheetId="9">#REF!</definedName>
    <definedName name="SQEF_BM0826">#REF!</definedName>
    <definedName name="SQEF_BM0829_P0" localSheetId="4">#REF!</definedName>
    <definedName name="SQEF_BM0829_P0" localSheetId="9">#REF!</definedName>
    <definedName name="SQEF_BM0829_P0">#REF!</definedName>
    <definedName name="SQEF_BM083_N0" localSheetId="4">#REF!</definedName>
    <definedName name="SQEF_BM083_N0" localSheetId="9">#REF!</definedName>
    <definedName name="SQEF_BM083_N0">#REF!</definedName>
    <definedName name="SQEF_BM0830_P0" localSheetId="4">#REF!</definedName>
    <definedName name="SQEF_BM0830_P0" localSheetId="9">#REF!</definedName>
    <definedName name="SQEF_BM0830_P0">#REF!</definedName>
    <definedName name="SQEF_BM0831_P0" localSheetId="4">#REF!</definedName>
    <definedName name="SQEF_BM0831_P0" localSheetId="9">#REF!</definedName>
    <definedName name="SQEF_BM0831_P0">#REF!</definedName>
    <definedName name="SQEF_BM0832_P0" localSheetId="4">#REF!</definedName>
    <definedName name="SQEF_BM0832_P0" localSheetId="9">#REF!</definedName>
    <definedName name="SQEF_BM0832_P0">#REF!</definedName>
    <definedName name="SQEF_BM0833" localSheetId="4">#REF!</definedName>
    <definedName name="SQEF_BM0833" localSheetId="9">#REF!</definedName>
    <definedName name="SQEF_BM0833">#REF!</definedName>
    <definedName name="SQEF_BM0834_P0" localSheetId="4">#REF!</definedName>
    <definedName name="SQEF_BM0834_P0" localSheetId="9">#REF!</definedName>
    <definedName name="SQEF_BM0834_P0">#REF!</definedName>
    <definedName name="SQEF_BM0835_P0" localSheetId="4">#REF!</definedName>
    <definedName name="SQEF_BM0835_P0" localSheetId="9">#REF!</definedName>
    <definedName name="SQEF_BM0835_P0">#REF!</definedName>
    <definedName name="SQEF_BM0836_P0" localSheetId="4">#REF!</definedName>
    <definedName name="SQEF_BM0836_P0" localSheetId="9">#REF!</definedName>
    <definedName name="SQEF_BM0836_P0">#REF!</definedName>
    <definedName name="SQEF_BM0837_P0" localSheetId="4">#REF!</definedName>
    <definedName name="SQEF_BM0837_P0" localSheetId="9">#REF!</definedName>
    <definedName name="SQEF_BM0837_P0">#REF!</definedName>
    <definedName name="SQEF_BM0838_P0" localSheetId="4">#REF!</definedName>
    <definedName name="SQEF_BM0838_P0" localSheetId="9">#REF!</definedName>
    <definedName name="SQEF_BM0838_P0">#REF!</definedName>
    <definedName name="SQEF_BM0839" localSheetId="4">#REF!</definedName>
    <definedName name="SQEF_BM0839" localSheetId="9">#REF!</definedName>
    <definedName name="SQEF_BM0839">#REF!</definedName>
    <definedName name="SQEF_BM084_N0" localSheetId="4">#REF!</definedName>
    <definedName name="SQEF_BM084_N0" localSheetId="9">#REF!</definedName>
    <definedName name="SQEF_BM084_N0">#REF!</definedName>
    <definedName name="SQEF_BM0840_P0" localSheetId="4">#REF!</definedName>
    <definedName name="SQEF_BM0840_P0" localSheetId="9">#REF!</definedName>
    <definedName name="SQEF_BM0840_P0">#REF!</definedName>
    <definedName name="SQEF_BM0841_P0" localSheetId="4">#REF!</definedName>
    <definedName name="SQEF_BM0841_P0" localSheetId="9">#REF!</definedName>
    <definedName name="SQEF_BM0841_P0">#REF!</definedName>
    <definedName name="SQEF_BM0842_P0" localSheetId="4">#REF!</definedName>
    <definedName name="SQEF_BM0842_P0" localSheetId="9">#REF!</definedName>
    <definedName name="SQEF_BM0842_P0">#REF!</definedName>
    <definedName name="SQEF_BM0843_P0" localSheetId="4">#REF!</definedName>
    <definedName name="SQEF_BM0843_P0" localSheetId="9">#REF!</definedName>
    <definedName name="SQEF_BM0843_P0">#REF!</definedName>
    <definedName name="SQEF_BM085_N0" localSheetId="4">#REF!</definedName>
    <definedName name="SQEF_BM085_N0" localSheetId="9">#REF!</definedName>
    <definedName name="SQEF_BM085_N0">#REF!</definedName>
    <definedName name="SQEF_BM086_N0" localSheetId="4">#REF!</definedName>
    <definedName name="SQEF_BM086_N0" localSheetId="9">#REF!</definedName>
    <definedName name="SQEF_BM086_N0">#REF!</definedName>
    <definedName name="SQEF_BM087_N0" localSheetId="4">#REF!</definedName>
    <definedName name="SQEF_BM087_N0" localSheetId="9">#REF!</definedName>
    <definedName name="SQEF_BM087_N0">#REF!</definedName>
    <definedName name="SQEF_BM088_N0" localSheetId="4">#REF!</definedName>
    <definedName name="SQEF_BM088_N0" localSheetId="9">#REF!</definedName>
    <definedName name="SQEF_BM088_N0">#REF!</definedName>
    <definedName name="SQEF_BM089_N0" localSheetId="4">#REF!</definedName>
    <definedName name="SQEF_BM089_N0" localSheetId="9">#REF!</definedName>
    <definedName name="SQEF_BM089_N0">#REF!</definedName>
    <definedName name="SQEF_BM091" localSheetId="4">#REF!</definedName>
    <definedName name="SQEF_BM091" localSheetId="9">#REF!</definedName>
    <definedName name="SQEF_BM091">#REF!</definedName>
    <definedName name="SQEF_BM0910_N0" localSheetId="4">#REF!</definedName>
    <definedName name="SQEF_BM0910_N0" localSheetId="9">#REF!</definedName>
    <definedName name="SQEF_BM0910_N0">#REF!</definedName>
    <definedName name="SQEF_BM0911_N0" localSheetId="4">#REF!</definedName>
    <definedName name="SQEF_BM0911_N0" localSheetId="9">#REF!</definedName>
    <definedName name="SQEF_BM0911_N0">#REF!</definedName>
    <definedName name="SQEF_BM0912_N0" localSheetId="4">#REF!</definedName>
    <definedName name="SQEF_BM0912_N0" localSheetId="9">#REF!</definedName>
    <definedName name="SQEF_BM0912_N0">#REF!</definedName>
    <definedName name="SQEF_BM0913_N0" localSheetId="4">#REF!</definedName>
    <definedName name="SQEF_BM0913_N0" localSheetId="9">#REF!</definedName>
    <definedName name="SQEF_BM0913_N0">#REF!</definedName>
    <definedName name="SQEF_BM0914_N0" localSheetId="4">#REF!</definedName>
    <definedName name="SQEF_BM0914_N0" localSheetId="9">#REF!</definedName>
    <definedName name="SQEF_BM0914_N0">#REF!</definedName>
    <definedName name="SQEF_BM0915_N0" localSheetId="4">#REF!</definedName>
    <definedName name="SQEF_BM0915_N0" localSheetId="9">#REF!</definedName>
    <definedName name="SQEF_BM0915_N0">#REF!</definedName>
    <definedName name="SQEF_BM0916_N0" localSheetId="4">#REF!</definedName>
    <definedName name="SQEF_BM0916_N0" localSheetId="9">#REF!</definedName>
    <definedName name="SQEF_BM0916_N0">#REF!</definedName>
    <definedName name="SQEF_BM0917_N0" localSheetId="4">#REF!</definedName>
    <definedName name="SQEF_BM0917_N0" localSheetId="9">#REF!</definedName>
    <definedName name="SQEF_BM0917_N0">#REF!</definedName>
    <definedName name="SQEF_BM0918_N2" localSheetId="4">#REF!</definedName>
    <definedName name="SQEF_BM0918_N2" localSheetId="9">#REF!</definedName>
    <definedName name="SQEF_BM0918_N2">#REF!</definedName>
    <definedName name="SQEF_BM0919" localSheetId="4">#REF!</definedName>
    <definedName name="SQEF_BM0919" localSheetId="9">#REF!</definedName>
    <definedName name="SQEF_BM0919">#REF!</definedName>
    <definedName name="SQEF_BM092_N0" localSheetId="4">#REF!</definedName>
    <definedName name="SQEF_BM092_N0" localSheetId="9">#REF!</definedName>
    <definedName name="SQEF_BM092_N0">#REF!</definedName>
    <definedName name="SQEF_BM0920" localSheetId="4">#REF!</definedName>
    <definedName name="SQEF_BM0920" localSheetId="9">#REF!</definedName>
    <definedName name="SQEF_BM0920">#REF!</definedName>
    <definedName name="SQEF_BM0921" localSheetId="4">#REF!</definedName>
    <definedName name="SQEF_BM0921" localSheetId="9">#REF!</definedName>
    <definedName name="SQEF_BM0921">#REF!</definedName>
    <definedName name="SQEF_BM0922" localSheetId="4">#REF!</definedName>
    <definedName name="SQEF_BM0922" localSheetId="9">#REF!</definedName>
    <definedName name="SQEF_BM0922">#REF!</definedName>
    <definedName name="SQEF_BM0923" localSheetId="4">#REF!</definedName>
    <definedName name="SQEF_BM0923" localSheetId="9">#REF!</definedName>
    <definedName name="SQEF_BM0923">#REF!</definedName>
    <definedName name="SQEF_BM0924" localSheetId="4">#REF!</definedName>
    <definedName name="SQEF_BM0924" localSheetId="9">#REF!</definedName>
    <definedName name="SQEF_BM0924">#REF!</definedName>
    <definedName name="SQEF_BM0925" localSheetId="4">#REF!</definedName>
    <definedName name="SQEF_BM0925" localSheetId="9">#REF!</definedName>
    <definedName name="SQEF_BM0925">#REF!</definedName>
    <definedName name="SQEF_BM0926" localSheetId="4">#REF!</definedName>
    <definedName name="SQEF_BM0926" localSheetId="9">#REF!</definedName>
    <definedName name="SQEF_BM0926">#REF!</definedName>
    <definedName name="SQEF_BM0929_P0" localSheetId="4">#REF!</definedName>
    <definedName name="SQEF_BM0929_P0" localSheetId="9">#REF!</definedName>
    <definedName name="SQEF_BM0929_P0">#REF!</definedName>
    <definedName name="SQEF_BM093_N0" localSheetId="4">#REF!</definedName>
    <definedName name="SQEF_BM093_N0" localSheetId="9">#REF!</definedName>
    <definedName name="SQEF_BM093_N0">#REF!</definedName>
    <definedName name="SQEF_BM0930_P0" localSheetId="4">#REF!</definedName>
    <definedName name="SQEF_BM0930_P0" localSheetId="9">#REF!</definedName>
    <definedName name="SQEF_BM0930_P0">#REF!</definedName>
    <definedName name="SQEF_BM0931_P0" localSheetId="4">#REF!</definedName>
    <definedName name="SQEF_BM0931_P0" localSheetId="9">#REF!</definedName>
    <definedName name="SQEF_BM0931_P0">#REF!</definedName>
    <definedName name="SQEF_BM0932_P0" localSheetId="4">#REF!</definedName>
    <definedName name="SQEF_BM0932_P0" localSheetId="9">#REF!</definedName>
    <definedName name="SQEF_BM0932_P0">#REF!</definedName>
    <definedName name="SQEF_BM0933" localSheetId="4">#REF!</definedName>
    <definedName name="SQEF_BM0933" localSheetId="9">#REF!</definedName>
    <definedName name="SQEF_BM0933">#REF!</definedName>
    <definedName name="SQEF_BM0934_P0" localSheetId="4">#REF!</definedName>
    <definedName name="SQEF_BM0934_P0" localSheetId="9">#REF!</definedName>
    <definedName name="SQEF_BM0934_P0">#REF!</definedName>
    <definedName name="SQEF_BM0935_P0" localSheetId="4">#REF!</definedName>
    <definedName name="SQEF_BM0935_P0" localSheetId="9">#REF!</definedName>
    <definedName name="SQEF_BM0935_P0">#REF!</definedName>
    <definedName name="SQEF_BM0936_P0" localSheetId="4">#REF!</definedName>
    <definedName name="SQEF_BM0936_P0" localSheetId="9">#REF!</definedName>
    <definedName name="SQEF_BM0936_P0">#REF!</definedName>
    <definedName name="SQEF_BM0937_P0" localSheetId="4">#REF!</definedName>
    <definedName name="SQEF_BM0937_P0" localSheetId="9">#REF!</definedName>
    <definedName name="SQEF_BM0937_P0">#REF!</definedName>
    <definedName name="SQEF_BM0938_P0" localSheetId="4">#REF!</definedName>
    <definedName name="SQEF_BM0938_P0" localSheetId="9">#REF!</definedName>
    <definedName name="SQEF_BM0938_P0">#REF!</definedName>
    <definedName name="SQEF_BM0939" localSheetId="4">#REF!</definedName>
    <definedName name="SQEF_BM0939" localSheetId="9">#REF!</definedName>
    <definedName name="SQEF_BM0939">#REF!</definedName>
    <definedName name="SQEF_BM094_N0" localSheetId="4">#REF!</definedName>
    <definedName name="SQEF_BM094_N0" localSheetId="9">#REF!</definedName>
    <definedName name="SQEF_BM094_N0">#REF!</definedName>
    <definedName name="SQEF_BM0940_P0" localSheetId="4">#REF!</definedName>
    <definedName name="SQEF_BM0940_P0" localSheetId="9">#REF!</definedName>
    <definedName name="SQEF_BM0940_P0">#REF!</definedName>
    <definedName name="SQEF_BM0941_P0" localSheetId="4">#REF!</definedName>
    <definedName name="SQEF_BM0941_P0" localSheetId="9">#REF!</definedName>
    <definedName name="SQEF_BM0941_P0">#REF!</definedName>
    <definedName name="SQEF_BM0942_P0" localSheetId="4">#REF!</definedName>
    <definedName name="SQEF_BM0942_P0" localSheetId="9">#REF!</definedName>
    <definedName name="SQEF_BM0942_P0">#REF!</definedName>
    <definedName name="SQEF_BM0943_P0" localSheetId="4">#REF!</definedName>
    <definedName name="SQEF_BM0943_P0" localSheetId="9">#REF!</definedName>
    <definedName name="SQEF_BM0943_P0">#REF!</definedName>
    <definedName name="SQEF_BM095_N0" localSheetId="4">#REF!</definedName>
    <definedName name="SQEF_BM095_N0" localSheetId="9">#REF!</definedName>
    <definedName name="SQEF_BM095_N0">#REF!</definedName>
    <definedName name="SQEF_BM096_N0" localSheetId="4">#REF!</definedName>
    <definedName name="SQEF_BM096_N0" localSheetId="9">#REF!</definedName>
    <definedName name="SQEF_BM096_N0">#REF!</definedName>
    <definedName name="SQEF_BM097_N0" localSheetId="4">#REF!</definedName>
    <definedName name="SQEF_BM097_N0" localSheetId="9">#REF!</definedName>
    <definedName name="SQEF_BM097_N0">#REF!</definedName>
    <definedName name="SQEF_BM098_N0" localSheetId="4">#REF!</definedName>
    <definedName name="SQEF_BM098_N0" localSheetId="9">#REF!</definedName>
    <definedName name="SQEF_BM098_N0">#REF!</definedName>
    <definedName name="SQEF_BM099_N0" localSheetId="4">#REF!</definedName>
    <definedName name="SQEF_BM099_N0" localSheetId="9">#REF!</definedName>
    <definedName name="SQEF_BM099_N0">#REF!</definedName>
    <definedName name="SQEF_BM101" localSheetId="4">#REF!</definedName>
    <definedName name="SQEF_BM101" localSheetId="9">#REF!</definedName>
    <definedName name="SQEF_BM101">#REF!</definedName>
    <definedName name="SQEF_BM1010_N0" localSheetId="4">#REF!</definedName>
    <definedName name="SQEF_BM1010_N0" localSheetId="9">#REF!</definedName>
    <definedName name="SQEF_BM1010_N0">#REF!</definedName>
    <definedName name="SQEF_BM1011_N0" localSheetId="4">#REF!</definedName>
    <definedName name="SQEF_BM1011_N0" localSheetId="9">#REF!</definedName>
    <definedName name="SQEF_BM1011_N0">#REF!</definedName>
    <definedName name="SQEF_BM1012_N0" localSheetId="4">#REF!</definedName>
    <definedName name="SQEF_BM1012_N0" localSheetId="9">#REF!</definedName>
    <definedName name="SQEF_BM1012_N0">#REF!</definedName>
    <definedName name="SQEF_BM1013_N0" localSheetId="4">#REF!</definedName>
    <definedName name="SQEF_BM1013_N0" localSheetId="9">#REF!</definedName>
    <definedName name="SQEF_BM1013_N0">#REF!</definedName>
    <definedName name="SQEF_BM1014_N0" localSheetId="4">#REF!</definedName>
    <definedName name="SQEF_BM1014_N0" localSheetId="9">#REF!</definedName>
    <definedName name="SQEF_BM1014_N0">#REF!</definedName>
    <definedName name="SQEF_BM1015_N0" localSheetId="4">#REF!</definedName>
    <definedName name="SQEF_BM1015_N0" localSheetId="9">#REF!</definedName>
    <definedName name="SQEF_BM1015_N0">#REF!</definedName>
    <definedName name="SQEF_BM1016_N0" localSheetId="4">#REF!</definedName>
    <definedName name="SQEF_BM1016_N0" localSheetId="9">#REF!</definedName>
    <definedName name="SQEF_BM1016_N0">#REF!</definedName>
    <definedName name="SQEF_BM1017_N0" localSheetId="4">#REF!</definedName>
    <definedName name="SQEF_BM1017_N0" localSheetId="9">#REF!</definedName>
    <definedName name="SQEF_BM1017_N0">#REF!</definedName>
    <definedName name="SQEF_BM1018_N2" localSheetId="4">#REF!</definedName>
    <definedName name="SQEF_BM1018_N2" localSheetId="9">#REF!</definedName>
    <definedName name="SQEF_BM1018_N2">#REF!</definedName>
    <definedName name="SQEF_BM1019" localSheetId="4">#REF!</definedName>
    <definedName name="SQEF_BM1019" localSheetId="9">#REF!</definedName>
    <definedName name="SQEF_BM1019">#REF!</definedName>
    <definedName name="SQEF_BM102_N0" localSheetId="4">#REF!</definedName>
    <definedName name="SQEF_BM102_N0" localSheetId="9">#REF!</definedName>
    <definedName name="SQEF_BM102_N0">#REF!</definedName>
    <definedName name="SQEF_BM1020" localSheetId="4">#REF!</definedName>
    <definedName name="SQEF_BM1020" localSheetId="9">#REF!</definedName>
    <definedName name="SQEF_BM1020">#REF!</definedName>
    <definedName name="SQEF_BM1021" localSheetId="4">#REF!</definedName>
    <definedName name="SQEF_BM1021" localSheetId="9">#REF!</definedName>
    <definedName name="SQEF_BM1021">#REF!</definedName>
    <definedName name="SQEF_BM1022" localSheetId="4">#REF!</definedName>
    <definedName name="SQEF_BM1022" localSheetId="9">#REF!</definedName>
    <definedName name="SQEF_BM1022">#REF!</definedName>
    <definedName name="SQEF_BM1023" localSheetId="4">#REF!</definedName>
    <definedName name="SQEF_BM1023" localSheetId="9">#REF!</definedName>
    <definedName name="SQEF_BM1023">#REF!</definedName>
    <definedName name="SQEF_BM1024" localSheetId="4">#REF!</definedName>
    <definedName name="SQEF_BM1024" localSheetId="9">#REF!</definedName>
    <definedName name="SQEF_BM1024">#REF!</definedName>
    <definedName name="SQEF_BM1025" localSheetId="4">#REF!</definedName>
    <definedName name="SQEF_BM1025" localSheetId="9">#REF!</definedName>
    <definedName name="SQEF_BM1025">#REF!</definedName>
    <definedName name="SQEF_BM1026" localSheetId="4">#REF!</definedName>
    <definedName name="SQEF_BM1026" localSheetId="9">#REF!</definedName>
    <definedName name="SQEF_BM1026">#REF!</definedName>
    <definedName name="SQEF_BM1029_P0" localSheetId="4">#REF!</definedName>
    <definedName name="SQEF_BM1029_P0" localSheetId="9">#REF!</definedName>
    <definedName name="SQEF_BM1029_P0">#REF!</definedName>
    <definedName name="SQEF_BM103_N0" localSheetId="4">#REF!</definedName>
    <definedName name="SQEF_BM103_N0" localSheetId="9">#REF!</definedName>
    <definedName name="SQEF_BM103_N0">#REF!</definedName>
    <definedName name="SQEF_BM1030_P0" localSheetId="4">#REF!</definedName>
    <definedName name="SQEF_BM1030_P0" localSheetId="9">#REF!</definedName>
    <definedName name="SQEF_BM1030_P0">#REF!</definedName>
    <definedName name="SQEF_BM1031_P0" localSheetId="4">#REF!</definedName>
    <definedName name="SQEF_BM1031_P0" localSheetId="9">#REF!</definedName>
    <definedName name="SQEF_BM1031_P0">#REF!</definedName>
    <definedName name="SQEF_BM1032_P0" localSheetId="4">#REF!</definedName>
    <definedName name="SQEF_BM1032_P0" localSheetId="9">#REF!</definedName>
    <definedName name="SQEF_BM1032_P0">#REF!</definedName>
    <definedName name="SQEF_BM1033" localSheetId="4">#REF!</definedName>
    <definedName name="SQEF_BM1033" localSheetId="9">#REF!</definedName>
    <definedName name="SQEF_BM1033">#REF!</definedName>
    <definedName name="SQEF_BM1034_P0" localSheetId="4">#REF!</definedName>
    <definedName name="SQEF_BM1034_P0" localSheetId="9">#REF!</definedName>
    <definedName name="SQEF_BM1034_P0">#REF!</definedName>
    <definedName name="SQEF_BM1035_P0" localSheetId="4">#REF!</definedName>
    <definedName name="SQEF_BM1035_P0" localSheetId="9">#REF!</definedName>
    <definedName name="SQEF_BM1035_P0">#REF!</definedName>
    <definedName name="SQEF_BM1036_P0" localSheetId="4">#REF!</definedName>
    <definedName name="SQEF_BM1036_P0" localSheetId="9">#REF!</definedName>
    <definedName name="SQEF_BM1036_P0">#REF!</definedName>
    <definedName name="SQEF_BM1037_P0" localSheetId="4">#REF!</definedName>
    <definedName name="SQEF_BM1037_P0" localSheetId="9">#REF!</definedName>
    <definedName name="SQEF_BM1037_P0">#REF!</definedName>
    <definedName name="SQEF_BM1038_P0" localSheetId="4">#REF!</definedName>
    <definedName name="SQEF_BM1038_P0" localSheetId="9">#REF!</definedName>
    <definedName name="SQEF_BM1038_P0">#REF!</definedName>
    <definedName name="SQEF_BM1039" localSheetId="4">#REF!</definedName>
    <definedName name="SQEF_BM1039" localSheetId="9">#REF!</definedName>
    <definedName name="SQEF_BM1039">#REF!</definedName>
    <definedName name="SQEF_BM104_N0" localSheetId="4">#REF!</definedName>
    <definedName name="SQEF_BM104_N0" localSheetId="9">#REF!</definedName>
    <definedName name="SQEF_BM104_N0">#REF!</definedName>
    <definedName name="SQEF_BM1040_P0" localSheetId="4">#REF!</definedName>
    <definedName name="SQEF_BM1040_P0" localSheetId="9">#REF!</definedName>
    <definedName name="SQEF_BM1040_P0">#REF!</definedName>
    <definedName name="SQEF_BM1041_P0" localSheetId="4">#REF!</definedName>
    <definedName name="SQEF_BM1041_P0" localSheetId="9">#REF!</definedName>
    <definedName name="SQEF_BM1041_P0">#REF!</definedName>
    <definedName name="SQEF_BM1042_P0" localSheetId="4">#REF!</definedName>
    <definedName name="SQEF_BM1042_P0" localSheetId="9">#REF!</definedName>
    <definedName name="SQEF_BM1042_P0">#REF!</definedName>
    <definedName name="SQEF_BM1043_P0" localSheetId="4">#REF!</definedName>
    <definedName name="SQEF_BM1043_P0" localSheetId="9">#REF!</definedName>
    <definedName name="SQEF_BM1043_P0">#REF!</definedName>
    <definedName name="SQEF_BM105_N0" localSheetId="4">#REF!</definedName>
    <definedName name="SQEF_BM105_N0" localSheetId="9">#REF!</definedName>
    <definedName name="SQEF_BM105_N0">#REF!</definedName>
    <definedName name="SQEF_BM106_N0" localSheetId="4">#REF!</definedName>
    <definedName name="SQEF_BM106_N0" localSheetId="9">#REF!</definedName>
    <definedName name="SQEF_BM106_N0">#REF!</definedName>
    <definedName name="SQEF_BM107_N0" localSheetId="4">#REF!</definedName>
    <definedName name="SQEF_BM107_N0" localSheetId="9">#REF!</definedName>
    <definedName name="SQEF_BM107_N0">#REF!</definedName>
    <definedName name="SQEF_BM108_N0" localSheetId="4">#REF!</definedName>
    <definedName name="SQEF_BM108_N0" localSheetId="9">#REF!</definedName>
    <definedName name="SQEF_BM108_N0">#REF!</definedName>
    <definedName name="SQEF_BM109_N0" localSheetId="4">#REF!</definedName>
    <definedName name="SQEF_BM109_N0" localSheetId="9">#REF!</definedName>
    <definedName name="SQEF_BM109_N0">#REF!</definedName>
    <definedName name="SQEF_BM111" localSheetId="4">#REF!</definedName>
    <definedName name="SQEF_BM111" localSheetId="9">#REF!</definedName>
    <definedName name="SQEF_BM111">#REF!</definedName>
    <definedName name="SQEF_BM1110_N0" localSheetId="4">#REF!</definedName>
    <definedName name="SQEF_BM1110_N0" localSheetId="9">#REF!</definedName>
    <definedName name="SQEF_BM1110_N0">#REF!</definedName>
    <definedName name="SQEF_BM1111_N0" localSheetId="4">#REF!</definedName>
    <definedName name="SQEF_BM1111_N0" localSheetId="9">#REF!</definedName>
    <definedName name="SQEF_BM1111_N0">#REF!</definedName>
    <definedName name="SQEF_BM1112_N0" localSheetId="4">#REF!</definedName>
    <definedName name="SQEF_BM1112_N0" localSheetId="9">#REF!</definedName>
    <definedName name="SQEF_BM1112_N0">#REF!</definedName>
    <definedName name="SQEF_BM1113_N0" localSheetId="4">#REF!</definedName>
    <definedName name="SQEF_BM1113_N0" localSheetId="9">#REF!</definedName>
    <definedName name="SQEF_BM1113_N0">#REF!</definedName>
    <definedName name="SQEF_BM1114_N0" localSheetId="4">#REF!</definedName>
    <definedName name="SQEF_BM1114_N0" localSheetId="9">#REF!</definedName>
    <definedName name="SQEF_BM1114_N0">#REF!</definedName>
    <definedName name="SQEF_BM1115_N0" localSheetId="4">#REF!</definedName>
    <definedName name="SQEF_BM1115_N0" localSheetId="9">#REF!</definedName>
    <definedName name="SQEF_BM1115_N0">#REF!</definedName>
    <definedName name="SQEF_BM1116_N0" localSheetId="4">#REF!</definedName>
    <definedName name="SQEF_BM1116_N0" localSheetId="9">#REF!</definedName>
    <definedName name="SQEF_BM1116_N0">#REF!</definedName>
    <definedName name="SQEF_BM1117_N0" localSheetId="4">#REF!</definedName>
    <definedName name="SQEF_BM1117_N0" localSheetId="9">#REF!</definedName>
    <definedName name="SQEF_BM1117_N0">#REF!</definedName>
    <definedName name="SQEF_BM1118_N2" localSheetId="4">#REF!</definedName>
    <definedName name="SQEF_BM1118_N2" localSheetId="9">#REF!</definedName>
    <definedName name="SQEF_BM1118_N2">#REF!</definedName>
    <definedName name="SQEF_BM1119" localSheetId="4">#REF!</definedName>
    <definedName name="SQEF_BM1119" localSheetId="9">#REF!</definedName>
    <definedName name="SQEF_BM1119">#REF!</definedName>
    <definedName name="SQEF_BM112_N0" localSheetId="4">#REF!</definedName>
    <definedName name="SQEF_BM112_N0" localSheetId="9">#REF!</definedName>
    <definedName name="SQEF_BM112_N0">#REF!</definedName>
    <definedName name="SQEF_BM1120" localSheetId="4">#REF!</definedName>
    <definedName name="SQEF_BM1120" localSheetId="9">#REF!</definedName>
    <definedName name="SQEF_BM1120">#REF!</definedName>
    <definedName name="SQEF_BM1121" localSheetId="4">#REF!</definedName>
    <definedName name="SQEF_BM1121" localSheetId="9">#REF!</definedName>
    <definedName name="SQEF_BM1121">#REF!</definedName>
    <definedName name="SQEF_BM1122" localSheetId="4">#REF!</definedName>
    <definedName name="SQEF_BM1122" localSheetId="9">#REF!</definedName>
    <definedName name="SQEF_BM1122">#REF!</definedName>
    <definedName name="SQEF_BM1123" localSheetId="4">#REF!</definedName>
    <definedName name="SQEF_BM1123" localSheetId="9">#REF!</definedName>
    <definedName name="SQEF_BM1123">#REF!</definedName>
    <definedName name="SQEF_BM1124" localSheetId="4">#REF!</definedName>
    <definedName name="SQEF_BM1124" localSheetId="9">#REF!</definedName>
    <definedName name="SQEF_BM1124">#REF!</definedName>
    <definedName name="SQEF_BM1125" localSheetId="4">#REF!</definedName>
    <definedName name="SQEF_BM1125" localSheetId="9">#REF!</definedName>
    <definedName name="SQEF_BM1125">#REF!</definedName>
    <definedName name="SQEF_BM1126" localSheetId="4">#REF!</definedName>
    <definedName name="SQEF_BM1126" localSheetId="9">#REF!</definedName>
    <definedName name="SQEF_BM1126">#REF!</definedName>
    <definedName name="SQEF_BM1129_P0" localSheetId="4">#REF!</definedName>
    <definedName name="SQEF_BM1129_P0" localSheetId="9">#REF!</definedName>
    <definedName name="SQEF_BM1129_P0">#REF!</definedName>
    <definedName name="SQEF_BM113_N0" localSheetId="4">#REF!</definedName>
    <definedName name="SQEF_BM113_N0" localSheetId="9">#REF!</definedName>
    <definedName name="SQEF_BM113_N0">#REF!</definedName>
    <definedName name="SQEF_BM1130_P0" localSheetId="4">#REF!</definedName>
    <definedName name="SQEF_BM1130_P0" localSheetId="9">#REF!</definedName>
    <definedName name="SQEF_BM1130_P0">#REF!</definedName>
    <definedName name="SQEF_BM1131_P0" localSheetId="4">#REF!</definedName>
    <definedName name="SQEF_BM1131_P0" localSheetId="9">#REF!</definedName>
    <definedName name="SQEF_BM1131_P0">#REF!</definedName>
    <definedName name="SQEF_BM1132_P0" localSheetId="4">#REF!</definedName>
    <definedName name="SQEF_BM1132_P0" localSheetId="9">#REF!</definedName>
    <definedName name="SQEF_BM1132_P0">#REF!</definedName>
    <definedName name="SQEF_BM1133" localSheetId="4">#REF!</definedName>
    <definedName name="SQEF_BM1133" localSheetId="9">#REF!</definedName>
    <definedName name="SQEF_BM1133">#REF!</definedName>
    <definedName name="SQEF_BM1134_P0" localSheetId="4">#REF!</definedName>
    <definedName name="SQEF_BM1134_P0" localSheetId="9">#REF!</definedName>
    <definedName name="SQEF_BM1134_P0">#REF!</definedName>
    <definedName name="SQEF_BM1135_P0" localSheetId="4">#REF!</definedName>
    <definedName name="SQEF_BM1135_P0" localSheetId="9">#REF!</definedName>
    <definedName name="SQEF_BM1135_P0">#REF!</definedName>
    <definedName name="SQEF_BM1136_P0" localSheetId="4">#REF!</definedName>
    <definedName name="SQEF_BM1136_P0" localSheetId="9">#REF!</definedName>
    <definedName name="SQEF_BM1136_P0">#REF!</definedName>
    <definedName name="SQEF_BM1137_P0" localSheetId="4">#REF!</definedName>
    <definedName name="SQEF_BM1137_P0" localSheetId="9">#REF!</definedName>
    <definedName name="SQEF_BM1137_P0">#REF!</definedName>
    <definedName name="SQEF_BM1138_P0" localSheetId="4">#REF!</definedName>
    <definedName name="SQEF_BM1138_P0" localSheetId="9">#REF!</definedName>
    <definedName name="SQEF_BM1138_P0">#REF!</definedName>
    <definedName name="SQEF_BM1139" localSheetId="4">#REF!</definedName>
    <definedName name="SQEF_BM1139" localSheetId="9">#REF!</definedName>
    <definedName name="SQEF_BM1139">#REF!</definedName>
    <definedName name="SQEF_BM114_N0" localSheetId="4">#REF!</definedName>
    <definedName name="SQEF_BM114_N0" localSheetId="9">#REF!</definedName>
    <definedName name="SQEF_BM114_N0">#REF!</definedName>
    <definedName name="SQEF_BM1140_P0" localSheetId="4">#REF!</definedName>
    <definedName name="SQEF_BM1140_P0" localSheetId="9">#REF!</definedName>
    <definedName name="SQEF_BM1140_P0">#REF!</definedName>
    <definedName name="SQEF_BM1141_P0" localSheetId="4">#REF!</definedName>
    <definedName name="SQEF_BM1141_P0" localSheetId="9">#REF!</definedName>
    <definedName name="SQEF_BM1141_P0">#REF!</definedName>
    <definedName name="SQEF_BM1142_P0" localSheetId="4">#REF!</definedName>
    <definedName name="SQEF_BM1142_P0" localSheetId="9">#REF!</definedName>
    <definedName name="SQEF_BM1142_P0">#REF!</definedName>
    <definedName name="SQEF_BM1143_P0" localSheetId="4">#REF!</definedName>
    <definedName name="SQEF_BM1143_P0" localSheetId="9">#REF!</definedName>
    <definedName name="SQEF_BM1143_P0">#REF!</definedName>
    <definedName name="SQEF_BM115_N0" localSheetId="4">#REF!</definedName>
    <definedName name="SQEF_BM115_N0" localSheetId="9">#REF!</definedName>
    <definedName name="SQEF_BM115_N0">#REF!</definedName>
    <definedName name="SQEF_BM116_N0" localSheetId="4">#REF!</definedName>
    <definedName name="SQEF_BM116_N0" localSheetId="9">#REF!</definedName>
    <definedName name="SQEF_BM116_N0">#REF!</definedName>
    <definedName name="SQEF_BM117_N0" localSheetId="4">#REF!</definedName>
    <definedName name="SQEF_BM117_N0" localSheetId="9">#REF!</definedName>
    <definedName name="SQEF_BM117_N0">#REF!</definedName>
    <definedName name="SQEF_BM118_N0" localSheetId="4">#REF!</definedName>
    <definedName name="SQEF_BM118_N0" localSheetId="9">#REF!</definedName>
    <definedName name="SQEF_BM118_N0">#REF!</definedName>
    <definedName name="SQEF_BM119_N0" localSheetId="4">#REF!</definedName>
    <definedName name="SQEF_BM119_N0" localSheetId="9">#REF!</definedName>
    <definedName name="SQEF_BM119_N0">#REF!</definedName>
    <definedName name="SQEF_BM121" localSheetId="4">#REF!</definedName>
    <definedName name="SQEF_BM121" localSheetId="9">#REF!</definedName>
    <definedName name="SQEF_BM121">#REF!</definedName>
    <definedName name="SQEF_BM1210_N0" localSheetId="4">#REF!</definedName>
    <definedName name="SQEF_BM1210_N0" localSheetId="9">#REF!</definedName>
    <definedName name="SQEF_BM1210_N0">#REF!</definedName>
    <definedName name="SQEF_BM1211_N0" localSheetId="4">#REF!</definedName>
    <definedName name="SQEF_BM1211_N0" localSheetId="9">#REF!</definedName>
    <definedName name="SQEF_BM1211_N0">#REF!</definedName>
    <definedName name="SQEF_BM1212_N0" localSheetId="4">#REF!</definedName>
    <definedName name="SQEF_BM1212_N0" localSheetId="9">#REF!</definedName>
    <definedName name="SQEF_BM1212_N0">#REF!</definedName>
    <definedName name="SQEF_BM1213_N0" localSheetId="4">#REF!</definedName>
    <definedName name="SQEF_BM1213_N0" localSheetId="9">#REF!</definedName>
    <definedName name="SQEF_BM1213_N0">#REF!</definedName>
    <definedName name="SQEF_BM1214_N0" localSheetId="4">#REF!</definedName>
    <definedName name="SQEF_BM1214_N0" localSheetId="9">#REF!</definedName>
    <definedName name="SQEF_BM1214_N0">#REF!</definedName>
    <definedName name="SQEF_BM1215_N0" localSheetId="4">#REF!</definedName>
    <definedName name="SQEF_BM1215_N0" localSheetId="9">#REF!</definedName>
    <definedName name="SQEF_BM1215_N0">#REF!</definedName>
    <definedName name="SQEF_BM1216_N0" localSheetId="4">#REF!</definedName>
    <definedName name="SQEF_BM1216_N0" localSheetId="9">#REF!</definedName>
    <definedName name="SQEF_BM1216_N0">#REF!</definedName>
    <definedName name="SQEF_BM1217_N0" localSheetId="4">#REF!</definedName>
    <definedName name="SQEF_BM1217_N0" localSheetId="9">#REF!</definedName>
    <definedName name="SQEF_BM1217_N0">#REF!</definedName>
    <definedName name="SQEF_BM1218_N2" localSheetId="4">#REF!</definedName>
    <definedName name="SQEF_BM1218_N2" localSheetId="9">#REF!</definedName>
    <definedName name="SQEF_BM1218_N2">#REF!</definedName>
    <definedName name="SQEF_BM1219" localSheetId="4">#REF!</definedName>
    <definedName name="SQEF_BM1219" localSheetId="9">#REF!</definedName>
    <definedName name="SQEF_BM1219">#REF!</definedName>
    <definedName name="SQEF_BM122_N0" localSheetId="4">#REF!</definedName>
    <definedName name="SQEF_BM122_N0" localSheetId="9">#REF!</definedName>
    <definedName name="SQEF_BM122_N0">#REF!</definedName>
    <definedName name="SQEF_BM1220" localSheetId="4">#REF!</definedName>
    <definedName name="SQEF_BM1220" localSheetId="9">#REF!</definedName>
    <definedName name="SQEF_BM1220">#REF!</definedName>
    <definedName name="SQEF_BM1221" localSheetId="4">#REF!</definedName>
    <definedName name="SQEF_BM1221" localSheetId="9">#REF!</definedName>
    <definedName name="SQEF_BM1221">#REF!</definedName>
    <definedName name="SQEF_BM1222" localSheetId="4">#REF!</definedName>
    <definedName name="SQEF_BM1222" localSheetId="9">#REF!</definedName>
    <definedName name="SQEF_BM1222">#REF!</definedName>
    <definedName name="SQEF_BM1223" localSheetId="4">#REF!</definedName>
    <definedName name="SQEF_BM1223" localSheetId="9">#REF!</definedName>
    <definedName name="SQEF_BM1223">#REF!</definedName>
    <definedName name="SQEF_BM1224" localSheetId="4">#REF!</definedName>
    <definedName name="SQEF_BM1224" localSheetId="9">#REF!</definedName>
    <definedName name="SQEF_BM1224">#REF!</definedName>
    <definedName name="SQEF_BM1225" localSheetId="4">#REF!</definedName>
    <definedName name="SQEF_BM1225" localSheetId="9">#REF!</definedName>
    <definedName name="SQEF_BM1225">#REF!</definedName>
    <definedName name="SQEF_BM1226" localSheetId="4">#REF!</definedName>
    <definedName name="SQEF_BM1226" localSheetId="9">#REF!</definedName>
    <definedName name="SQEF_BM1226">#REF!</definedName>
    <definedName name="SQEF_BM1229_P0" localSheetId="4">#REF!</definedName>
    <definedName name="SQEF_BM1229_P0" localSheetId="9">#REF!</definedName>
    <definedName name="SQEF_BM1229_P0">#REF!</definedName>
    <definedName name="SQEF_BM123_N0" localSheetId="4">#REF!</definedName>
    <definedName name="SQEF_BM123_N0" localSheetId="9">#REF!</definedName>
    <definedName name="SQEF_BM123_N0">#REF!</definedName>
    <definedName name="SQEF_BM1230_P0" localSheetId="4">#REF!</definedName>
    <definedName name="SQEF_BM1230_P0" localSheetId="9">#REF!</definedName>
    <definedName name="SQEF_BM1230_P0">#REF!</definedName>
    <definedName name="SQEF_BM1231_P0" localSheetId="4">#REF!</definedName>
    <definedName name="SQEF_BM1231_P0" localSheetId="9">#REF!</definedName>
    <definedName name="SQEF_BM1231_P0">#REF!</definedName>
    <definedName name="SQEF_BM1232_P0" localSheetId="4">#REF!</definedName>
    <definedName name="SQEF_BM1232_P0" localSheetId="9">#REF!</definedName>
    <definedName name="SQEF_BM1232_P0">#REF!</definedName>
    <definedName name="SQEF_BM1233" localSheetId="4">#REF!</definedName>
    <definedName name="SQEF_BM1233" localSheetId="9">#REF!</definedName>
    <definedName name="SQEF_BM1233">#REF!</definedName>
    <definedName name="SQEF_BM1234_P0" localSheetId="4">#REF!</definedName>
    <definedName name="SQEF_BM1234_P0" localSheetId="9">#REF!</definedName>
    <definedName name="SQEF_BM1234_P0">#REF!</definedName>
    <definedName name="SQEF_BM1235_P0" localSheetId="4">#REF!</definedName>
    <definedName name="SQEF_BM1235_P0" localSheetId="9">#REF!</definedName>
    <definedName name="SQEF_BM1235_P0">#REF!</definedName>
    <definedName name="SQEF_BM1236_P0" localSheetId="4">#REF!</definedName>
    <definedName name="SQEF_BM1236_P0" localSheetId="9">#REF!</definedName>
    <definedName name="SQEF_BM1236_P0">#REF!</definedName>
    <definedName name="SQEF_BM1237_P0" localSheetId="4">#REF!</definedName>
    <definedName name="SQEF_BM1237_P0" localSheetId="9">#REF!</definedName>
    <definedName name="SQEF_BM1237_P0">#REF!</definedName>
    <definedName name="SQEF_BM1238_P0" localSheetId="4">#REF!</definedName>
    <definedName name="SQEF_BM1238_P0" localSheetId="9">#REF!</definedName>
    <definedName name="SQEF_BM1238_P0">#REF!</definedName>
    <definedName name="SQEF_BM1239" localSheetId="4">#REF!</definedName>
    <definedName name="SQEF_BM1239" localSheetId="9">#REF!</definedName>
    <definedName name="SQEF_BM1239">#REF!</definedName>
    <definedName name="SQEF_BM124_N0" localSheetId="4">#REF!</definedName>
    <definedName name="SQEF_BM124_N0" localSheetId="9">#REF!</definedName>
    <definedName name="SQEF_BM124_N0">#REF!</definedName>
    <definedName name="SQEF_BM1240_P0" localSheetId="4">#REF!</definedName>
    <definedName name="SQEF_BM1240_P0" localSheetId="9">#REF!</definedName>
    <definedName name="SQEF_BM1240_P0">#REF!</definedName>
    <definedName name="SQEF_BM1241_P0" localSheetId="4">#REF!</definedName>
    <definedName name="SQEF_BM1241_P0" localSheetId="9">#REF!</definedName>
    <definedName name="SQEF_BM1241_P0">#REF!</definedName>
    <definedName name="SQEF_BM1242_P0" localSheetId="4">#REF!</definedName>
    <definedName name="SQEF_BM1242_P0" localSheetId="9">#REF!</definedName>
    <definedName name="SQEF_BM1242_P0">#REF!</definedName>
    <definedName name="SQEF_BM1243_P0" localSheetId="4">#REF!</definedName>
    <definedName name="SQEF_BM1243_P0" localSheetId="9">#REF!</definedName>
    <definedName name="SQEF_BM1243_P0">#REF!</definedName>
    <definedName name="SQEF_BM125_N0" localSheetId="4">#REF!</definedName>
    <definedName name="SQEF_BM125_N0" localSheetId="9">#REF!</definedName>
    <definedName name="SQEF_BM125_N0">#REF!</definedName>
    <definedName name="SQEF_BM126_N0" localSheetId="4">#REF!</definedName>
    <definedName name="SQEF_BM126_N0" localSheetId="9">#REF!</definedName>
    <definedName name="SQEF_BM126_N0">#REF!</definedName>
    <definedName name="SQEF_BM127_N0" localSheetId="4">#REF!</definedName>
    <definedName name="SQEF_BM127_N0" localSheetId="9">#REF!</definedName>
    <definedName name="SQEF_BM127_N0">#REF!</definedName>
    <definedName name="SQEF_BM128_N0" localSheetId="4">#REF!</definedName>
    <definedName name="SQEF_BM128_N0" localSheetId="9">#REF!</definedName>
    <definedName name="SQEF_BM128_N0">#REF!</definedName>
    <definedName name="SQEF_BM129_N0" localSheetId="4">#REF!</definedName>
    <definedName name="SQEF_BM129_N0" localSheetId="9">#REF!</definedName>
    <definedName name="SQEF_BM129_N0">#REF!</definedName>
    <definedName name="SQEF_BM131" localSheetId="4">#REF!</definedName>
    <definedName name="SQEF_BM131" localSheetId="9">#REF!</definedName>
    <definedName name="SQEF_BM131">#REF!</definedName>
    <definedName name="SQEF_BM1310_N0" localSheetId="4">#REF!</definedName>
    <definedName name="SQEF_BM1310_N0" localSheetId="9">#REF!</definedName>
    <definedName name="SQEF_BM1310_N0">#REF!</definedName>
    <definedName name="SQEF_BM1311_N0" localSheetId="4">#REF!</definedName>
    <definedName name="SQEF_BM1311_N0" localSheetId="9">#REF!</definedName>
    <definedName name="SQEF_BM1311_N0">#REF!</definedName>
    <definedName name="SQEF_BM1312_N0" localSheetId="4">#REF!</definedName>
    <definedName name="SQEF_BM1312_N0" localSheetId="9">#REF!</definedName>
    <definedName name="SQEF_BM1312_N0">#REF!</definedName>
    <definedName name="SQEF_BM1313_N0" localSheetId="4">#REF!</definedName>
    <definedName name="SQEF_BM1313_N0" localSheetId="9">#REF!</definedName>
    <definedName name="SQEF_BM1313_N0">#REF!</definedName>
    <definedName name="SQEF_BM1314_N0" localSheetId="4">#REF!</definedName>
    <definedName name="SQEF_BM1314_N0" localSheetId="9">#REF!</definedName>
    <definedName name="SQEF_BM1314_N0">#REF!</definedName>
    <definedName name="SQEF_BM1315_N0" localSheetId="4">#REF!</definedName>
    <definedName name="SQEF_BM1315_N0" localSheetId="9">#REF!</definedName>
    <definedName name="SQEF_BM1315_N0">#REF!</definedName>
    <definedName name="SQEF_BM1316_N0" localSheetId="4">#REF!</definedName>
    <definedName name="SQEF_BM1316_N0" localSheetId="9">#REF!</definedName>
    <definedName name="SQEF_BM1316_N0">#REF!</definedName>
    <definedName name="SQEF_BM1317_N0" localSheetId="4">#REF!</definedName>
    <definedName name="SQEF_BM1317_N0" localSheetId="9">#REF!</definedName>
    <definedName name="SQEF_BM1317_N0">#REF!</definedName>
    <definedName name="SQEF_BM1318_N2" localSheetId="4">#REF!</definedName>
    <definedName name="SQEF_BM1318_N2" localSheetId="9">#REF!</definedName>
    <definedName name="SQEF_BM1318_N2">#REF!</definedName>
    <definedName name="SQEF_BM1319" localSheetId="4">#REF!</definedName>
    <definedName name="SQEF_BM1319" localSheetId="9">#REF!</definedName>
    <definedName name="SQEF_BM1319">#REF!</definedName>
    <definedName name="SQEF_BM132_N0" localSheetId="4">#REF!</definedName>
    <definedName name="SQEF_BM132_N0" localSheetId="9">#REF!</definedName>
    <definedName name="SQEF_BM132_N0">#REF!</definedName>
    <definedName name="SQEF_BM1320" localSheetId="4">#REF!</definedName>
    <definedName name="SQEF_BM1320" localSheetId="9">#REF!</definedName>
    <definedName name="SQEF_BM1320">#REF!</definedName>
    <definedName name="SQEF_BM1321" localSheetId="4">#REF!</definedName>
    <definedName name="SQEF_BM1321" localSheetId="9">#REF!</definedName>
    <definedName name="SQEF_BM1321">#REF!</definedName>
    <definedName name="SQEF_BM1322" localSheetId="4">#REF!</definedName>
    <definedName name="SQEF_BM1322" localSheetId="9">#REF!</definedName>
    <definedName name="SQEF_BM1322">#REF!</definedName>
    <definedName name="SQEF_BM1323" localSheetId="4">#REF!</definedName>
    <definedName name="SQEF_BM1323" localSheetId="9">#REF!</definedName>
    <definedName name="SQEF_BM1323">#REF!</definedName>
    <definedName name="SQEF_BM1324" localSheetId="4">#REF!</definedName>
    <definedName name="SQEF_BM1324" localSheetId="9">#REF!</definedName>
    <definedName name="SQEF_BM1324">#REF!</definedName>
    <definedName name="SQEF_BM1325" localSheetId="4">#REF!</definedName>
    <definedName name="SQEF_BM1325" localSheetId="9">#REF!</definedName>
    <definedName name="SQEF_BM1325">#REF!</definedName>
    <definedName name="SQEF_BM1326" localSheetId="4">#REF!</definedName>
    <definedName name="SQEF_BM1326" localSheetId="9">#REF!</definedName>
    <definedName name="SQEF_BM1326">#REF!</definedName>
    <definedName name="SQEF_BM1329_P0" localSheetId="4">#REF!</definedName>
    <definedName name="SQEF_BM1329_P0" localSheetId="9">#REF!</definedName>
    <definedName name="SQEF_BM1329_P0">#REF!</definedName>
    <definedName name="SQEF_BM133_N0" localSheetId="4">#REF!</definedName>
    <definedName name="SQEF_BM133_N0" localSheetId="9">#REF!</definedName>
    <definedName name="SQEF_BM133_N0">#REF!</definedName>
    <definedName name="SQEF_BM1330_P0" localSheetId="4">#REF!</definedName>
    <definedName name="SQEF_BM1330_P0" localSheetId="9">#REF!</definedName>
    <definedName name="SQEF_BM1330_P0">#REF!</definedName>
    <definedName name="SQEF_BM1331_P0" localSheetId="4">#REF!</definedName>
    <definedName name="SQEF_BM1331_P0" localSheetId="9">#REF!</definedName>
    <definedName name="SQEF_BM1331_P0">#REF!</definedName>
    <definedName name="SQEF_BM1332_P0" localSheetId="4">#REF!</definedName>
    <definedName name="SQEF_BM1332_P0" localSheetId="9">#REF!</definedName>
    <definedName name="SQEF_BM1332_P0">#REF!</definedName>
    <definedName name="SQEF_BM1333" localSheetId="4">#REF!</definedName>
    <definedName name="SQEF_BM1333" localSheetId="9">#REF!</definedName>
    <definedName name="SQEF_BM1333">#REF!</definedName>
    <definedName name="SQEF_BM1334_P0" localSheetId="4">#REF!</definedName>
    <definedName name="SQEF_BM1334_P0" localSheetId="9">#REF!</definedName>
    <definedName name="SQEF_BM1334_P0">#REF!</definedName>
    <definedName name="SQEF_BM1335_P0" localSheetId="4">#REF!</definedName>
    <definedName name="SQEF_BM1335_P0" localSheetId="9">#REF!</definedName>
    <definedName name="SQEF_BM1335_P0">#REF!</definedName>
    <definedName name="SQEF_BM1336_P0" localSheetId="4">#REF!</definedName>
    <definedName name="SQEF_BM1336_P0" localSheetId="9">#REF!</definedName>
    <definedName name="SQEF_BM1336_P0">#REF!</definedName>
    <definedName name="SQEF_BM1337_P0" localSheetId="4">#REF!</definedName>
    <definedName name="SQEF_BM1337_P0" localSheetId="9">#REF!</definedName>
    <definedName name="SQEF_BM1337_P0">#REF!</definedName>
    <definedName name="SQEF_BM1338_P0" localSheetId="4">#REF!</definedName>
    <definedName name="SQEF_BM1338_P0" localSheetId="9">#REF!</definedName>
    <definedName name="SQEF_BM1338_P0">#REF!</definedName>
    <definedName name="SQEF_BM1339" localSheetId="4">#REF!</definedName>
    <definedName name="SQEF_BM1339" localSheetId="9">#REF!</definedName>
    <definedName name="SQEF_BM1339">#REF!</definedName>
    <definedName name="SQEF_BM134_N0" localSheetId="4">#REF!</definedName>
    <definedName name="SQEF_BM134_N0" localSheetId="9">#REF!</definedName>
    <definedName name="SQEF_BM134_N0">#REF!</definedName>
    <definedName name="SQEF_BM1340_P0" localSheetId="4">#REF!</definedName>
    <definedName name="SQEF_BM1340_P0" localSheetId="9">#REF!</definedName>
    <definedName name="SQEF_BM1340_P0">#REF!</definedName>
    <definedName name="SQEF_BM1341_P0" localSheetId="4">#REF!</definedName>
    <definedName name="SQEF_BM1341_P0" localSheetId="9">#REF!</definedName>
    <definedName name="SQEF_BM1341_P0">#REF!</definedName>
    <definedName name="SQEF_BM1342_P0" localSheetId="4">#REF!</definedName>
    <definedName name="SQEF_BM1342_P0" localSheetId="9">#REF!</definedName>
    <definedName name="SQEF_BM1342_P0">#REF!</definedName>
    <definedName name="SQEF_BM1343_P0" localSheetId="4">#REF!</definedName>
    <definedName name="SQEF_BM1343_P0" localSheetId="9">#REF!</definedName>
    <definedName name="SQEF_BM1343_P0">#REF!</definedName>
    <definedName name="SQEF_BM135_N0" localSheetId="4">#REF!</definedName>
    <definedName name="SQEF_BM135_N0" localSheetId="9">#REF!</definedName>
    <definedName name="SQEF_BM135_N0">#REF!</definedName>
    <definedName name="SQEF_BM136_N0" localSheetId="4">#REF!</definedName>
    <definedName name="SQEF_BM136_N0" localSheetId="9">#REF!</definedName>
    <definedName name="SQEF_BM136_N0">#REF!</definedName>
    <definedName name="SQEF_BM137_N0" localSheetId="4">#REF!</definedName>
    <definedName name="SQEF_BM137_N0" localSheetId="9">#REF!</definedName>
    <definedName name="SQEF_BM137_N0">#REF!</definedName>
    <definedName name="SQEF_BM138_N0" localSheetId="4">#REF!</definedName>
    <definedName name="SQEF_BM138_N0" localSheetId="9">#REF!</definedName>
    <definedName name="SQEF_BM138_N0">#REF!</definedName>
    <definedName name="SQEF_BM139_N0" localSheetId="4">#REF!</definedName>
    <definedName name="SQEF_BM139_N0" localSheetId="9">#REF!</definedName>
    <definedName name="SQEF_BM139_N0">#REF!</definedName>
    <definedName name="SQEF_BM141" localSheetId="4">#REF!</definedName>
    <definedName name="SQEF_BM141" localSheetId="9">#REF!</definedName>
    <definedName name="SQEF_BM141">#REF!</definedName>
    <definedName name="SQEF_BM1410_N0" localSheetId="4">#REF!</definedName>
    <definedName name="SQEF_BM1410_N0" localSheetId="9">#REF!</definedName>
    <definedName name="SQEF_BM1410_N0">#REF!</definedName>
    <definedName name="SQEF_BM1411_N0" localSheetId="4">#REF!</definedName>
    <definedName name="SQEF_BM1411_N0" localSheetId="9">#REF!</definedName>
    <definedName name="SQEF_BM1411_N0">#REF!</definedName>
    <definedName name="SQEF_BM1412_N0" localSheetId="4">#REF!</definedName>
    <definedName name="SQEF_BM1412_N0" localSheetId="9">#REF!</definedName>
    <definedName name="SQEF_BM1412_N0">#REF!</definedName>
    <definedName name="SQEF_BM1413_N0" localSheetId="4">#REF!</definedName>
    <definedName name="SQEF_BM1413_N0" localSheetId="9">#REF!</definedName>
    <definedName name="SQEF_BM1413_N0">#REF!</definedName>
    <definedName name="SQEF_BM1414_N0" localSheetId="4">#REF!</definedName>
    <definedName name="SQEF_BM1414_N0" localSheetId="9">#REF!</definedName>
    <definedName name="SQEF_BM1414_N0">#REF!</definedName>
    <definedName name="SQEF_BM1415_N0" localSheetId="4">#REF!</definedName>
    <definedName name="SQEF_BM1415_N0" localSheetId="9">#REF!</definedName>
    <definedName name="SQEF_BM1415_N0">#REF!</definedName>
    <definedName name="SQEF_BM1416_N0" localSheetId="4">#REF!</definedName>
    <definedName name="SQEF_BM1416_N0" localSheetId="9">#REF!</definedName>
    <definedName name="SQEF_BM1416_N0">#REF!</definedName>
    <definedName name="SQEF_BM1417_N0" localSheetId="4">#REF!</definedName>
    <definedName name="SQEF_BM1417_N0" localSheetId="9">#REF!</definedName>
    <definedName name="SQEF_BM1417_N0">#REF!</definedName>
    <definedName name="SQEF_BM1418_N2" localSheetId="4">#REF!</definedName>
    <definedName name="SQEF_BM1418_N2" localSheetId="9">#REF!</definedName>
    <definedName name="SQEF_BM1418_N2">#REF!</definedName>
    <definedName name="SQEF_BM1419" localSheetId="4">#REF!</definedName>
    <definedName name="SQEF_BM1419" localSheetId="9">#REF!</definedName>
    <definedName name="SQEF_BM1419">#REF!</definedName>
    <definedName name="SQEF_BM142_N0" localSheetId="4">#REF!</definedName>
    <definedName name="SQEF_BM142_N0" localSheetId="9">#REF!</definedName>
    <definedName name="SQEF_BM142_N0">#REF!</definedName>
    <definedName name="SQEF_BM1420" localSheetId="4">#REF!</definedName>
    <definedName name="SQEF_BM1420" localSheetId="9">#REF!</definedName>
    <definedName name="SQEF_BM1420">#REF!</definedName>
    <definedName name="SQEF_BM1421" localSheetId="4">#REF!</definedName>
    <definedName name="SQEF_BM1421" localSheetId="9">#REF!</definedName>
    <definedName name="SQEF_BM1421">#REF!</definedName>
    <definedName name="SQEF_BM1422" localSheetId="4">#REF!</definedName>
    <definedName name="SQEF_BM1422" localSheetId="9">#REF!</definedName>
    <definedName name="SQEF_BM1422">#REF!</definedName>
    <definedName name="SQEF_BM1423" localSheetId="4">#REF!</definedName>
    <definedName name="SQEF_BM1423" localSheetId="9">#REF!</definedName>
    <definedName name="SQEF_BM1423">#REF!</definedName>
    <definedName name="SQEF_BM1424" localSheetId="4">#REF!</definedName>
    <definedName name="SQEF_BM1424" localSheetId="9">#REF!</definedName>
    <definedName name="SQEF_BM1424">#REF!</definedName>
    <definedName name="SQEF_BM1425" localSheetId="4">#REF!</definedName>
    <definedName name="SQEF_BM1425" localSheetId="9">#REF!</definedName>
    <definedName name="SQEF_BM1425">#REF!</definedName>
    <definedName name="SQEF_BM1426" localSheetId="4">#REF!</definedName>
    <definedName name="SQEF_BM1426" localSheetId="9">#REF!</definedName>
    <definedName name="SQEF_BM1426">#REF!</definedName>
    <definedName name="SQEF_BM1429_P0" localSheetId="4">#REF!</definedName>
    <definedName name="SQEF_BM1429_P0" localSheetId="9">#REF!</definedName>
    <definedName name="SQEF_BM1429_P0">#REF!</definedName>
    <definedName name="SQEF_BM143_N0" localSheetId="4">#REF!</definedName>
    <definedName name="SQEF_BM143_N0" localSheetId="9">#REF!</definedName>
    <definedName name="SQEF_BM143_N0">#REF!</definedName>
    <definedName name="SQEF_BM1430_P0" localSheetId="4">#REF!</definedName>
    <definedName name="SQEF_BM1430_P0" localSheetId="9">#REF!</definedName>
    <definedName name="SQEF_BM1430_P0">#REF!</definedName>
    <definedName name="SQEF_BM1431_P0" localSheetId="4">#REF!</definedName>
    <definedName name="SQEF_BM1431_P0" localSheetId="9">#REF!</definedName>
    <definedName name="SQEF_BM1431_P0">#REF!</definedName>
    <definedName name="SQEF_BM1432_P0" localSheetId="4">#REF!</definedName>
    <definedName name="SQEF_BM1432_P0" localSheetId="9">#REF!</definedName>
    <definedName name="SQEF_BM1432_P0">#REF!</definedName>
    <definedName name="SQEF_BM1433" localSheetId="4">#REF!</definedName>
    <definedName name="SQEF_BM1433" localSheetId="9">#REF!</definedName>
    <definedName name="SQEF_BM1433">#REF!</definedName>
    <definedName name="SQEF_BM1434_P0" localSheetId="4">#REF!</definedName>
    <definedName name="SQEF_BM1434_P0" localSheetId="9">#REF!</definedName>
    <definedName name="SQEF_BM1434_P0">#REF!</definedName>
    <definedName name="SQEF_BM1435_P0" localSheetId="4">#REF!</definedName>
    <definedName name="SQEF_BM1435_P0" localSheetId="9">#REF!</definedName>
    <definedName name="SQEF_BM1435_P0">#REF!</definedName>
    <definedName name="SQEF_BM1436_P0" localSheetId="4">#REF!</definedName>
    <definedName name="SQEF_BM1436_P0" localSheetId="9">#REF!</definedName>
    <definedName name="SQEF_BM1436_P0">#REF!</definedName>
    <definedName name="SQEF_BM1437_P0" localSheetId="4">#REF!</definedName>
    <definedName name="SQEF_BM1437_P0" localSheetId="9">#REF!</definedName>
    <definedName name="SQEF_BM1437_P0">#REF!</definedName>
    <definedName name="SQEF_BM1438_P0" localSheetId="4">#REF!</definedName>
    <definedName name="SQEF_BM1438_P0" localSheetId="9">#REF!</definedName>
    <definedName name="SQEF_BM1438_P0">#REF!</definedName>
    <definedName name="SQEF_BM1439" localSheetId="4">#REF!</definedName>
    <definedName name="SQEF_BM1439" localSheetId="9">#REF!</definedName>
    <definedName name="SQEF_BM1439">#REF!</definedName>
    <definedName name="SQEF_BM144_N0" localSheetId="4">#REF!</definedName>
    <definedName name="SQEF_BM144_N0" localSheetId="9">#REF!</definedName>
    <definedName name="SQEF_BM144_N0">#REF!</definedName>
    <definedName name="SQEF_BM1440_P0" localSheetId="4">#REF!</definedName>
    <definedName name="SQEF_BM1440_P0" localSheetId="9">#REF!</definedName>
    <definedName name="SQEF_BM1440_P0">#REF!</definedName>
    <definedName name="SQEF_BM1441_P0" localSheetId="4">#REF!</definedName>
    <definedName name="SQEF_BM1441_P0" localSheetId="9">#REF!</definedName>
    <definedName name="SQEF_BM1441_P0">#REF!</definedName>
    <definedName name="SQEF_BM1442_P0" localSheetId="4">#REF!</definedName>
    <definedName name="SQEF_BM1442_P0" localSheetId="9">#REF!</definedName>
    <definedName name="SQEF_BM1442_P0">#REF!</definedName>
    <definedName name="SQEF_BM1443_P0" localSheetId="4">#REF!</definedName>
    <definedName name="SQEF_BM1443_P0" localSheetId="9">#REF!</definedName>
    <definedName name="SQEF_BM1443_P0">#REF!</definedName>
    <definedName name="SQEF_BM145_N0" localSheetId="4">#REF!</definedName>
    <definedName name="SQEF_BM145_N0" localSheetId="9">#REF!</definedName>
    <definedName name="SQEF_BM145_N0">#REF!</definedName>
    <definedName name="SQEF_BM146_N0" localSheetId="4">#REF!</definedName>
    <definedName name="SQEF_BM146_N0" localSheetId="9">#REF!</definedName>
    <definedName name="SQEF_BM146_N0">#REF!</definedName>
    <definedName name="SQEF_BM147_N0" localSheetId="4">#REF!</definedName>
    <definedName name="SQEF_BM147_N0" localSheetId="9">#REF!</definedName>
    <definedName name="SQEF_BM147_N0">#REF!</definedName>
    <definedName name="SQEF_BM148_N0" localSheetId="4">#REF!</definedName>
    <definedName name="SQEF_BM148_N0" localSheetId="9">#REF!</definedName>
    <definedName name="SQEF_BM148_N0">#REF!</definedName>
    <definedName name="SQEF_BM149_N0" localSheetId="4">#REF!</definedName>
    <definedName name="SQEF_BM149_N0" localSheetId="9">#REF!</definedName>
    <definedName name="SQEF_BM149_N0">#REF!</definedName>
    <definedName name="SQEF_BM151" localSheetId="4">#REF!</definedName>
    <definedName name="SQEF_BM151" localSheetId="9">#REF!</definedName>
    <definedName name="SQEF_BM151">#REF!</definedName>
    <definedName name="SQEF_BM1510_N0" localSheetId="4">#REF!</definedName>
    <definedName name="SQEF_BM1510_N0" localSheetId="9">#REF!</definedName>
    <definedName name="SQEF_BM1510_N0">#REF!</definedName>
    <definedName name="SQEF_BM1511_N0" localSheetId="4">#REF!</definedName>
    <definedName name="SQEF_BM1511_N0" localSheetId="9">#REF!</definedName>
    <definedName name="SQEF_BM1511_N0">#REF!</definedName>
    <definedName name="SQEF_BM1512_N0" localSheetId="4">#REF!</definedName>
    <definedName name="SQEF_BM1512_N0" localSheetId="9">#REF!</definedName>
    <definedName name="SQEF_BM1512_N0">#REF!</definedName>
    <definedName name="SQEF_BM1513_N0" localSheetId="4">#REF!</definedName>
    <definedName name="SQEF_BM1513_N0" localSheetId="9">#REF!</definedName>
    <definedName name="SQEF_BM1513_N0">#REF!</definedName>
    <definedName name="SQEF_BM1514_N0" localSheetId="4">#REF!</definedName>
    <definedName name="SQEF_BM1514_N0" localSheetId="9">#REF!</definedName>
    <definedName name="SQEF_BM1514_N0">#REF!</definedName>
    <definedName name="SQEF_BM1515_N0" localSheetId="4">#REF!</definedName>
    <definedName name="SQEF_BM1515_N0" localSheetId="9">#REF!</definedName>
    <definedName name="SQEF_BM1515_N0">#REF!</definedName>
    <definedName name="SQEF_BM1516_N0" localSheetId="4">#REF!</definedName>
    <definedName name="SQEF_BM1516_N0" localSheetId="9">#REF!</definedName>
    <definedName name="SQEF_BM1516_N0">#REF!</definedName>
    <definedName name="SQEF_BM1517_N0" localSheetId="4">#REF!</definedName>
    <definedName name="SQEF_BM1517_N0" localSheetId="9">#REF!</definedName>
    <definedName name="SQEF_BM1517_N0">#REF!</definedName>
    <definedName name="SQEF_BM1518_N2" localSheetId="4">#REF!</definedName>
    <definedName name="SQEF_BM1518_N2" localSheetId="9">#REF!</definedName>
    <definedName name="SQEF_BM1518_N2">#REF!</definedName>
    <definedName name="SQEF_BM1519" localSheetId="4">#REF!</definedName>
    <definedName name="SQEF_BM1519" localSheetId="9">#REF!</definedName>
    <definedName name="SQEF_BM1519">#REF!</definedName>
    <definedName name="SQEF_BM152_N0" localSheetId="4">#REF!</definedName>
    <definedName name="SQEF_BM152_N0" localSheetId="9">#REF!</definedName>
    <definedName name="SQEF_BM152_N0">#REF!</definedName>
    <definedName name="SQEF_BM1520" localSheetId="4">#REF!</definedName>
    <definedName name="SQEF_BM1520" localSheetId="9">#REF!</definedName>
    <definedName name="SQEF_BM1520">#REF!</definedName>
    <definedName name="SQEF_BM1521" localSheetId="4">#REF!</definedName>
    <definedName name="SQEF_BM1521" localSheetId="9">#REF!</definedName>
    <definedName name="SQEF_BM1521">#REF!</definedName>
    <definedName name="SQEF_BM1522" localSheetId="4">#REF!</definedName>
    <definedName name="SQEF_BM1522" localSheetId="9">#REF!</definedName>
    <definedName name="SQEF_BM1522">#REF!</definedName>
    <definedName name="SQEF_BM1523" localSheetId="4">#REF!</definedName>
    <definedName name="SQEF_BM1523" localSheetId="9">#REF!</definedName>
    <definedName name="SQEF_BM1523">#REF!</definedName>
    <definedName name="SQEF_BM1524" localSheetId="4">#REF!</definedName>
    <definedName name="SQEF_BM1524" localSheetId="9">#REF!</definedName>
    <definedName name="SQEF_BM1524">#REF!</definedName>
    <definedName name="SQEF_BM1525" localSheetId="4">#REF!</definedName>
    <definedName name="SQEF_BM1525" localSheetId="9">#REF!</definedName>
    <definedName name="SQEF_BM1525">#REF!</definedName>
    <definedName name="SQEF_BM1526" localSheetId="4">#REF!</definedName>
    <definedName name="SQEF_BM1526" localSheetId="9">#REF!</definedName>
    <definedName name="SQEF_BM1526">#REF!</definedName>
    <definedName name="SQEF_BM1529_P0" localSheetId="4">#REF!</definedName>
    <definedName name="SQEF_BM1529_P0" localSheetId="9">#REF!</definedName>
    <definedName name="SQEF_BM1529_P0">#REF!</definedName>
    <definedName name="SQEF_BM153_N0" localSheetId="4">#REF!</definedName>
    <definedName name="SQEF_BM153_N0" localSheetId="9">#REF!</definedName>
    <definedName name="SQEF_BM153_N0">#REF!</definedName>
    <definedName name="SQEF_BM1530_P0" localSheetId="4">#REF!</definedName>
    <definedName name="SQEF_BM1530_P0" localSheetId="9">#REF!</definedName>
    <definedName name="SQEF_BM1530_P0">#REF!</definedName>
    <definedName name="SQEF_BM1531_P0" localSheetId="4">#REF!</definedName>
    <definedName name="SQEF_BM1531_P0" localSheetId="9">#REF!</definedName>
    <definedName name="SQEF_BM1531_P0">#REF!</definedName>
    <definedName name="SQEF_BM1532_P0" localSheetId="4">#REF!</definedName>
    <definedName name="SQEF_BM1532_P0" localSheetId="9">#REF!</definedName>
    <definedName name="SQEF_BM1532_P0">#REF!</definedName>
    <definedName name="SQEF_BM1533" localSheetId="4">#REF!</definedName>
    <definedName name="SQEF_BM1533" localSheetId="9">#REF!</definedName>
    <definedName name="SQEF_BM1533">#REF!</definedName>
    <definedName name="SQEF_BM1534_P0" localSheetId="4">#REF!</definedName>
    <definedName name="SQEF_BM1534_P0" localSheetId="9">#REF!</definedName>
    <definedName name="SQEF_BM1534_P0">#REF!</definedName>
    <definedName name="SQEF_BM1535_P0" localSheetId="4">#REF!</definedName>
    <definedName name="SQEF_BM1535_P0" localSheetId="9">#REF!</definedName>
    <definedName name="SQEF_BM1535_P0">#REF!</definedName>
    <definedName name="SQEF_BM1536_P0" localSheetId="4">#REF!</definedName>
    <definedName name="SQEF_BM1536_P0" localSheetId="9">#REF!</definedName>
    <definedName name="SQEF_BM1536_P0">#REF!</definedName>
    <definedName name="SQEF_BM1537_P0" localSheetId="4">#REF!</definedName>
    <definedName name="SQEF_BM1537_P0" localSheetId="9">#REF!</definedName>
    <definedName name="SQEF_BM1537_P0">#REF!</definedName>
    <definedName name="SQEF_BM1538_P0" localSheetId="4">#REF!</definedName>
    <definedName name="SQEF_BM1538_P0" localSheetId="9">#REF!</definedName>
    <definedName name="SQEF_BM1538_P0">#REF!</definedName>
    <definedName name="SQEF_BM1539" localSheetId="4">#REF!</definedName>
    <definedName name="SQEF_BM1539" localSheetId="9">#REF!</definedName>
    <definedName name="SQEF_BM1539">#REF!</definedName>
    <definedName name="SQEF_BM154_N0" localSheetId="4">#REF!</definedName>
    <definedName name="SQEF_BM154_N0" localSheetId="9">#REF!</definedName>
    <definedName name="SQEF_BM154_N0">#REF!</definedName>
    <definedName name="SQEF_BM1540_P0" localSheetId="4">#REF!</definedName>
    <definedName name="SQEF_BM1540_P0" localSheetId="9">#REF!</definedName>
    <definedName name="SQEF_BM1540_P0">#REF!</definedName>
    <definedName name="SQEF_BM1541_P0" localSheetId="4">#REF!</definedName>
    <definedName name="SQEF_BM1541_P0" localSheetId="9">#REF!</definedName>
    <definedName name="SQEF_BM1541_P0">#REF!</definedName>
    <definedName name="SQEF_BM1542_P0" localSheetId="4">#REF!</definedName>
    <definedName name="SQEF_BM1542_P0" localSheetId="9">#REF!</definedName>
    <definedName name="SQEF_BM1542_P0">#REF!</definedName>
    <definedName name="SQEF_BM1543_P0" localSheetId="4">#REF!</definedName>
    <definedName name="SQEF_BM1543_P0" localSheetId="9">#REF!</definedName>
    <definedName name="SQEF_BM1543_P0">#REF!</definedName>
    <definedName name="SQEF_BM155_N0" localSheetId="4">#REF!</definedName>
    <definedName name="SQEF_BM155_N0" localSheetId="9">#REF!</definedName>
    <definedName name="SQEF_BM155_N0">#REF!</definedName>
    <definedName name="SQEF_BM156_N0" localSheetId="4">#REF!</definedName>
    <definedName name="SQEF_BM156_N0" localSheetId="9">#REF!</definedName>
    <definedName name="SQEF_BM156_N0">#REF!</definedName>
    <definedName name="SQEF_BM157_N0" localSheetId="4">#REF!</definedName>
    <definedName name="SQEF_BM157_N0" localSheetId="9">#REF!</definedName>
    <definedName name="SQEF_BM157_N0">#REF!</definedName>
    <definedName name="SQEF_BM158_N0" localSheetId="4">#REF!</definedName>
    <definedName name="SQEF_BM158_N0" localSheetId="9">#REF!</definedName>
    <definedName name="SQEF_BM158_N0">#REF!</definedName>
    <definedName name="SQEF_BM159_N0" localSheetId="4">#REF!</definedName>
    <definedName name="SQEF_BM159_N0" localSheetId="9">#REF!</definedName>
    <definedName name="SQEF_BM159_N0">#REF!</definedName>
    <definedName name="SQEF_BM161" localSheetId="4">#REF!</definedName>
    <definedName name="SQEF_BM161" localSheetId="9">#REF!</definedName>
    <definedName name="SQEF_BM161">#REF!</definedName>
    <definedName name="SQEF_BM1610_N0" localSheetId="4">#REF!</definedName>
    <definedName name="SQEF_BM1610_N0" localSheetId="9">#REF!</definedName>
    <definedName name="SQEF_BM1610_N0">#REF!</definedName>
    <definedName name="SQEF_BM1611_N0" localSheetId="4">#REF!</definedName>
    <definedName name="SQEF_BM1611_N0" localSheetId="9">#REF!</definedName>
    <definedName name="SQEF_BM1611_N0">#REF!</definedName>
    <definedName name="SQEF_BM1612_N0" localSheetId="4">#REF!</definedName>
    <definedName name="SQEF_BM1612_N0" localSheetId="9">#REF!</definedName>
    <definedName name="SQEF_BM1612_N0">#REF!</definedName>
    <definedName name="SQEF_BM1613_N0" localSheetId="4">#REF!</definedName>
    <definedName name="SQEF_BM1613_N0" localSheetId="9">#REF!</definedName>
    <definedName name="SQEF_BM1613_N0">#REF!</definedName>
    <definedName name="SQEF_BM1614_N0" localSheetId="4">#REF!</definedName>
    <definedName name="SQEF_BM1614_N0" localSheetId="9">#REF!</definedName>
    <definedName name="SQEF_BM1614_N0">#REF!</definedName>
    <definedName name="SQEF_BM1615_N0" localSheetId="4">#REF!</definedName>
    <definedName name="SQEF_BM1615_N0" localSheetId="9">#REF!</definedName>
    <definedName name="SQEF_BM1615_N0">#REF!</definedName>
    <definedName name="SQEF_BM1616_N0" localSheetId="4">#REF!</definedName>
    <definedName name="SQEF_BM1616_N0" localSheetId="9">#REF!</definedName>
    <definedName name="SQEF_BM1616_N0">#REF!</definedName>
    <definedName name="SQEF_BM1617_N0" localSheetId="4">#REF!</definedName>
    <definedName name="SQEF_BM1617_N0" localSheetId="9">#REF!</definedName>
    <definedName name="SQEF_BM1617_N0">#REF!</definedName>
    <definedName name="SQEF_BM1618_N2" localSheetId="4">#REF!</definedName>
    <definedName name="SQEF_BM1618_N2" localSheetId="9">#REF!</definedName>
    <definedName name="SQEF_BM1618_N2">#REF!</definedName>
    <definedName name="SQEF_BM1619" localSheetId="4">#REF!</definedName>
    <definedName name="SQEF_BM1619" localSheetId="9">#REF!</definedName>
    <definedName name="SQEF_BM1619">#REF!</definedName>
    <definedName name="SQEF_BM162_N0" localSheetId="4">#REF!</definedName>
    <definedName name="SQEF_BM162_N0" localSheetId="9">#REF!</definedName>
    <definedName name="SQEF_BM162_N0">#REF!</definedName>
    <definedName name="SQEF_BM1620" localSheetId="4">#REF!</definedName>
    <definedName name="SQEF_BM1620" localSheetId="9">#REF!</definedName>
    <definedName name="SQEF_BM1620">#REF!</definedName>
    <definedName name="SQEF_BM1621" localSheetId="4">#REF!</definedName>
    <definedName name="SQEF_BM1621" localSheetId="9">#REF!</definedName>
    <definedName name="SQEF_BM1621">#REF!</definedName>
    <definedName name="SQEF_BM1622" localSheetId="4">#REF!</definedName>
    <definedName name="SQEF_BM1622" localSheetId="9">#REF!</definedName>
    <definedName name="SQEF_BM1622">#REF!</definedName>
    <definedName name="SQEF_BM1623" localSheetId="4">#REF!</definedName>
    <definedName name="SQEF_BM1623" localSheetId="9">#REF!</definedName>
    <definedName name="SQEF_BM1623">#REF!</definedName>
    <definedName name="SQEF_BM1624" localSheetId="4">#REF!</definedName>
    <definedName name="SQEF_BM1624" localSheetId="9">#REF!</definedName>
    <definedName name="SQEF_BM1624">#REF!</definedName>
    <definedName name="SQEF_BM1625" localSheetId="4">#REF!</definedName>
    <definedName name="SQEF_BM1625" localSheetId="9">#REF!</definedName>
    <definedName name="SQEF_BM1625">#REF!</definedName>
    <definedName name="SQEF_BM1626" localSheetId="4">#REF!</definedName>
    <definedName name="SQEF_BM1626" localSheetId="9">#REF!</definedName>
    <definedName name="SQEF_BM1626">#REF!</definedName>
    <definedName name="SQEF_BM1629_P0" localSheetId="4">#REF!</definedName>
    <definedName name="SQEF_BM1629_P0" localSheetId="9">#REF!</definedName>
    <definedName name="SQEF_BM1629_P0">#REF!</definedName>
    <definedName name="SQEF_BM163_N0" localSheetId="4">#REF!</definedName>
    <definedName name="SQEF_BM163_N0" localSheetId="9">#REF!</definedName>
    <definedName name="SQEF_BM163_N0">#REF!</definedName>
    <definedName name="SQEF_BM1630_P0" localSheetId="4">#REF!</definedName>
    <definedName name="SQEF_BM1630_P0" localSheetId="9">#REF!</definedName>
    <definedName name="SQEF_BM1630_P0">#REF!</definedName>
    <definedName name="SQEF_BM1631_P0" localSheetId="4">#REF!</definedName>
    <definedName name="SQEF_BM1631_P0" localSheetId="9">#REF!</definedName>
    <definedName name="SQEF_BM1631_P0">#REF!</definedName>
    <definedName name="SQEF_BM1632_P0" localSheetId="4">#REF!</definedName>
    <definedName name="SQEF_BM1632_P0" localSheetId="9">#REF!</definedName>
    <definedName name="SQEF_BM1632_P0">#REF!</definedName>
    <definedName name="SQEF_BM1633" localSheetId="4">#REF!</definedName>
    <definedName name="SQEF_BM1633" localSheetId="9">#REF!</definedName>
    <definedName name="SQEF_BM1633">#REF!</definedName>
    <definedName name="SQEF_BM1634_P0" localSheetId="4">#REF!</definedName>
    <definedName name="SQEF_BM1634_P0" localSheetId="9">#REF!</definedName>
    <definedName name="SQEF_BM1634_P0">#REF!</definedName>
    <definedName name="SQEF_BM1635_P0" localSheetId="4">#REF!</definedName>
    <definedName name="SQEF_BM1635_P0" localSheetId="9">#REF!</definedName>
    <definedName name="SQEF_BM1635_P0">#REF!</definedName>
    <definedName name="SQEF_BM1636_P0" localSheetId="4">#REF!</definedName>
    <definedName name="SQEF_BM1636_P0" localSheetId="9">#REF!</definedName>
    <definedName name="SQEF_BM1636_P0">#REF!</definedName>
    <definedName name="SQEF_BM1637_P0" localSheetId="4">#REF!</definedName>
    <definedName name="SQEF_BM1637_P0" localSheetId="9">#REF!</definedName>
    <definedName name="SQEF_BM1637_P0">#REF!</definedName>
    <definedName name="SQEF_BM1638_P0" localSheetId="4">#REF!</definedName>
    <definedName name="SQEF_BM1638_P0" localSheetId="9">#REF!</definedName>
    <definedName name="SQEF_BM1638_P0">#REF!</definedName>
    <definedName name="SQEF_BM1639" localSheetId="4">#REF!</definedName>
    <definedName name="SQEF_BM1639" localSheetId="9">#REF!</definedName>
    <definedName name="SQEF_BM1639">#REF!</definedName>
    <definedName name="SQEF_BM164_N0" localSheetId="4">#REF!</definedName>
    <definedName name="SQEF_BM164_N0" localSheetId="9">#REF!</definedName>
    <definedName name="SQEF_BM164_N0">#REF!</definedName>
    <definedName name="SQEF_BM1640_P0" localSheetId="4">#REF!</definedName>
    <definedName name="SQEF_BM1640_P0" localSheetId="9">#REF!</definedName>
    <definedName name="SQEF_BM1640_P0">#REF!</definedName>
    <definedName name="SQEF_BM1641_P0" localSheetId="4">#REF!</definedName>
    <definedName name="SQEF_BM1641_P0" localSheetId="9">#REF!</definedName>
    <definedName name="SQEF_BM1641_P0">#REF!</definedName>
    <definedName name="SQEF_BM1642_P0" localSheetId="4">#REF!</definedName>
    <definedName name="SQEF_BM1642_P0" localSheetId="9">#REF!</definedName>
    <definedName name="SQEF_BM1642_P0">#REF!</definedName>
    <definedName name="SQEF_BM1643_P0" localSheetId="4">#REF!</definedName>
    <definedName name="SQEF_BM1643_P0" localSheetId="9">#REF!</definedName>
    <definedName name="SQEF_BM1643_P0">#REF!</definedName>
    <definedName name="SQEF_BM165_N0" localSheetId="4">#REF!</definedName>
    <definedName name="SQEF_BM165_N0" localSheetId="9">#REF!</definedName>
    <definedName name="SQEF_BM165_N0">#REF!</definedName>
    <definedName name="SQEF_BM166_N0" localSheetId="4">#REF!</definedName>
    <definedName name="SQEF_BM166_N0" localSheetId="9">#REF!</definedName>
    <definedName name="SQEF_BM166_N0">#REF!</definedName>
    <definedName name="SQEF_BM167_N0" localSheetId="4">#REF!</definedName>
    <definedName name="SQEF_BM167_N0" localSheetId="9">#REF!</definedName>
    <definedName name="SQEF_BM167_N0">#REF!</definedName>
    <definedName name="SQEF_BM168_N0" localSheetId="4">#REF!</definedName>
    <definedName name="SQEF_BM168_N0" localSheetId="9">#REF!</definedName>
    <definedName name="SQEF_BM168_N0">#REF!</definedName>
    <definedName name="SQEF_BM169_N0" localSheetId="4">#REF!</definedName>
    <definedName name="SQEF_BM169_N0" localSheetId="9">#REF!</definedName>
    <definedName name="SQEF_BM169_N0">#REF!</definedName>
    <definedName name="SQEF_BM171" localSheetId="4">#REF!</definedName>
    <definedName name="SQEF_BM171" localSheetId="9">#REF!</definedName>
    <definedName name="SQEF_BM171">#REF!</definedName>
    <definedName name="SQEF_BM1710_N0" localSheetId="4">#REF!</definedName>
    <definedName name="SQEF_BM1710_N0" localSheetId="9">#REF!</definedName>
    <definedName name="SQEF_BM1710_N0">#REF!</definedName>
    <definedName name="SQEF_BM1711_N0" localSheetId="4">#REF!</definedName>
    <definedName name="SQEF_BM1711_N0" localSheetId="9">#REF!</definedName>
    <definedName name="SQEF_BM1711_N0">#REF!</definedName>
    <definedName name="SQEF_BM1712_N0" localSheetId="4">#REF!</definedName>
    <definedName name="SQEF_BM1712_N0" localSheetId="9">#REF!</definedName>
    <definedName name="SQEF_BM1712_N0">#REF!</definedName>
    <definedName name="SQEF_BM1713_N0" localSheetId="4">#REF!</definedName>
    <definedName name="SQEF_BM1713_N0" localSheetId="9">#REF!</definedName>
    <definedName name="SQEF_BM1713_N0">#REF!</definedName>
    <definedName name="SQEF_BM1714_N0" localSheetId="4">#REF!</definedName>
    <definedName name="SQEF_BM1714_N0" localSheetId="9">#REF!</definedName>
    <definedName name="SQEF_BM1714_N0">#REF!</definedName>
    <definedName name="SQEF_BM1715_N0" localSheetId="4">#REF!</definedName>
    <definedName name="SQEF_BM1715_N0" localSheetId="9">#REF!</definedName>
    <definedName name="SQEF_BM1715_N0">#REF!</definedName>
    <definedName name="SQEF_BM1716_N0" localSheetId="4">#REF!</definedName>
    <definedName name="SQEF_BM1716_N0" localSheetId="9">#REF!</definedName>
    <definedName name="SQEF_BM1716_N0">#REF!</definedName>
    <definedName name="SQEF_BM1717_N0" localSheetId="4">#REF!</definedName>
    <definedName name="SQEF_BM1717_N0" localSheetId="9">#REF!</definedName>
    <definedName name="SQEF_BM1717_N0">#REF!</definedName>
    <definedName name="SQEF_BM1718_N2" localSheetId="4">#REF!</definedName>
    <definedName name="SQEF_BM1718_N2" localSheetId="9">#REF!</definedName>
    <definedName name="SQEF_BM1718_N2">#REF!</definedName>
    <definedName name="SQEF_BM1719" localSheetId="4">#REF!</definedName>
    <definedName name="SQEF_BM1719" localSheetId="9">#REF!</definedName>
    <definedName name="SQEF_BM1719">#REF!</definedName>
    <definedName name="SQEF_BM172_N0" localSheetId="4">#REF!</definedName>
    <definedName name="SQEF_BM172_N0" localSheetId="9">#REF!</definedName>
    <definedName name="SQEF_BM172_N0">#REF!</definedName>
    <definedName name="SQEF_BM1720" localSheetId="4">#REF!</definedName>
    <definedName name="SQEF_BM1720" localSheetId="9">#REF!</definedName>
    <definedName name="SQEF_BM1720">#REF!</definedName>
    <definedName name="SQEF_BM1721" localSheetId="4">#REF!</definedName>
    <definedName name="SQEF_BM1721" localSheetId="9">#REF!</definedName>
    <definedName name="SQEF_BM1721">#REF!</definedName>
    <definedName name="SQEF_BM1722" localSheetId="4">#REF!</definedName>
    <definedName name="SQEF_BM1722" localSheetId="9">#REF!</definedName>
    <definedName name="SQEF_BM1722">#REF!</definedName>
    <definedName name="SQEF_BM1723" localSheetId="4">#REF!</definedName>
    <definedName name="SQEF_BM1723" localSheetId="9">#REF!</definedName>
    <definedName name="SQEF_BM1723">#REF!</definedName>
    <definedName name="SQEF_BM1724" localSheetId="4">#REF!</definedName>
    <definedName name="SQEF_BM1724" localSheetId="9">#REF!</definedName>
    <definedName name="SQEF_BM1724">#REF!</definedName>
    <definedName name="SQEF_BM1725" localSheetId="4">#REF!</definedName>
    <definedName name="SQEF_BM1725" localSheetId="9">#REF!</definedName>
    <definedName name="SQEF_BM1725">#REF!</definedName>
    <definedName name="SQEF_BM1726" localSheetId="4">#REF!</definedName>
    <definedName name="SQEF_BM1726" localSheetId="9">#REF!</definedName>
    <definedName name="SQEF_BM1726">#REF!</definedName>
    <definedName name="SQEF_BM1729_P0" localSheetId="4">#REF!</definedName>
    <definedName name="SQEF_BM1729_P0" localSheetId="9">#REF!</definedName>
    <definedName name="SQEF_BM1729_P0">#REF!</definedName>
    <definedName name="SQEF_BM173_N0" localSheetId="4">#REF!</definedName>
    <definedName name="SQEF_BM173_N0" localSheetId="9">#REF!</definedName>
    <definedName name="SQEF_BM173_N0">#REF!</definedName>
    <definedName name="SQEF_BM1730_P0" localSheetId="4">#REF!</definedName>
    <definedName name="SQEF_BM1730_P0" localSheetId="9">#REF!</definedName>
    <definedName name="SQEF_BM1730_P0">#REF!</definedName>
    <definedName name="SQEF_BM1731_P0" localSheetId="4">#REF!</definedName>
    <definedName name="SQEF_BM1731_P0" localSheetId="9">#REF!</definedName>
    <definedName name="SQEF_BM1731_P0">#REF!</definedName>
    <definedName name="SQEF_BM1732_P0" localSheetId="4">#REF!</definedName>
    <definedName name="SQEF_BM1732_P0" localSheetId="9">#REF!</definedName>
    <definedName name="SQEF_BM1732_P0">#REF!</definedName>
    <definedName name="SQEF_BM1733" localSheetId="4">#REF!</definedName>
    <definedName name="SQEF_BM1733" localSheetId="9">#REF!</definedName>
    <definedName name="SQEF_BM1733">#REF!</definedName>
    <definedName name="SQEF_BM1734_P0" localSheetId="4">#REF!</definedName>
    <definedName name="SQEF_BM1734_P0" localSheetId="9">#REF!</definedName>
    <definedName name="SQEF_BM1734_P0">#REF!</definedName>
    <definedName name="SQEF_BM1735_P0" localSheetId="4">#REF!</definedName>
    <definedName name="SQEF_BM1735_P0" localSheetId="9">#REF!</definedName>
    <definedName name="SQEF_BM1735_P0">#REF!</definedName>
    <definedName name="SQEF_BM1736_P0" localSheetId="4">#REF!</definedName>
    <definedName name="SQEF_BM1736_P0" localSheetId="9">#REF!</definedName>
    <definedName name="SQEF_BM1736_P0">#REF!</definedName>
    <definedName name="SQEF_BM1737_P0" localSheetId="4">#REF!</definedName>
    <definedName name="SQEF_BM1737_P0" localSheetId="9">#REF!</definedName>
    <definedName name="SQEF_BM1737_P0">#REF!</definedName>
    <definedName name="SQEF_BM1738_P0" localSheetId="4">#REF!</definedName>
    <definedName name="SQEF_BM1738_P0" localSheetId="9">#REF!</definedName>
    <definedName name="SQEF_BM1738_P0">#REF!</definedName>
    <definedName name="SQEF_BM1739" localSheetId="4">#REF!</definedName>
    <definedName name="SQEF_BM1739" localSheetId="9">#REF!</definedName>
    <definedName name="SQEF_BM1739">#REF!</definedName>
    <definedName name="SQEF_BM174_N0" localSheetId="4">#REF!</definedName>
    <definedName name="SQEF_BM174_N0" localSheetId="9">#REF!</definedName>
    <definedName name="SQEF_BM174_N0">#REF!</definedName>
    <definedName name="SQEF_BM1740_P0" localSheetId="4">#REF!</definedName>
    <definedName name="SQEF_BM1740_P0" localSheetId="9">#REF!</definedName>
    <definedName name="SQEF_BM1740_P0">#REF!</definedName>
    <definedName name="SQEF_BM1741_P0" localSheetId="4">#REF!</definedName>
    <definedName name="SQEF_BM1741_P0" localSheetId="9">#REF!</definedName>
    <definedName name="SQEF_BM1741_P0">#REF!</definedName>
    <definedName name="SQEF_BM1742_P0" localSheetId="4">#REF!</definedName>
    <definedName name="SQEF_BM1742_P0" localSheetId="9">#REF!</definedName>
    <definedName name="SQEF_BM1742_P0">#REF!</definedName>
    <definedName name="SQEF_BM1743_P0" localSheetId="4">#REF!</definedName>
    <definedName name="SQEF_BM1743_P0" localSheetId="9">#REF!</definedName>
    <definedName name="SQEF_BM1743_P0">#REF!</definedName>
    <definedName name="SQEF_BM175_N0" localSheetId="4">#REF!</definedName>
    <definedName name="SQEF_BM175_N0" localSheetId="9">#REF!</definedName>
    <definedName name="SQEF_BM175_N0">#REF!</definedName>
    <definedName name="SQEF_BM176_N0" localSheetId="4">#REF!</definedName>
    <definedName name="SQEF_BM176_N0" localSheetId="9">#REF!</definedName>
    <definedName name="SQEF_BM176_N0">#REF!</definedName>
    <definedName name="SQEF_BM177_N0" localSheetId="4">#REF!</definedName>
    <definedName name="SQEF_BM177_N0" localSheetId="9">#REF!</definedName>
    <definedName name="SQEF_BM177_N0">#REF!</definedName>
    <definedName name="SQEF_BM178_N0" localSheetId="4">#REF!</definedName>
    <definedName name="SQEF_BM178_N0" localSheetId="9">#REF!</definedName>
    <definedName name="SQEF_BM178_N0">#REF!</definedName>
    <definedName name="SQEF_BM179_N0" localSheetId="4">#REF!</definedName>
    <definedName name="SQEF_BM179_N0" localSheetId="9">#REF!</definedName>
    <definedName name="SQEF_BM179_N0">#REF!</definedName>
    <definedName name="sss" hidden="1">{"Page 1",#N/A,TRUE,"Sheet1";"Page 2",#N/A,TRUE,"Sheet1"}</definedName>
    <definedName name="ST_debt" localSheetId="4">#REF!</definedName>
    <definedName name="ST_debt" localSheetId="9">#REF!</definedName>
    <definedName name="ST_debt">#REF!</definedName>
    <definedName name="st_debt_A">#REF!</definedName>
    <definedName name="st_debt_foreign">#REF!</definedName>
    <definedName name="ST_debt_growth_fore" localSheetId="4">#REF!</definedName>
    <definedName name="ST_debt_growth_fore" localSheetId="5">#REF!</definedName>
    <definedName name="ST_debt_growth_fore" localSheetId="15">#REF!</definedName>
    <definedName name="ST_debt_growth_fore" localSheetId="19">#REF!</definedName>
    <definedName name="ST_debt_growth_fore" localSheetId="18">#REF!</definedName>
    <definedName name="ST_debt_growth_fore" localSheetId="14">#REF!</definedName>
    <definedName name="ST_debt_growth_fore" localSheetId="12">#REF!</definedName>
    <definedName name="ST_debt_growth_fore" localSheetId="24">#REF!</definedName>
    <definedName name="ST_debt_growth_fore" localSheetId="7">#REF!</definedName>
    <definedName name="ST_debt_growth_fore" localSheetId="20">#REF!</definedName>
    <definedName name="ST_debt_growth_fore" localSheetId="21">#REF!</definedName>
    <definedName name="ST_debt_growth_fore" localSheetId="11">#REF!</definedName>
    <definedName name="ST_debt_growth_fore" localSheetId="17">#REF!</definedName>
    <definedName name="ST_debt_growth_fore" localSheetId="16">#REF!</definedName>
    <definedName name="ST_debt_growth_fore" localSheetId="22">#REF!</definedName>
    <definedName name="ST_debt_growth_fore" localSheetId="9">#REF!</definedName>
    <definedName name="ST_debt_growth_fore" localSheetId="13">#REF!</definedName>
    <definedName name="ST_debt_growth_fore" localSheetId="23">#REF!</definedName>
    <definedName name="ST_debt_growth_fore">#REF!</definedName>
    <definedName name="st_debt_lease_financing">#REF!</definedName>
    <definedName name="stable_growth_rate" localSheetId="4">#REF!</definedName>
    <definedName name="stable_growth_rate" localSheetId="5">#REF!</definedName>
    <definedName name="stable_growth_rate" localSheetId="15">#REF!</definedName>
    <definedName name="stable_growth_rate" localSheetId="19">#REF!</definedName>
    <definedName name="stable_growth_rate" localSheetId="18">#REF!</definedName>
    <definedName name="stable_growth_rate" localSheetId="14">#REF!</definedName>
    <definedName name="stable_growth_rate" localSheetId="12">#REF!</definedName>
    <definedName name="stable_growth_rate" localSheetId="24">#REF!</definedName>
    <definedName name="stable_growth_rate" localSheetId="7">#REF!</definedName>
    <definedName name="stable_growth_rate" localSheetId="20">#REF!</definedName>
    <definedName name="stable_growth_rate" localSheetId="21">#REF!</definedName>
    <definedName name="stable_growth_rate" localSheetId="11">#REF!</definedName>
    <definedName name="stable_growth_rate" localSheetId="17">#REF!</definedName>
    <definedName name="stable_growth_rate" localSheetId="16">#REF!</definedName>
    <definedName name="stable_growth_rate" localSheetId="22">#REF!</definedName>
    <definedName name="stable_growth_rate" localSheetId="9">#REF!</definedName>
    <definedName name="stable_growth_rate" localSheetId="13">#REF!</definedName>
    <definedName name="stable_growth_rate" localSheetId="23">#REF!</definedName>
    <definedName name="stable_growth_rate">#REF!</definedName>
    <definedName name="Staff_Welfare">#REF!</definedName>
    <definedName name="StaffCosts" localSheetId="4">#REF!</definedName>
    <definedName name="StaffCosts" localSheetId="9">#REF!</definedName>
    <definedName name="StaffCosts">#REF!</definedName>
    <definedName name="Staightline_charge" localSheetId="4">#REF!</definedName>
    <definedName name="Staightline_charge" localSheetId="9">#REF!</definedName>
    <definedName name="Staightline_charge">#REF!</definedName>
    <definedName name="Start" localSheetId="4">#REF!</definedName>
    <definedName name="Start" localSheetId="5">#REF!</definedName>
    <definedName name="Start" localSheetId="15">#REF!</definedName>
    <definedName name="Start" localSheetId="19">#REF!</definedName>
    <definedName name="Start" localSheetId="18">#REF!</definedName>
    <definedName name="Start" localSheetId="14">#REF!</definedName>
    <definedName name="Start" localSheetId="12">#REF!</definedName>
    <definedName name="Start" localSheetId="24">#REF!</definedName>
    <definedName name="Start" localSheetId="7">#REF!</definedName>
    <definedName name="Start" localSheetId="20">#REF!</definedName>
    <definedName name="Start" localSheetId="21">#REF!</definedName>
    <definedName name="Start" localSheetId="11">#REF!</definedName>
    <definedName name="Start" localSheetId="17">#REF!</definedName>
    <definedName name="Start" localSheetId="16">#REF!</definedName>
    <definedName name="Start" localSheetId="22">#REF!</definedName>
    <definedName name="Start" localSheetId="9">#REF!</definedName>
    <definedName name="Start" localSheetId="13">#REF!</definedName>
    <definedName name="Start" localSheetId="23">#REF!</definedName>
    <definedName name="Start">#REF!</definedName>
    <definedName name="START_DETAIL" localSheetId="4">#REF!</definedName>
    <definedName name="START_DETAIL" localSheetId="9">#REF!</definedName>
    <definedName name="START_DETAIL">#REF!</definedName>
    <definedName name="START_HEADER" localSheetId="4">#REF!</definedName>
    <definedName name="START_HEADER" localSheetId="9">#REF!</definedName>
    <definedName name="START_HEADER">#REF!</definedName>
    <definedName name="StartPosition">#REF!</definedName>
    <definedName name="state_luxury_tax">#REF!</definedName>
    <definedName name="state_mktsh" localSheetId="4">#REF!</definedName>
    <definedName name="state_mktsh" localSheetId="5">#REF!</definedName>
    <definedName name="state_mktsh" localSheetId="15">#REF!</definedName>
    <definedName name="state_mktsh" localSheetId="19">#REF!</definedName>
    <definedName name="state_mktsh" localSheetId="18">#REF!</definedName>
    <definedName name="state_mktsh" localSheetId="14">#REF!</definedName>
    <definedName name="state_mktsh" localSheetId="12">#REF!</definedName>
    <definedName name="state_mktsh" localSheetId="24">#REF!</definedName>
    <definedName name="state_mktsh" localSheetId="7">#REF!</definedName>
    <definedName name="state_mktsh" localSheetId="20">#REF!</definedName>
    <definedName name="state_mktsh" localSheetId="21">#REF!</definedName>
    <definedName name="state_mktsh" localSheetId="11">#REF!</definedName>
    <definedName name="state_mktsh" localSheetId="17">#REF!</definedName>
    <definedName name="state_mktsh" localSheetId="16">#REF!</definedName>
    <definedName name="state_mktsh" localSheetId="22">#REF!</definedName>
    <definedName name="state_mktsh" localSheetId="9">#REF!</definedName>
    <definedName name="state_mktsh" localSheetId="13">#REF!</definedName>
    <definedName name="state_mktsh" localSheetId="23">#REF!</definedName>
    <definedName name="state_mktsh">#REF!</definedName>
    <definedName name="Stationery___Printing" localSheetId="4">#REF!</definedName>
    <definedName name="Stationery___Printing" localSheetId="5">#REF!</definedName>
    <definedName name="Stationery___Printing" localSheetId="15">#REF!</definedName>
    <definedName name="Stationery___Printing" localSheetId="19">#REF!</definedName>
    <definedName name="Stationery___Printing" localSheetId="18">#REF!</definedName>
    <definedName name="Stationery___Printing" localSheetId="14">#REF!</definedName>
    <definedName name="Stationery___Printing" localSheetId="12">#REF!</definedName>
    <definedName name="Stationery___Printing" localSheetId="24">#REF!</definedName>
    <definedName name="Stationery___Printing" localSheetId="7">#REF!</definedName>
    <definedName name="Stationery___Printing" localSheetId="20">#REF!</definedName>
    <definedName name="Stationery___Printing" localSheetId="21">#REF!</definedName>
    <definedName name="Stationery___Printing" localSheetId="11">#REF!</definedName>
    <definedName name="Stationery___Printing" localSheetId="17">#REF!</definedName>
    <definedName name="Stationery___Printing" localSheetId="16">#REF!</definedName>
    <definedName name="Stationery___Printing" localSheetId="22">#REF!</definedName>
    <definedName name="Stationery___Printing" localSheetId="9">#REF!</definedName>
    <definedName name="Stationery___Printing" localSheetId="13">#REF!</definedName>
    <definedName name="Stationery___Printing" localSheetId="23">#REF!</definedName>
    <definedName name="Stationery___Printing">#REF!</definedName>
    <definedName name="statutory_rate_of_tax">#REF!</definedName>
    <definedName name="Statutory_Reserves">#REF!</definedName>
    <definedName name="StDebt">#REF!</definedName>
    <definedName name="StDebtChg" hidden="1">#REF!</definedName>
    <definedName name="StDebtDmy" localSheetId="4" hidden="1">#REF!,#REF!,#REF!,#REF!,#REF!</definedName>
    <definedName name="StDebtDmy" localSheetId="9" hidden="1">#REF!,#REF!,#REF!,#REF!,#REF!</definedName>
    <definedName name="StDebtDmy" hidden="1">#REF!,#REF!,#REF!,#REF!,#REF!</definedName>
    <definedName name="STDebtSer" hidden="1">#REF!</definedName>
    <definedName name="Sterling"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erlin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tInt">#REF!</definedName>
    <definedName name="stock_adjustment_qtr">#REF!</definedName>
    <definedName name="Stock_price" localSheetId="4">#REF!</definedName>
    <definedName name="Stock_price" localSheetId="9">#REF!</definedName>
    <definedName name="Stock_price">#REF!</definedName>
    <definedName name="Stock_price_close" localSheetId="4">#REF!</definedName>
    <definedName name="Stock_price_close" localSheetId="9">#REF!</definedName>
    <definedName name="Stock_price_close">#REF!</definedName>
    <definedName name="Stock_price_high" localSheetId="4">#REF!</definedName>
    <definedName name="Stock_price_high" localSheetId="9">#REF!</definedName>
    <definedName name="Stock_price_high">#REF!</definedName>
    <definedName name="Stock_price_low" localSheetId="4">#REF!</definedName>
    <definedName name="Stock_price_low" localSheetId="9">#REF!</definedName>
    <definedName name="Stock_price_low">#REF!</definedName>
    <definedName name="stock_rating_absolute" localSheetId="4">#REF!</definedName>
    <definedName name="stock_rating_absolute" localSheetId="5">#REF!</definedName>
    <definedName name="stock_rating_absolute" localSheetId="15">#REF!</definedName>
    <definedName name="stock_rating_absolute" localSheetId="19">#REF!</definedName>
    <definedName name="stock_rating_absolute" localSheetId="18">#REF!</definedName>
    <definedName name="stock_rating_absolute" localSheetId="14">#REF!</definedName>
    <definedName name="stock_rating_absolute" localSheetId="12">#REF!</definedName>
    <definedName name="stock_rating_absolute" localSheetId="24">#REF!</definedName>
    <definedName name="stock_rating_absolute" localSheetId="7">#REF!</definedName>
    <definedName name="stock_rating_absolute" localSheetId="20">#REF!</definedName>
    <definedName name="stock_rating_absolute" localSheetId="21">#REF!</definedName>
    <definedName name="stock_rating_absolute" localSheetId="11">#REF!</definedName>
    <definedName name="stock_rating_absolute" localSheetId="17">#REF!</definedName>
    <definedName name="stock_rating_absolute" localSheetId="16">#REF!</definedName>
    <definedName name="stock_rating_absolute" localSheetId="22">#REF!</definedName>
    <definedName name="stock_rating_absolute" localSheetId="9">#REF!</definedName>
    <definedName name="stock_rating_absolute" localSheetId="13">#REF!</definedName>
    <definedName name="stock_rating_absolute" localSheetId="23">#REF!</definedName>
    <definedName name="stock_rating_absolute">#REF!</definedName>
    <definedName name="stock_rating_relative" localSheetId="4">#REF!</definedName>
    <definedName name="stock_rating_relative" localSheetId="5">#REF!</definedName>
    <definedName name="stock_rating_relative" localSheetId="15">#REF!</definedName>
    <definedName name="stock_rating_relative" localSheetId="19">#REF!</definedName>
    <definedName name="stock_rating_relative" localSheetId="18">#REF!</definedName>
    <definedName name="stock_rating_relative" localSheetId="14">#REF!</definedName>
    <definedName name="stock_rating_relative" localSheetId="12">#REF!</definedName>
    <definedName name="stock_rating_relative" localSheetId="24">#REF!</definedName>
    <definedName name="stock_rating_relative" localSheetId="7">#REF!</definedName>
    <definedName name="stock_rating_relative" localSheetId="20">#REF!</definedName>
    <definedName name="stock_rating_relative" localSheetId="21">#REF!</definedName>
    <definedName name="stock_rating_relative" localSheetId="11">#REF!</definedName>
    <definedName name="stock_rating_relative" localSheetId="17">#REF!</definedName>
    <definedName name="stock_rating_relative" localSheetId="16">#REF!</definedName>
    <definedName name="stock_rating_relative" localSheetId="22">#REF!</definedName>
    <definedName name="stock_rating_relative" localSheetId="9">#REF!</definedName>
    <definedName name="stock_rating_relative" localSheetId="13">#REF!</definedName>
    <definedName name="stock_rating_relative" localSheetId="23">#REF!</definedName>
    <definedName name="stock_rating_relative">#REF!</definedName>
    <definedName name="STOCKOP" localSheetId="4">#REF!</definedName>
    <definedName name="STOCKOP" localSheetId="9">#REF!</definedName>
    <definedName name="STOCKOP">#REF!</definedName>
    <definedName name="STORY" localSheetId="4">#REF!</definedName>
    <definedName name="STORY" localSheetId="5">#REF!</definedName>
    <definedName name="STORY" localSheetId="15">#REF!</definedName>
    <definedName name="STORY" localSheetId="19">#REF!</definedName>
    <definedName name="STORY" localSheetId="18">#REF!</definedName>
    <definedName name="STORY" localSheetId="14">#REF!</definedName>
    <definedName name="STORY" localSheetId="12">#REF!</definedName>
    <definedName name="STORY" localSheetId="24">#REF!</definedName>
    <definedName name="STORY" localSheetId="7">#REF!</definedName>
    <definedName name="STORY" localSheetId="20">#REF!</definedName>
    <definedName name="STORY" localSheetId="21">#REF!</definedName>
    <definedName name="STORY" localSheetId="11">#REF!</definedName>
    <definedName name="STORY" localSheetId="17">#REF!</definedName>
    <definedName name="STORY" localSheetId="16">#REF!</definedName>
    <definedName name="STORY" localSheetId="22">#REF!</definedName>
    <definedName name="STORY" localSheetId="9">#REF!</definedName>
    <definedName name="STORY" localSheetId="13">#REF!</definedName>
    <definedName name="STORY" localSheetId="23">#REF!</definedName>
    <definedName name="STORY">#REF!</definedName>
    <definedName name="Subsidiaries_Equity_Investment" localSheetId="4">#REF!</definedName>
    <definedName name="Subsidiaries_Equity_Investment" localSheetId="5">#REF!</definedName>
    <definedName name="Subsidiaries_Equity_Investment" localSheetId="15">#REF!</definedName>
    <definedName name="Subsidiaries_Equity_Investment" localSheetId="19">#REF!</definedName>
    <definedName name="Subsidiaries_Equity_Investment" localSheetId="18">#REF!</definedName>
    <definedName name="Subsidiaries_Equity_Investment" localSheetId="14">#REF!</definedName>
    <definedName name="Subsidiaries_Equity_Investment" localSheetId="12">#REF!</definedName>
    <definedName name="Subsidiaries_Equity_Investment" localSheetId="24">#REF!</definedName>
    <definedName name="Subsidiaries_Equity_Investment" localSheetId="7">#REF!</definedName>
    <definedName name="Subsidiaries_Equity_Investment" localSheetId="20">#REF!</definedName>
    <definedName name="Subsidiaries_Equity_Investment" localSheetId="21">#REF!</definedName>
    <definedName name="Subsidiaries_Equity_Investment" localSheetId="11">#REF!</definedName>
    <definedName name="Subsidiaries_Equity_Investment" localSheetId="17">#REF!</definedName>
    <definedName name="Subsidiaries_Equity_Investment" localSheetId="16">#REF!</definedName>
    <definedName name="Subsidiaries_Equity_Investment" localSheetId="22">#REF!</definedName>
    <definedName name="Subsidiaries_Equity_Investment" localSheetId="9">#REF!</definedName>
    <definedName name="Subsidiaries_Equity_Investment" localSheetId="13">#REF!</definedName>
    <definedName name="Subsidiaries_Equity_Investment" localSheetId="23">#REF!</definedName>
    <definedName name="Subsidiaries_Equity_Investment">#REF!</definedName>
    <definedName name="Subsidiary_Investments">#REF!</definedName>
    <definedName name="sudhir"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dhi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ummary">#REF!</definedName>
    <definedName name="Summary_1" localSheetId="4">#REF!</definedName>
    <definedName name="Summary_1" localSheetId="9">#REF!</definedName>
    <definedName name="Summary_1">#REF!</definedName>
    <definedName name="Summary_1991" localSheetId="4">#REF!</definedName>
    <definedName name="Summary_1991" localSheetId="9">#REF!</definedName>
    <definedName name="Summary_1991">#REF!</definedName>
    <definedName name="Summary_1992" localSheetId="4">#REF!</definedName>
    <definedName name="Summary_1992" localSheetId="9">#REF!</definedName>
    <definedName name="Summary_1992">#REF!</definedName>
    <definedName name="Summary_1993" localSheetId="4">#REF!</definedName>
    <definedName name="Summary_1993" localSheetId="9">#REF!</definedName>
    <definedName name="Summary_1993">#REF!</definedName>
    <definedName name="Summary_1994" localSheetId="4">#REF!</definedName>
    <definedName name="Summary_1994" localSheetId="9">#REF!</definedName>
    <definedName name="Summary_1994">#REF!</definedName>
    <definedName name="Summary_1995" localSheetId="4">#REF!</definedName>
    <definedName name="Summary_1995" localSheetId="9">#REF!</definedName>
    <definedName name="Summary_1995">#REF!</definedName>
    <definedName name="Summary_1996" localSheetId="4">#REF!</definedName>
    <definedName name="Summary_1996" localSheetId="9">#REF!</definedName>
    <definedName name="Summary_1996">#REF!</definedName>
    <definedName name="Summary_1997" localSheetId="4">#REF!</definedName>
    <definedName name="Summary_1997" localSheetId="9">#REF!</definedName>
    <definedName name="Summary_1997">#REF!</definedName>
    <definedName name="Summary_2" localSheetId="4">#REF!</definedName>
    <definedName name="Summary_2" localSheetId="9">#REF!</definedName>
    <definedName name="Summary_2">#REF!</definedName>
    <definedName name="Summary_3" localSheetId="4">#REF!</definedName>
    <definedName name="Summary_3" localSheetId="9">#REF!</definedName>
    <definedName name="Summary_3">#REF!</definedName>
    <definedName name="Summary_4" localSheetId="4">#REF!</definedName>
    <definedName name="Summary_4" localSheetId="9">#REF!</definedName>
    <definedName name="Summary_4">#REF!</definedName>
    <definedName name="Summary_Date" localSheetId="4">#REF!</definedName>
    <definedName name="Summary_Date" localSheetId="5">#REF!</definedName>
    <definedName name="Summary_Date" localSheetId="15">#REF!</definedName>
    <definedName name="Summary_Date" localSheetId="19">#REF!</definedName>
    <definedName name="Summary_Date" localSheetId="18">#REF!</definedName>
    <definedName name="Summary_Date" localSheetId="14">#REF!</definedName>
    <definedName name="Summary_Date" localSheetId="12">#REF!</definedName>
    <definedName name="Summary_Date" localSheetId="24">#REF!</definedName>
    <definedName name="Summary_Date" localSheetId="7">#REF!</definedName>
    <definedName name="Summary_Date" localSheetId="20">#REF!</definedName>
    <definedName name="Summary_Date" localSheetId="21">#REF!</definedName>
    <definedName name="Summary_Date" localSheetId="11">#REF!</definedName>
    <definedName name="Summary_Date" localSheetId="17">#REF!</definedName>
    <definedName name="Summary_Date" localSheetId="16">#REF!</definedName>
    <definedName name="Summary_Date" localSheetId="22">#REF!</definedName>
    <definedName name="Summary_Date" localSheetId="9">#REF!</definedName>
    <definedName name="Summary_Date" localSheetId="13">#REF!</definedName>
    <definedName name="Summary_Date" localSheetId="23">#REF!</definedName>
    <definedName name="Summary_Date">#REF!</definedName>
    <definedName name="Summary_EY1" localSheetId="4">#REF!</definedName>
    <definedName name="Summary_EY1" localSheetId="9">#REF!</definedName>
    <definedName name="Summary_EY1">#REF!</definedName>
    <definedName name="Summary_EY2" localSheetId="4">#REF!</definedName>
    <definedName name="Summary_EY2" localSheetId="9">#REF!</definedName>
    <definedName name="Summary_EY2">#REF!</definedName>
    <definedName name="Summary_P" localSheetId="4">#REF!</definedName>
    <definedName name="Summary_P" localSheetId="9">#REF!</definedName>
    <definedName name="Summary_P">#REF!</definedName>
    <definedName name="summary_stn"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1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18"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2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2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2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2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localSheetId="2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mmary_stn"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undry_Creditors">#REF!</definedName>
    <definedName name="Sundry_Debtors">#REF!</definedName>
    <definedName name="SUP_CALC" localSheetId="4">#REF!</definedName>
    <definedName name="SUP_CALC" localSheetId="9">#REF!</definedName>
    <definedName name="SUP_CALC">#REF!</definedName>
    <definedName name="surat_dahisar_pcu" localSheetId="4">#REF!</definedName>
    <definedName name="surat_dahisar_pcu" localSheetId="5">#REF!</definedName>
    <definedName name="surat_dahisar_pcu" localSheetId="15">#REF!</definedName>
    <definedName name="surat_dahisar_pcu" localSheetId="19">#REF!</definedName>
    <definedName name="surat_dahisar_pcu" localSheetId="18">#REF!</definedName>
    <definedName name="surat_dahisar_pcu" localSheetId="14">#REF!</definedName>
    <definedName name="surat_dahisar_pcu" localSheetId="12">#REF!</definedName>
    <definedName name="surat_dahisar_pcu" localSheetId="24">#REF!</definedName>
    <definedName name="surat_dahisar_pcu" localSheetId="7">#REF!</definedName>
    <definedName name="surat_dahisar_pcu" localSheetId="20">#REF!</definedName>
    <definedName name="surat_dahisar_pcu" localSheetId="21">#REF!</definedName>
    <definedName name="surat_dahisar_pcu" localSheetId="11">#REF!</definedName>
    <definedName name="surat_dahisar_pcu" localSheetId="17">#REF!</definedName>
    <definedName name="surat_dahisar_pcu" localSheetId="16">#REF!</definedName>
    <definedName name="surat_dahisar_pcu" localSheetId="22">#REF!</definedName>
    <definedName name="surat_dahisar_pcu" localSheetId="9">#REF!</definedName>
    <definedName name="surat_dahisar_pcu" localSheetId="13">#REF!</definedName>
    <definedName name="surat_dahisar_pcu" localSheetId="23">#REF!</definedName>
    <definedName name="surat_dahisar_pcu">#REF!</definedName>
    <definedName name="swa" localSheetId="4">#REF!</definedName>
    <definedName name="swa" localSheetId="5">#REF!</definedName>
    <definedName name="swa" localSheetId="15">#REF!</definedName>
    <definedName name="swa" localSheetId="19">#REF!</definedName>
    <definedName name="swa" localSheetId="18">#REF!</definedName>
    <definedName name="swa" localSheetId="14">#REF!</definedName>
    <definedName name="swa" localSheetId="12">#REF!</definedName>
    <definedName name="swa" localSheetId="24">#REF!</definedName>
    <definedName name="swa" localSheetId="7">#REF!</definedName>
    <definedName name="swa" localSheetId="20">#REF!</definedName>
    <definedName name="swa" localSheetId="21">#REF!</definedName>
    <definedName name="swa" localSheetId="11">#REF!</definedName>
    <definedName name="swa" localSheetId="17">#REF!</definedName>
    <definedName name="swa" localSheetId="16">#REF!</definedName>
    <definedName name="swa" localSheetId="22">#REF!</definedName>
    <definedName name="swa" localSheetId="9">#REF!</definedName>
    <definedName name="swa" localSheetId="13">#REF!</definedName>
    <definedName name="swa" localSheetId="23">#REF!</definedName>
    <definedName name="swa">#REF!</definedName>
    <definedName name="swap" localSheetId="4">#REF!</definedName>
    <definedName name="swap" localSheetId="5">#REF!</definedName>
    <definedName name="swap" localSheetId="15">#REF!</definedName>
    <definedName name="swap" localSheetId="19">#REF!</definedName>
    <definedName name="swap" localSheetId="18">#REF!</definedName>
    <definedName name="swap" localSheetId="14">#REF!</definedName>
    <definedName name="swap" localSheetId="12">#REF!</definedName>
    <definedName name="swap" localSheetId="24">#REF!</definedName>
    <definedName name="swap" localSheetId="7">#REF!</definedName>
    <definedName name="swap" localSheetId="20">#REF!</definedName>
    <definedName name="swap" localSheetId="21">#REF!</definedName>
    <definedName name="swap" localSheetId="11">#REF!</definedName>
    <definedName name="swap" localSheetId="17">#REF!</definedName>
    <definedName name="swap" localSheetId="16">#REF!</definedName>
    <definedName name="swap" localSheetId="22">#REF!</definedName>
    <definedName name="swap" localSheetId="9">#REF!</definedName>
    <definedName name="swap" localSheetId="13">#REF!</definedName>
    <definedName name="swap" localSheetId="23">#REF!</definedName>
    <definedName name="swap">#REF!</definedName>
    <definedName name="Swap_Premium___Net" localSheetId="4">#REF!</definedName>
    <definedName name="Swap_Premium___Net" localSheetId="5">#REF!</definedName>
    <definedName name="Swap_Premium___Net" localSheetId="15">#REF!</definedName>
    <definedName name="Swap_Premium___Net" localSheetId="19">#REF!</definedName>
    <definedName name="Swap_Premium___Net" localSheetId="18">#REF!</definedName>
    <definedName name="Swap_Premium___Net" localSheetId="14">#REF!</definedName>
    <definedName name="Swap_Premium___Net" localSheetId="12">#REF!</definedName>
    <definedName name="Swap_Premium___Net" localSheetId="24">#REF!</definedName>
    <definedName name="Swap_Premium___Net" localSheetId="7">#REF!</definedName>
    <definedName name="Swap_Premium___Net" localSheetId="20">#REF!</definedName>
    <definedName name="Swap_Premium___Net" localSheetId="21">#REF!</definedName>
    <definedName name="Swap_Premium___Net" localSheetId="11">#REF!</definedName>
    <definedName name="Swap_Premium___Net" localSheetId="17">#REF!</definedName>
    <definedName name="Swap_Premium___Net" localSheetId="16">#REF!</definedName>
    <definedName name="Swap_Premium___Net" localSheetId="22">#REF!</definedName>
    <definedName name="Swap_Premium___Net" localSheetId="9">#REF!</definedName>
    <definedName name="Swap_Premium___Net" localSheetId="13">#REF!</definedName>
    <definedName name="Swap_Premium___Net" localSheetId="23">#REF!</definedName>
    <definedName name="Swap_Premium___Net">#REF!</definedName>
    <definedName name="swd"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wd"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wd"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swl" localSheetId="4">#REF!</definedName>
    <definedName name="swl" localSheetId="5">#REF!</definedName>
    <definedName name="swl" localSheetId="15">#REF!</definedName>
    <definedName name="swl" localSheetId="19">#REF!</definedName>
    <definedName name="swl" localSheetId="18">#REF!</definedName>
    <definedName name="swl" localSheetId="14">#REF!</definedName>
    <definedName name="swl" localSheetId="12">#REF!</definedName>
    <definedName name="swl" localSheetId="24">#REF!</definedName>
    <definedName name="swl" localSheetId="7">#REF!</definedName>
    <definedName name="swl" localSheetId="20">#REF!</definedName>
    <definedName name="swl" localSheetId="21">#REF!</definedName>
    <definedName name="swl" localSheetId="11">#REF!</definedName>
    <definedName name="swl" localSheetId="17">#REF!</definedName>
    <definedName name="swl" localSheetId="16">#REF!</definedName>
    <definedName name="swl" localSheetId="22">#REF!</definedName>
    <definedName name="swl" localSheetId="9">#REF!</definedName>
    <definedName name="swl" localSheetId="13">#REF!</definedName>
    <definedName name="swl" localSheetId="23">#REF!</definedName>
    <definedName name="swl">#REF!</definedName>
    <definedName name="sws" localSheetId="4">#REF!</definedName>
    <definedName name="sws" localSheetId="9">#REF!</definedName>
    <definedName name="sws">#REF!</definedName>
    <definedName name="Syndicated_Foreign_Currency_loans_from_banks" localSheetId="4">#REF!</definedName>
    <definedName name="Syndicated_Foreign_Currency_loans_from_banks" localSheetId="9">#REF!</definedName>
    <definedName name="Syndicated_Foreign_Currency_loans_from_banks">#REF!</definedName>
    <definedName name="synergy"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ystemDefaults_AaRate" localSheetId="4">#REF!</definedName>
    <definedName name="SystemDefaults_AaRate" localSheetId="9">#REF!</definedName>
    <definedName name="SystemDefaults_AaRate">#REF!</definedName>
    <definedName name="SystemDefaults_AdjustmentSwitch" localSheetId="4">#REF!</definedName>
    <definedName name="SystemDefaults_AdjustmentSwitch" localSheetId="9">#REF!</definedName>
    <definedName name="SystemDefaults_AdjustmentSwitch">#REF!</definedName>
    <definedName name="SystemDefaults_Country" localSheetId="4">#REF!</definedName>
    <definedName name="SystemDefaults_Country" localSheetId="9">#REF!</definedName>
    <definedName name="SystemDefaults_Country">#REF!</definedName>
    <definedName name="SystemDefaults_CSEYieldThreshold" localSheetId="4">#REF!</definedName>
    <definedName name="SystemDefaults_CSEYieldThreshold" localSheetId="9">#REF!</definedName>
    <definedName name="SystemDefaults_CSEYieldThreshold">#REF!</definedName>
    <definedName name="SystemDefaults_Currency" localSheetId="4">#REF!</definedName>
    <definedName name="SystemDefaults_Currency" localSheetId="9">#REF!</definedName>
    <definedName name="SystemDefaults_Currency">#REF!</definedName>
    <definedName name="SystemDefaults_CurrentYear" localSheetId="4">#REF!</definedName>
    <definedName name="SystemDefaults_CurrentYear" localSheetId="9">#REF!</definedName>
    <definedName name="SystemDefaults_CurrentYear">#REF!</definedName>
    <definedName name="SystemDefaults_DateLastModified" localSheetId="4">#REF!</definedName>
    <definedName name="SystemDefaults_DateLastModified" localSheetId="9">#REF!</definedName>
    <definedName name="SystemDefaults_DateLastModified">#REF!</definedName>
    <definedName name="SystemDefaults_DecimalPlacesChoices" localSheetId="4">#REF!</definedName>
    <definedName name="SystemDefaults_DecimalPlacesChoices" localSheetId="9">#REF!</definedName>
    <definedName name="SystemDefaults_DecimalPlacesChoices">#REF!</definedName>
    <definedName name="SystemDefaults_DecimalSwitch" localSheetId="4">#REF!</definedName>
    <definedName name="SystemDefaults_DecimalSwitch" localSheetId="9">#REF!</definedName>
    <definedName name="SystemDefaults_DecimalSwitch">#REF!</definedName>
    <definedName name="SystemDefaults_EPSCalcMethods" localSheetId="4">#REF!</definedName>
    <definedName name="SystemDefaults_EPSCalcMethods" localSheetId="9">#REF!</definedName>
    <definedName name="SystemDefaults_EPSCalcMethods">#REF!</definedName>
    <definedName name="SystemDefaults_EPSSwitch" localSheetId="4">#REF!</definedName>
    <definedName name="SystemDefaults_EPSSwitch" localSheetId="9">#REF!</definedName>
    <definedName name="SystemDefaults_EPSSwitch">#REF!</definedName>
    <definedName name="SystemDefaults_EquityRiskPremiumEquity" localSheetId="4">#REF!</definedName>
    <definedName name="SystemDefaults_EquityRiskPremiumEquity" localSheetId="9">#REF!</definedName>
    <definedName name="SystemDefaults_EquityRiskPremiumEquity">#REF!</definedName>
    <definedName name="SystemDefaults_EquityShareholdersFundsSwitch" localSheetId="4">#REF!</definedName>
    <definedName name="SystemDefaults_EquityShareholdersFundsSwitch" localSheetId="9">#REF!</definedName>
    <definedName name="SystemDefaults_EquityShareholdersFundsSwitch">#REF!</definedName>
    <definedName name="SystemDefaults_Error1" localSheetId="4">#REF!</definedName>
    <definedName name="SystemDefaults_Error1" localSheetId="9">#REF!</definedName>
    <definedName name="SystemDefaults_Error1">#REF!</definedName>
    <definedName name="SystemDefaults_Error2" localSheetId="4">#REF!</definedName>
    <definedName name="SystemDefaults_Error2" localSheetId="9">#REF!</definedName>
    <definedName name="SystemDefaults_Error2">#REF!</definedName>
    <definedName name="SystemDefaults_Error3" localSheetId="4">#REF!</definedName>
    <definedName name="SystemDefaults_Error3" localSheetId="9">#REF!</definedName>
    <definedName name="SystemDefaults_Error3">#REF!</definedName>
    <definedName name="SystemDefaults_ExpiryDate" localSheetId="4" hidden="1">#REF!</definedName>
    <definedName name="SystemDefaults_ExpiryDate" localSheetId="9" hidden="1">#REF!</definedName>
    <definedName name="SystemDefaults_ExpiryDate" hidden="1">#REF!</definedName>
    <definedName name="SystemDefaults_ExpiryStatus" localSheetId="4" hidden="1">#REF!</definedName>
    <definedName name="SystemDefaults_ExpiryStatus" localSheetId="9" hidden="1">#REF!</definedName>
    <definedName name="SystemDefaults_ExpiryStatus" hidden="1">#REF!</definedName>
    <definedName name="SystemDefaults_ForeignPriceSwitch" localSheetId="4">#REF!</definedName>
    <definedName name="SystemDefaults_ForeignPriceSwitch" localSheetId="9">#REF!</definedName>
    <definedName name="SystemDefaults_ForeignPriceSwitch">#REF!</definedName>
    <definedName name="SystemDefaults_GearingSwitch" localSheetId="4">#REF!</definedName>
    <definedName name="SystemDefaults_GearingSwitch" localSheetId="9">#REF!</definedName>
    <definedName name="SystemDefaults_GearingSwitch">#REF!</definedName>
    <definedName name="SystemDefaults_IDCode" localSheetId="4">#REF!</definedName>
    <definedName name="SystemDefaults_IDCode" localSheetId="9">#REF!</definedName>
    <definedName name="SystemDefaults_IDCode">#REF!</definedName>
    <definedName name="SystemDefaults_InsertColumnsSheets1" localSheetId="4">#REF!</definedName>
    <definedName name="SystemDefaults_InsertColumnsSheets1" localSheetId="9">#REF!</definedName>
    <definedName name="SystemDefaults_InsertColumnsSheets1">#REF!</definedName>
    <definedName name="SystemDefaults_InsertColumnsSheets2" localSheetId="4">#REF!</definedName>
    <definedName name="SystemDefaults_InsertColumnsSheets2" localSheetId="9">#REF!</definedName>
    <definedName name="SystemDefaults_InsertColumnsSheets2">#REF!</definedName>
    <definedName name="SystemDefaults_InsertRowsRangeNamesFOR" localSheetId="4">#REF!</definedName>
    <definedName name="SystemDefaults_InsertRowsRangeNamesFOR" localSheetId="9">#REF!</definedName>
    <definedName name="SystemDefaults_InsertRowsRangeNamesFOR">#REF!</definedName>
    <definedName name="SystemDefaults_InsertRowsRangeNamesRAT" localSheetId="4">#REF!</definedName>
    <definedName name="SystemDefaults_InsertRowsRangeNamesRAT" localSheetId="9">#REF!</definedName>
    <definedName name="SystemDefaults_InsertRowsRangeNamesRAT">#REF!</definedName>
    <definedName name="SystemDefaults_IterationSwitch" localSheetId="4">#REF!</definedName>
    <definedName name="SystemDefaults_IterationSwitch" localSheetId="9">#REF!</definedName>
    <definedName name="SystemDefaults_IterationSwitch">#REF!</definedName>
    <definedName name="SystemDefaults_LocalStockCode" localSheetId="4">#REF!</definedName>
    <definedName name="SystemDefaults_LocalStockCode" localSheetId="9">#REF!</definedName>
    <definedName name="SystemDefaults_LocalStockCode">#REF!</definedName>
    <definedName name="SystemDefaults_MarketCode" localSheetId="4">#REF!</definedName>
    <definedName name="SystemDefaults_MarketCode" localSheetId="9">#REF!</definedName>
    <definedName name="SystemDefaults_MarketCode">#REF!</definedName>
    <definedName name="SystemDefaults_MarketName" localSheetId="4">#REF!</definedName>
    <definedName name="SystemDefaults_MarketName" localSheetId="9">#REF!</definedName>
    <definedName name="SystemDefaults_MarketName">#REF!</definedName>
    <definedName name="SystemDefaults_ModelChanges" localSheetId="4">#REF!</definedName>
    <definedName name="SystemDefaults_ModelChanges" localSheetId="9">#REF!</definedName>
    <definedName name="SystemDefaults_ModelChanges">#REF!</definedName>
    <definedName name="SystemDefaults_ModelChoices" localSheetId="4">#REF!</definedName>
    <definedName name="SystemDefaults_ModelChoices" localSheetId="9">#REF!</definedName>
    <definedName name="SystemDefaults_ModelChoices">#REF!</definedName>
    <definedName name="SystemDefaults_ModelSwitch" localSheetId="4">#REF!</definedName>
    <definedName name="SystemDefaults_ModelSwitch" localSheetId="9">#REF!</definedName>
    <definedName name="SystemDefaults_ModelSwitch">#REF!</definedName>
    <definedName name="SystemDefaults_NameForConsolidated" localSheetId="4">#REF!</definedName>
    <definedName name="SystemDefaults_NameForConsolidated" localSheetId="9">#REF!</definedName>
    <definedName name="SystemDefaults_NameForConsolidated">#REF!</definedName>
    <definedName name="SystemDefaults_NameForNetProfitExcAdj2" localSheetId="4">#REF!</definedName>
    <definedName name="SystemDefaults_NameForNetProfitExcAdj2" localSheetId="9">#REF!</definedName>
    <definedName name="SystemDefaults_NameForNetProfitExcAdj2">#REF!</definedName>
    <definedName name="SystemDefaults_NameForNetProfitExcAdj3" localSheetId="4">#REF!</definedName>
    <definedName name="SystemDefaults_NameForNetProfitExcAdj3" localSheetId="9">#REF!</definedName>
    <definedName name="SystemDefaults_NameForNetProfitExcAdj3">#REF!</definedName>
    <definedName name="SystemDefaults_NameForNetProfitExcAdjustments" localSheetId="4">#REF!</definedName>
    <definedName name="SystemDefaults_NameForNetProfitExcAdjustments" localSheetId="9">#REF!</definedName>
    <definedName name="SystemDefaults_NameForNetProfitExcAdjustments">#REF!</definedName>
    <definedName name="SystemDefaults_NextDividend" localSheetId="4">#REF!</definedName>
    <definedName name="SystemDefaults_NextDividend" localSheetId="9">#REF!</definedName>
    <definedName name="SystemDefaults_NextDividend">#REF!</definedName>
    <definedName name="SystemDefaults_ResultsDue" localSheetId="4">#REF!</definedName>
    <definedName name="SystemDefaults_ResultsDue" localSheetId="9">#REF!</definedName>
    <definedName name="SystemDefaults_ResultsDue">#REF!</definedName>
    <definedName name="SystemDefaults_Rounding" localSheetId="4">#REF!</definedName>
    <definedName name="SystemDefaults_Rounding" localSheetId="9">#REF!</definedName>
    <definedName name="SystemDefaults_Rounding">#REF!</definedName>
    <definedName name="SystemDefaults_Shareholder1" localSheetId="4">#REF!</definedName>
    <definedName name="SystemDefaults_Shareholder1" localSheetId="9">#REF!</definedName>
    <definedName name="SystemDefaults_Shareholder1">#REF!</definedName>
    <definedName name="SystemDefaults_Shareholder2" localSheetId="4">#REF!</definedName>
    <definedName name="SystemDefaults_Shareholder2" localSheetId="9">#REF!</definedName>
    <definedName name="SystemDefaults_Shareholder2">#REF!</definedName>
    <definedName name="SystemDefaults_Shareholder3" localSheetId="4">#REF!</definedName>
    <definedName name="SystemDefaults_Shareholder3" localSheetId="9">#REF!</definedName>
    <definedName name="SystemDefaults_Shareholder3">#REF!</definedName>
    <definedName name="SystemDefaults_Shareholder4" localSheetId="4">#REF!</definedName>
    <definedName name="SystemDefaults_Shareholder4" localSheetId="9">#REF!</definedName>
    <definedName name="SystemDefaults_Shareholder4">#REF!</definedName>
    <definedName name="SystemDefaults_Shareholder5" localSheetId="4">#REF!</definedName>
    <definedName name="SystemDefaults_Shareholder5" localSheetId="9">#REF!</definedName>
    <definedName name="SystemDefaults_Shareholder5">#REF!</definedName>
    <definedName name="SystemDefaults_ShareRepurchaseLimit" localSheetId="4">#REF!</definedName>
    <definedName name="SystemDefaults_ShareRepurchaseLimit" localSheetId="9">#REF!</definedName>
    <definedName name="SystemDefaults_ShareRepurchaseLimit">#REF!</definedName>
    <definedName name="SystemDefaults_ShareTransactionDescriptions" localSheetId="4">#REF!</definedName>
    <definedName name="SystemDefaults_ShareTransactionDescriptions" localSheetId="9">#REF!</definedName>
    <definedName name="SystemDefaults_ShareTransactionDescriptions">#REF!</definedName>
    <definedName name="SystemDefaults_ShareTransactionTypes1" localSheetId="4">#REF!</definedName>
    <definedName name="SystemDefaults_ShareTransactionTypes1" localSheetId="9">#REF!</definedName>
    <definedName name="SystemDefaults_ShareTransactionTypes1">#REF!</definedName>
    <definedName name="SystemDefaults_Spare1" localSheetId="4">#REF!</definedName>
    <definedName name="SystemDefaults_Spare1" localSheetId="9">#REF!</definedName>
    <definedName name="SystemDefaults_Spare1">#REF!</definedName>
    <definedName name="SystemDefaults_Spare2" localSheetId="4">#REF!</definedName>
    <definedName name="SystemDefaults_Spare2" localSheetId="9">#REF!</definedName>
    <definedName name="SystemDefaults_Spare2">#REF!</definedName>
    <definedName name="SystemDefaults_Spare3" localSheetId="4">#REF!</definedName>
    <definedName name="SystemDefaults_Spare3" localSheetId="9">#REF!</definedName>
    <definedName name="SystemDefaults_Spare3">#REF!</definedName>
    <definedName name="SystemDefaults_SystemSheets" localSheetId="4">#REF!</definedName>
    <definedName name="SystemDefaults_SystemSheets" localSheetId="9">#REF!</definedName>
    <definedName name="SystemDefaults_SystemSheets">#REF!</definedName>
    <definedName name="SystemDefaults_TaxRate" localSheetId="4">#REF!</definedName>
    <definedName name="SystemDefaults_TaxRate" localSheetId="9">#REF!</definedName>
    <definedName name="SystemDefaults_TaxRate">#REF!</definedName>
    <definedName name="SystemDefaults_TreasuryRate" localSheetId="4">#REF!</definedName>
    <definedName name="SystemDefaults_TreasuryRate" localSheetId="9">#REF!</definedName>
    <definedName name="SystemDefaults_TreasuryRate">#REF!</definedName>
    <definedName name="SystemDefaults_Units" localSheetId="4">#REF!</definedName>
    <definedName name="SystemDefaults_Units" localSheetId="9">#REF!</definedName>
    <definedName name="SystemDefaults_Units">#REF!</definedName>
    <definedName name="SystemDefaults_UpdateYearSheets1" localSheetId="4">#REF!</definedName>
    <definedName name="SystemDefaults_UpdateYearSheets1" localSheetId="9">#REF!</definedName>
    <definedName name="SystemDefaults_UpdateYearSheets1">#REF!</definedName>
    <definedName name="SystemDefaults_UpdateYearSheets2" localSheetId="4">#REF!</definedName>
    <definedName name="SystemDefaults_UpdateYearSheets2" localSheetId="9">#REF!</definedName>
    <definedName name="SystemDefaults_UpdateYearSheets2">#REF!</definedName>
    <definedName name="SystemDefaults_UpdateYearSheets3" localSheetId="4">#REF!</definedName>
    <definedName name="SystemDefaults_UpdateYearSheets3" localSheetId="9">#REF!</definedName>
    <definedName name="SystemDefaults_UpdateYearSheets3">#REF!</definedName>
    <definedName name="SystemDefaults_UserMode" localSheetId="4">#REF!</definedName>
    <definedName name="SystemDefaults_UserMode" localSheetId="9">#REF!</definedName>
    <definedName name="SystemDefaults_UserMode">#REF!</definedName>
    <definedName name="SystemDefaults_VersionDate" localSheetId="4">#REF!</definedName>
    <definedName name="SystemDefaults_VersionDate" localSheetId="9">#REF!</definedName>
    <definedName name="SystemDefaults_VersionDate">#REF!</definedName>
    <definedName name="SystemDefaults_VersionNumber" localSheetId="4">#REF!</definedName>
    <definedName name="SystemDefaults_VersionNumber" localSheetId="9">#REF!</definedName>
    <definedName name="SystemDefaults_VersionNumber">#REF!</definedName>
    <definedName name="SystemDefaults_YearCodeForecast" localSheetId="4">#REF!</definedName>
    <definedName name="SystemDefaults_YearCodeForecast" localSheetId="9">#REF!</definedName>
    <definedName name="SystemDefaults_YearCodeForecast">#REF!</definedName>
    <definedName name="SystemDefaults_YearCodeHistoric" localSheetId="4">#REF!</definedName>
    <definedName name="SystemDefaults_YearCodeHistoric" localSheetId="9">#REF!</definedName>
    <definedName name="SystemDefaults_YearCodeHistoric">#REF!</definedName>
    <definedName name="t"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t" localSheetId="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t"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TA" localSheetId="4">#REF!</definedName>
    <definedName name="TA" localSheetId="5">#REF!</definedName>
    <definedName name="TA" localSheetId="15">#REF!</definedName>
    <definedName name="TA" localSheetId="19">#REF!</definedName>
    <definedName name="TA" localSheetId="18">#REF!</definedName>
    <definedName name="TA" localSheetId="14">#REF!</definedName>
    <definedName name="TA" localSheetId="12">#REF!</definedName>
    <definedName name="TA" localSheetId="24">#REF!</definedName>
    <definedName name="TA" localSheetId="7">#REF!</definedName>
    <definedName name="TA" localSheetId="20">#REF!</definedName>
    <definedName name="TA" localSheetId="21">#REF!</definedName>
    <definedName name="TA" localSheetId="11">#REF!</definedName>
    <definedName name="TA" localSheetId="17">#REF!</definedName>
    <definedName name="TA" localSheetId="16">#REF!</definedName>
    <definedName name="TA" localSheetId="22">#REF!</definedName>
    <definedName name="TA" localSheetId="9">#REF!</definedName>
    <definedName name="TA" localSheetId="13">#REF!</definedName>
    <definedName name="TA" localSheetId="23">#REF!</definedName>
    <definedName name="TA">#REF!</definedName>
    <definedName name="taiwan">#REF!</definedName>
    <definedName name="Target_debt_to_capital" localSheetId="4">#REF!</definedName>
    <definedName name="Target_debt_to_capital" localSheetId="9">#REF!</definedName>
    <definedName name="Target_debt_to_capital">#REF!</definedName>
    <definedName name="target_pri" localSheetId="4">#REF!</definedName>
    <definedName name="target_pri" localSheetId="9">#REF!</definedName>
    <definedName name="target_pri">#REF!</definedName>
    <definedName name="Target_Price" localSheetId="4">#REF!</definedName>
    <definedName name="Target_Price" localSheetId="9">#REF!</definedName>
    <definedName name="Target_Price">#REF!</definedName>
    <definedName name="TAX" localSheetId="4">#REF!</definedName>
    <definedName name="TAX" localSheetId="9">#REF!</definedName>
    <definedName name="TAX">#REF!</definedName>
    <definedName name="Tax_benefit_from_interest" localSheetId="4">#REF!</definedName>
    <definedName name="Tax_benefit_from_interest" localSheetId="9">#REF!</definedName>
    <definedName name="Tax_benefit_from_interest">#REF!</definedName>
    <definedName name="Tax_benefit_from_oper_leases" localSheetId="4">#REF!</definedName>
    <definedName name="Tax_benefit_from_oper_leases" localSheetId="9">#REF!</definedName>
    <definedName name="Tax_benefit_from_oper_leases">#REF!</definedName>
    <definedName name="Tax_benefit_from_ops_leases" localSheetId="4">#REF!</definedName>
    <definedName name="Tax_benefit_from_ops_leases" localSheetId="9">#REF!</definedName>
    <definedName name="Tax_benefit_from_ops_leases">#REF!</definedName>
    <definedName name="TAX_COMPUTATION">#REF!</definedName>
    <definedName name="Tax_current_n_deferred">#REF!</definedName>
    <definedName name="Tax_for_Previous_Year">#REF!</definedName>
    <definedName name="Tax_for_the_current_year">#REF!</definedName>
    <definedName name="tax_on_dividend_paid" localSheetId="4">#REF!</definedName>
    <definedName name="tax_on_dividend_paid" localSheetId="5">#REF!</definedName>
    <definedName name="tax_on_dividend_paid" localSheetId="15">#REF!</definedName>
    <definedName name="tax_on_dividend_paid" localSheetId="19">#REF!</definedName>
    <definedName name="tax_on_dividend_paid" localSheetId="18">#REF!</definedName>
    <definedName name="tax_on_dividend_paid" localSheetId="14">#REF!</definedName>
    <definedName name="tax_on_dividend_paid" localSheetId="12">#REF!</definedName>
    <definedName name="tax_on_dividend_paid" localSheetId="24">#REF!</definedName>
    <definedName name="tax_on_dividend_paid" localSheetId="7">#REF!</definedName>
    <definedName name="tax_on_dividend_paid" localSheetId="20">#REF!</definedName>
    <definedName name="tax_on_dividend_paid" localSheetId="21">#REF!</definedName>
    <definedName name="tax_on_dividend_paid" localSheetId="11">#REF!</definedName>
    <definedName name="tax_on_dividend_paid" localSheetId="17">#REF!</definedName>
    <definedName name="tax_on_dividend_paid" localSheetId="16">#REF!</definedName>
    <definedName name="tax_on_dividend_paid" localSheetId="22">#REF!</definedName>
    <definedName name="tax_on_dividend_paid" localSheetId="9">#REF!</definedName>
    <definedName name="tax_on_dividend_paid" localSheetId="13">#REF!</definedName>
    <definedName name="tax_on_dividend_paid" localSheetId="23">#REF!</definedName>
    <definedName name="tax_on_dividend_paid">#REF!</definedName>
    <definedName name="Tax_on_dividend_provided">#REF!</definedName>
    <definedName name="tax_on_dividends_payable">#REF!</definedName>
    <definedName name="tax_on_equity_dividend_A">#REF!</definedName>
    <definedName name="tax_on_non_recurring_items">#REF!</definedName>
    <definedName name="tax_on_non_recurring_items_qtr">#REF!</definedName>
    <definedName name="tax_on_preference_dividend_A">#REF!</definedName>
    <definedName name="Tax_others">#REF!</definedName>
    <definedName name="tax_payable">#REF!</definedName>
    <definedName name="tax_provided">#REF!</definedName>
    <definedName name="tax_provided_A">#REF!</definedName>
    <definedName name="tax_provided_Q">#REF!</definedName>
    <definedName name="tax_provided_qtr">#REF!</definedName>
    <definedName name="Tax_Q" localSheetId="4">#REF!</definedName>
    <definedName name="Tax_Q" localSheetId="5">#REF!</definedName>
    <definedName name="Tax_Q" localSheetId="15">#REF!</definedName>
    <definedName name="Tax_Q" localSheetId="19">#REF!</definedName>
    <definedName name="Tax_Q" localSheetId="18">#REF!</definedName>
    <definedName name="Tax_Q" localSheetId="14">#REF!</definedName>
    <definedName name="Tax_Q" localSheetId="12">#REF!</definedName>
    <definedName name="Tax_Q" localSheetId="24">#REF!</definedName>
    <definedName name="Tax_Q" localSheetId="7">#REF!</definedName>
    <definedName name="Tax_Q" localSheetId="20">#REF!</definedName>
    <definedName name="Tax_Q" localSheetId="21">#REF!</definedName>
    <definedName name="Tax_Q" localSheetId="11">#REF!</definedName>
    <definedName name="Tax_Q" localSheetId="17">#REF!</definedName>
    <definedName name="Tax_Q" localSheetId="16">#REF!</definedName>
    <definedName name="Tax_Q" localSheetId="22">#REF!</definedName>
    <definedName name="Tax_Q" localSheetId="9">#REF!</definedName>
    <definedName name="Tax_Q" localSheetId="13">#REF!</definedName>
    <definedName name="Tax_Q" localSheetId="23">#REF!</definedName>
    <definedName name="Tax_Q">#REF!</definedName>
    <definedName name="tax_qtr">#REF!</definedName>
    <definedName name="TAX_RATE" localSheetId="4">#REF!</definedName>
    <definedName name="TAX_RATE" localSheetId="5">#REF!</definedName>
    <definedName name="TAX_RATE" localSheetId="15">#REF!</definedName>
    <definedName name="TAX_RATE" localSheetId="19">#REF!</definedName>
    <definedName name="TAX_RATE" localSheetId="18">#REF!</definedName>
    <definedName name="TAX_RATE" localSheetId="14">#REF!</definedName>
    <definedName name="TAX_RATE" localSheetId="12">#REF!</definedName>
    <definedName name="TAX_RATE" localSheetId="24">#REF!</definedName>
    <definedName name="TAX_RATE" localSheetId="7">#REF!</definedName>
    <definedName name="TAX_RATE" localSheetId="20">#REF!</definedName>
    <definedName name="TAX_RATE" localSheetId="21">#REF!</definedName>
    <definedName name="TAX_RATE" localSheetId="11">#REF!</definedName>
    <definedName name="TAX_RATE" localSheetId="17">#REF!</definedName>
    <definedName name="TAX_RATE" localSheetId="16">#REF!</definedName>
    <definedName name="TAX_RATE" localSheetId="22">#REF!</definedName>
    <definedName name="TAX_RATE" localSheetId="9">#REF!</definedName>
    <definedName name="TAX_RATE" localSheetId="13">#REF!</definedName>
    <definedName name="TAX_RATE" localSheetId="23">#REF!</definedName>
    <definedName name="TAX_RATE">#REF!</definedName>
    <definedName name="tax_rate_A">#REF!</definedName>
    <definedName name="Tax_rate_for_WACC" localSheetId="4">#REF!</definedName>
    <definedName name="Tax_rate_for_WACC" localSheetId="5">#REF!</definedName>
    <definedName name="Tax_rate_for_WACC" localSheetId="15">#REF!</definedName>
    <definedName name="Tax_rate_for_WACC" localSheetId="19">#REF!</definedName>
    <definedName name="Tax_rate_for_WACC" localSheetId="18">#REF!</definedName>
    <definedName name="Tax_rate_for_WACC" localSheetId="14">#REF!</definedName>
    <definedName name="Tax_rate_for_WACC" localSheetId="12">#REF!</definedName>
    <definedName name="Tax_rate_for_WACC" localSheetId="24">#REF!</definedName>
    <definedName name="Tax_rate_for_WACC" localSheetId="7">#REF!</definedName>
    <definedName name="Tax_rate_for_WACC" localSheetId="20">#REF!</definedName>
    <definedName name="Tax_rate_for_WACC" localSheetId="21">#REF!</definedName>
    <definedName name="Tax_rate_for_WACC" localSheetId="11">#REF!</definedName>
    <definedName name="Tax_rate_for_WACC" localSheetId="17">#REF!</definedName>
    <definedName name="Tax_rate_for_WACC" localSheetId="16">#REF!</definedName>
    <definedName name="Tax_rate_for_WACC" localSheetId="22">#REF!</definedName>
    <definedName name="Tax_rate_for_WACC" localSheetId="9">#REF!</definedName>
    <definedName name="Tax_rate_for_WACC" localSheetId="13">#REF!</definedName>
    <definedName name="Tax_rate_for_WACC" localSheetId="23">#REF!</definedName>
    <definedName name="Tax_rate_for_WACC">#REF!</definedName>
    <definedName name="Tax_rate_Q" localSheetId="4">#REF!</definedName>
    <definedName name="Tax_rate_Q" localSheetId="5">#REF!</definedName>
    <definedName name="Tax_rate_Q" localSheetId="15">#REF!</definedName>
    <definedName name="Tax_rate_Q" localSheetId="19">#REF!</definedName>
    <definedName name="Tax_rate_Q" localSheetId="18">#REF!</definedName>
    <definedName name="Tax_rate_Q" localSheetId="14">#REF!</definedName>
    <definedName name="Tax_rate_Q" localSheetId="12">#REF!</definedName>
    <definedName name="Tax_rate_Q" localSheetId="24">#REF!</definedName>
    <definedName name="Tax_rate_Q" localSheetId="7">#REF!</definedName>
    <definedName name="Tax_rate_Q" localSheetId="20">#REF!</definedName>
    <definedName name="Tax_rate_Q" localSheetId="21">#REF!</definedName>
    <definedName name="Tax_rate_Q" localSheetId="11">#REF!</definedName>
    <definedName name="Tax_rate_Q" localSheetId="17">#REF!</definedName>
    <definedName name="Tax_rate_Q" localSheetId="16">#REF!</definedName>
    <definedName name="Tax_rate_Q" localSheetId="22">#REF!</definedName>
    <definedName name="Tax_rate_Q" localSheetId="9">#REF!</definedName>
    <definedName name="Tax_rate_Q" localSheetId="13">#REF!</definedName>
    <definedName name="Tax_rate_Q" localSheetId="23">#REF!</definedName>
    <definedName name="Tax_rate_Q">#REF!</definedName>
    <definedName name="Tax_Shield_Tax_Rate" localSheetId="4">#REF!</definedName>
    <definedName name="Tax_Shield_Tax_Rate" localSheetId="9">#REF!</definedName>
    <definedName name="Tax_Shield_Tax_Rate">#REF!</definedName>
    <definedName name="Tax_total">#REF!</definedName>
    <definedName name="TaxAndDividendProvisions" localSheetId="4">#REF!</definedName>
    <definedName name="TaxAndDividendProvisions" localSheetId="9">#REF!</definedName>
    <definedName name="TaxAndDividendProvisions">#REF!</definedName>
    <definedName name="Taxation" localSheetId="4">#REF!</definedName>
    <definedName name="Taxation" localSheetId="9">#REF!</definedName>
    <definedName name="Taxation">#REF!</definedName>
    <definedName name="TaxPaid" localSheetId="4">#REF!</definedName>
    <definedName name="TaxPaid" localSheetId="9">#REF!</definedName>
    <definedName name="TaxPaid">#REF!</definedName>
    <definedName name="TaxProvision" localSheetId="4">#REF!</definedName>
    <definedName name="TaxProvision" localSheetId="9">#REF!</definedName>
    <definedName name="TaxProvision">#REF!</definedName>
    <definedName name="TaxRate" localSheetId="4">#REF!</definedName>
    <definedName name="TaxRate" localSheetId="9">#REF!</definedName>
    <definedName name="TaxRate">#REF!</definedName>
    <definedName name="TB">#REF!</definedName>
    <definedName name="tbbwgt">#REF!</definedName>
    <definedName name="TC_Num">#REF!</definedName>
    <definedName name="tci" localSheetId="4">#REF!</definedName>
    <definedName name="tci" localSheetId="5">#REF!</definedName>
    <definedName name="tci" localSheetId="15">#REF!</definedName>
    <definedName name="tci" localSheetId="19">#REF!</definedName>
    <definedName name="tci" localSheetId="18">#REF!</definedName>
    <definedName name="tci" localSheetId="14">#REF!</definedName>
    <definedName name="tci" localSheetId="12">#REF!</definedName>
    <definedName name="tci" localSheetId="24">#REF!</definedName>
    <definedName name="tci" localSheetId="7">#REF!</definedName>
    <definedName name="tci" localSheetId="20">#REF!</definedName>
    <definedName name="tci" localSheetId="21">#REF!</definedName>
    <definedName name="tci" localSheetId="11">#REF!</definedName>
    <definedName name="tci" localSheetId="17">#REF!</definedName>
    <definedName name="tci" localSheetId="16">#REF!</definedName>
    <definedName name="tci" localSheetId="22">#REF!</definedName>
    <definedName name="tci" localSheetId="9">#REF!</definedName>
    <definedName name="tci" localSheetId="13">#REF!</definedName>
    <definedName name="tci" localSheetId="23">#REF!</definedName>
    <definedName name="tci">#REF!</definedName>
    <definedName name="tcs" localSheetId="4">#REF!</definedName>
    <definedName name="tcs" localSheetId="5">#REF!</definedName>
    <definedName name="tcs" localSheetId="15">#REF!</definedName>
    <definedName name="tcs" localSheetId="19">#REF!</definedName>
    <definedName name="tcs" localSheetId="18">#REF!</definedName>
    <definedName name="tcs" localSheetId="14">#REF!</definedName>
    <definedName name="tcs" localSheetId="12">#REF!</definedName>
    <definedName name="tcs" localSheetId="24">#REF!</definedName>
    <definedName name="tcs" localSheetId="7">#REF!</definedName>
    <definedName name="tcs" localSheetId="20">#REF!</definedName>
    <definedName name="tcs" localSheetId="21">#REF!</definedName>
    <definedName name="tcs" localSheetId="11">#REF!</definedName>
    <definedName name="tcs" localSheetId="17">#REF!</definedName>
    <definedName name="tcs" localSheetId="16">#REF!</definedName>
    <definedName name="tcs" localSheetId="22">#REF!</definedName>
    <definedName name="tcs" localSheetId="9">#REF!</definedName>
    <definedName name="tcs" localSheetId="13">#REF!</definedName>
    <definedName name="tcs" localSheetId="23">#REF!</definedName>
    <definedName name="tcs">#REF!</definedName>
    <definedName name="TD" localSheetId="4">#REF!</definedName>
    <definedName name="TD" localSheetId="5">#REF!</definedName>
    <definedName name="TD" localSheetId="15">#REF!</definedName>
    <definedName name="TD" localSheetId="19">#REF!</definedName>
    <definedName name="TD" localSheetId="18">#REF!</definedName>
    <definedName name="TD" localSheetId="14">#REF!</definedName>
    <definedName name="TD" localSheetId="12">#REF!</definedName>
    <definedName name="TD" localSheetId="24">#REF!</definedName>
    <definedName name="TD" localSheetId="7">#REF!</definedName>
    <definedName name="TD" localSheetId="20">#REF!</definedName>
    <definedName name="TD" localSheetId="21">#REF!</definedName>
    <definedName name="TD" localSheetId="11">#REF!</definedName>
    <definedName name="TD" localSheetId="17">#REF!</definedName>
    <definedName name="TD" localSheetId="16">#REF!</definedName>
    <definedName name="TD" localSheetId="22">#REF!</definedName>
    <definedName name="TD" localSheetId="9">#REF!</definedName>
    <definedName name="TD" localSheetId="13">#REF!</definedName>
    <definedName name="TD" localSheetId="23">#REF!</definedName>
    <definedName name="TD">#REF!</definedName>
    <definedName name="tea_estates" localSheetId="4">#REF!</definedName>
    <definedName name="tea_estates" localSheetId="5">#REF!</definedName>
    <definedName name="tea_estates" localSheetId="15">#REF!</definedName>
    <definedName name="tea_estates" localSheetId="19">#REF!</definedName>
    <definedName name="tea_estates" localSheetId="18">#REF!</definedName>
    <definedName name="tea_estates" localSheetId="14">#REF!</definedName>
    <definedName name="tea_estates" localSheetId="12">#REF!</definedName>
    <definedName name="tea_estates" localSheetId="24">#REF!</definedName>
    <definedName name="tea_estates" localSheetId="7">#REF!</definedName>
    <definedName name="tea_estates" localSheetId="20">#REF!</definedName>
    <definedName name="tea_estates" localSheetId="21">#REF!</definedName>
    <definedName name="tea_estates" localSheetId="11">#REF!</definedName>
    <definedName name="tea_estates" localSheetId="17">#REF!</definedName>
    <definedName name="tea_estates" localSheetId="16">#REF!</definedName>
    <definedName name="tea_estates" localSheetId="22">#REF!</definedName>
    <definedName name="tea_estates" localSheetId="9">#REF!</definedName>
    <definedName name="tea_estates" localSheetId="13">#REF!</definedName>
    <definedName name="tea_estates" localSheetId="23">#REF!</definedName>
    <definedName name="tea_estates">#REF!</definedName>
    <definedName name="term_deposits_Q">#REF!</definedName>
    <definedName name="Term_Deposits_with_Scheduled_Banks">#REF!</definedName>
    <definedName name="Term_Loans_from_Banks_Secured">#REF!</definedName>
    <definedName name="Term_Loans_from_Institutions_Secured">#REF!</definedName>
    <definedName name="TerminalGrowth" localSheetId="4">#REF!</definedName>
    <definedName name="TerminalGrowth" localSheetId="5">#REF!</definedName>
    <definedName name="TerminalGrowth" localSheetId="15">#REF!</definedName>
    <definedName name="TerminalGrowth" localSheetId="19">#REF!</definedName>
    <definedName name="TerminalGrowth" localSheetId="18">#REF!</definedName>
    <definedName name="TerminalGrowth" localSheetId="14">#REF!</definedName>
    <definedName name="TerminalGrowth" localSheetId="12">#REF!</definedName>
    <definedName name="TerminalGrowth" localSheetId="24">#REF!</definedName>
    <definedName name="TerminalGrowth" localSheetId="7">#REF!</definedName>
    <definedName name="TerminalGrowth" localSheetId="20">#REF!</definedName>
    <definedName name="TerminalGrowth" localSheetId="21">#REF!</definedName>
    <definedName name="TerminalGrowth" localSheetId="11">#REF!</definedName>
    <definedName name="TerminalGrowth" localSheetId="17">#REF!</definedName>
    <definedName name="TerminalGrowth" localSheetId="16">#REF!</definedName>
    <definedName name="TerminalGrowth" localSheetId="22">#REF!</definedName>
    <definedName name="TerminalGrowth" localSheetId="9">#REF!</definedName>
    <definedName name="TerminalGrowth" localSheetId="13">#REF!</definedName>
    <definedName name="TerminalGrowth" localSheetId="23">#REF!</definedName>
    <definedName name="TerminalGrowth">#REF!</definedName>
    <definedName name="Termratio12" localSheetId="4">#REF!</definedName>
    <definedName name="Termratio12" localSheetId="5">#REF!</definedName>
    <definedName name="Termratio12" localSheetId="15">#REF!</definedName>
    <definedName name="Termratio12" localSheetId="19">#REF!</definedName>
    <definedName name="Termratio12" localSheetId="18">#REF!</definedName>
    <definedName name="Termratio12" localSheetId="14">#REF!</definedName>
    <definedName name="Termratio12" localSheetId="12">#REF!</definedName>
    <definedName name="Termratio12" localSheetId="24">#REF!</definedName>
    <definedName name="Termratio12" localSheetId="7">#REF!</definedName>
    <definedName name="Termratio12" localSheetId="20">#REF!</definedName>
    <definedName name="Termratio12" localSheetId="21">#REF!</definedName>
    <definedName name="Termratio12" localSheetId="11">#REF!</definedName>
    <definedName name="Termratio12" localSheetId="17">#REF!</definedName>
    <definedName name="Termratio12" localSheetId="16">#REF!</definedName>
    <definedName name="Termratio12" localSheetId="22">#REF!</definedName>
    <definedName name="Termratio12" localSheetId="9">#REF!</definedName>
    <definedName name="Termratio12" localSheetId="13">#REF!</definedName>
    <definedName name="Termratio12" localSheetId="23">#REF!</definedName>
    <definedName name="Termratio12">#REF!</definedName>
    <definedName name="TermRatio13" localSheetId="4">#REF!</definedName>
    <definedName name="TermRatio13" localSheetId="5">#REF!</definedName>
    <definedName name="TermRatio13" localSheetId="15">#REF!</definedName>
    <definedName name="TermRatio13" localSheetId="19">#REF!</definedName>
    <definedName name="TermRatio13" localSheetId="18">#REF!</definedName>
    <definedName name="TermRatio13" localSheetId="14">#REF!</definedName>
    <definedName name="TermRatio13" localSheetId="12">#REF!</definedName>
    <definedName name="TermRatio13" localSheetId="24">#REF!</definedName>
    <definedName name="TermRatio13" localSheetId="7">#REF!</definedName>
    <definedName name="TermRatio13" localSheetId="20">#REF!</definedName>
    <definedName name="TermRatio13" localSheetId="21">#REF!</definedName>
    <definedName name="TermRatio13" localSheetId="11">#REF!</definedName>
    <definedName name="TermRatio13" localSheetId="17">#REF!</definedName>
    <definedName name="TermRatio13" localSheetId="16">#REF!</definedName>
    <definedName name="TermRatio13" localSheetId="22">#REF!</definedName>
    <definedName name="TermRatio13" localSheetId="9">#REF!</definedName>
    <definedName name="TermRatio13" localSheetId="13">#REF!</definedName>
    <definedName name="TermRatio13" localSheetId="23">#REF!</definedName>
    <definedName name="TermRatio13">#REF!</definedName>
    <definedName name="TEST0">#REF!</definedName>
    <definedName name="TESTHKEY">#REF!</definedName>
    <definedName name="TESTKEYS">#REF!</definedName>
    <definedName name="TESTVKEY">#REF!</definedName>
    <definedName name="tetley" localSheetId="4">#REF!</definedName>
    <definedName name="tetley" localSheetId="9">#REF!</definedName>
    <definedName name="tetley">#REF!</definedName>
    <definedName name="tev" localSheetId="4">#REF!</definedName>
    <definedName name="tev" localSheetId="9">#REF!</definedName>
    <definedName name="tev">#REF!</definedName>
    <definedName name="Tevanal_contract" localSheetId="4">#REF!</definedName>
    <definedName name="Tevanal_contract" localSheetId="9">#REF!</definedName>
    <definedName name="Tevanal_contract">#REF!</definedName>
    <definedName name="textToday">#REF!</definedName>
    <definedName name="tfbwgt">#REF!</definedName>
    <definedName name="tfc" localSheetId="4">#REF!</definedName>
    <definedName name="tfc" localSheetId="9">#REF!</definedName>
    <definedName name="tfc">#REF!</definedName>
    <definedName name="tfd" localSheetId="4">#REF!</definedName>
    <definedName name="tfd" localSheetId="9">#REF!</definedName>
    <definedName name="tfd">#REF!</definedName>
    <definedName name="tfo" localSheetId="4">#REF!</definedName>
    <definedName name="tfo" localSheetId="9">#REF!</definedName>
    <definedName name="tfo">#REF!</definedName>
    <definedName name="tfr" localSheetId="4">#REF!</definedName>
    <definedName name="tfr" localSheetId="9">#REF!</definedName>
    <definedName name="tfr">#REF!</definedName>
    <definedName name="Tg">#REF!</definedName>
    <definedName name="tggg" hidden="1">#REF!</definedName>
    <definedName name="thailand">#REF!</definedName>
    <definedName name="thh" localSheetId="4" hidden="1">#REF!</definedName>
    <definedName name="thh" localSheetId="5" hidden="1">#REF!</definedName>
    <definedName name="thh" localSheetId="15" hidden="1">#REF!</definedName>
    <definedName name="thh" localSheetId="19" hidden="1">#REF!</definedName>
    <definedName name="thh" localSheetId="18" hidden="1">#REF!</definedName>
    <definedName name="thh" localSheetId="14" hidden="1">#REF!</definedName>
    <definedName name="thh" localSheetId="12" hidden="1">#REF!</definedName>
    <definedName name="thh" localSheetId="24" hidden="1">#REF!</definedName>
    <definedName name="thh" localSheetId="7" hidden="1">#REF!</definedName>
    <definedName name="thh" localSheetId="20" hidden="1">#REF!</definedName>
    <definedName name="thh" localSheetId="21" hidden="1">#REF!</definedName>
    <definedName name="thh" localSheetId="11" hidden="1">#REF!</definedName>
    <definedName name="thh" localSheetId="17" hidden="1">#REF!</definedName>
    <definedName name="thh" localSheetId="16" hidden="1">#REF!</definedName>
    <definedName name="thh" localSheetId="22" hidden="1">#REF!</definedName>
    <definedName name="thh" localSheetId="9" hidden="1">#REF!</definedName>
    <definedName name="thh" localSheetId="13" hidden="1">#REF!</definedName>
    <definedName name="thh" localSheetId="23" hidden="1">#REF!</definedName>
    <definedName name="thh" hidden="1">#REF!</definedName>
    <definedName name="tiarawgt">#REF!</definedName>
    <definedName name="Tick" localSheetId="4">#REF!</definedName>
    <definedName name="Tick" localSheetId="5">#REF!</definedName>
    <definedName name="Tick" localSheetId="15">#REF!</definedName>
    <definedName name="Tick" localSheetId="19">#REF!</definedName>
    <definedName name="Tick" localSheetId="18">#REF!</definedName>
    <definedName name="Tick" localSheetId="14">#REF!</definedName>
    <definedName name="Tick" localSheetId="12">#REF!</definedName>
    <definedName name="Tick" localSheetId="24">#REF!</definedName>
    <definedName name="Tick" localSheetId="7">#REF!</definedName>
    <definedName name="Tick" localSheetId="20">#REF!</definedName>
    <definedName name="Tick" localSheetId="21">#REF!</definedName>
    <definedName name="Tick" localSheetId="11">#REF!</definedName>
    <definedName name="Tick" localSheetId="17">#REF!</definedName>
    <definedName name="Tick" localSheetId="16">#REF!</definedName>
    <definedName name="Tick" localSheetId="22">#REF!</definedName>
    <definedName name="Tick" localSheetId="9">#REF!</definedName>
    <definedName name="Tick" localSheetId="13">#REF!</definedName>
    <definedName name="Tick" localSheetId="23">#REF!</definedName>
    <definedName name="Tick">#REF!</definedName>
    <definedName name="Ticker" localSheetId="4">#REF!&amp;" Equity"</definedName>
    <definedName name="Ticker" localSheetId="5">#REF!&amp;" Equity"</definedName>
    <definedName name="Ticker" localSheetId="15">#REF!&amp;" Equity"</definedName>
    <definedName name="Ticker" localSheetId="19">#REF!&amp;" Equity"</definedName>
    <definedName name="Ticker" localSheetId="18">#REF!&amp;" Equity"</definedName>
    <definedName name="Ticker" localSheetId="14">#REF!&amp;" Equity"</definedName>
    <definedName name="Ticker" localSheetId="12">#REF!&amp;" Equity"</definedName>
    <definedName name="Ticker" localSheetId="24">#REF!&amp;" Equity"</definedName>
    <definedName name="Ticker" localSheetId="7">#REF!&amp;" Equity"</definedName>
    <definedName name="Ticker" localSheetId="20">#REF!&amp;" Equity"</definedName>
    <definedName name="Ticker" localSheetId="21">#REF!&amp;" Equity"</definedName>
    <definedName name="Ticker" localSheetId="11">#REF!&amp;" Equity"</definedName>
    <definedName name="Ticker" localSheetId="17">#REF!&amp;" Equity"</definedName>
    <definedName name="Ticker" localSheetId="16">#REF!&amp;" Equity"</definedName>
    <definedName name="Ticker" localSheetId="22">#REF!&amp;" Equity"</definedName>
    <definedName name="Ticker" localSheetId="9">#REF!&amp;" Equity"</definedName>
    <definedName name="Ticker" localSheetId="13">#REF!&amp;" Equity"</definedName>
    <definedName name="Ticker" localSheetId="23">#REF!&amp;" Equity"</definedName>
    <definedName name="Ticker">#REF!&amp;" Equity"</definedName>
    <definedName name="Tier_I_cap.adequacy">#REF!</definedName>
    <definedName name="Tier_II_cap.adequacy">#REF!</definedName>
    <definedName name="time_deposits">#REF!</definedName>
    <definedName name="tin" localSheetId="4">#REF!</definedName>
    <definedName name="tin" localSheetId="5">#REF!</definedName>
    <definedName name="tin" localSheetId="15">#REF!</definedName>
    <definedName name="tin" localSheetId="19">#REF!</definedName>
    <definedName name="tin" localSheetId="18">#REF!</definedName>
    <definedName name="tin" localSheetId="14">#REF!</definedName>
    <definedName name="tin" localSheetId="12">#REF!</definedName>
    <definedName name="tin" localSheetId="24">#REF!</definedName>
    <definedName name="tin" localSheetId="7">#REF!</definedName>
    <definedName name="tin" localSheetId="20">#REF!</definedName>
    <definedName name="tin" localSheetId="21">#REF!</definedName>
    <definedName name="tin" localSheetId="11">#REF!</definedName>
    <definedName name="tin" localSheetId="17">#REF!</definedName>
    <definedName name="tin" localSheetId="16">#REF!</definedName>
    <definedName name="tin" localSheetId="22">#REF!</definedName>
    <definedName name="tin" localSheetId="9">#REF!</definedName>
    <definedName name="tin" localSheetId="13">#REF!</definedName>
    <definedName name="tin" localSheetId="23">#REF!</definedName>
    <definedName name="tin">#REF!</definedName>
    <definedName name="tisco3" localSheetId="4" hidden="1">{#N/A,#N/A,FALSE,"Status of Projects";#N/A,#N/A,FALSE,"CEA-TEC";#N/A,#N/A,FALSE,"U-Constr.";#N/A,#N/A,FALSE,"summary";#N/A,#N/A,FALSE,"PPP-3 yrs"}</definedName>
    <definedName name="tisco3" localSheetId="5" hidden="1">{#N/A,#N/A,FALSE,"Status of Projects";#N/A,#N/A,FALSE,"CEA-TEC";#N/A,#N/A,FALSE,"U-Constr.";#N/A,#N/A,FALSE,"summary";#N/A,#N/A,FALSE,"PPP-3 yrs"}</definedName>
    <definedName name="tisco3" localSheetId="15" hidden="1">{#N/A,#N/A,FALSE,"Status of Projects";#N/A,#N/A,FALSE,"CEA-TEC";#N/A,#N/A,FALSE,"U-Constr.";#N/A,#N/A,FALSE,"summary";#N/A,#N/A,FALSE,"PPP-3 yrs"}</definedName>
    <definedName name="tisco3" localSheetId="19" hidden="1">{#N/A,#N/A,FALSE,"Status of Projects";#N/A,#N/A,FALSE,"CEA-TEC";#N/A,#N/A,FALSE,"U-Constr.";#N/A,#N/A,FALSE,"summary";#N/A,#N/A,FALSE,"PPP-3 yrs"}</definedName>
    <definedName name="tisco3" localSheetId="18" hidden="1">{#N/A,#N/A,FALSE,"Status of Projects";#N/A,#N/A,FALSE,"CEA-TEC";#N/A,#N/A,FALSE,"U-Constr.";#N/A,#N/A,FALSE,"summary";#N/A,#N/A,FALSE,"PPP-3 yrs"}</definedName>
    <definedName name="tisco3" localSheetId="14" hidden="1">{#N/A,#N/A,FALSE,"Status of Projects";#N/A,#N/A,FALSE,"CEA-TEC";#N/A,#N/A,FALSE,"U-Constr.";#N/A,#N/A,FALSE,"summary";#N/A,#N/A,FALSE,"PPP-3 yrs"}</definedName>
    <definedName name="tisco3" localSheetId="12" hidden="1">{#N/A,#N/A,FALSE,"Status of Projects";#N/A,#N/A,FALSE,"CEA-TEC";#N/A,#N/A,FALSE,"U-Constr.";#N/A,#N/A,FALSE,"summary";#N/A,#N/A,FALSE,"PPP-3 yrs"}</definedName>
    <definedName name="tisco3" localSheetId="24" hidden="1">{#N/A,#N/A,FALSE,"Status of Projects";#N/A,#N/A,FALSE,"CEA-TEC";#N/A,#N/A,FALSE,"U-Constr.";#N/A,#N/A,FALSE,"summary";#N/A,#N/A,FALSE,"PPP-3 yrs"}</definedName>
    <definedName name="tisco3" localSheetId="7" hidden="1">{#N/A,#N/A,FALSE,"Status of Projects";#N/A,#N/A,FALSE,"CEA-TEC";#N/A,#N/A,FALSE,"U-Constr.";#N/A,#N/A,FALSE,"summary";#N/A,#N/A,FALSE,"PPP-3 yrs"}</definedName>
    <definedName name="tisco3" localSheetId="20" hidden="1">{#N/A,#N/A,FALSE,"Status of Projects";#N/A,#N/A,FALSE,"CEA-TEC";#N/A,#N/A,FALSE,"U-Constr.";#N/A,#N/A,FALSE,"summary";#N/A,#N/A,FALSE,"PPP-3 yrs"}</definedName>
    <definedName name="tisco3" localSheetId="21" hidden="1">{#N/A,#N/A,FALSE,"Status of Projects";#N/A,#N/A,FALSE,"CEA-TEC";#N/A,#N/A,FALSE,"U-Constr.";#N/A,#N/A,FALSE,"summary";#N/A,#N/A,FALSE,"PPP-3 yrs"}</definedName>
    <definedName name="tisco3" localSheetId="11" hidden="1">{#N/A,#N/A,FALSE,"Status of Projects";#N/A,#N/A,FALSE,"CEA-TEC";#N/A,#N/A,FALSE,"U-Constr.";#N/A,#N/A,FALSE,"summary";#N/A,#N/A,FALSE,"PPP-3 yrs"}</definedName>
    <definedName name="tisco3" localSheetId="17" hidden="1">{#N/A,#N/A,FALSE,"Status of Projects";#N/A,#N/A,FALSE,"CEA-TEC";#N/A,#N/A,FALSE,"U-Constr.";#N/A,#N/A,FALSE,"summary";#N/A,#N/A,FALSE,"PPP-3 yrs"}</definedName>
    <definedName name="tisco3" localSheetId="16" hidden="1">{#N/A,#N/A,FALSE,"Status of Projects";#N/A,#N/A,FALSE,"CEA-TEC";#N/A,#N/A,FALSE,"U-Constr.";#N/A,#N/A,FALSE,"summary";#N/A,#N/A,FALSE,"PPP-3 yrs"}</definedName>
    <definedName name="tisco3" localSheetId="22" hidden="1">{#N/A,#N/A,FALSE,"Status of Projects";#N/A,#N/A,FALSE,"CEA-TEC";#N/A,#N/A,FALSE,"U-Constr.";#N/A,#N/A,FALSE,"summary";#N/A,#N/A,FALSE,"PPP-3 yrs"}</definedName>
    <definedName name="tisco3" localSheetId="9" hidden="1">{#N/A,#N/A,FALSE,"Status of Projects";#N/A,#N/A,FALSE,"CEA-TEC";#N/A,#N/A,FALSE,"U-Constr.";#N/A,#N/A,FALSE,"summary";#N/A,#N/A,FALSE,"PPP-3 yrs"}</definedName>
    <definedName name="tisco3" localSheetId="13" hidden="1">{#N/A,#N/A,FALSE,"Status of Projects";#N/A,#N/A,FALSE,"CEA-TEC";#N/A,#N/A,FALSE,"U-Constr.";#N/A,#N/A,FALSE,"summary";#N/A,#N/A,FALSE,"PPP-3 yrs"}</definedName>
    <definedName name="tisco3" localSheetId="23" hidden="1">{#N/A,#N/A,FALSE,"Status of Projects";#N/A,#N/A,FALSE,"CEA-TEC";#N/A,#N/A,FALSE,"U-Constr.";#N/A,#N/A,FALSE,"summary";#N/A,#N/A,FALSE,"PPP-3 yrs"}</definedName>
    <definedName name="tisco3" hidden="1">{#N/A,#N/A,FALSE,"Status of Projects";#N/A,#N/A,FALSE,"CEA-TEC";#N/A,#N/A,FALSE,"U-Constr.";#N/A,#N/A,FALSE,"summary";#N/A,#N/A,FALSE,"PPP-3 yrs"}</definedName>
    <definedName name="titles" localSheetId="4">#REF!</definedName>
    <definedName name="titles" localSheetId="9">#REF!</definedName>
    <definedName name="titles">#REF!</definedName>
    <definedName name="tlbwgt">#REF!</definedName>
    <definedName name="tnd" localSheetId="4">#REF!</definedName>
    <definedName name="tnd" localSheetId="5">#REF!</definedName>
    <definedName name="tnd" localSheetId="15">#REF!</definedName>
    <definedName name="tnd" localSheetId="19">#REF!</definedName>
    <definedName name="tnd" localSheetId="18">#REF!</definedName>
    <definedName name="tnd" localSheetId="14">#REF!</definedName>
    <definedName name="tnd" localSheetId="12">#REF!</definedName>
    <definedName name="tnd" localSheetId="24">#REF!</definedName>
    <definedName name="tnd" localSheetId="7">#REF!</definedName>
    <definedName name="tnd" localSheetId="20">#REF!</definedName>
    <definedName name="tnd" localSheetId="21">#REF!</definedName>
    <definedName name="tnd" localSheetId="11">#REF!</definedName>
    <definedName name="tnd" localSheetId="17">#REF!</definedName>
    <definedName name="tnd" localSheetId="16">#REF!</definedName>
    <definedName name="tnd" localSheetId="22">#REF!</definedName>
    <definedName name="tnd" localSheetId="9">#REF!</definedName>
    <definedName name="tnd" localSheetId="13">#REF!</definedName>
    <definedName name="tnd" localSheetId="23">#REF!</definedName>
    <definedName name="tnd">#REF!</definedName>
    <definedName name="tobacco_prices_at_auctions">#REF!</definedName>
    <definedName name="Tochange" localSheetId="4">#REF!</definedName>
    <definedName name="Tochange" localSheetId="5">#REF!</definedName>
    <definedName name="Tochange" localSheetId="15">#REF!</definedName>
    <definedName name="Tochange" localSheetId="19">#REF!</definedName>
    <definedName name="Tochange" localSheetId="18">#REF!</definedName>
    <definedName name="Tochange" localSheetId="14">#REF!</definedName>
    <definedName name="Tochange" localSheetId="12">#REF!</definedName>
    <definedName name="Tochange" localSheetId="24">#REF!</definedName>
    <definedName name="Tochange" localSheetId="7">#REF!</definedName>
    <definedName name="Tochange" localSheetId="20">#REF!</definedName>
    <definedName name="Tochange" localSheetId="21">#REF!</definedName>
    <definedName name="Tochange" localSheetId="11">#REF!</definedName>
    <definedName name="Tochange" localSheetId="17">#REF!</definedName>
    <definedName name="Tochange" localSheetId="16">#REF!</definedName>
    <definedName name="Tochange" localSheetId="22">#REF!</definedName>
    <definedName name="Tochange" localSheetId="9">#REF!</definedName>
    <definedName name="Tochange" localSheetId="13">#REF!</definedName>
    <definedName name="Tochange" localSheetId="23">#REF!</definedName>
    <definedName name="Tochange">#REF!</definedName>
    <definedName name="today" localSheetId="4">#REF!</definedName>
    <definedName name="today" localSheetId="5">#REF!</definedName>
    <definedName name="today" localSheetId="15">#REF!</definedName>
    <definedName name="today" localSheetId="19">#REF!</definedName>
    <definedName name="today" localSheetId="18">#REF!</definedName>
    <definedName name="today" localSheetId="14">#REF!</definedName>
    <definedName name="today" localSheetId="12">#REF!</definedName>
    <definedName name="today" localSheetId="24">#REF!</definedName>
    <definedName name="today" localSheetId="7">#REF!</definedName>
    <definedName name="today" localSheetId="20">#REF!</definedName>
    <definedName name="today" localSheetId="21">#REF!</definedName>
    <definedName name="today" localSheetId="11">#REF!</definedName>
    <definedName name="today" localSheetId="17">#REF!</definedName>
    <definedName name="today" localSheetId="16">#REF!</definedName>
    <definedName name="today" localSheetId="22">#REF!</definedName>
    <definedName name="today" localSheetId="9">#REF!</definedName>
    <definedName name="today" localSheetId="13">#REF!</definedName>
    <definedName name="today" localSheetId="23">#REF!</definedName>
    <definedName name="today">#REF!</definedName>
    <definedName name="Toll_Growth" localSheetId="4">#REF!</definedName>
    <definedName name="Toll_Growth" localSheetId="5">#REF!</definedName>
    <definedName name="Toll_Growth" localSheetId="15">#REF!</definedName>
    <definedName name="Toll_Growth" localSheetId="19">#REF!</definedName>
    <definedName name="Toll_Growth" localSheetId="18">#REF!</definedName>
    <definedName name="Toll_Growth" localSheetId="14">#REF!</definedName>
    <definedName name="Toll_Growth" localSheetId="12">#REF!</definedName>
    <definedName name="Toll_Growth" localSheetId="24">#REF!</definedName>
    <definedName name="Toll_Growth" localSheetId="7">#REF!</definedName>
    <definedName name="Toll_Growth" localSheetId="20">#REF!</definedName>
    <definedName name="Toll_Growth" localSheetId="21">#REF!</definedName>
    <definedName name="Toll_Growth" localSheetId="11">#REF!</definedName>
    <definedName name="Toll_Growth" localSheetId="17">#REF!</definedName>
    <definedName name="Toll_Growth" localSheetId="16">#REF!</definedName>
    <definedName name="Toll_Growth" localSheetId="22">#REF!</definedName>
    <definedName name="Toll_Growth" localSheetId="9">#REF!</definedName>
    <definedName name="Toll_Growth" localSheetId="13">#REF!</definedName>
    <definedName name="Toll_Growth" localSheetId="23">#REF!</definedName>
    <definedName name="Toll_Growth">#REF!</definedName>
    <definedName name="Tot_Cost">#REF!</definedName>
    <definedName name="Tot_DNUP">#REF!</definedName>
    <definedName name="Total_amort_fore" localSheetId="4">#REF!</definedName>
    <definedName name="Total_amort_fore" localSheetId="9">#REF!</definedName>
    <definedName name="Total_amort_fore">#REF!</definedName>
    <definedName name="total_amortisation">#REF!</definedName>
    <definedName name="total_amortisation_qtr">#REF!</definedName>
    <definedName name="Total_Amortization" localSheetId="4">#REF!</definedName>
    <definedName name="Total_Amortization" localSheetId="9">#REF!</definedName>
    <definedName name="Total_Amortization">#REF!</definedName>
    <definedName name="Total_Amortization_fore" localSheetId="4">#REF!</definedName>
    <definedName name="Total_Amortization_fore" localSheetId="5">#REF!</definedName>
    <definedName name="Total_Amortization_fore" localSheetId="15">#REF!</definedName>
    <definedName name="Total_Amortization_fore" localSheetId="19">#REF!</definedName>
    <definedName name="Total_Amortization_fore" localSheetId="18">#REF!</definedName>
    <definedName name="Total_Amortization_fore" localSheetId="14">#REF!</definedName>
    <definedName name="Total_Amortization_fore" localSheetId="12">#REF!</definedName>
    <definedName name="Total_Amortization_fore" localSheetId="24">#REF!</definedName>
    <definedName name="Total_Amortization_fore" localSheetId="7">#REF!</definedName>
    <definedName name="Total_Amortization_fore" localSheetId="20">#REF!</definedName>
    <definedName name="Total_Amortization_fore" localSheetId="21">#REF!</definedName>
    <definedName name="Total_Amortization_fore" localSheetId="11">#REF!</definedName>
    <definedName name="Total_Amortization_fore" localSheetId="17">#REF!</definedName>
    <definedName name="Total_Amortization_fore" localSheetId="16">#REF!</definedName>
    <definedName name="Total_Amortization_fore" localSheetId="22">#REF!</definedName>
    <definedName name="Total_Amortization_fore" localSheetId="9">#REF!</definedName>
    <definedName name="Total_Amortization_fore" localSheetId="13">#REF!</definedName>
    <definedName name="Total_Amortization_fore" localSheetId="23">#REF!</definedName>
    <definedName name="Total_Amortization_fore">#REF!</definedName>
    <definedName name="total_assets">#REF!</definedName>
    <definedName name="total_assets_A">#REF!</definedName>
    <definedName name="total_assets_avg">#REF!</definedName>
    <definedName name="Total_assets_avg6">#REF!</definedName>
    <definedName name="total_assets_Q">#REF!</definedName>
    <definedName name="total_capex">#REF!</definedName>
    <definedName name="Total_COS" localSheetId="4">#REF!</definedName>
    <definedName name="Total_COS" localSheetId="9">#REF!</definedName>
    <definedName name="Total_COS">#REF!</definedName>
    <definedName name="Total_COS_fore" localSheetId="4">#REF!</definedName>
    <definedName name="Total_COS_fore" localSheetId="5">#REF!</definedName>
    <definedName name="Total_COS_fore" localSheetId="15">#REF!</definedName>
    <definedName name="Total_COS_fore" localSheetId="19">#REF!</definedName>
    <definedName name="Total_COS_fore" localSheetId="18">#REF!</definedName>
    <definedName name="Total_COS_fore" localSheetId="14">#REF!</definedName>
    <definedName name="Total_COS_fore" localSheetId="12">#REF!</definedName>
    <definedName name="Total_COS_fore" localSheetId="24">#REF!</definedName>
    <definedName name="Total_COS_fore" localSheetId="7">#REF!</definedName>
    <definedName name="Total_COS_fore" localSheetId="20">#REF!</definedName>
    <definedName name="Total_COS_fore" localSheetId="21">#REF!</definedName>
    <definedName name="Total_COS_fore" localSheetId="11">#REF!</definedName>
    <definedName name="Total_COS_fore" localSheetId="17">#REF!</definedName>
    <definedName name="Total_COS_fore" localSheetId="16">#REF!</definedName>
    <definedName name="Total_COS_fore" localSheetId="22">#REF!</definedName>
    <definedName name="Total_COS_fore" localSheetId="9">#REF!</definedName>
    <definedName name="Total_COS_fore" localSheetId="13">#REF!</definedName>
    <definedName name="Total_COS_fore" localSheetId="23">#REF!</definedName>
    <definedName name="Total_COS_fore">#REF!</definedName>
    <definedName name="Total_COS_growth_fore" localSheetId="4">#REF!</definedName>
    <definedName name="Total_COS_growth_fore" localSheetId="5">#REF!</definedName>
    <definedName name="Total_COS_growth_fore" localSheetId="15">#REF!</definedName>
    <definedName name="Total_COS_growth_fore" localSheetId="19">#REF!</definedName>
    <definedName name="Total_COS_growth_fore" localSheetId="18">#REF!</definedName>
    <definedName name="Total_COS_growth_fore" localSheetId="14">#REF!</definedName>
    <definedName name="Total_COS_growth_fore" localSheetId="12">#REF!</definedName>
    <definedName name="Total_COS_growth_fore" localSheetId="24">#REF!</definedName>
    <definedName name="Total_COS_growth_fore" localSheetId="7">#REF!</definedName>
    <definedName name="Total_COS_growth_fore" localSheetId="20">#REF!</definedName>
    <definedName name="Total_COS_growth_fore" localSheetId="21">#REF!</definedName>
    <definedName name="Total_COS_growth_fore" localSheetId="11">#REF!</definedName>
    <definedName name="Total_COS_growth_fore" localSheetId="17">#REF!</definedName>
    <definedName name="Total_COS_growth_fore" localSheetId="16">#REF!</definedName>
    <definedName name="Total_COS_growth_fore" localSheetId="22">#REF!</definedName>
    <definedName name="Total_COS_growth_fore" localSheetId="9">#REF!</definedName>
    <definedName name="Total_COS_growth_fore" localSheetId="13">#REF!</definedName>
    <definedName name="Total_COS_growth_fore" localSheetId="23">#REF!</definedName>
    <definedName name="Total_COS_growth_fore">#REF!</definedName>
    <definedName name="Total_COS_net_DnA" localSheetId="4">#REF!</definedName>
    <definedName name="Total_COS_net_DnA" localSheetId="9">#REF!</definedName>
    <definedName name="Total_COS_net_DnA">#REF!</definedName>
    <definedName name="Total_COS_net_DnA_fore" localSheetId="4">#REF!</definedName>
    <definedName name="Total_COS_net_DnA_fore" localSheetId="5">#REF!</definedName>
    <definedName name="Total_COS_net_DnA_fore" localSheetId="15">#REF!</definedName>
    <definedName name="Total_COS_net_DnA_fore" localSheetId="19">#REF!</definedName>
    <definedName name="Total_COS_net_DnA_fore" localSheetId="18">#REF!</definedName>
    <definedName name="Total_COS_net_DnA_fore" localSheetId="14">#REF!</definedName>
    <definedName name="Total_COS_net_DnA_fore" localSheetId="12">#REF!</definedName>
    <definedName name="Total_COS_net_DnA_fore" localSheetId="24">#REF!</definedName>
    <definedName name="Total_COS_net_DnA_fore" localSheetId="7">#REF!</definedName>
    <definedName name="Total_COS_net_DnA_fore" localSheetId="20">#REF!</definedName>
    <definedName name="Total_COS_net_DnA_fore" localSheetId="21">#REF!</definedName>
    <definedName name="Total_COS_net_DnA_fore" localSheetId="11">#REF!</definedName>
    <definedName name="Total_COS_net_DnA_fore" localSheetId="17">#REF!</definedName>
    <definedName name="Total_COS_net_DnA_fore" localSheetId="16">#REF!</definedName>
    <definedName name="Total_COS_net_DnA_fore" localSheetId="22">#REF!</definedName>
    <definedName name="Total_COS_net_DnA_fore" localSheetId="9">#REF!</definedName>
    <definedName name="Total_COS_net_DnA_fore" localSheetId="13">#REF!</definedName>
    <definedName name="Total_COS_net_DnA_fore" localSheetId="23">#REF!</definedName>
    <definedName name="Total_COS_net_DnA_fore">#REF!</definedName>
    <definedName name="total_current_assets">#REF!</definedName>
    <definedName name="total_current_assets_A">#REF!</definedName>
    <definedName name="total_current_liabilities">#REF!</definedName>
    <definedName name="total_current_liabilities_A">#REF!</definedName>
    <definedName name="total_debt">#REF!</definedName>
    <definedName name="total_debt_avg">#REF!</definedName>
    <definedName name="Total_debt_DCF" localSheetId="4">#REF!</definedName>
    <definedName name="Total_debt_DCF" localSheetId="9">#REF!</definedName>
    <definedName name="Total_debt_DCF">#REF!</definedName>
    <definedName name="Total_debt_fore" localSheetId="4">#REF!</definedName>
    <definedName name="Total_debt_fore" localSheetId="5">#REF!</definedName>
    <definedName name="Total_debt_fore" localSheetId="15">#REF!</definedName>
    <definedName name="Total_debt_fore" localSheetId="19">#REF!</definedName>
    <definedName name="Total_debt_fore" localSheetId="18">#REF!</definedName>
    <definedName name="Total_debt_fore" localSheetId="14">#REF!</definedName>
    <definedName name="Total_debt_fore" localSheetId="12">#REF!</definedName>
    <definedName name="Total_debt_fore" localSheetId="24">#REF!</definedName>
    <definedName name="Total_debt_fore" localSheetId="7">#REF!</definedName>
    <definedName name="Total_debt_fore" localSheetId="20">#REF!</definedName>
    <definedName name="Total_debt_fore" localSheetId="21">#REF!</definedName>
    <definedName name="Total_debt_fore" localSheetId="11">#REF!</definedName>
    <definedName name="Total_debt_fore" localSheetId="17">#REF!</definedName>
    <definedName name="Total_debt_fore" localSheetId="16">#REF!</definedName>
    <definedName name="Total_debt_fore" localSheetId="22">#REF!</definedName>
    <definedName name="Total_debt_fore" localSheetId="9">#REF!</definedName>
    <definedName name="Total_debt_fore" localSheetId="13">#REF!</definedName>
    <definedName name="Total_debt_fore" localSheetId="23">#REF!</definedName>
    <definedName name="Total_debt_fore">#REF!</definedName>
    <definedName name="Total_debt_growth_fore" localSheetId="4">#REF!</definedName>
    <definedName name="Total_debt_growth_fore" localSheetId="5">#REF!</definedName>
    <definedName name="Total_debt_growth_fore" localSheetId="15">#REF!</definedName>
    <definedName name="Total_debt_growth_fore" localSheetId="19">#REF!</definedName>
    <definedName name="Total_debt_growth_fore" localSheetId="18">#REF!</definedName>
    <definedName name="Total_debt_growth_fore" localSheetId="14">#REF!</definedName>
    <definedName name="Total_debt_growth_fore" localSheetId="12">#REF!</definedName>
    <definedName name="Total_debt_growth_fore" localSheetId="24">#REF!</definedName>
    <definedName name="Total_debt_growth_fore" localSheetId="7">#REF!</definedName>
    <definedName name="Total_debt_growth_fore" localSheetId="20">#REF!</definedName>
    <definedName name="Total_debt_growth_fore" localSheetId="21">#REF!</definedName>
    <definedName name="Total_debt_growth_fore" localSheetId="11">#REF!</definedName>
    <definedName name="Total_debt_growth_fore" localSheetId="17">#REF!</definedName>
    <definedName name="Total_debt_growth_fore" localSheetId="16">#REF!</definedName>
    <definedName name="Total_debt_growth_fore" localSheetId="22">#REF!</definedName>
    <definedName name="Total_debt_growth_fore" localSheetId="9">#REF!</definedName>
    <definedName name="Total_debt_growth_fore" localSheetId="13">#REF!</definedName>
    <definedName name="Total_debt_growth_fore" localSheetId="23">#REF!</definedName>
    <definedName name="Total_debt_growth_fore">#REF!</definedName>
    <definedName name="Total_debt6">#REF!</definedName>
    <definedName name="Total_deposits_4QMA">#REF!</definedName>
    <definedName name="total_depreciation">#REF!</definedName>
    <definedName name="total_depreciation_qtr">#REF!</definedName>
    <definedName name="total_enterprise_value">#REF!</definedName>
    <definedName name="Total_Equity_and_Liablities">#REF!</definedName>
    <definedName name="total_equity_liab_Q">#REF!</definedName>
    <definedName name="total_equity_liabilities">#REF!</definedName>
    <definedName name="total_equity_liabilities_A">#REF!</definedName>
    <definedName name="Total_Equity_shareholders_funds">#REF!</definedName>
    <definedName name="Total_Expenditure_Q" localSheetId="4">#REF!</definedName>
    <definedName name="Total_Expenditure_Q" localSheetId="5">#REF!</definedName>
    <definedName name="Total_Expenditure_Q" localSheetId="15">#REF!</definedName>
    <definedName name="Total_Expenditure_Q" localSheetId="19">#REF!</definedName>
    <definedName name="Total_Expenditure_Q" localSheetId="18">#REF!</definedName>
    <definedName name="Total_Expenditure_Q" localSheetId="14">#REF!</definedName>
    <definedName name="Total_Expenditure_Q" localSheetId="12">#REF!</definedName>
    <definedName name="Total_Expenditure_Q" localSheetId="24">#REF!</definedName>
    <definedName name="Total_Expenditure_Q" localSheetId="7">#REF!</definedName>
    <definedName name="Total_Expenditure_Q" localSheetId="20">#REF!</definedName>
    <definedName name="Total_Expenditure_Q" localSheetId="21">#REF!</definedName>
    <definedName name="Total_Expenditure_Q" localSheetId="11">#REF!</definedName>
    <definedName name="Total_Expenditure_Q" localSheetId="17">#REF!</definedName>
    <definedName name="Total_Expenditure_Q" localSheetId="16">#REF!</definedName>
    <definedName name="Total_Expenditure_Q" localSheetId="22">#REF!</definedName>
    <definedName name="Total_Expenditure_Q" localSheetId="9">#REF!</definedName>
    <definedName name="Total_Expenditure_Q" localSheetId="13">#REF!</definedName>
    <definedName name="Total_Expenditure_Q" localSheetId="23">#REF!</definedName>
    <definedName name="Total_Expenditure_Q">#REF!</definedName>
    <definedName name="total_fixed_assets" localSheetId="4">#REF!</definedName>
    <definedName name="total_fixed_assets" localSheetId="5">#REF!</definedName>
    <definedName name="total_fixed_assets" localSheetId="15">#REF!</definedName>
    <definedName name="total_fixed_assets" localSheetId="19">#REF!</definedName>
    <definedName name="total_fixed_assets" localSheetId="18">#REF!</definedName>
    <definedName name="total_fixed_assets" localSheetId="14">#REF!</definedName>
    <definedName name="total_fixed_assets" localSheetId="12">#REF!</definedName>
    <definedName name="total_fixed_assets" localSheetId="24">#REF!</definedName>
    <definedName name="total_fixed_assets" localSheetId="7">#REF!</definedName>
    <definedName name="total_fixed_assets" localSheetId="20">#REF!</definedName>
    <definedName name="total_fixed_assets" localSheetId="21">#REF!</definedName>
    <definedName name="total_fixed_assets" localSheetId="11">#REF!</definedName>
    <definedName name="total_fixed_assets" localSheetId="17">#REF!</definedName>
    <definedName name="total_fixed_assets" localSheetId="16">#REF!</definedName>
    <definedName name="total_fixed_assets" localSheetId="22">#REF!</definedName>
    <definedName name="total_fixed_assets" localSheetId="9">#REF!</definedName>
    <definedName name="total_fixed_assets" localSheetId="13">#REF!</definedName>
    <definedName name="total_fixed_assets" localSheetId="23">#REF!</definedName>
    <definedName name="total_fixed_assets">#REF!</definedName>
    <definedName name="total_fixed_assets_avg" localSheetId="4">#REF!</definedName>
    <definedName name="total_fixed_assets_avg" localSheetId="5">#REF!</definedName>
    <definedName name="total_fixed_assets_avg" localSheetId="15">#REF!</definedName>
    <definedName name="total_fixed_assets_avg" localSheetId="19">#REF!</definedName>
    <definedName name="total_fixed_assets_avg" localSheetId="18">#REF!</definedName>
    <definedName name="total_fixed_assets_avg" localSheetId="14">#REF!</definedName>
    <definedName name="total_fixed_assets_avg" localSheetId="12">#REF!</definedName>
    <definedName name="total_fixed_assets_avg" localSheetId="24">#REF!</definedName>
    <definedName name="total_fixed_assets_avg" localSheetId="7">#REF!</definedName>
    <definedName name="total_fixed_assets_avg" localSheetId="20">#REF!</definedName>
    <definedName name="total_fixed_assets_avg" localSheetId="21">#REF!</definedName>
    <definedName name="total_fixed_assets_avg" localSheetId="11">#REF!</definedName>
    <definedName name="total_fixed_assets_avg" localSheetId="17">#REF!</definedName>
    <definedName name="total_fixed_assets_avg" localSheetId="16">#REF!</definedName>
    <definedName name="total_fixed_assets_avg" localSheetId="22">#REF!</definedName>
    <definedName name="total_fixed_assets_avg" localSheetId="9">#REF!</definedName>
    <definedName name="total_fixed_assets_avg" localSheetId="13">#REF!</definedName>
    <definedName name="total_fixed_assets_avg" localSheetId="23">#REF!</definedName>
    <definedName name="total_fixed_assets_avg">#REF!</definedName>
    <definedName name="total_income">#REF!</definedName>
    <definedName name="total_income_A">#REF!</definedName>
    <definedName name="Total_Income_Q" localSheetId="4">#REF!</definedName>
    <definedName name="Total_Income_Q" localSheetId="5">#REF!</definedName>
    <definedName name="Total_Income_Q" localSheetId="15">#REF!</definedName>
    <definedName name="Total_Income_Q" localSheetId="19">#REF!</definedName>
    <definedName name="Total_Income_Q" localSheetId="18">#REF!</definedName>
    <definedName name="Total_Income_Q" localSheetId="14">#REF!</definedName>
    <definedName name="Total_Income_Q" localSheetId="12">#REF!</definedName>
    <definedName name="Total_Income_Q" localSheetId="24">#REF!</definedName>
    <definedName name="Total_Income_Q" localSheetId="7">#REF!</definedName>
    <definedName name="Total_Income_Q" localSheetId="20">#REF!</definedName>
    <definedName name="Total_Income_Q" localSheetId="21">#REF!</definedName>
    <definedName name="Total_Income_Q" localSheetId="11">#REF!</definedName>
    <definedName name="Total_Income_Q" localSheetId="17">#REF!</definedName>
    <definedName name="Total_Income_Q" localSheetId="16">#REF!</definedName>
    <definedName name="Total_Income_Q" localSheetId="22">#REF!</definedName>
    <definedName name="Total_Income_Q" localSheetId="9">#REF!</definedName>
    <definedName name="Total_Income_Q" localSheetId="13">#REF!</definedName>
    <definedName name="Total_Income_Q" localSheetId="23">#REF!</definedName>
    <definedName name="Total_Income_Q">#REF!</definedName>
    <definedName name="Total_increase_in_EEs" localSheetId="4">#REF!</definedName>
    <definedName name="Total_increase_in_EEs" localSheetId="9">#REF!</definedName>
    <definedName name="Total_increase_in_EEs">#REF!</definedName>
    <definedName name="Total_Increase_in_EEs_fore" localSheetId="4">#REF!</definedName>
    <definedName name="Total_Increase_in_EEs_fore" localSheetId="5">#REF!</definedName>
    <definedName name="Total_Increase_in_EEs_fore" localSheetId="15">#REF!</definedName>
    <definedName name="Total_Increase_in_EEs_fore" localSheetId="19">#REF!</definedName>
    <definedName name="Total_Increase_in_EEs_fore" localSheetId="18">#REF!</definedName>
    <definedName name="Total_Increase_in_EEs_fore" localSheetId="14">#REF!</definedName>
    <definedName name="Total_Increase_in_EEs_fore" localSheetId="12">#REF!</definedName>
    <definedName name="Total_Increase_in_EEs_fore" localSheetId="24">#REF!</definedName>
    <definedName name="Total_Increase_in_EEs_fore" localSheetId="7">#REF!</definedName>
    <definedName name="Total_Increase_in_EEs_fore" localSheetId="20">#REF!</definedName>
    <definedName name="Total_Increase_in_EEs_fore" localSheetId="21">#REF!</definedName>
    <definedName name="Total_Increase_in_EEs_fore" localSheetId="11">#REF!</definedName>
    <definedName name="Total_Increase_in_EEs_fore" localSheetId="17">#REF!</definedName>
    <definedName name="Total_Increase_in_EEs_fore" localSheetId="16">#REF!</definedName>
    <definedName name="Total_Increase_in_EEs_fore" localSheetId="22">#REF!</definedName>
    <definedName name="Total_Increase_in_EEs_fore" localSheetId="9">#REF!</definedName>
    <definedName name="Total_Increase_in_EEs_fore" localSheetId="13">#REF!</definedName>
    <definedName name="Total_Increase_in_EEs_fore" localSheetId="23">#REF!</definedName>
    <definedName name="Total_Increase_in_EEs_fore">#REF!</definedName>
    <definedName name="Total_Installments" localSheetId="4">#REF!</definedName>
    <definedName name="Total_Installments" localSheetId="5">#REF!</definedName>
    <definedName name="Total_Installments" localSheetId="15">#REF!</definedName>
    <definedName name="Total_Installments" localSheetId="19">#REF!</definedName>
    <definedName name="Total_Installments" localSheetId="18">#REF!</definedName>
    <definedName name="Total_Installments" localSheetId="14">#REF!</definedName>
    <definedName name="Total_Installments" localSheetId="12">#REF!</definedName>
    <definedName name="Total_Installments" localSheetId="24">#REF!</definedName>
    <definedName name="Total_Installments" localSheetId="7">#REF!</definedName>
    <definedName name="Total_Installments" localSheetId="20">#REF!</definedName>
    <definedName name="Total_Installments" localSheetId="21">#REF!</definedName>
    <definedName name="Total_Installments" localSheetId="11">#REF!</definedName>
    <definedName name="Total_Installments" localSheetId="17">#REF!</definedName>
    <definedName name="Total_Installments" localSheetId="16">#REF!</definedName>
    <definedName name="Total_Installments" localSheetId="22">#REF!</definedName>
    <definedName name="Total_Installments" localSheetId="9">#REF!</definedName>
    <definedName name="Total_Installments" localSheetId="13">#REF!</definedName>
    <definedName name="Total_Installments" localSheetId="23">#REF!</definedName>
    <definedName name="Total_Installments">#REF!</definedName>
    <definedName name="total_intangible_fixed_assets">#REF!</definedName>
    <definedName name="total_investments" localSheetId="4">#REF!</definedName>
    <definedName name="total_investments" localSheetId="5">#REF!</definedName>
    <definedName name="total_investments" localSheetId="15">#REF!</definedName>
    <definedName name="total_investments" localSheetId="19">#REF!</definedName>
    <definedName name="total_investments" localSheetId="18">#REF!</definedName>
    <definedName name="total_investments" localSheetId="14">#REF!</definedName>
    <definedName name="total_investments" localSheetId="12">#REF!</definedName>
    <definedName name="total_investments" localSheetId="24">#REF!</definedName>
    <definedName name="total_investments" localSheetId="7">#REF!</definedName>
    <definedName name="total_investments" localSheetId="20">#REF!</definedName>
    <definedName name="total_investments" localSheetId="21">#REF!</definedName>
    <definedName name="total_investments" localSheetId="11">#REF!</definedName>
    <definedName name="total_investments" localSheetId="17">#REF!</definedName>
    <definedName name="total_investments" localSheetId="16">#REF!</definedName>
    <definedName name="total_investments" localSheetId="22">#REF!</definedName>
    <definedName name="total_investments" localSheetId="9">#REF!</definedName>
    <definedName name="total_investments" localSheetId="13">#REF!</definedName>
    <definedName name="total_investments" localSheetId="23">#REF!</definedName>
    <definedName name="total_investments">#REF!</definedName>
    <definedName name="total_liab_Q">#REF!</definedName>
    <definedName name="total_liabilities">#REF!</definedName>
    <definedName name="Total_liabilities_Q" localSheetId="4">#REF!</definedName>
    <definedName name="Total_liabilities_Q" localSheetId="5">#REF!</definedName>
    <definedName name="Total_liabilities_Q" localSheetId="15">#REF!</definedName>
    <definedName name="Total_liabilities_Q" localSheetId="19">#REF!</definedName>
    <definedName name="Total_liabilities_Q" localSheetId="18">#REF!</definedName>
    <definedName name="Total_liabilities_Q" localSheetId="14">#REF!</definedName>
    <definedName name="Total_liabilities_Q" localSheetId="12">#REF!</definedName>
    <definedName name="Total_liabilities_Q" localSheetId="24">#REF!</definedName>
    <definedName name="Total_liabilities_Q" localSheetId="7">#REF!</definedName>
    <definedName name="Total_liabilities_Q" localSheetId="20">#REF!</definedName>
    <definedName name="Total_liabilities_Q" localSheetId="21">#REF!</definedName>
    <definedName name="Total_liabilities_Q" localSheetId="11">#REF!</definedName>
    <definedName name="Total_liabilities_Q" localSheetId="17">#REF!</definedName>
    <definedName name="Total_liabilities_Q" localSheetId="16">#REF!</definedName>
    <definedName name="Total_liabilities_Q" localSheetId="22">#REF!</definedName>
    <definedName name="Total_liabilities_Q" localSheetId="9">#REF!</definedName>
    <definedName name="Total_liabilities_Q" localSheetId="13">#REF!</definedName>
    <definedName name="Total_liabilities_Q" localSheetId="23">#REF!</definedName>
    <definedName name="Total_liabilities_Q">#REF!</definedName>
    <definedName name="total_loans">#REF!</definedName>
    <definedName name="total_loans_accrued_interest">#REF!</definedName>
    <definedName name="total_material_cost">#REF!</definedName>
    <definedName name="total_non_current_assets">#REF!</definedName>
    <definedName name="total_non_current_assets_A">#REF!</definedName>
    <definedName name="total_non_current_liabilities">#REF!</definedName>
    <definedName name="total_non_current_liabilities_A">#REF!</definedName>
    <definedName name="total_operating_cash_flow" localSheetId="4">#REF!</definedName>
    <definedName name="total_operating_cash_flow" localSheetId="5">#REF!</definedName>
    <definedName name="total_operating_cash_flow" localSheetId="15">#REF!</definedName>
    <definedName name="total_operating_cash_flow" localSheetId="19">#REF!</definedName>
    <definedName name="total_operating_cash_flow" localSheetId="18">#REF!</definedName>
    <definedName name="total_operating_cash_flow" localSheetId="14">#REF!</definedName>
    <definedName name="total_operating_cash_flow" localSheetId="12">#REF!</definedName>
    <definedName name="total_operating_cash_flow" localSheetId="24">#REF!</definedName>
    <definedName name="total_operating_cash_flow" localSheetId="7">#REF!</definedName>
    <definedName name="total_operating_cash_flow" localSheetId="20">#REF!</definedName>
    <definedName name="total_operating_cash_flow" localSheetId="21">#REF!</definedName>
    <definedName name="total_operating_cash_flow" localSheetId="11">#REF!</definedName>
    <definedName name="total_operating_cash_flow" localSheetId="17">#REF!</definedName>
    <definedName name="total_operating_cash_flow" localSheetId="16">#REF!</definedName>
    <definedName name="total_operating_cash_flow" localSheetId="22">#REF!</definedName>
    <definedName name="total_operating_cash_flow" localSheetId="9">#REF!</definedName>
    <definedName name="total_operating_cash_flow" localSheetId="13">#REF!</definedName>
    <definedName name="total_operating_cash_flow" localSheetId="23">#REF!</definedName>
    <definedName name="total_operating_cash_flow">#REF!</definedName>
    <definedName name="total_operating_expenses">#REF!</definedName>
    <definedName name="Total_other_assets" localSheetId="4">#REF!</definedName>
    <definedName name="Total_other_assets" localSheetId="9">#REF!</definedName>
    <definedName name="Total_other_assets">#REF!</definedName>
    <definedName name="total_shareholders_equity">#REF!</definedName>
    <definedName name="total_shareholders_equity_A">#REF!</definedName>
    <definedName name="total_shareholders_equity_avg">#REF!</definedName>
    <definedName name="total_shareholders_equity_avg_A">#REF!</definedName>
    <definedName name="total_shareholders_funds">#REF!</definedName>
    <definedName name="total_shareholders_funds_avg">#REF!</definedName>
    <definedName name="Total_shareholders_funds_avg6">#REF!</definedName>
    <definedName name="total_tangible_fixed_assets">#REF!</definedName>
    <definedName name="total_tax_paid">#REF!</definedName>
    <definedName name="Total_tax_Q" localSheetId="4">#REF!</definedName>
    <definedName name="Total_tax_Q" localSheetId="5">#REF!</definedName>
    <definedName name="Total_tax_Q" localSheetId="15">#REF!</definedName>
    <definedName name="Total_tax_Q" localSheetId="19">#REF!</definedName>
    <definedName name="Total_tax_Q" localSheetId="18">#REF!</definedName>
    <definedName name="Total_tax_Q" localSheetId="14">#REF!</definedName>
    <definedName name="Total_tax_Q" localSheetId="12">#REF!</definedName>
    <definedName name="Total_tax_Q" localSheetId="24">#REF!</definedName>
    <definedName name="Total_tax_Q" localSheetId="7">#REF!</definedName>
    <definedName name="Total_tax_Q" localSheetId="20">#REF!</definedName>
    <definedName name="Total_tax_Q" localSheetId="21">#REF!</definedName>
    <definedName name="Total_tax_Q" localSheetId="11">#REF!</definedName>
    <definedName name="Total_tax_Q" localSheetId="17">#REF!</definedName>
    <definedName name="Total_tax_Q" localSheetId="16">#REF!</definedName>
    <definedName name="Total_tax_Q" localSheetId="22">#REF!</definedName>
    <definedName name="Total_tax_Q" localSheetId="9">#REF!</definedName>
    <definedName name="Total_tax_Q" localSheetId="13">#REF!</definedName>
    <definedName name="Total_tax_Q" localSheetId="23">#REF!</definedName>
    <definedName name="Total_tax_Q">#REF!</definedName>
    <definedName name="TotalDebt" localSheetId="4">#REF!</definedName>
    <definedName name="TotalDebt" localSheetId="9">#REF!</definedName>
    <definedName name="TotalDebt">#REF!</definedName>
    <definedName name="totaldebt_equity" localSheetId="4">#REF!</definedName>
    <definedName name="totaldebt_equity" localSheetId="5">#REF!</definedName>
    <definedName name="totaldebt_equity" localSheetId="15">#REF!</definedName>
    <definedName name="totaldebt_equity" localSheetId="19">#REF!</definedName>
    <definedName name="totaldebt_equity" localSheetId="18">#REF!</definedName>
    <definedName name="totaldebt_equity" localSheetId="14">#REF!</definedName>
    <definedName name="totaldebt_equity" localSheetId="12">#REF!</definedName>
    <definedName name="totaldebt_equity" localSheetId="24">#REF!</definedName>
    <definedName name="totaldebt_equity" localSheetId="7">#REF!</definedName>
    <definedName name="totaldebt_equity" localSheetId="20">#REF!</definedName>
    <definedName name="totaldebt_equity" localSheetId="21">#REF!</definedName>
    <definedName name="totaldebt_equity" localSheetId="11">#REF!</definedName>
    <definedName name="totaldebt_equity" localSheetId="17">#REF!</definedName>
    <definedName name="totaldebt_equity" localSheetId="16">#REF!</definedName>
    <definedName name="totaldebt_equity" localSheetId="22">#REF!</definedName>
    <definedName name="totaldebt_equity" localSheetId="9">#REF!</definedName>
    <definedName name="totaldebt_equity" localSheetId="13">#REF!</definedName>
    <definedName name="totaldebt_equity" localSheetId="23">#REF!</definedName>
    <definedName name="totaldebt_equity">#REF!</definedName>
    <definedName name="TotalExpenses" localSheetId="4">#REF!</definedName>
    <definedName name="TotalExpenses" localSheetId="9">#REF!</definedName>
    <definedName name="TotalExpenses">#REF!</definedName>
    <definedName name="TotAst">#REF!</definedName>
    <definedName name="TotDebt">#REF!</definedName>
    <definedName name="TotEqShAd">#REF!</definedName>
    <definedName name="TotLia">#REF!</definedName>
    <definedName name="TPC_Copy" localSheetId="4">#REF!</definedName>
    <definedName name="TPC_Copy" localSheetId="5">#REF!</definedName>
    <definedName name="TPC_Copy" localSheetId="15">#REF!</definedName>
    <definedName name="TPC_Copy" localSheetId="19">#REF!</definedName>
    <definedName name="TPC_Copy" localSheetId="18">#REF!</definedName>
    <definedName name="TPC_Copy" localSheetId="14">#REF!</definedName>
    <definedName name="TPC_Copy" localSheetId="12">#REF!</definedName>
    <definedName name="TPC_Copy" localSheetId="24">#REF!</definedName>
    <definedName name="TPC_Copy" localSheetId="7">#REF!</definedName>
    <definedName name="TPC_Copy" localSheetId="20">#REF!</definedName>
    <definedName name="TPC_Copy" localSheetId="21">#REF!</definedName>
    <definedName name="TPC_Copy" localSheetId="11">#REF!</definedName>
    <definedName name="TPC_Copy" localSheetId="17">#REF!</definedName>
    <definedName name="TPC_Copy" localSheetId="16">#REF!</definedName>
    <definedName name="TPC_Copy" localSheetId="22">#REF!</definedName>
    <definedName name="TPC_Copy" localSheetId="9">#REF!</definedName>
    <definedName name="TPC_Copy" localSheetId="13">#REF!</definedName>
    <definedName name="TPC_Copy" localSheetId="23">#REF!</definedName>
    <definedName name="TPC_Copy">#REF!</definedName>
    <definedName name="TPC_Copy1" localSheetId="4">#REF!</definedName>
    <definedName name="TPC_Copy1" localSheetId="5">#REF!</definedName>
    <definedName name="TPC_Copy1" localSheetId="15">#REF!</definedName>
    <definedName name="TPC_Copy1" localSheetId="19">#REF!</definedName>
    <definedName name="TPC_Copy1" localSheetId="18">#REF!</definedName>
    <definedName name="TPC_Copy1" localSheetId="14">#REF!</definedName>
    <definedName name="TPC_Copy1" localSheetId="12">#REF!</definedName>
    <definedName name="TPC_Copy1" localSheetId="24">#REF!</definedName>
    <definedName name="TPC_Copy1" localSheetId="7">#REF!</definedName>
    <definedName name="TPC_Copy1" localSheetId="20">#REF!</definedName>
    <definedName name="TPC_Copy1" localSheetId="21">#REF!</definedName>
    <definedName name="TPC_Copy1" localSheetId="11">#REF!</definedName>
    <definedName name="TPC_Copy1" localSheetId="17">#REF!</definedName>
    <definedName name="TPC_Copy1" localSheetId="16">#REF!</definedName>
    <definedName name="TPC_Copy1" localSheetId="22">#REF!</definedName>
    <definedName name="TPC_Copy1" localSheetId="9">#REF!</definedName>
    <definedName name="TPC_Copy1" localSheetId="13">#REF!</definedName>
    <definedName name="TPC_Copy1" localSheetId="23">#REF!</definedName>
    <definedName name="TPC_Copy1">#REF!</definedName>
    <definedName name="TPC_Orig" localSheetId="4">#REF!</definedName>
    <definedName name="TPC_Orig" localSheetId="5">#REF!</definedName>
    <definedName name="TPC_Orig" localSheetId="15">#REF!</definedName>
    <definedName name="TPC_Orig" localSheetId="19">#REF!</definedName>
    <definedName name="TPC_Orig" localSheetId="18">#REF!</definedName>
    <definedName name="TPC_Orig" localSheetId="14">#REF!</definedName>
    <definedName name="TPC_Orig" localSheetId="12">#REF!</definedName>
    <definedName name="TPC_Orig" localSheetId="24">#REF!</definedName>
    <definedName name="TPC_Orig" localSheetId="7">#REF!</definedName>
    <definedName name="TPC_Orig" localSheetId="20">#REF!</definedName>
    <definedName name="TPC_Orig" localSheetId="21">#REF!</definedName>
    <definedName name="TPC_Orig" localSheetId="11">#REF!</definedName>
    <definedName name="TPC_Orig" localSheetId="17">#REF!</definedName>
    <definedName name="TPC_Orig" localSheetId="16">#REF!</definedName>
    <definedName name="TPC_Orig" localSheetId="22">#REF!</definedName>
    <definedName name="TPC_Orig" localSheetId="9">#REF!</definedName>
    <definedName name="TPC_Orig" localSheetId="13">#REF!</definedName>
    <definedName name="TPC_Orig" localSheetId="23">#REF!</definedName>
    <definedName name="TPC_Orig">#REF!</definedName>
    <definedName name="TPC_Orig1" localSheetId="4">#REF!</definedName>
    <definedName name="TPC_Orig1" localSheetId="9">#REF!</definedName>
    <definedName name="TPC_Orig1">#REF!</definedName>
    <definedName name="tr" localSheetId="4">#REF!</definedName>
    <definedName name="tr" localSheetId="5">#REF!</definedName>
    <definedName name="tr" localSheetId="15">#REF!</definedName>
    <definedName name="tr" localSheetId="19">#REF!</definedName>
    <definedName name="tr" localSheetId="18">#REF!</definedName>
    <definedName name="tr" localSheetId="14">#REF!</definedName>
    <definedName name="tr" localSheetId="12">#REF!</definedName>
    <definedName name="tr" localSheetId="24">#REF!</definedName>
    <definedName name="tr" localSheetId="7">#REF!</definedName>
    <definedName name="tr" localSheetId="20">#REF!</definedName>
    <definedName name="tr" localSheetId="21">#REF!</definedName>
    <definedName name="tr" localSheetId="11">#REF!</definedName>
    <definedName name="tr" localSheetId="17">#REF!</definedName>
    <definedName name="tr" localSheetId="16">#REF!</definedName>
    <definedName name="tr" localSheetId="22">#REF!</definedName>
    <definedName name="tr" localSheetId="9">#REF!</definedName>
    <definedName name="tr" localSheetId="13">#REF!</definedName>
    <definedName name="tr" localSheetId="23">#REF!</definedName>
    <definedName name="tr">#REF!</definedName>
    <definedName name="trade">#REF!</definedName>
    <definedName name="Trade_Advances">#REF!</definedName>
    <definedName name="TradeCreditors" localSheetId="4">#REF!</definedName>
    <definedName name="TradeCreditors" localSheetId="9">#REF!</definedName>
    <definedName name="TradeCreditors">#REF!</definedName>
    <definedName name="TradeCreditors_GrossSales" localSheetId="4">#REF!</definedName>
    <definedName name="TradeCreditors_GrossSales" localSheetId="9">#REF!</definedName>
    <definedName name="TradeCreditors_GrossSales">#REF!</definedName>
    <definedName name="TradeDebtors" localSheetId="4">#REF!</definedName>
    <definedName name="TradeDebtors" localSheetId="9">#REF!</definedName>
    <definedName name="TradeDebtors">#REF!</definedName>
    <definedName name="TradeDebtors_GrossSales" localSheetId="4">#REF!</definedName>
    <definedName name="TradeDebtors_GrossSales" localSheetId="9">#REF!</definedName>
    <definedName name="TradeDebtors_GrossSales">#REF!</definedName>
    <definedName name="trading_gains_losses">#REF!</definedName>
    <definedName name="trading_gains_losses_Q">#REF!</definedName>
    <definedName name="Traffic" localSheetId="4">#REF!</definedName>
    <definedName name="Traffic" localSheetId="5">#REF!</definedName>
    <definedName name="Traffic" localSheetId="15">#REF!</definedName>
    <definedName name="Traffic" localSheetId="19">#REF!</definedName>
    <definedName name="Traffic" localSheetId="18">#REF!</definedName>
    <definedName name="Traffic" localSheetId="14">#REF!</definedName>
    <definedName name="Traffic" localSheetId="12">#REF!</definedName>
    <definedName name="Traffic" localSheetId="24">#REF!</definedName>
    <definedName name="Traffic" localSheetId="7">#REF!</definedName>
    <definedName name="Traffic" localSheetId="20">#REF!</definedName>
    <definedName name="Traffic" localSheetId="21">#REF!</definedName>
    <definedName name="Traffic" localSheetId="11">#REF!</definedName>
    <definedName name="Traffic" localSheetId="17">#REF!</definedName>
    <definedName name="Traffic" localSheetId="16">#REF!</definedName>
    <definedName name="Traffic" localSheetId="22">#REF!</definedName>
    <definedName name="Traffic" localSheetId="9">#REF!</definedName>
    <definedName name="Traffic" localSheetId="13">#REF!</definedName>
    <definedName name="Traffic" localSheetId="23">#REF!</definedName>
    <definedName name="Traffic">#REF!</definedName>
    <definedName name="Traffic_Growth" localSheetId="4">#REF!</definedName>
    <definedName name="Traffic_Growth" localSheetId="5">#REF!</definedName>
    <definedName name="Traffic_Growth" localSheetId="15">#REF!</definedName>
    <definedName name="Traffic_Growth" localSheetId="19">#REF!</definedName>
    <definedName name="Traffic_Growth" localSheetId="18">#REF!</definedName>
    <definedName name="Traffic_Growth" localSheetId="14">#REF!</definedName>
    <definedName name="Traffic_Growth" localSheetId="12">#REF!</definedName>
    <definedName name="Traffic_Growth" localSheetId="24">#REF!</definedName>
    <definedName name="Traffic_Growth" localSheetId="7">#REF!</definedName>
    <definedName name="Traffic_Growth" localSheetId="20">#REF!</definedName>
    <definedName name="Traffic_Growth" localSheetId="21">#REF!</definedName>
    <definedName name="Traffic_Growth" localSheetId="11">#REF!</definedName>
    <definedName name="Traffic_Growth" localSheetId="17">#REF!</definedName>
    <definedName name="Traffic_Growth" localSheetId="16">#REF!</definedName>
    <definedName name="Traffic_Growth" localSheetId="22">#REF!</definedName>
    <definedName name="Traffic_Growth" localSheetId="9">#REF!</definedName>
    <definedName name="Traffic_Growth" localSheetId="13">#REF!</definedName>
    <definedName name="Traffic_Growth" localSheetId="23">#REF!</definedName>
    <definedName name="Traffic_Growth">#REF!</definedName>
    <definedName name="Transfer_to_Bonds_Redemption_Reserve" localSheetId="4">#REF!</definedName>
    <definedName name="Transfer_to_Bonds_Redemption_Reserve" localSheetId="5">#REF!</definedName>
    <definedName name="Transfer_to_Bonds_Redemption_Reserve" localSheetId="15">#REF!</definedName>
    <definedName name="Transfer_to_Bonds_Redemption_Reserve" localSheetId="19">#REF!</definedName>
    <definedName name="Transfer_to_Bonds_Redemption_Reserve" localSheetId="18">#REF!</definedName>
    <definedName name="Transfer_to_Bonds_Redemption_Reserve" localSheetId="14">#REF!</definedName>
    <definedName name="Transfer_to_Bonds_Redemption_Reserve" localSheetId="12">#REF!</definedName>
    <definedName name="Transfer_to_Bonds_Redemption_Reserve" localSheetId="24">#REF!</definedName>
    <definedName name="Transfer_to_Bonds_Redemption_Reserve" localSheetId="7">#REF!</definedName>
    <definedName name="Transfer_to_Bonds_Redemption_Reserve" localSheetId="20">#REF!</definedName>
    <definedName name="Transfer_to_Bonds_Redemption_Reserve" localSheetId="21">#REF!</definedName>
    <definedName name="Transfer_to_Bonds_Redemption_Reserve" localSheetId="11">#REF!</definedName>
    <definedName name="Transfer_to_Bonds_Redemption_Reserve" localSheetId="17">#REF!</definedName>
    <definedName name="Transfer_to_Bonds_Redemption_Reserve" localSheetId="16">#REF!</definedName>
    <definedName name="Transfer_to_Bonds_Redemption_Reserve" localSheetId="22">#REF!</definedName>
    <definedName name="Transfer_to_Bonds_Redemption_Reserve" localSheetId="9">#REF!</definedName>
    <definedName name="Transfer_to_Bonds_Redemption_Reserve" localSheetId="13">#REF!</definedName>
    <definedName name="Transfer_to_Bonds_Redemption_Reserve" localSheetId="23">#REF!</definedName>
    <definedName name="Transfer_to_Bonds_Redemption_Reserve">#REF!</definedName>
    <definedName name="Translation_Actual_Exchange_Loss_or_Gain" localSheetId="4">#REF!</definedName>
    <definedName name="Translation_Actual_Exchange_Loss_or_Gain" localSheetId="9">#REF!</definedName>
    <definedName name="Translation_Actual_Exchange_Loss_or_Gain">#REF!</definedName>
    <definedName name="Translation_Loss_on_Foreign_Currency_Loans_Secured" localSheetId="4">#REF!</definedName>
    <definedName name="Translation_Loss_on_Foreign_Currency_Loans_Secured" localSheetId="9">#REF!</definedName>
    <definedName name="Translation_Loss_on_Foreign_Currency_Loans_Secured">#REF!</definedName>
    <definedName name="Translation_Loss_on_Foreign_Currency_Loans_Unsecured" localSheetId="4">#REF!</definedName>
    <definedName name="Translation_Loss_on_Foreign_Currency_Loans_Unsecured" localSheetId="9">#REF!</definedName>
    <definedName name="Translation_Loss_on_Foreign_Currency_Loans_Unsecured">#REF!</definedName>
    <definedName name="Travelling___Conveyance" localSheetId="4">#REF!</definedName>
    <definedName name="Travelling___Conveyance" localSheetId="9">#REF!</definedName>
    <definedName name="Travelling___Conveyance">#REF!</definedName>
    <definedName name="tre" localSheetId="4">#REF!</definedName>
    <definedName name="tre" localSheetId="9">#REF!</definedName>
    <definedName name="tre">#REF!</definedName>
    <definedName name="TREE_INVEST" localSheetId="4">#REF!</definedName>
    <definedName name="TREE_INVEST" localSheetId="9">#REF!</definedName>
    <definedName name="TREE_INVEST">#REF!</definedName>
    <definedName name="trgdfgr" localSheetId="4" hidden="1">#REF!</definedName>
    <definedName name="trgdfgr" localSheetId="5" hidden="1">#REF!</definedName>
    <definedName name="trgdfgr" localSheetId="15" hidden="1">#REF!</definedName>
    <definedName name="trgdfgr" localSheetId="19" hidden="1">#REF!</definedName>
    <definedName name="trgdfgr" localSheetId="18" hidden="1">#REF!</definedName>
    <definedName name="trgdfgr" localSheetId="14" hidden="1">#REF!</definedName>
    <definedName name="trgdfgr" localSheetId="12" hidden="1">#REF!</definedName>
    <definedName name="trgdfgr" localSheetId="24" hidden="1">#REF!</definedName>
    <definedName name="trgdfgr" localSheetId="7" hidden="1">#REF!</definedName>
    <definedName name="trgdfgr" localSheetId="20" hidden="1">#REF!</definedName>
    <definedName name="trgdfgr" localSheetId="21" hidden="1">#REF!</definedName>
    <definedName name="trgdfgr" localSheetId="11" hidden="1">#REF!</definedName>
    <definedName name="trgdfgr" localSheetId="17" hidden="1">#REF!</definedName>
    <definedName name="trgdfgr" localSheetId="16" hidden="1">#REF!</definedName>
    <definedName name="trgdfgr" localSheetId="22" hidden="1">#REF!</definedName>
    <definedName name="trgdfgr" localSheetId="9" hidden="1">#REF!</definedName>
    <definedName name="trgdfgr" localSheetId="13" hidden="1">#REF!</definedName>
    <definedName name="trgdfgr" localSheetId="23" hidden="1">#REF!</definedName>
    <definedName name="trgdfgr" hidden="1">#REF!</definedName>
    <definedName name="TRIAL">#REF!</definedName>
    <definedName name="TrialBAl">#REF!</definedName>
    <definedName name="trtgrtg" localSheetId="4" hidden="1">#REF!</definedName>
    <definedName name="trtgrtg" localSheetId="5" hidden="1">#REF!</definedName>
    <definedName name="trtgrtg" localSheetId="15" hidden="1">#REF!</definedName>
    <definedName name="trtgrtg" localSheetId="19" hidden="1">#REF!</definedName>
    <definedName name="trtgrtg" localSheetId="18" hidden="1">#REF!</definedName>
    <definedName name="trtgrtg" localSheetId="14" hidden="1">#REF!</definedName>
    <definedName name="trtgrtg" localSheetId="12" hidden="1">#REF!</definedName>
    <definedName name="trtgrtg" localSheetId="24" hidden="1">#REF!</definedName>
    <definedName name="trtgrtg" localSheetId="7" hidden="1">#REF!</definedName>
    <definedName name="trtgrtg" localSheetId="20" hidden="1">#REF!</definedName>
    <definedName name="trtgrtg" localSheetId="21" hidden="1">#REF!</definedName>
    <definedName name="trtgrtg" localSheetId="11" hidden="1">#REF!</definedName>
    <definedName name="trtgrtg" localSheetId="17" hidden="1">#REF!</definedName>
    <definedName name="trtgrtg" localSheetId="16" hidden="1">#REF!</definedName>
    <definedName name="trtgrtg" localSheetId="22" hidden="1">#REF!</definedName>
    <definedName name="trtgrtg" localSheetId="9" hidden="1">#REF!</definedName>
    <definedName name="trtgrtg" localSheetId="13" hidden="1">#REF!</definedName>
    <definedName name="trtgrtg" localSheetId="23" hidden="1">#REF!</definedName>
    <definedName name="trtgrtg" hidden="1">#REF!</definedName>
    <definedName name="TRY" localSheetId="4">#REF!</definedName>
    <definedName name="TRY" localSheetId="5">#REF!</definedName>
    <definedName name="TRY" localSheetId="15">#REF!</definedName>
    <definedName name="TRY" localSheetId="19">#REF!</definedName>
    <definedName name="TRY" localSheetId="18">#REF!</definedName>
    <definedName name="TRY" localSheetId="14">#REF!</definedName>
    <definedName name="TRY" localSheetId="12">#REF!</definedName>
    <definedName name="TRY" localSheetId="24">#REF!</definedName>
    <definedName name="TRY" localSheetId="7">#REF!</definedName>
    <definedName name="TRY" localSheetId="20">#REF!</definedName>
    <definedName name="TRY" localSheetId="21">#REF!</definedName>
    <definedName name="TRY" localSheetId="11">#REF!</definedName>
    <definedName name="TRY" localSheetId="17">#REF!</definedName>
    <definedName name="TRY" localSheetId="16">#REF!</definedName>
    <definedName name="TRY" localSheetId="22">#REF!</definedName>
    <definedName name="TRY" localSheetId="9">#REF!</definedName>
    <definedName name="TRY" localSheetId="13">#REF!</definedName>
    <definedName name="TRY" localSheetId="23">#REF!</definedName>
    <definedName name="TRY">#REF!</definedName>
    <definedName name="trytrhgr" localSheetId="4" hidden="1">#REF!</definedName>
    <definedName name="trytrhgr" localSheetId="5" hidden="1">#REF!</definedName>
    <definedName name="trytrhgr" localSheetId="15" hidden="1">#REF!</definedName>
    <definedName name="trytrhgr" localSheetId="19" hidden="1">#REF!</definedName>
    <definedName name="trytrhgr" localSheetId="18" hidden="1">#REF!</definedName>
    <definedName name="trytrhgr" localSheetId="14" hidden="1">#REF!</definedName>
    <definedName name="trytrhgr" localSheetId="12" hidden="1">#REF!</definedName>
    <definedName name="trytrhgr" localSheetId="24" hidden="1">#REF!</definedName>
    <definedName name="trytrhgr" localSheetId="7" hidden="1">#REF!</definedName>
    <definedName name="trytrhgr" localSheetId="20" hidden="1">#REF!</definedName>
    <definedName name="trytrhgr" localSheetId="21" hidden="1">#REF!</definedName>
    <definedName name="trytrhgr" localSheetId="11" hidden="1">#REF!</definedName>
    <definedName name="trytrhgr" localSheetId="17" hidden="1">#REF!</definedName>
    <definedName name="trytrhgr" localSheetId="16" hidden="1">#REF!</definedName>
    <definedName name="trytrhgr" localSheetId="22" hidden="1">#REF!</definedName>
    <definedName name="trytrhgr" localSheetId="9" hidden="1">#REF!</definedName>
    <definedName name="trytrhgr" localSheetId="13" hidden="1">#REF!</definedName>
    <definedName name="trytrhgr" localSheetId="23" hidden="1">#REF!</definedName>
    <definedName name="trytrhgr" hidden="1">#REF!</definedName>
    <definedName name="tt_subsidiaries" localSheetId="4">#REF!</definedName>
    <definedName name="tt_subsidiaries" localSheetId="5">#REF!</definedName>
    <definedName name="tt_subsidiaries" localSheetId="15">#REF!</definedName>
    <definedName name="tt_subsidiaries" localSheetId="19">#REF!</definedName>
    <definedName name="tt_subsidiaries" localSheetId="18">#REF!</definedName>
    <definedName name="tt_subsidiaries" localSheetId="14">#REF!</definedName>
    <definedName name="tt_subsidiaries" localSheetId="12">#REF!</definedName>
    <definedName name="tt_subsidiaries" localSheetId="24">#REF!</definedName>
    <definedName name="tt_subsidiaries" localSheetId="7">#REF!</definedName>
    <definedName name="tt_subsidiaries" localSheetId="20">#REF!</definedName>
    <definedName name="tt_subsidiaries" localSheetId="21">#REF!</definedName>
    <definedName name="tt_subsidiaries" localSheetId="11">#REF!</definedName>
    <definedName name="tt_subsidiaries" localSheetId="17">#REF!</definedName>
    <definedName name="tt_subsidiaries" localSheetId="16">#REF!</definedName>
    <definedName name="tt_subsidiaries" localSheetId="22">#REF!</definedName>
    <definedName name="tt_subsidiaries" localSheetId="9">#REF!</definedName>
    <definedName name="tt_subsidiaries" localSheetId="13">#REF!</definedName>
    <definedName name="tt_subsidiaries" localSheetId="23">#REF!</definedName>
    <definedName name="tt_subsidiaries">#REF!</definedName>
    <definedName name="TTM_EPS_Rs_Q" localSheetId="4">#REF!</definedName>
    <definedName name="TTM_EPS_Rs_Q" localSheetId="5">#REF!</definedName>
    <definedName name="TTM_EPS_Rs_Q" localSheetId="15">#REF!</definedName>
    <definedName name="TTM_EPS_Rs_Q" localSheetId="19">#REF!</definedName>
    <definedName name="TTM_EPS_Rs_Q" localSheetId="18">#REF!</definedName>
    <definedName name="TTM_EPS_Rs_Q" localSheetId="14">#REF!</definedName>
    <definedName name="TTM_EPS_Rs_Q" localSheetId="12">#REF!</definedName>
    <definedName name="TTM_EPS_Rs_Q" localSheetId="24">#REF!</definedName>
    <definedName name="TTM_EPS_Rs_Q" localSheetId="7">#REF!</definedName>
    <definedName name="TTM_EPS_Rs_Q" localSheetId="20">#REF!</definedName>
    <definedName name="TTM_EPS_Rs_Q" localSheetId="21">#REF!</definedName>
    <definedName name="TTM_EPS_Rs_Q" localSheetId="11">#REF!</definedName>
    <definedName name="TTM_EPS_Rs_Q" localSheetId="17">#REF!</definedName>
    <definedName name="TTM_EPS_Rs_Q" localSheetId="16">#REF!</definedName>
    <definedName name="TTM_EPS_Rs_Q" localSheetId="22">#REF!</definedName>
    <definedName name="TTM_EPS_Rs_Q" localSheetId="9">#REF!</definedName>
    <definedName name="TTM_EPS_Rs_Q" localSheetId="13">#REF!</definedName>
    <definedName name="TTM_EPS_Rs_Q" localSheetId="23">#REF!</definedName>
    <definedName name="TTM_EPS_Rs_Q">#REF!</definedName>
    <definedName name="tuna" localSheetId="4">#REF!</definedName>
    <definedName name="tuna" localSheetId="5">#REF!</definedName>
    <definedName name="tuna" localSheetId="15">#REF!</definedName>
    <definedName name="tuna" localSheetId="19">#REF!</definedName>
    <definedName name="tuna" localSheetId="18">#REF!</definedName>
    <definedName name="tuna" localSheetId="14">#REF!</definedName>
    <definedName name="tuna" localSheetId="12">#REF!</definedName>
    <definedName name="tuna" localSheetId="24">#REF!</definedName>
    <definedName name="tuna" localSheetId="7">#REF!</definedName>
    <definedName name="tuna" localSheetId="20">#REF!</definedName>
    <definedName name="tuna" localSheetId="21">#REF!</definedName>
    <definedName name="tuna" localSheetId="11">#REF!</definedName>
    <definedName name="tuna" localSheetId="17">#REF!</definedName>
    <definedName name="tuna" localSheetId="16">#REF!</definedName>
    <definedName name="tuna" localSheetId="22">#REF!</definedName>
    <definedName name="tuna" localSheetId="9">#REF!</definedName>
    <definedName name="tuna" localSheetId="13">#REF!</definedName>
    <definedName name="tuna" localSheetId="23">#REF!</definedName>
    <definedName name="tuna">#REF!</definedName>
    <definedName name="TURNOVER" localSheetId="4">#REF!</definedName>
    <definedName name="TURNOVER" localSheetId="9">#REF!</definedName>
    <definedName name="TURNOVER">#REF!</definedName>
    <definedName name="Tx_Power">#REF!</definedName>
    <definedName name="tytht" localSheetId="4" hidden="1">#REF!</definedName>
    <definedName name="tytht" localSheetId="5" hidden="1">#REF!</definedName>
    <definedName name="tytht" localSheetId="15" hidden="1">#REF!</definedName>
    <definedName name="tytht" localSheetId="19" hidden="1">#REF!</definedName>
    <definedName name="tytht" localSheetId="18" hidden="1">#REF!</definedName>
    <definedName name="tytht" localSheetId="14" hidden="1">#REF!</definedName>
    <definedName name="tytht" localSheetId="12" hidden="1">#REF!</definedName>
    <definedName name="tytht" localSheetId="24" hidden="1">#REF!</definedName>
    <definedName name="tytht" localSheetId="7" hidden="1">#REF!</definedName>
    <definedName name="tytht" localSheetId="20" hidden="1">#REF!</definedName>
    <definedName name="tytht" localSheetId="21" hidden="1">#REF!</definedName>
    <definedName name="tytht" localSheetId="11" hidden="1">#REF!</definedName>
    <definedName name="tytht" localSheetId="17" hidden="1">#REF!</definedName>
    <definedName name="tytht" localSheetId="16" hidden="1">#REF!</definedName>
    <definedName name="tytht" localSheetId="22" hidden="1">#REF!</definedName>
    <definedName name="tytht" localSheetId="9" hidden="1">#REF!</definedName>
    <definedName name="tytht" localSheetId="13" hidden="1">#REF!</definedName>
    <definedName name="tytht" localSheetId="23" hidden="1">#REF!</definedName>
    <definedName name="tytht" hidden="1">#REF!</definedName>
    <definedName name="tyui" localSheetId="4" hidden="1">{#N/A,#N/A,FALSE,"Status of Projects";#N/A,#N/A,FALSE,"CEA-TEC";#N/A,#N/A,FALSE,"U-Constr.";#N/A,#N/A,FALSE,"summary";#N/A,#N/A,FALSE,"PPP-3 yrs"}</definedName>
    <definedName name="tyui" localSheetId="5" hidden="1">{#N/A,#N/A,FALSE,"Status of Projects";#N/A,#N/A,FALSE,"CEA-TEC";#N/A,#N/A,FALSE,"U-Constr.";#N/A,#N/A,FALSE,"summary";#N/A,#N/A,FALSE,"PPP-3 yrs"}</definedName>
    <definedName name="tyui" localSheetId="15" hidden="1">{#N/A,#N/A,FALSE,"Status of Projects";#N/A,#N/A,FALSE,"CEA-TEC";#N/A,#N/A,FALSE,"U-Constr.";#N/A,#N/A,FALSE,"summary";#N/A,#N/A,FALSE,"PPP-3 yrs"}</definedName>
    <definedName name="tyui" localSheetId="19" hidden="1">{#N/A,#N/A,FALSE,"Status of Projects";#N/A,#N/A,FALSE,"CEA-TEC";#N/A,#N/A,FALSE,"U-Constr.";#N/A,#N/A,FALSE,"summary";#N/A,#N/A,FALSE,"PPP-3 yrs"}</definedName>
    <definedName name="tyui" localSheetId="18" hidden="1">{#N/A,#N/A,FALSE,"Status of Projects";#N/A,#N/A,FALSE,"CEA-TEC";#N/A,#N/A,FALSE,"U-Constr.";#N/A,#N/A,FALSE,"summary";#N/A,#N/A,FALSE,"PPP-3 yrs"}</definedName>
    <definedName name="tyui" localSheetId="14" hidden="1">{#N/A,#N/A,FALSE,"Status of Projects";#N/A,#N/A,FALSE,"CEA-TEC";#N/A,#N/A,FALSE,"U-Constr.";#N/A,#N/A,FALSE,"summary";#N/A,#N/A,FALSE,"PPP-3 yrs"}</definedName>
    <definedName name="tyui" localSheetId="12" hidden="1">{#N/A,#N/A,FALSE,"Status of Projects";#N/A,#N/A,FALSE,"CEA-TEC";#N/A,#N/A,FALSE,"U-Constr.";#N/A,#N/A,FALSE,"summary";#N/A,#N/A,FALSE,"PPP-3 yrs"}</definedName>
    <definedName name="tyui" localSheetId="24" hidden="1">{#N/A,#N/A,FALSE,"Status of Projects";#N/A,#N/A,FALSE,"CEA-TEC";#N/A,#N/A,FALSE,"U-Constr.";#N/A,#N/A,FALSE,"summary";#N/A,#N/A,FALSE,"PPP-3 yrs"}</definedName>
    <definedName name="tyui" localSheetId="7" hidden="1">{#N/A,#N/A,FALSE,"Status of Projects";#N/A,#N/A,FALSE,"CEA-TEC";#N/A,#N/A,FALSE,"U-Constr.";#N/A,#N/A,FALSE,"summary";#N/A,#N/A,FALSE,"PPP-3 yrs"}</definedName>
    <definedName name="tyui" localSheetId="20" hidden="1">{#N/A,#N/A,FALSE,"Status of Projects";#N/A,#N/A,FALSE,"CEA-TEC";#N/A,#N/A,FALSE,"U-Constr.";#N/A,#N/A,FALSE,"summary";#N/A,#N/A,FALSE,"PPP-3 yrs"}</definedName>
    <definedName name="tyui" localSheetId="21" hidden="1">{#N/A,#N/A,FALSE,"Status of Projects";#N/A,#N/A,FALSE,"CEA-TEC";#N/A,#N/A,FALSE,"U-Constr.";#N/A,#N/A,FALSE,"summary";#N/A,#N/A,FALSE,"PPP-3 yrs"}</definedName>
    <definedName name="tyui" localSheetId="11" hidden="1">{#N/A,#N/A,FALSE,"Status of Projects";#N/A,#N/A,FALSE,"CEA-TEC";#N/A,#N/A,FALSE,"U-Constr.";#N/A,#N/A,FALSE,"summary";#N/A,#N/A,FALSE,"PPP-3 yrs"}</definedName>
    <definedName name="tyui" localSheetId="17" hidden="1">{#N/A,#N/A,FALSE,"Status of Projects";#N/A,#N/A,FALSE,"CEA-TEC";#N/A,#N/A,FALSE,"U-Constr.";#N/A,#N/A,FALSE,"summary";#N/A,#N/A,FALSE,"PPP-3 yrs"}</definedName>
    <definedName name="tyui" localSheetId="16" hidden="1">{#N/A,#N/A,FALSE,"Status of Projects";#N/A,#N/A,FALSE,"CEA-TEC";#N/A,#N/A,FALSE,"U-Constr.";#N/A,#N/A,FALSE,"summary";#N/A,#N/A,FALSE,"PPP-3 yrs"}</definedName>
    <definedName name="tyui" localSheetId="22" hidden="1">{#N/A,#N/A,FALSE,"Status of Projects";#N/A,#N/A,FALSE,"CEA-TEC";#N/A,#N/A,FALSE,"U-Constr.";#N/A,#N/A,FALSE,"summary";#N/A,#N/A,FALSE,"PPP-3 yrs"}</definedName>
    <definedName name="tyui" localSheetId="9" hidden="1">{#N/A,#N/A,FALSE,"Status of Projects";#N/A,#N/A,FALSE,"CEA-TEC";#N/A,#N/A,FALSE,"U-Constr.";#N/A,#N/A,FALSE,"summary";#N/A,#N/A,FALSE,"PPP-3 yrs"}</definedName>
    <definedName name="tyui" localSheetId="13" hidden="1">{#N/A,#N/A,FALSE,"Status of Projects";#N/A,#N/A,FALSE,"CEA-TEC";#N/A,#N/A,FALSE,"U-Constr.";#N/A,#N/A,FALSE,"summary";#N/A,#N/A,FALSE,"PPP-3 yrs"}</definedName>
    <definedName name="tyui" localSheetId="23" hidden="1">{#N/A,#N/A,FALSE,"Status of Projects";#N/A,#N/A,FALSE,"CEA-TEC";#N/A,#N/A,FALSE,"U-Constr.";#N/A,#N/A,FALSE,"summary";#N/A,#N/A,FALSE,"PPP-3 yrs"}</definedName>
    <definedName name="tyui" hidden="1">{#N/A,#N/A,FALSE,"Status of Projects";#N/A,#N/A,FALSE,"CEA-TEC";#N/A,#N/A,FALSE,"U-Constr.";#N/A,#N/A,FALSE,"summary";#N/A,#N/A,FALSE,"PPP-3 yrs"}</definedName>
    <definedName name="tzs" localSheetId="4">#REF!</definedName>
    <definedName name="tzs" localSheetId="5">#REF!</definedName>
    <definedName name="tzs" localSheetId="15">#REF!</definedName>
    <definedName name="tzs" localSheetId="19">#REF!</definedName>
    <definedName name="tzs" localSheetId="18">#REF!</definedName>
    <definedName name="tzs" localSheetId="14">#REF!</definedName>
    <definedName name="tzs" localSheetId="12">#REF!</definedName>
    <definedName name="tzs" localSheetId="24">#REF!</definedName>
    <definedName name="tzs" localSheetId="7">#REF!</definedName>
    <definedName name="tzs" localSheetId="20">#REF!</definedName>
    <definedName name="tzs" localSheetId="21">#REF!</definedName>
    <definedName name="tzs" localSheetId="11">#REF!</definedName>
    <definedName name="tzs" localSheetId="17">#REF!</definedName>
    <definedName name="tzs" localSheetId="16">#REF!</definedName>
    <definedName name="tzs" localSheetId="22">#REF!</definedName>
    <definedName name="tzs" localSheetId="9">#REF!</definedName>
    <definedName name="tzs" localSheetId="13">#REF!</definedName>
    <definedName name="tzs" localSheetId="23">#REF!</definedName>
    <definedName name="tzs">#REF!</definedName>
    <definedName name="ubhkwgt">#REF!</definedName>
    <definedName name="uijhkg" hidden="1">#N/A</definedName>
    <definedName name="uk">#REF!</definedName>
    <definedName name="ULEnd" localSheetId="4">#REF!</definedName>
    <definedName name="ULEnd" localSheetId="5">#REF!</definedName>
    <definedName name="ULEnd" localSheetId="15">#REF!</definedName>
    <definedName name="ULEnd" localSheetId="19">#REF!</definedName>
    <definedName name="ULEnd" localSheetId="18">#REF!</definedName>
    <definedName name="ULEnd" localSheetId="14">#REF!</definedName>
    <definedName name="ULEnd" localSheetId="12">#REF!</definedName>
    <definedName name="ULEnd" localSheetId="24">#REF!</definedName>
    <definedName name="ULEnd" localSheetId="7">#REF!</definedName>
    <definedName name="ULEnd" localSheetId="20">#REF!</definedName>
    <definedName name="ULEnd" localSheetId="21">#REF!</definedName>
    <definedName name="ULEnd" localSheetId="11">#REF!</definedName>
    <definedName name="ULEnd" localSheetId="17">#REF!</definedName>
    <definedName name="ULEnd" localSheetId="16">#REF!</definedName>
    <definedName name="ULEnd" localSheetId="22">#REF!</definedName>
    <definedName name="ULEnd" localSheetId="9">#REF!</definedName>
    <definedName name="ULEnd" localSheetId="13">#REF!</definedName>
    <definedName name="ULEnd" localSheetId="23">#REF!</definedName>
    <definedName name="ULEnd">#REF!</definedName>
    <definedName name="unadj._shares" localSheetId="4">#REF!</definedName>
    <definedName name="unadj._shares" localSheetId="5">#REF!</definedName>
    <definedName name="unadj._shares" localSheetId="15">#REF!</definedName>
    <definedName name="unadj._shares" localSheetId="19">#REF!</definedName>
    <definedName name="unadj._shares" localSheetId="18">#REF!</definedName>
    <definedName name="unadj._shares" localSheetId="14">#REF!</definedName>
    <definedName name="unadj._shares" localSheetId="12">#REF!</definedName>
    <definedName name="unadj._shares" localSheetId="24">#REF!</definedName>
    <definedName name="unadj._shares" localSheetId="7">#REF!</definedName>
    <definedName name="unadj._shares" localSheetId="20">#REF!</definedName>
    <definedName name="unadj._shares" localSheetId="21">#REF!</definedName>
    <definedName name="unadj._shares" localSheetId="11">#REF!</definedName>
    <definedName name="unadj._shares" localSheetId="17">#REF!</definedName>
    <definedName name="unadj._shares" localSheetId="16">#REF!</definedName>
    <definedName name="unadj._shares" localSheetId="22">#REF!</definedName>
    <definedName name="unadj._shares" localSheetId="9">#REF!</definedName>
    <definedName name="unadj._shares" localSheetId="13">#REF!</definedName>
    <definedName name="unadj._shares" localSheetId="23">#REF!</definedName>
    <definedName name="unadj._shares">#REF!</definedName>
    <definedName name="unadj_shares" localSheetId="4">#REF!</definedName>
    <definedName name="unadj_shares" localSheetId="5">#REF!</definedName>
    <definedName name="unadj_shares" localSheetId="15">#REF!</definedName>
    <definedName name="unadj_shares" localSheetId="19">#REF!</definedName>
    <definedName name="unadj_shares" localSheetId="18">#REF!</definedName>
    <definedName name="unadj_shares" localSheetId="14">#REF!</definedName>
    <definedName name="unadj_shares" localSheetId="12">#REF!</definedName>
    <definedName name="unadj_shares" localSheetId="24">#REF!</definedName>
    <definedName name="unadj_shares" localSheetId="7">#REF!</definedName>
    <definedName name="unadj_shares" localSheetId="20">#REF!</definedName>
    <definedName name="unadj_shares" localSheetId="21">#REF!</definedName>
    <definedName name="unadj_shares" localSheetId="11">#REF!</definedName>
    <definedName name="unadj_shares" localSheetId="17">#REF!</definedName>
    <definedName name="unadj_shares" localSheetId="16">#REF!</definedName>
    <definedName name="unadj_shares" localSheetId="22">#REF!</definedName>
    <definedName name="unadj_shares" localSheetId="9">#REF!</definedName>
    <definedName name="unadj_shares" localSheetId="13">#REF!</definedName>
    <definedName name="unadj_shares" localSheetId="23">#REF!</definedName>
    <definedName name="unadj_shares">#REF!</definedName>
    <definedName name="Unclaimed_bonds" localSheetId="4">#REF!</definedName>
    <definedName name="Unclaimed_bonds" localSheetId="9">#REF!</definedName>
    <definedName name="Unclaimed_bonds">#REF!</definedName>
    <definedName name="Unclaimed_Debentures">#REF!</definedName>
    <definedName name="Unclaimed_Dividend">#REF!</definedName>
    <definedName name="Unclaimed_Fixed_Deposit_Interest">#REF!</definedName>
    <definedName name="unilever" localSheetId="4">#REF!</definedName>
    <definedName name="unilever" localSheetId="5">#REF!</definedName>
    <definedName name="unilever" localSheetId="15">#REF!</definedName>
    <definedName name="unilever" localSheetId="19">#REF!</definedName>
    <definedName name="unilever" localSheetId="18">#REF!</definedName>
    <definedName name="unilever" localSheetId="14">#REF!</definedName>
    <definedName name="unilever" localSheetId="12">#REF!</definedName>
    <definedName name="unilever" localSheetId="24">#REF!</definedName>
    <definedName name="unilever" localSheetId="7">#REF!</definedName>
    <definedName name="unilever" localSheetId="20">#REF!</definedName>
    <definedName name="unilever" localSheetId="21">#REF!</definedName>
    <definedName name="unilever" localSheetId="11">#REF!</definedName>
    <definedName name="unilever" localSheetId="17">#REF!</definedName>
    <definedName name="unilever" localSheetId="16">#REF!</definedName>
    <definedName name="unilever" localSheetId="22">#REF!</definedName>
    <definedName name="unilever" localSheetId="9">#REF!</definedName>
    <definedName name="unilever" localSheetId="13">#REF!</definedName>
    <definedName name="unilever" localSheetId="23">#REF!</definedName>
    <definedName name="unilever">#REF!</definedName>
    <definedName name="UniqueRange_0" localSheetId="4">#REF!</definedName>
    <definedName name="UniqueRange_0" localSheetId="5">#REF!</definedName>
    <definedName name="UniqueRange_0" localSheetId="15">#REF!</definedName>
    <definedName name="UniqueRange_0" localSheetId="19">#REF!</definedName>
    <definedName name="UniqueRange_0" localSheetId="18">#REF!</definedName>
    <definedName name="UniqueRange_0" localSheetId="14">#REF!</definedName>
    <definedName name="UniqueRange_0" localSheetId="12">#REF!</definedName>
    <definedName name="UniqueRange_0" localSheetId="24">#REF!</definedName>
    <definedName name="UniqueRange_0" localSheetId="7">#REF!</definedName>
    <definedName name="UniqueRange_0" localSheetId="20">#REF!</definedName>
    <definedName name="UniqueRange_0" localSheetId="21">#REF!</definedName>
    <definedName name="UniqueRange_0" localSheetId="11">#REF!</definedName>
    <definedName name="UniqueRange_0" localSheetId="17">#REF!</definedName>
    <definedName name="UniqueRange_0" localSheetId="16">#REF!</definedName>
    <definedName name="UniqueRange_0" localSheetId="22">#REF!</definedName>
    <definedName name="UniqueRange_0" localSheetId="9">#REF!</definedName>
    <definedName name="UniqueRange_0" localSheetId="13">#REF!</definedName>
    <definedName name="UniqueRange_0" localSheetId="23">#REF!</definedName>
    <definedName name="UniqueRange_0">#REF!</definedName>
    <definedName name="UniqueRange_1" localSheetId="4">#REF!</definedName>
    <definedName name="UniqueRange_1" localSheetId="9">#REF!</definedName>
    <definedName name="UniqueRange_1">#REF!</definedName>
    <definedName name="Units">#REF!</definedName>
    <definedName name="Unsecured_Bonds_Unsecured">#REF!</definedName>
    <definedName name="Unsecured_borrowings_total">#REF!</definedName>
    <definedName name="UnsecuredLoans" localSheetId="4">#REF!</definedName>
    <definedName name="UnsecuredLoans" localSheetId="9">#REF!</definedName>
    <definedName name="UnsecuredLoans">#REF!</definedName>
    <definedName name="uobwgt">#REF!</definedName>
    <definedName name="Update">#REF!</definedName>
    <definedName name="Upfront_Fee" localSheetId="4">#REF!</definedName>
    <definedName name="Upfront_Fee" localSheetId="5">#REF!</definedName>
    <definedName name="Upfront_Fee" localSheetId="15">#REF!</definedName>
    <definedName name="Upfront_Fee" localSheetId="19">#REF!</definedName>
    <definedName name="Upfront_Fee" localSheetId="18">#REF!</definedName>
    <definedName name="Upfront_Fee" localSheetId="14">#REF!</definedName>
    <definedName name="Upfront_Fee" localSheetId="12">#REF!</definedName>
    <definedName name="Upfront_Fee" localSheetId="24">#REF!</definedName>
    <definedName name="Upfront_Fee" localSheetId="7">#REF!</definedName>
    <definedName name="Upfront_Fee" localSheetId="20">#REF!</definedName>
    <definedName name="Upfront_Fee" localSheetId="21">#REF!</definedName>
    <definedName name="Upfront_Fee" localSheetId="11">#REF!</definedName>
    <definedName name="Upfront_Fee" localSheetId="17">#REF!</definedName>
    <definedName name="Upfront_Fee" localSheetId="16">#REF!</definedName>
    <definedName name="Upfront_Fee" localSheetId="22">#REF!</definedName>
    <definedName name="Upfront_Fee" localSheetId="9">#REF!</definedName>
    <definedName name="Upfront_Fee" localSheetId="13">#REF!</definedName>
    <definedName name="Upfront_Fee" localSheetId="23">#REF!</definedName>
    <definedName name="Upfront_Fee">#REF!</definedName>
    <definedName name="usd">#REF!</definedName>
    <definedName name="USD_Libor_Swap_rate" localSheetId="4">#REF!</definedName>
    <definedName name="USD_Libor_Swap_rate" localSheetId="5">#REF!</definedName>
    <definedName name="USD_Libor_Swap_rate" localSheetId="15">#REF!</definedName>
    <definedName name="USD_Libor_Swap_rate" localSheetId="19">#REF!</definedName>
    <definedName name="USD_Libor_Swap_rate" localSheetId="18">#REF!</definedName>
    <definedName name="USD_Libor_Swap_rate" localSheetId="14">#REF!</definedName>
    <definedName name="USD_Libor_Swap_rate" localSheetId="12">#REF!</definedName>
    <definedName name="USD_Libor_Swap_rate" localSheetId="24">#REF!</definedName>
    <definedName name="USD_Libor_Swap_rate" localSheetId="7">#REF!</definedName>
    <definedName name="USD_Libor_Swap_rate" localSheetId="20">#REF!</definedName>
    <definedName name="USD_Libor_Swap_rate" localSheetId="21">#REF!</definedName>
    <definedName name="USD_Libor_Swap_rate" localSheetId="11">#REF!</definedName>
    <definedName name="USD_Libor_Swap_rate" localSheetId="17">#REF!</definedName>
    <definedName name="USD_Libor_Swap_rate" localSheetId="16">#REF!</definedName>
    <definedName name="USD_Libor_Swap_rate" localSheetId="22">#REF!</definedName>
    <definedName name="USD_Libor_Swap_rate" localSheetId="9">#REF!</definedName>
    <definedName name="USD_Libor_Swap_rate" localSheetId="13">#REF!</definedName>
    <definedName name="USD_Libor_Swap_rate" localSheetId="23">#REF!</definedName>
    <definedName name="USD_Libor_Swap_rate">#REF!</definedName>
    <definedName name="USNetCFDepJ1" localSheetId="4">#REF!</definedName>
    <definedName name="USNetCFDepJ1" localSheetId="5">#REF!</definedName>
    <definedName name="USNetCFDepJ1" localSheetId="15">#REF!</definedName>
    <definedName name="USNetCFDepJ1" localSheetId="19">#REF!</definedName>
    <definedName name="USNetCFDepJ1" localSheetId="18">#REF!</definedName>
    <definedName name="USNetCFDepJ1" localSheetId="14">#REF!</definedName>
    <definedName name="USNetCFDepJ1" localSheetId="12">#REF!</definedName>
    <definedName name="USNetCFDepJ1" localSheetId="24">#REF!</definedName>
    <definedName name="USNetCFDepJ1" localSheetId="7">#REF!</definedName>
    <definedName name="USNetCFDepJ1" localSheetId="20">#REF!</definedName>
    <definedName name="USNetCFDepJ1" localSheetId="21">#REF!</definedName>
    <definedName name="USNetCFDepJ1" localSheetId="11">#REF!</definedName>
    <definedName name="USNetCFDepJ1" localSheetId="17">#REF!</definedName>
    <definedName name="USNetCFDepJ1" localSheetId="16">#REF!</definedName>
    <definedName name="USNetCFDepJ1" localSheetId="22">#REF!</definedName>
    <definedName name="USNetCFDepJ1" localSheetId="9">#REF!</definedName>
    <definedName name="USNetCFDepJ1" localSheetId="13">#REF!</definedName>
    <definedName name="USNetCFDepJ1" localSheetId="23">#REF!</definedName>
    <definedName name="USNetCFDepJ1">#REF!</definedName>
    <definedName name="USNetCFWODepJ1" localSheetId="4">#REF!</definedName>
    <definedName name="USNetCFWODepJ1" localSheetId="9">#REF!</definedName>
    <definedName name="USNetCFWODepJ1">#REF!</definedName>
    <definedName name="Util" localSheetId="4">#REF!</definedName>
    <definedName name="Util" localSheetId="9">#REF!</definedName>
    <definedName name="Util">#REF!</definedName>
    <definedName name="UtilCap" localSheetId="4" hidden="1">#REF!,#REF!,#REF!,#REF!,#REF!,#REF!,#REF!,#REF!</definedName>
    <definedName name="UtilCap" localSheetId="9" hidden="1">#REF!,#REF!,#REF!,#REF!,#REF!,#REF!,#REF!,#REF!</definedName>
    <definedName name="UtilCap" hidden="1">#REF!,#REF!,#REF!,#REF!,#REF!,#REF!,#REF!,#REF!</definedName>
    <definedName name="UtilProd" localSheetId="4" hidden="1">#REF!,#REF!,#REF!,#REF!,#REF!,#REF!,#REF!,#REF!</definedName>
    <definedName name="UtilProd" localSheetId="9" hidden="1">#REF!,#REF!,#REF!,#REF!,#REF!,#REF!,#REF!,#REF!</definedName>
    <definedName name="UtilProd" hidden="1">#REF!,#REF!,#REF!,#REF!,#REF!,#REF!,#REF!,#REF!</definedName>
    <definedName name="V" localSheetId="4">#REF!</definedName>
    <definedName name="V" localSheetId="5">#REF!</definedName>
    <definedName name="V" localSheetId="15">#REF!</definedName>
    <definedName name="V" localSheetId="19">#REF!</definedName>
    <definedName name="V" localSheetId="18">#REF!</definedName>
    <definedName name="V" localSheetId="14">#REF!</definedName>
    <definedName name="V" localSheetId="12">#REF!</definedName>
    <definedName name="V" localSheetId="24">#REF!</definedName>
    <definedName name="V" localSheetId="7">#REF!</definedName>
    <definedName name="V" localSheetId="20">#REF!</definedName>
    <definedName name="V" localSheetId="21">#REF!</definedName>
    <definedName name="V" localSheetId="11">#REF!</definedName>
    <definedName name="V" localSheetId="17">#REF!</definedName>
    <definedName name="V" localSheetId="16">#REF!</definedName>
    <definedName name="V" localSheetId="22">#REF!</definedName>
    <definedName name="V" localSheetId="9">#REF!</definedName>
    <definedName name="V" localSheetId="13">#REF!</definedName>
    <definedName name="V" localSheetId="23">#REF!</definedName>
    <definedName name="V">#REF!</definedName>
    <definedName name="vae" localSheetId="4">#REF!</definedName>
    <definedName name="vae" localSheetId="5">#REF!</definedName>
    <definedName name="vae" localSheetId="15">#REF!</definedName>
    <definedName name="vae" localSheetId="19">#REF!</definedName>
    <definedName name="vae" localSheetId="18">#REF!</definedName>
    <definedName name="vae" localSheetId="14">#REF!</definedName>
    <definedName name="vae" localSheetId="12">#REF!</definedName>
    <definedName name="vae" localSheetId="24">#REF!</definedName>
    <definedName name="vae" localSheetId="7">#REF!</definedName>
    <definedName name="vae" localSheetId="20">#REF!</definedName>
    <definedName name="vae" localSheetId="21">#REF!</definedName>
    <definedName name="vae" localSheetId="11">#REF!</definedName>
    <definedName name="vae" localSheetId="17">#REF!</definedName>
    <definedName name="vae" localSheetId="16">#REF!</definedName>
    <definedName name="vae" localSheetId="22">#REF!</definedName>
    <definedName name="vae" localSheetId="9">#REF!</definedName>
    <definedName name="vae" localSheetId="13">#REF!</definedName>
    <definedName name="vae" localSheetId="23">#REF!</definedName>
    <definedName name="vae">#REF!</definedName>
    <definedName name="VAL" localSheetId="4">#REF!</definedName>
    <definedName name="VAL" localSheetId="5">#REF!</definedName>
    <definedName name="VAL" localSheetId="15">#REF!</definedName>
    <definedName name="VAL" localSheetId="19">#REF!</definedName>
    <definedName name="VAL" localSheetId="18">#REF!</definedName>
    <definedName name="VAL" localSheetId="14">#REF!</definedName>
    <definedName name="VAL" localSheetId="12">#REF!</definedName>
    <definedName name="VAL" localSheetId="24">#REF!</definedName>
    <definedName name="VAL" localSheetId="7">#REF!</definedName>
    <definedName name="VAL" localSheetId="20">#REF!</definedName>
    <definedName name="VAL" localSheetId="21">#REF!</definedName>
    <definedName name="VAL" localSheetId="11">#REF!</definedName>
    <definedName name="VAL" localSheetId="17">#REF!</definedName>
    <definedName name="VAL" localSheetId="16">#REF!</definedName>
    <definedName name="VAL" localSheetId="22">#REF!</definedName>
    <definedName name="VAL" localSheetId="9">#REF!</definedName>
    <definedName name="VAL" localSheetId="13">#REF!</definedName>
    <definedName name="VAL" localSheetId="23">#REF!</definedName>
    <definedName name="VAL">#REF!</definedName>
    <definedName name="VAL_CellNote" localSheetId="4">#REF!</definedName>
    <definedName name="VAL_CellNote" localSheetId="5">#REF!</definedName>
    <definedName name="VAL_CellNote" localSheetId="15">#REF!</definedName>
    <definedName name="VAL_CellNote" localSheetId="19">#REF!</definedName>
    <definedName name="VAL_CellNote" localSheetId="18">#REF!</definedName>
    <definedName name="VAL_CellNote" localSheetId="14">#REF!</definedName>
    <definedName name="VAL_CellNote" localSheetId="12">#REF!</definedName>
    <definedName name="VAL_CellNote" localSheetId="24">#REF!</definedName>
    <definedName name="VAL_CellNote" localSheetId="7">#REF!</definedName>
    <definedName name="VAL_CellNote" localSheetId="20">#REF!</definedName>
    <definedName name="VAL_CellNote" localSheetId="21">#REF!</definedName>
    <definedName name="VAL_CellNote" localSheetId="11">#REF!</definedName>
    <definedName name="VAL_CellNote" localSheetId="17">#REF!</definedName>
    <definedName name="VAL_CellNote" localSheetId="16">#REF!</definedName>
    <definedName name="VAL_CellNote" localSheetId="22">#REF!</definedName>
    <definedName name="VAL_CellNote" localSheetId="9">#REF!</definedName>
    <definedName name="VAL_CellNote" localSheetId="13">#REF!</definedName>
    <definedName name="VAL_CellNote" localSheetId="23">#REF!</definedName>
    <definedName name="VAL_CellNote">#REF!</definedName>
    <definedName name="VAL_SUM" localSheetId="4">#REF!</definedName>
    <definedName name="VAL_SUM" localSheetId="9">#REF!</definedName>
    <definedName name="VAL_SUM">#REF!</definedName>
    <definedName name="VALID_FORMATS">#REF!</definedName>
    <definedName name="validate_Equity_Data" localSheetId="4">#REF!</definedName>
    <definedName name="validate_Equity_Data" localSheetId="15">#REF!</definedName>
    <definedName name="validate_Equity_Data" localSheetId="19">#REF!</definedName>
    <definedName name="validate_Equity_Data" localSheetId="18">#REF!</definedName>
    <definedName name="validate_Equity_Data" localSheetId="14">#REF!</definedName>
    <definedName name="validate_Equity_Data" localSheetId="12">#REF!</definedName>
    <definedName name="validate_Equity_Data" localSheetId="24">#REF!</definedName>
    <definedName name="validate_Equity_Data" localSheetId="7">#REF!</definedName>
    <definedName name="validate_Equity_Data" localSheetId="20">#REF!</definedName>
    <definedName name="validate_Equity_Data" localSheetId="21">#REF!</definedName>
    <definedName name="validate_Equity_Data" localSheetId="11">#REF!</definedName>
    <definedName name="validate_Equity_Data" localSheetId="17">#REF!</definedName>
    <definedName name="validate_Equity_Data" localSheetId="16">#REF!</definedName>
    <definedName name="validate_Equity_Data" localSheetId="22">#REF!</definedName>
    <definedName name="validate_Equity_Data" localSheetId="13">#REF!</definedName>
    <definedName name="validate_Equity_Data" localSheetId="23">#REF!</definedName>
    <definedName name="validate_Equity_Data">#REF!</definedName>
    <definedName name="valn_jb">#REF!</definedName>
    <definedName name="valu">#REF!</definedName>
    <definedName name="valuation" localSheetId="4">#REF!</definedName>
    <definedName name="valuation" localSheetId="9">#REF!</definedName>
    <definedName name="valuation">#REF!</definedName>
    <definedName name="Valuation_date" localSheetId="4">#REF!</definedName>
    <definedName name="Valuation_date" localSheetId="9">#REF!</definedName>
    <definedName name="Valuation_date">#REF!</definedName>
    <definedName name="valuationprint">#REF!</definedName>
    <definedName name="VALUE" localSheetId="4">#REF!</definedName>
    <definedName name="VALUE" localSheetId="9">#REF!</definedName>
    <definedName name="VALUE">#REF!</definedName>
    <definedName name="Value_of_Equity" localSheetId="4">#REF!</definedName>
    <definedName name="Value_of_Equity" localSheetId="5">#REF!</definedName>
    <definedName name="Value_of_Equity" localSheetId="15">#REF!</definedName>
    <definedName name="Value_of_Equity" localSheetId="19">#REF!</definedName>
    <definedName name="Value_of_Equity" localSheetId="18">#REF!</definedName>
    <definedName name="Value_of_Equity" localSheetId="14">#REF!</definedName>
    <definedName name="Value_of_Equity" localSheetId="12">#REF!</definedName>
    <definedName name="Value_of_Equity" localSheetId="24">#REF!</definedName>
    <definedName name="Value_of_Equity" localSheetId="7">#REF!</definedName>
    <definedName name="Value_of_Equity" localSheetId="20">#REF!</definedName>
    <definedName name="Value_of_Equity" localSheetId="21">#REF!</definedName>
    <definedName name="Value_of_Equity" localSheetId="11">#REF!</definedName>
    <definedName name="Value_of_Equity" localSheetId="17">#REF!</definedName>
    <definedName name="Value_of_Equity" localSheetId="16">#REF!</definedName>
    <definedName name="Value_of_Equity" localSheetId="22">#REF!</definedName>
    <definedName name="Value_of_Equity" localSheetId="9">#REF!</definedName>
    <definedName name="Value_of_Equity" localSheetId="13">#REF!</definedName>
    <definedName name="Value_of_Equity" localSheetId="23">#REF!</definedName>
    <definedName name="Value_of_Equity">#REF!</definedName>
    <definedName name="Value_of_Firm" localSheetId="4">#REF!</definedName>
    <definedName name="Value_of_Firm" localSheetId="9">#REF!</definedName>
    <definedName name="Value_of_Firm">#REF!</definedName>
    <definedName name="value_of_investment" localSheetId="4">#REF!</definedName>
    <definedName name="value_of_investment" localSheetId="5">#REF!</definedName>
    <definedName name="value_of_investment" localSheetId="15">#REF!</definedName>
    <definedName name="value_of_investment" localSheetId="19">#REF!</definedName>
    <definedName name="value_of_investment" localSheetId="18">#REF!</definedName>
    <definedName name="value_of_investment" localSheetId="14">#REF!</definedName>
    <definedName name="value_of_investment" localSheetId="12">#REF!</definedName>
    <definedName name="value_of_investment" localSheetId="24">#REF!</definedName>
    <definedName name="value_of_investment" localSheetId="7">#REF!</definedName>
    <definedName name="value_of_investment" localSheetId="20">#REF!</definedName>
    <definedName name="value_of_investment" localSheetId="21">#REF!</definedName>
    <definedName name="value_of_investment" localSheetId="11">#REF!</definedName>
    <definedName name="value_of_investment" localSheetId="17">#REF!</definedName>
    <definedName name="value_of_investment" localSheetId="16">#REF!</definedName>
    <definedName name="value_of_investment" localSheetId="22">#REF!</definedName>
    <definedName name="value_of_investment" localSheetId="9">#REF!</definedName>
    <definedName name="value_of_investment" localSheetId="13">#REF!</definedName>
    <definedName name="value_of_investment" localSheetId="23">#REF!</definedName>
    <definedName name="value_of_investment">#REF!</definedName>
    <definedName name="value_of_non_core_assets">#REF!</definedName>
    <definedName name="Value_of_Unconsol._Subs" localSheetId="4">#REF!</definedName>
    <definedName name="Value_of_Unconsol._Subs" localSheetId="9">#REF!</definedName>
    <definedName name="Value_of_Unconsol._Subs">#REF!</definedName>
    <definedName name="Value_per_share" localSheetId="4">#REF!</definedName>
    <definedName name="Value_per_share" localSheetId="9">#REF!</definedName>
    <definedName name="Value_per_share">#REF!</definedName>
    <definedName name="VarExp">#REF!</definedName>
    <definedName name="VarNames">#REF!</definedName>
    <definedName name="vay" localSheetId="4">#REF!</definedName>
    <definedName name="vay" localSheetId="5">#REF!</definedName>
    <definedName name="vay" localSheetId="15">#REF!</definedName>
    <definedName name="vay" localSheetId="19">#REF!</definedName>
    <definedName name="vay" localSheetId="18">#REF!</definedName>
    <definedName name="vay" localSheetId="14">#REF!</definedName>
    <definedName name="vay" localSheetId="12">#REF!</definedName>
    <definedName name="vay" localSheetId="24">#REF!</definedName>
    <definedName name="vay" localSheetId="7">#REF!</definedName>
    <definedName name="vay" localSheetId="20">#REF!</definedName>
    <definedName name="vay" localSheetId="21">#REF!</definedName>
    <definedName name="vay" localSheetId="11">#REF!</definedName>
    <definedName name="vay" localSheetId="17">#REF!</definedName>
    <definedName name="vay" localSheetId="16">#REF!</definedName>
    <definedName name="vay" localSheetId="22">#REF!</definedName>
    <definedName name="vay" localSheetId="9">#REF!</definedName>
    <definedName name="vay" localSheetId="13">#REF!</definedName>
    <definedName name="vay" localSheetId="23">#REF!</definedName>
    <definedName name="vay">#REF!</definedName>
    <definedName name="vbv" localSheetId="4">#REF!</definedName>
    <definedName name="vbv" localSheetId="5">#REF!</definedName>
    <definedName name="vbv" localSheetId="15">#REF!</definedName>
    <definedName name="vbv" localSheetId="19">#REF!</definedName>
    <definedName name="vbv" localSheetId="18">#REF!</definedName>
    <definedName name="vbv" localSheetId="14">#REF!</definedName>
    <definedName name="vbv" localSheetId="12">#REF!</definedName>
    <definedName name="vbv" localSheetId="24">#REF!</definedName>
    <definedName name="vbv" localSheetId="7">#REF!</definedName>
    <definedName name="vbv" localSheetId="20">#REF!</definedName>
    <definedName name="vbv" localSheetId="21">#REF!</definedName>
    <definedName name="vbv" localSheetId="11">#REF!</definedName>
    <definedName name="vbv" localSheetId="17">#REF!</definedName>
    <definedName name="vbv" localSheetId="16">#REF!</definedName>
    <definedName name="vbv" localSheetId="22">#REF!</definedName>
    <definedName name="vbv" localSheetId="9">#REF!</definedName>
    <definedName name="vbv" localSheetId="13">#REF!</definedName>
    <definedName name="vbv" localSheetId="23">#REF!</definedName>
    <definedName name="vbv">#REF!</definedName>
    <definedName name="vcf" localSheetId="4">#REF!</definedName>
    <definedName name="vcf" localSheetId="5">#REF!</definedName>
    <definedName name="vcf" localSheetId="15">#REF!</definedName>
    <definedName name="vcf" localSheetId="19">#REF!</definedName>
    <definedName name="vcf" localSheetId="18">#REF!</definedName>
    <definedName name="vcf" localSheetId="14">#REF!</definedName>
    <definedName name="vcf" localSheetId="12">#REF!</definedName>
    <definedName name="vcf" localSheetId="24">#REF!</definedName>
    <definedName name="vcf" localSheetId="7">#REF!</definedName>
    <definedName name="vcf" localSheetId="20">#REF!</definedName>
    <definedName name="vcf" localSheetId="21">#REF!</definedName>
    <definedName name="vcf" localSheetId="11">#REF!</definedName>
    <definedName name="vcf" localSheetId="17">#REF!</definedName>
    <definedName name="vcf" localSheetId="16">#REF!</definedName>
    <definedName name="vcf" localSheetId="22">#REF!</definedName>
    <definedName name="vcf" localSheetId="9">#REF!</definedName>
    <definedName name="vcf" localSheetId="13">#REF!</definedName>
    <definedName name="vcf" localSheetId="23">#REF!</definedName>
    <definedName name="vcf">#REF!</definedName>
    <definedName name="vdp" localSheetId="4">#REF!</definedName>
    <definedName name="vdp" localSheetId="9">#REF!</definedName>
    <definedName name="vdp">#REF!</definedName>
    <definedName name="veb" localSheetId="4">#REF!</definedName>
    <definedName name="veb" localSheetId="9">#REF!</definedName>
    <definedName name="veb">#REF!</definedName>
    <definedName name="veg" localSheetId="4">#REF!</definedName>
    <definedName name="veg" localSheetId="9">#REF!</definedName>
    <definedName name="veg">#REF!</definedName>
    <definedName name="Vehicles_AD">#REF!</definedName>
    <definedName name="Vehicles_Dep">#REF!</definedName>
    <definedName name="Vehicles_GB">#REF!</definedName>
    <definedName name="Vehicles_NB">#REF!</definedName>
    <definedName name="vep" localSheetId="4">#REF!</definedName>
    <definedName name="vep" localSheetId="5">#REF!</definedName>
    <definedName name="vep" localSheetId="15">#REF!</definedName>
    <definedName name="vep" localSheetId="19">#REF!</definedName>
    <definedName name="vep" localSheetId="18">#REF!</definedName>
    <definedName name="vep" localSheetId="14">#REF!</definedName>
    <definedName name="vep" localSheetId="12">#REF!</definedName>
    <definedName name="vep" localSheetId="24">#REF!</definedName>
    <definedName name="vep" localSheetId="7">#REF!</definedName>
    <definedName name="vep" localSheetId="20">#REF!</definedName>
    <definedName name="vep" localSheetId="21">#REF!</definedName>
    <definedName name="vep" localSheetId="11">#REF!</definedName>
    <definedName name="vep" localSheetId="17">#REF!</definedName>
    <definedName name="vep" localSheetId="16">#REF!</definedName>
    <definedName name="vep" localSheetId="22">#REF!</definedName>
    <definedName name="vep" localSheetId="9">#REF!</definedName>
    <definedName name="vep" localSheetId="13">#REF!</definedName>
    <definedName name="vep" localSheetId="23">#REF!</definedName>
    <definedName name="vep">#REF!</definedName>
    <definedName name="VERSION" localSheetId="4">#REF!</definedName>
    <definedName name="VERSION" localSheetId="9">#REF!</definedName>
    <definedName name="VERSION">#REF!</definedName>
    <definedName name="Vessel_Cost" localSheetId="4">#REF!</definedName>
    <definedName name="Vessel_Cost" localSheetId="5">#REF!</definedName>
    <definedName name="Vessel_Cost" localSheetId="15">#REF!</definedName>
    <definedName name="Vessel_Cost" localSheetId="19">#REF!</definedName>
    <definedName name="Vessel_Cost" localSheetId="18">#REF!</definedName>
    <definedName name="Vessel_Cost" localSheetId="14">#REF!</definedName>
    <definedName name="Vessel_Cost" localSheetId="12">#REF!</definedName>
    <definedName name="Vessel_Cost" localSheetId="24">#REF!</definedName>
    <definedName name="Vessel_Cost" localSheetId="7">#REF!</definedName>
    <definedName name="Vessel_Cost" localSheetId="20">#REF!</definedName>
    <definedName name="Vessel_Cost" localSheetId="21">#REF!</definedName>
    <definedName name="Vessel_Cost" localSheetId="11">#REF!</definedName>
    <definedName name="Vessel_Cost" localSheetId="17">#REF!</definedName>
    <definedName name="Vessel_Cost" localSheetId="16">#REF!</definedName>
    <definedName name="Vessel_Cost" localSheetId="22">#REF!</definedName>
    <definedName name="Vessel_Cost" localSheetId="9">#REF!</definedName>
    <definedName name="Vessel_Cost" localSheetId="13">#REF!</definedName>
    <definedName name="Vessel_Cost" localSheetId="23">#REF!</definedName>
    <definedName name="Vessel_Cost">#REF!</definedName>
    <definedName name="vev" localSheetId="4">#REF!</definedName>
    <definedName name="vev" localSheetId="5">#REF!</definedName>
    <definedName name="vev" localSheetId="15">#REF!</definedName>
    <definedName name="vev" localSheetId="19">#REF!</definedName>
    <definedName name="vev" localSheetId="18">#REF!</definedName>
    <definedName name="vev" localSheetId="14">#REF!</definedName>
    <definedName name="vev" localSheetId="12">#REF!</definedName>
    <definedName name="vev" localSheetId="24">#REF!</definedName>
    <definedName name="vev" localSheetId="7">#REF!</definedName>
    <definedName name="vev" localSheetId="20">#REF!</definedName>
    <definedName name="vev" localSheetId="21">#REF!</definedName>
    <definedName name="vev" localSheetId="11">#REF!</definedName>
    <definedName name="vev" localSheetId="17">#REF!</definedName>
    <definedName name="vev" localSheetId="16">#REF!</definedName>
    <definedName name="vev" localSheetId="22">#REF!</definedName>
    <definedName name="vev" localSheetId="9">#REF!</definedName>
    <definedName name="vev" localSheetId="13">#REF!</definedName>
    <definedName name="vev" localSheetId="23">#REF!</definedName>
    <definedName name="vev">#REF!</definedName>
    <definedName name="VEVA" localSheetId="4">#REF!</definedName>
    <definedName name="VEVA" localSheetId="9">#REF!</definedName>
    <definedName name="VEVA">#REF!</definedName>
    <definedName name="vey" localSheetId="4">#REF!</definedName>
    <definedName name="vey" localSheetId="5">#REF!</definedName>
    <definedName name="vey" localSheetId="15">#REF!</definedName>
    <definedName name="vey" localSheetId="19">#REF!</definedName>
    <definedName name="vey" localSheetId="18">#REF!</definedName>
    <definedName name="vey" localSheetId="14">#REF!</definedName>
    <definedName name="vey" localSheetId="12">#REF!</definedName>
    <definedName name="vey" localSheetId="24">#REF!</definedName>
    <definedName name="vey" localSheetId="7">#REF!</definedName>
    <definedName name="vey" localSheetId="20">#REF!</definedName>
    <definedName name="vey" localSheetId="21">#REF!</definedName>
    <definedName name="vey" localSheetId="11">#REF!</definedName>
    <definedName name="vey" localSheetId="17">#REF!</definedName>
    <definedName name="vey" localSheetId="16">#REF!</definedName>
    <definedName name="vey" localSheetId="22">#REF!</definedName>
    <definedName name="vey" localSheetId="9">#REF!</definedName>
    <definedName name="vey" localSheetId="13">#REF!</definedName>
    <definedName name="vey" localSheetId="23">#REF!</definedName>
    <definedName name="vey">#REF!</definedName>
    <definedName name="vfa" localSheetId="4">#REF!</definedName>
    <definedName name="vfa" localSheetId="5">#REF!</definedName>
    <definedName name="vfa" localSheetId="15">#REF!</definedName>
    <definedName name="vfa" localSheetId="19">#REF!</definedName>
    <definedName name="vfa" localSheetId="18">#REF!</definedName>
    <definedName name="vfa" localSheetId="14">#REF!</definedName>
    <definedName name="vfa" localSheetId="12">#REF!</definedName>
    <definedName name="vfa" localSheetId="24">#REF!</definedName>
    <definedName name="vfa" localSheetId="7">#REF!</definedName>
    <definedName name="vfa" localSheetId="20">#REF!</definedName>
    <definedName name="vfa" localSheetId="21">#REF!</definedName>
    <definedName name="vfa" localSheetId="11">#REF!</definedName>
    <definedName name="vfa" localSheetId="17">#REF!</definedName>
    <definedName name="vfa" localSheetId="16">#REF!</definedName>
    <definedName name="vfa" localSheetId="22">#REF!</definedName>
    <definedName name="vfa" localSheetId="9">#REF!</definedName>
    <definedName name="vfa" localSheetId="13">#REF!</definedName>
    <definedName name="vfa" localSheetId="23">#REF!</definedName>
    <definedName name="vfa">#REF!</definedName>
    <definedName name="vgd" localSheetId="4">#REF!</definedName>
    <definedName name="vgd" localSheetId="5">#REF!</definedName>
    <definedName name="vgd" localSheetId="15">#REF!</definedName>
    <definedName name="vgd" localSheetId="19">#REF!</definedName>
    <definedName name="vgd" localSheetId="18">#REF!</definedName>
    <definedName name="vgd" localSheetId="14">#REF!</definedName>
    <definedName name="vgd" localSheetId="12">#REF!</definedName>
    <definedName name="vgd" localSheetId="24">#REF!</definedName>
    <definedName name="vgd" localSheetId="7">#REF!</definedName>
    <definedName name="vgd" localSheetId="20">#REF!</definedName>
    <definedName name="vgd" localSheetId="21">#REF!</definedName>
    <definedName name="vgd" localSheetId="11">#REF!</definedName>
    <definedName name="vgd" localSheetId="17">#REF!</definedName>
    <definedName name="vgd" localSheetId="16">#REF!</definedName>
    <definedName name="vgd" localSheetId="22">#REF!</definedName>
    <definedName name="vgd" localSheetId="9">#REF!</definedName>
    <definedName name="vgd" localSheetId="13">#REF!</definedName>
    <definedName name="vgd" localSheetId="23">#REF!</definedName>
    <definedName name="vgd">#REF!</definedName>
    <definedName name="via" localSheetId="4">#REF!</definedName>
    <definedName name="via" localSheetId="9">#REF!</definedName>
    <definedName name="via">#REF!</definedName>
    <definedName name="vikas" localSheetId="4">#REF!</definedName>
    <definedName name="vikas" localSheetId="9">#REF!</definedName>
    <definedName name="vikas">#REF!</definedName>
    <definedName name="vio" localSheetId="4">#REF!</definedName>
    <definedName name="vio" localSheetId="9">#REF!</definedName>
    <definedName name="vio">#REF!</definedName>
    <definedName name="vmv" localSheetId="4">#REF!</definedName>
    <definedName name="vmv" localSheetId="9">#REF!</definedName>
    <definedName name="vmv">#REF!</definedName>
    <definedName name="vnd" localSheetId="4">#REF!</definedName>
    <definedName name="vnd" localSheetId="9">#REF!</definedName>
    <definedName name="vnd">#REF!</definedName>
    <definedName name="vol" localSheetId="4">#REF!</definedName>
    <definedName name="vol" localSheetId="5">#REF!</definedName>
    <definedName name="vol" localSheetId="15">#REF!</definedName>
    <definedName name="vol" localSheetId="19">#REF!</definedName>
    <definedName name="vol" localSheetId="18">#REF!</definedName>
    <definedName name="vol" localSheetId="14">#REF!</definedName>
    <definedName name="vol" localSheetId="12">#REF!</definedName>
    <definedName name="vol" localSheetId="24">#REF!</definedName>
    <definedName name="vol" localSheetId="7">#REF!</definedName>
    <definedName name="vol" localSheetId="20">#REF!</definedName>
    <definedName name="vol" localSheetId="21">#REF!</definedName>
    <definedName name="vol" localSheetId="11">#REF!</definedName>
    <definedName name="vol" localSheetId="17">#REF!</definedName>
    <definedName name="vol" localSheetId="16">#REF!</definedName>
    <definedName name="vol" localSheetId="22">#REF!</definedName>
    <definedName name="vol" localSheetId="9">#REF!</definedName>
    <definedName name="vol" localSheetId="13">#REF!</definedName>
    <definedName name="vol" localSheetId="23">#REF!</definedName>
    <definedName name="vol">#REF!</definedName>
    <definedName name="Volatility">#REF!</definedName>
    <definedName name="vpx" localSheetId="4">#REF!</definedName>
    <definedName name="vpx" localSheetId="5">#REF!</definedName>
    <definedName name="vpx" localSheetId="15">#REF!</definedName>
    <definedName name="vpx" localSheetId="19">#REF!</definedName>
    <definedName name="vpx" localSheetId="18">#REF!</definedName>
    <definedName name="vpx" localSheetId="14">#REF!</definedName>
    <definedName name="vpx" localSheetId="12">#REF!</definedName>
    <definedName name="vpx" localSheetId="24">#REF!</definedName>
    <definedName name="vpx" localSheetId="7">#REF!</definedName>
    <definedName name="vpx" localSheetId="20">#REF!</definedName>
    <definedName name="vpx" localSheetId="21">#REF!</definedName>
    <definedName name="vpx" localSheetId="11">#REF!</definedName>
    <definedName name="vpx" localSheetId="17">#REF!</definedName>
    <definedName name="vpx" localSheetId="16">#REF!</definedName>
    <definedName name="vpx" localSheetId="22">#REF!</definedName>
    <definedName name="vpx" localSheetId="9">#REF!</definedName>
    <definedName name="vpx" localSheetId="13">#REF!</definedName>
    <definedName name="vpx" localSheetId="23">#REF!</definedName>
    <definedName name="vpx">#REF!</definedName>
    <definedName name="vr"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vrn" localSheetId="4">#REF!</definedName>
    <definedName name="vrn" localSheetId="5">#REF!</definedName>
    <definedName name="vrn" localSheetId="15">#REF!</definedName>
    <definedName name="vrn" localSheetId="19">#REF!</definedName>
    <definedName name="vrn" localSheetId="18">#REF!</definedName>
    <definedName name="vrn" localSheetId="14">#REF!</definedName>
    <definedName name="vrn" localSheetId="12">#REF!</definedName>
    <definedName name="vrn" localSheetId="24">#REF!</definedName>
    <definedName name="vrn" localSheetId="7">#REF!</definedName>
    <definedName name="vrn" localSheetId="20">#REF!</definedName>
    <definedName name="vrn" localSheetId="21">#REF!</definedName>
    <definedName name="vrn" localSheetId="11">#REF!</definedName>
    <definedName name="vrn" localSheetId="17">#REF!</definedName>
    <definedName name="vrn" localSheetId="16">#REF!</definedName>
    <definedName name="vrn" localSheetId="22">#REF!</definedName>
    <definedName name="vrn" localSheetId="9">#REF!</definedName>
    <definedName name="vrn" localSheetId="13">#REF!</definedName>
    <definedName name="vrn" localSheetId="23">#REF!</definedName>
    <definedName name="vrn">#REF!</definedName>
    <definedName name="vsp" localSheetId="4">#REF!</definedName>
    <definedName name="vsp" localSheetId="5">#REF!</definedName>
    <definedName name="vsp" localSheetId="15">#REF!</definedName>
    <definedName name="vsp" localSheetId="19">#REF!</definedName>
    <definedName name="vsp" localSheetId="18">#REF!</definedName>
    <definedName name="vsp" localSheetId="14">#REF!</definedName>
    <definedName name="vsp" localSheetId="12">#REF!</definedName>
    <definedName name="vsp" localSheetId="24">#REF!</definedName>
    <definedName name="vsp" localSheetId="7">#REF!</definedName>
    <definedName name="vsp" localSheetId="20">#REF!</definedName>
    <definedName name="vsp" localSheetId="21">#REF!</definedName>
    <definedName name="vsp" localSheetId="11">#REF!</definedName>
    <definedName name="vsp" localSheetId="17">#REF!</definedName>
    <definedName name="vsp" localSheetId="16">#REF!</definedName>
    <definedName name="vsp" localSheetId="22">#REF!</definedName>
    <definedName name="vsp" localSheetId="9">#REF!</definedName>
    <definedName name="vsp" localSheetId="13">#REF!</definedName>
    <definedName name="vsp" localSheetId="23">#REF!</definedName>
    <definedName name="vsp">#REF!</definedName>
    <definedName name="vva" localSheetId="4">#REF!</definedName>
    <definedName name="vva" localSheetId="5">#REF!</definedName>
    <definedName name="vva" localSheetId="15">#REF!</definedName>
    <definedName name="vva" localSheetId="19">#REF!</definedName>
    <definedName name="vva" localSheetId="18">#REF!</definedName>
    <definedName name="vva" localSheetId="14">#REF!</definedName>
    <definedName name="vva" localSheetId="12">#REF!</definedName>
    <definedName name="vva" localSheetId="24">#REF!</definedName>
    <definedName name="vva" localSheetId="7">#REF!</definedName>
    <definedName name="vva" localSheetId="20">#REF!</definedName>
    <definedName name="vva" localSheetId="21">#REF!</definedName>
    <definedName name="vva" localSheetId="11">#REF!</definedName>
    <definedName name="vva" localSheetId="17">#REF!</definedName>
    <definedName name="vva" localSheetId="16">#REF!</definedName>
    <definedName name="vva" localSheetId="22">#REF!</definedName>
    <definedName name="vva" localSheetId="9">#REF!</definedName>
    <definedName name="vva" localSheetId="13">#REF!</definedName>
    <definedName name="vva" localSheetId="23">#REF!</definedName>
    <definedName name="vva">#REF!</definedName>
    <definedName name="vvv" localSheetId="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1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18"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2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2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2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1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2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localSheetId="2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vvvvvvvvvvvvvvvvvvvvvvv" localSheetId="4" hidden="1">{#N/A,#N/A,FALSE,"Monthly";#N/A,#N/A,FALSE,"Hong Kong";#N/A,#N/A,FALSE,"New York";#N/A,#N/A,FALSE,"London";#N/A,#N/A,FALSE,"Singapore";#N/A,#N/A,FALSE,"Australia";#N/A,#N/A,FALSE,"Korea"}</definedName>
    <definedName name="vvvvvvvvvvvvvvvvvvvvvvv" localSheetId="5" hidden="1">{#N/A,#N/A,FALSE,"Monthly";#N/A,#N/A,FALSE,"Hong Kong";#N/A,#N/A,FALSE,"New York";#N/A,#N/A,FALSE,"London";#N/A,#N/A,FALSE,"Singapore";#N/A,#N/A,FALSE,"Australia";#N/A,#N/A,FALSE,"Korea"}</definedName>
    <definedName name="vvvvvvvvvvvvvvvvvvvvvvv" localSheetId="15" hidden="1">{#N/A,#N/A,FALSE,"Monthly";#N/A,#N/A,FALSE,"Hong Kong";#N/A,#N/A,FALSE,"New York";#N/A,#N/A,FALSE,"London";#N/A,#N/A,FALSE,"Singapore";#N/A,#N/A,FALSE,"Australia";#N/A,#N/A,FALSE,"Korea"}</definedName>
    <definedName name="vvvvvvvvvvvvvvvvvvvvvvv" localSheetId="19" hidden="1">{#N/A,#N/A,FALSE,"Monthly";#N/A,#N/A,FALSE,"Hong Kong";#N/A,#N/A,FALSE,"New York";#N/A,#N/A,FALSE,"London";#N/A,#N/A,FALSE,"Singapore";#N/A,#N/A,FALSE,"Australia";#N/A,#N/A,FALSE,"Korea"}</definedName>
    <definedName name="vvvvvvvvvvvvvvvvvvvvvvv" localSheetId="18" hidden="1">{#N/A,#N/A,FALSE,"Monthly";#N/A,#N/A,FALSE,"Hong Kong";#N/A,#N/A,FALSE,"New York";#N/A,#N/A,FALSE,"London";#N/A,#N/A,FALSE,"Singapore";#N/A,#N/A,FALSE,"Australia";#N/A,#N/A,FALSE,"Korea"}</definedName>
    <definedName name="vvvvvvvvvvvvvvvvvvvvvvv" localSheetId="14" hidden="1">{#N/A,#N/A,FALSE,"Monthly";#N/A,#N/A,FALSE,"Hong Kong";#N/A,#N/A,FALSE,"New York";#N/A,#N/A,FALSE,"London";#N/A,#N/A,FALSE,"Singapore";#N/A,#N/A,FALSE,"Australia";#N/A,#N/A,FALSE,"Korea"}</definedName>
    <definedName name="vvvvvvvvvvvvvvvvvvvvvvv" localSheetId="12" hidden="1">{#N/A,#N/A,FALSE,"Monthly";#N/A,#N/A,FALSE,"Hong Kong";#N/A,#N/A,FALSE,"New York";#N/A,#N/A,FALSE,"London";#N/A,#N/A,FALSE,"Singapore";#N/A,#N/A,FALSE,"Australia";#N/A,#N/A,FALSE,"Korea"}</definedName>
    <definedName name="vvvvvvvvvvvvvvvvvvvvvvv" localSheetId="24" hidden="1">{#N/A,#N/A,FALSE,"Monthly";#N/A,#N/A,FALSE,"Hong Kong";#N/A,#N/A,FALSE,"New York";#N/A,#N/A,FALSE,"London";#N/A,#N/A,FALSE,"Singapore";#N/A,#N/A,FALSE,"Australia";#N/A,#N/A,FALSE,"Korea"}</definedName>
    <definedName name="vvvvvvvvvvvvvvvvvvvvvvv" localSheetId="7" hidden="1">{#N/A,#N/A,FALSE,"Monthly";#N/A,#N/A,FALSE,"Hong Kong";#N/A,#N/A,FALSE,"New York";#N/A,#N/A,FALSE,"London";#N/A,#N/A,FALSE,"Singapore";#N/A,#N/A,FALSE,"Australia";#N/A,#N/A,FALSE,"Korea"}</definedName>
    <definedName name="vvvvvvvvvvvvvvvvvvvvvvv" localSheetId="20" hidden="1">{#N/A,#N/A,FALSE,"Monthly";#N/A,#N/A,FALSE,"Hong Kong";#N/A,#N/A,FALSE,"New York";#N/A,#N/A,FALSE,"London";#N/A,#N/A,FALSE,"Singapore";#N/A,#N/A,FALSE,"Australia";#N/A,#N/A,FALSE,"Korea"}</definedName>
    <definedName name="vvvvvvvvvvvvvvvvvvvvvvv" localSheetId="21" hidden="1">{#N/A,#N/A,FALSE,"Monthly";#N/A,#N/A,FALSE,"Hong Kong";#N/A,#N/A,FALSE,"New York";#N/A,#N/A,FALSE,"London";#N/A,#N/A,FALSE,"Singapore";#N/A,#N/A,FALSE,"Australia";#N/A,#N/A,FALSE,"Korea"}</definedName>
    <definedName name="vvvvvvvvvvvvvvvvvvvvvvv" localSheetId="11" hidden="1">{#N/A,#N/A,FALSE,"Monthly";#N/A,#N/A,FALSE,"Hong Kong";#N/A,#N/A,FALSE,"New York";#N/A,#N/A,FALSE,"London";#N/A,#N/A,FALSE,"Singapore";#N/A,#N/A,FALSE,"Australia";#N/A,#N/A,FALSE,"Korea"}</definedName>
    <definedName name="vvvvvvvvvvvvvvvvvvvvvvv" localSheetId="17" hidden="1">{#N/A,#N/A,FALSE,"Monthly";#N/A,#N/A,FALSE,"Hong Kong";#N/A,#N/A,FALSE,"New York";#N/A,#N/A,FALSE,"London";#N/A,#N/A,FALSE,"Singapore";#N/A,#N/A,FALSE,"Australia";#N/A,#N/A,FALSE,"Korea"}</definedName>
    <definedName name="vvvvvvvvvvvvvvvvvvvvvvv" localSheetId="16" hidden="1">{#N/A,#N/A,FALSE,"Monthly";#N/A,#N/A,FALSE,"Hong Kong";#N/A,#N/A,FALSE,"New York";#N/A,#N/A,FALSE,"London";#N/A,#N/A,FALSE,"Singapore";#N/A,#N/A,FALSE,"Australia";#N/A,#N/A,FALSE,"Korea"}</definedName>
    <definedName name="vvvvvvvvvvvvvvvvvvvvvvv" localSheetId="22" hidden="1">{#N/A,#N/A,FALSE,"Monthly";#N/A,#N/A,FALSE,"Hong Kong";#N/A,#N/A,FALSE,"New York";#N/A,#N/A,FALSE,"London";#N/A,#N/A,FALSE,"Singapore";#N/A,#N/A,FALSE,"Australia";#N/A,#N/A,FALSE,"Korea"}</definedName>
    <definedName name="vvvvvvvvvvvvvvvvvvvvvvv" localSheetId="9" hidden="1">{#N/A,#N/A,FALSE,"Monthly";#N/A,#N/A,FALSE,"Hong Kong";#N/A,#N/A,FALSE,"New York";#N/A,#N/A,FALSE,"London";#N/A,#N/A,FALSE,"Singapore";#N/A,#N/A,FALSE,"Australia";#N/A,#N/A,FALSE,"Korea"}</definedName>
    <definedName name="vvvvvvvvvvvvvvvvvvvvvvv" localSheetId="13" hidden="1">{#N/A,#N/A,FALSE,"Monthly";#N/A,#N/A,FALSE,"Hong Kong";#N/A,#N/A,FALSE,"New York";#N/A,#N/A,FALSE,"London";#N/A,#N/A,FALSE,"Singapore";#N/A,#N/A,FALSE,"Australia";#N/A,#N/A,FALSE,"Korea"}</definedName>
    <definedName name="vvvvvvvvvvvvvvvvvvvvvvv" localSheetId="23" hidden="1">{#N/A,#N/A,FALSE,"Monthly";#N/A,#N/A,FALSE,"Hong Kong";#N/A,#N/A,FALSE,"New York";#N/A,#N/A,FALSE,"London";#N/A,#N/A,FALSE,"Singapore";#N/A,#N/A,FALSE,"Australia";#N/A,#N/A,FALSE,"Korea"}</definedName>
    <definedName name="vvvvvvvvvvvvvvvvvvvvvvv" hidden="1">{#N/A,#N/A,FALSE,"Monthly";#N/A,#N/A,FALSE,"Hong Kong";#N/A,#N/A,FALSE,"New York";#N/A,#N/A,FALSE,"London";#N/A,#N/A,FALSE,"Singapore";#N/A,#N/A,FALSE,"Australia";#N/A,#N/A,FALSE,"Korea"}</definedName>
    <definedName name="w" localSheetId="4" hidden="1">{"quarterly",#N/A,FALSE,"Income Statement";#N/A,#N/A,FALSE,"print segment";#N/A,#N/A,FALSE,"Balance Sheet";#N/A,#N/A,FALSE,"Annl Inc";#N/A,#N/A,FALSE,"Cash Flow"}</definedName>
    <definedName name="w" localSheetId="5" hidden="1">{"quarterly",#N/A,FALSE,"Income Statement";#N/A,#N/A,FALSE,"print segment";#N/A,#N/A,FALSE,"Balance Sheet";#N/A,#N/A,FALSE,"Annl Inc";#N/A,#N/A,FALSE,"Cash Flow"}</definedName>
    <definedName name="w" localSheetId="15" hidden="1">{"quarterly",#N/A,FALSE,"Income Statement";#N/A,#N/A,FALSE,"print segment";#N/A,#N/A,FALSE,"Balance Sheet";#N/A,#N/A,FALSE,"Annl Inc";#N/A,#N/A,FALSE,"Cash Flow"}</definedName>
    <definedName name="w" localSheetId="19" hidden="1">{"quarterly",#N/A,FALSE,"Income Statement";#N/A,#N/A,FALSE,"print segment";#N/A,#N/A,FALSE,"Balance Sheet";#N/A,#N/A,FALSE,"Annl Inc";#N/A,#N/A,FALSE,"Cash Flow"}</definedName>
    <definedName name="w" localSheetId="18" hidden="1">{"quarterly",#N/A,FALSE,"Income Statement";#N/A,#N/A,FALSE,"print segment";#N/A,#N/A,FALSE,"Balance Sheet";#N/A,#N/A,FALSE,"Annl Inc";#N/A,#N/A,FALSE,"Cash Flow"}</definedName>
    <definedName name="w" localSheetId="14" hidden="1">{"quarterly",#N/A,FALSE,"Income Statement";#N/A,#N/A,FALSE,"print segment";#N/A,#N/A,FALSE,"Balance Sheet";#N/A,#N/A,FALSE,"Annl Inc";#N/A,#N/A,FALSE,"Cash Flow"}</definedName>
    <definedName name="w" localSheetId="12" hidden="1">{"quarterly",#N/A,FALSE,"Income Statement";#N/A,#N/A,FALSE,"print segment";#N/A,#N/A,FALSE,"Balance Sheet";#N/A,#N/A,FALSE,"Annl Inc";#N/A,#N/A,FALSE,"Cash Flow"}</definedName>
    <definedName name="w" localSheetId="24" hidden="1">{"quarterly",#N/A,FALSE,"Income Statement";#N/A,#N/A,FALSE,"print segment";#N/A,#N/A,FALSE,"Balance Sheet";#N/A,#N/A,FALSE,"Annl Inc";#N/A,#N/A,FALSE,"Cash Flow"}</definedName>
    <definedName name="w" localSheetId="7" hidden="1">{"quarterly",#N/A,FALSE,"Income Statement";#N/A,#N/A,FALSE,"print segment";#N/A,#N/A,FALSE,"Balance Sheet";#N/A,#N/A,FALSE,"Annl Inc";#N/A,#N/A,FALSE,"Cash Flow"}</definedName>
    <definedName name="w" localSheetId="20" hidden="1">{"quarterly",#N/A,FALSE,"Income Statement";#N/A,#N/A,FALSE,"print segment";#N/A,#N/A,FALSE,"Balance Sheet";#N/A,#N/A,FALSE,"Annl Inc";#N/A,#N/A,FALSE,"Cash Flow"}</definedName>
    <definedName name="w" localSheetId="21" hidden="1">{"quarterly",#N/A,FALSE,"Income Statement";#N/A,#N/A,FALSE,"print segment";#N/A,#N/A,FALSE,"Balance Sheet";#N/A,#N/A,FALSE,"Annl Inc";#N/A,#N/A,FALSE,"Cash Flow"}</definedName>
    <definedName name="w" localSheetId="11" hidden="1">{"quarterly",#N/A,FALSE,"Income Statement";#N/A,#N/A,FALSE,"print segment";#N/A,#N/A,FALSE,"Balance Sheet";#N/A,#N/A,FALSE,"Annl Inc";#N/A,#N/A,FALSE,"Cash Flow"}</definedName>
    <definedName name="w" localSheetId="17" hidden="1">{"quarterly",#N/A,FALSE,"Income Statement";#N/A,#N/A,FALSE,"print segment";#N/A,#N/A,FALSE,"Balance Sheet";#N/A,#N/A,FALSE,"Annl Inc";#N/A,#N/A,FALSE,"Cash Flow"}</definedName>
    <definedName name="w" localSheetId="16" hidden="1">{"quarterly",#N/A,FALSE,"Income Statement";#N/A,#N/A,FALSE,"print segment";#N/A,#N/A,FALSE,"Balance Sheet";#N/A,#N/A,FALSE,"Annl Inc";#N/A,#N/A,FALSE,"Cash Flow"}</definedName>
    <definedName name="w" localSheetId="22" hidden="1">{"quarterly",#N/A,FALSE,"Income Statement";#N/A,#N/A,FALSE,"print segment";#N/A,#N/A,FALSE,"Balance Sheet";#N/A,#N/A,FALSE,"Annl Inc";#N/A,#N/A,FALSE,"Cash Flow"}</definedName>
    <definedName name="w" localSheetId="9" hidden="1">{"quarterly",#N/A,FALSE,"Income Statement";#N/A,#N/A,FALSE,"print segment";#N/A,#N/A,FALSE,"Balance Sheet";#N/A,#N/A,FALSE,"Annl Inc";#N/A,#N/A,FALSE,"Cash Flow"}</definedName>
    <definedName name="w" localSheetId="13" hidden="1">{"quarterly",#N/A,FALSE,"Income Statement";#N/A,#N/A,FALSE,"print segment";#N/A,#N/A,FALSE,"Balance Sheet";#N/A,#N/A,FALSE,"Annl Inc";#N/A,#N/A,FALSE,"Cash Flow"}</definedName>
    <definedName name="w" localSheetId="23" hidden="1">{"quarterly",#N/A,FALSE,"Income Statement";#N/A,#N/A,FALSE,"print segment";#N/A,#N/A,FALSE,"Balance Sheet";#N/A,#N/A,FALSE,"Annl Inc";#N/A,#N/A,FALSE,"Cash Flow"}</definedName>
    <definedName name="w" hidden="1">{"quarterly",#N/A,FALSE,"Income Statement";#N/A,#N/A,FALSE,"print segment";#N/A,#N/A,FALSE,"Balance Sheet";#N/A,#N/A,FALSE,"Annl Inc";#N/A,#N/A,FALSE,"Cash Flow"}</definedName>
    <definedName name="wacc">#REF!</definedName>
    <definedName name="WACC_1" localSheetId="4">#REF!</definedName>
    <definedName name="WACC_1" localSheetId="5">#REF!</definedName>
    <definedName name="WACC_1" localSheetId="15">#REF!</definedName>
    <definedName name="WACC_1" localSheetId="19">#REF!</definedName>
    <definedName name="WACC_1" localSheetId="18">#REF!</definedName>
    <definedName name="WACC_1" localSheetId="14">#REF!</definedName>
    <definedName name="WACC_1" localSheetId="12">#REF!</definedName>
    <definedName name="WACC_1" localSheetId="24">#REF!</definedName>
    <definedName name="WACC_1" localSheetId="7">#REF!</definedName>
    <definedName name="WACC_1" localSheetId="20">#REF!</definedName>
    <definedName name="WACC_1" localSheetId="21">#REF!</definedName>
    <definedName name="WACC_1" localSheetId="11">#REF!</definedName>
    <definedName name="WACC_1" localSheetId="17">#REF!</definedName>
    <definedName name="WACC_1" localSheetId="16">#REF!</definedName>
    <definedName name="WACC_1" localSheetId="22">#REF!</definedName>
    <definedName name="WACC_1" localSheetId="9">#REF!</definedName>
    <definedName name="WACC_1" localSheetId="13">#REF!</definedName>
    <definedName name="WACC_1" localSheetId="23">#REF!</definedName>
    <definedName name="WACC_1">#REF!</definedName>
    <definedName name="WACC_10" localSheetId="4">#REF!</definedName>
    <definedName name="WACC_10" localSheetId="5">#REF!</definedName>
    <definedName name="WACC_10" localSheetId="15">#REF!</definedName>
    <definedName name="WACC_10" localSheetId="19">#REF!</definedName>
    <definedName name="WACC_10" localSheetId="18">#REF!</definedName>
    <definedName name="WACC_10" localSheetId="14">#REF!</definedName>
    <definedName name="WACC_10" localSheetId="12">#REF!</definedName>
    <definedName name="WACC_10" localSheetId="24">#REF!</definedName>
    <definedName name="WACC_10" localSheetId="7">#REF!</definedName>
    <definedName name="WACC_10" localSheetId="20">#REF!</definedName>
    <definedName name="WACC_10" localSheetId="21">#REF!</definedName>
    <definedName name="WACC_10" localSheetId="11">#REF!</definedName>
    <definedName name="WACC_10" localSheetId="17">#REF!</definedName>
    <definedName name="WACC_10" localSheetId="16">#REF!</definedName>
    <definedName name="WACC_10" localSheetId="22">#REF!</definedName>
    <definedName name="WACC_10" localSheetId="9">#REF!</definedName>
    <definedName name="WACC_10" localSheetId="13">#REF!</definedName>
    <definedName name="WACC_10" localSheetId="23">#REF!</definedName>
    <definedName name="WACC_10">#REF!</definedName>
    <definedName name="WACC_11" localSheetId="4">#REF!</definedName>
    <definedName name="WACC_11" localSheetId="5">#REF!</definedName>
    <definedName name="WACC_11" localSheetId="15">#REF!</definedName>
    <definedName name="WACC_11" localSheetId="19">#REF!</definedName>
    <definedName name="WACC_11" localSheetId="18">#REF!</definedName>
    <definedName name="WACC_11" localSheetId="14">#REF!</definedName>
    <definedName name="WACC_11" localSheetId="12">#REF!</definedName>
    <definedName name="WACC_11" localSheetId="24">#REF!</definedName>
    <definedName name="WACC_11" localSheetId="7">#REF!</definedName>
    <definedName name="WACC_11" localSheetId="20">#REF!</definedName>
    <definedName name="WACC_11" localSheetId="21">#REF!</definedName>
    <definedName name="WACC_11" localSheetId="11">#REF!</definedName>
    <definedName name="WACC_11" localSheetId="17">#REF!</definedName>
    <definedName name="WACC_11" localSheetId="16">#REF!</definedName>
    <definedName name="WACC_11" localSheetId="22">#REF!</definedName>
    <definedName name="WACC_11" localSheetId="9">#REF!</definedName>
    <definedName name="WACC_11" localSheetId="13">#REF!</definedName>
    <definedName name="WACC_11" localSheetId="23">#REF!</definedName>
    <definedName name="WACC_11">#REF!</definedName>
    <definedName name="WACC_12" localSheetId="4">#REF!</definedName>
    <definedName name="WACC_12" localSheetId="9">#REF!</definedName>
    <definedName name="WACC_12">#REF!</definedName>
    <definedName name="WACC_13" localSheetId="4">#REF!</definedName>
    <definedName name="WACC_13" localSheetId="9">#REF!</definedName>
    <definedName name="WACC_13">#REF!</definedName>
    <definedName name="WACC_14" localSheetId="4">#REF!</definedName>
    <definedName name="WACC_14" localSheetId="9">#REF!</definedName>
    <definedName name="WACC_14">#REF!</definedName>
    <definedName name="WACC_2" localSheetId="4">#REF!</definedName>
    <definedName name="WACC_2" localSheetId="9">#REF!</definedName>
    <definedName name="WACC_2">#REF!</definedName>
    <definedName name="WACC_3" localSheetId="4">#REF!</definedName>
    <definedName name="WACC_3" localSheetId="9">#REF!</definedName>
    <definedName name="WACC_3">#REF!</definedName>
    <definedName name="WACC_4" localSheetId="4">#REF!</definedName>
    <definedName name="WACC_4" localSheetId="9">#REF!</definedName>
    <definedName name="WACC_4">#REF!</definedName>
    <definedName name="WACC_5" localSheetId="4">#REF!</definedName>
    <definedName name="WACC_5" localSheetId="9">#REF!</definedName>
    <definedName name="WACC_5">#REF!</definedName>
    <definedName name="WACC_6" localSheetId="4">#REF!</definedName>
    <definedName name="WACC_6" localSheetId="9">#REF!</definedName>
    <definedName name="WACC_6">#REF!</definedName>
    <definedName name="WACC_7" localSheetId="4">#REF!</definedName>
    <definedName name="WACC_7" localSheetId="9">#REF!</definedName>
    <definedName name="WACC_7">#REF!</definedName>
    <definedName name="WACC_8" localSheetId="4">#REF!</definedName>
    <definedName name="WACC_8" localSheetId="9">#REF!</definedName>
    <definedName name="WACC_8">#REF!</definedName>
    <definedName name="WACC_9" localSheetId="4">#REF!</definedName>
    <definedName name="WACC_9" localSheetId="9">#REF!</definedName>
    <definedName name="WACC_9">#REF!</definedName>
    <definedName name="WACC_fore" localSheetId="4">#REF!</definedName>
    <definedName name="WACC_fore" localSheetId="9">#REF!</definedName>
    <definedName name="WACC_fore">#REF!</definedName>
    <definedName name="WACC_P" localSheetId="4">#REF!</definedName>
    <definedName name="WACC_P" localSheetId="9">#REF!</definedName>
    <definedName name="WACC_P">#REF!</definedName>
    <definedName name="WACC_P_1" localSheetId="4">#REF!</definedName>
    <definedName name="WACC_P_1" localSheetId="9">#REF!</definedName>
    <definedName name="WACC_P_1">#REF!</definedName>
    <definedName name="WACC_P_10" localSheetId="4">#REF!</definedName>
    <definedName name="WACC_P_10" localSheetId="9">#REF!</definedName>
    <definedName name="WACC_P_10">#REF!</definedName>
    <definedName name="WACC_P_11" localSheetId="4">#REF!</definedName>
    <definedName name="WACC_P_11" localSheetId="9">#REF!</definedName>
    <definedName name="WACC_P_11">#REF!</definedName>
    <definedName name="WACC_P_12" localSheetId="4">#REF!</definedName>
    <definedName name="WACC_P_12" localSheetId="9">#REF!</definedName>
    <definedName name="WACC_P_12">#REF!</definedName>
    <definedName name="WACC_P_13" localSheetId="4">#REF!</definedName>
    <definedName name="WACC_P_13" localSheetId="9">#REF!</definedName>
    <definedName name="WACC_P_13">#REF!</definedName>
    <definedName name="WACC_P_14" localSheetId="4">#REF!</definedName>
    <definedName name="WACC_P_14" localSheetId="9">#REF!</definedName>
    <definedName name="WACC_P_14">#REF!</definedName>
    <definedName name="WACC_P_2" localSheetId="4">#REF!</definedName>
    <definedName name="WACC_P_2" localSheetId="9">#REF!</definedName>
    <definedName name="WACC_P_2">#REF!</definedName>
    <definedName name="WACC_P_3" localSheetId="4">#REF!</definedName>
    <definedName name="WACC_P_3" localSheetId="9">#REF!</definedName>
    <definedName name="WACC_P_3">#REF!</definedName>
    <definedName name="WACC_P_4" localSheetId="4">#REF!</definedName>
    <definedName name="WACC_P_4" localSheetId="9">#REF!</definedName>
    <definedName name="WACC_P_4">#REF!</definedName>
    <definedName name="WACC_P_5" localSheetId="4">#REF!</definedName>
    <definedName name="WACC_P_5" localSheetId="9">#REF!</definedName>
    <definedName name="WACC_P_5">#REF!</definedName>
    <definedName name="WACC_P_6" localSheetId="4">#REF!</definedName>
    <definedName name="WACC_P_6" localSheetId="9">#REF!</definedName>
    <definedName name="WACC_P_6">#REF!</definedName>
    <definedName name="WACC_P_7" localSheetId="4">#REF!</definedName>
    <definedName name="WACC_P_7" localSheetId="9">#REF!</definedName>
    <definedName name="WACC_P_7">#REF!</definedName>
    <definedName name="WACC_P_8">#REF!</definedName>
    <definedName name="WACC_P_9" localSheetId="4">#REF!</definedName>
    <definedName name="WACC_P_9" localSheetId="9">#REF!</definedName>
    <definedName name="WACC_P_9">#REF!</definedName>
    <definedName name="WAEqSh">#REF!</definedName>
    <definedName name="Waiting">"Picture 1"</definedName>
    <definedName name="wbh01m.BLinks">INDIRECT("FDSWMMA.XLM!mfs20.BHandler")</definedName>
    <definedName name="WCDays">#REF!</definedName>
    <definedName name="wdfwd" hidden="1">#N/A</definedName>
    <definedName name="wdw" localSheetId="4" hidden="1">{#N/A,#N/A,FALSE,"Status of Projects";#N/A,#N/A,FALSE,"CEA-TEC";#N/A,#N/A,FALSE,"U-Constr.";#N/A,#N/A,FALSE,"summary";#N/A,#N/A,FALSE,"PPP-3 yrs"}</definedName>
    <definedName name="wdw" localSheetId="9" hidden="1">{#N/A,#N/A,FALSE,"Status of Projects";#N/A,#N/A,FALSE,"CEA-TEC";#N/A,#N/A,FALSE,"U-Constr.";#N/A,#N/A,FALSE,"summary";#N/A,#N/A,FALSE,"PPP-3 yrs"}</definedName>
    <definedName name="wdw" hidden="1">{#N/A,#N/A,FALSE,"Status of Projects";#N/A,#N/A,FALSE,"CEA-TEC";#N/A,#N/A,FALSE,"U-Constr.";#N/A,#N/A,FALSE,"summary";#N/A,#N/A,FALSE,"PPP-3 yrs"}</definedName>
    <definedName name="webhosting">#REF!</definedName>
    <definedName name="webhosting1">#REF!</definedName>
    <definedName name="wef">#REF!</definedName>
    <definedName name="WeightedAverageNoShares" localSheetId="4">#REF!</definedName>
    <definedName name="WeightedAverageNoShares" localSheetId="9">#REF!</definedName>
    <definedName name="WeightedAverageNoShares">#REF!</definedName>
    <definedName name="what" localSheetId="4">#REF!</definedName>
    <definedName name="what" localSheetId="5">#REF!</definedName>
    <definedName name="what" localSheetId="15">#REF!</definedName>
    <definedName name="what" localSheetId="19">#REF!</definedName>
    <definedName name="what" localSheetId="18">#REF!</definedName>
    <definedName name="what" localSheetId="14">#REF!</definedName>
    <definedName name="what" localSheetId="12">#REF!</definedName>
    <definedName name="what" localSheetId="24">#REF!</definedName>
    <definedName name="what" localSheetId="7">#REF!</definedName>
    <definedName name="what" localSheetId="20">#REF!</definedName>
    <definedName name="what" localSheetId="21">#REF!</definedName>
    <definedName name="what" localSheetId="11">#REF!</definedName>
    <definedName name="what" localSheetId="17">#REF!</definedName>
    <definedName name="what" localSheetId="16">#REF!</definedName>
    <definedName name="what" localSheetId="22">#REF!</definedName>
    <definedName name="what" localSheetId="9">#REF!</definedName>
    <definedName name="what" localSheetId="13">#REF!</definedName>
    <definedName name="what" localSheetId="23">#REF!</definedName>
    <definedName name="what">#REF!</definedName>
    <definedName name="whbwgt">#REF!</definedName>
    <definedName name="wlbwgt">#REF!</definedName>
    <definedName name="WORKING" localSheetId="4">#REF!</definedName>
    <definedName name="WORKING" localSheetId="9">#REF!</definedName>
    <definedName name="WORKING">#REF!</definedName>
    <definedName name="working_capital" localSheetId="4">#REF!</definedName>
    <definedName name="working_capital" localSheetId="5">#REF!</definedName>
    <definedName name="working_capital" localSheetId="15">#REF!</definedName>
    <definedName name="working_capital" localSheetId="19">#REF!</definedName>
    <definedName name="working_capital" localSheetId="18">#REF!</definedName>
    <definedName name="working_capital" localSheetId="14">#REF!</definedName>
    <definedName name="working_capital" localSheetId="12">#REF!</definedName>
    <definedName name="working_capital" localSheetId="24">#REF!</definedName>
    <definedName name="working_capital" localSheetId="7">#REF!</definedName>
    <definedName name="working_capital" localSheetId="20">#REF!</definedName>
    <definedName name="working_capital" localSheetId="21">#REF!</definedName>
    <definedName name="working_capital" localSheetId="11">#REF!</definedName>
    <definedName name="working_capital" localSheetId="17">#REF!</definedName>
    <definedName name="working_capital" localSheetId="16">#REF!</definedName>
    <definedName name="working_capital" localSheetId="22">#REF!</definedName>
    <definedName name="working_capital" localSheetId="9">#REF!</definedName>
    <definedName name="working_capital" localSheetId="13">#REF!</definedName>
    <definedName name="working_capital" localSheetId="23">#REF!</definedName>
    <definedName name="working_capital">#REF!</definedName>
    <definedName name="working_capital_avg" localSheetId="4">#REF!</definedName>
    <definedName name="working_capital_avg" localSheetId="5">#REF!</definedName>
    <definedName name="working_capital_avg" localSheetId="15">#REF!</definedName>
    <definedName name="working_capital_avg" localSheetId="19">#REF!</definedName>
    <definedName name="working_capital_avg" localSheetId="18">#REF!</definedName>
    <definedName name="working_capital_avg" localSheetId="14">#REF!</definedName>
    <definedName name="working_capital_avg" localSheetId="12">#REF!</definedName>
    <definedName name="working_capital_avg" localSheetId="24">#REF!</definedName>
    <definedName name="working_capital_avg" localSheetId="7">#REF!</definedName>
    <definedName name="working_capital_avg" localSheetId="20">#REF!</definedName>
    <definedName name="working_capital_avg" localSheetId="21">#REF!</definedName>
    <definedName name="working_capital_avg" localSheetId="11">#REF!</definedName>
    <definedName name="working_capital_avg" localSheetId="17">#REF!</definedName>
    <definedName name="working_capital_avg" localSheetId="16">#REF!</definedName>
    <definedName name="working_capital_avg" localSheetId="22">#REF!</definedName>
    <definedName name="working_capital_avg" localSheetId="9">#REF!</definedName>
    <definedName name="working_capital_avg" localSheetId="13">#REF!</definedName>
    <definedName name="working_capital_avg" localSheetId="23">#REF!</definedName>
    <definedName name="working_capital_avg">#REF!</definedName>
    <definedName name="Working_Capital_ex_Cash_Curr_Invst">#REF!</definedName>
    <definedName name="Working_Capital_Loans_to_State_Electricity_Secured" localSheetId="4">#REF!</definedName>
    <definedName name="Working_Capital_Loans_to_State_Electricity_Secured" localSheetId="5">#REF!</definedName>
    <definedName name="Working_Capital_Loans_to_State_Electricity_Secured" localSheetId="15">#REF!</definedName>
    <definedName name="Working_Capital_Loans_to_State_Electricity_Secured" localSheetId="19">#REF!</definedName>
    <definedName name="Working_Capital_Loans_to_State_Electricity_Secured" localSheetId="18">#REF!</definedName>
    <definedName name="Working_Capital_Loans_to_State_Electricity_Secured" localSheetId="14">#REF!</definedName>
    <definedName name="Working_Capital_Loans_to_State_Electricity_Secured" localSheetId="12">#REF!</definedName>
    <definedName name="Working_Capital_Loans_to_State_Electricity_Secured" localSheetId="24">#REF!</definedName>
    <definedName name="Working_Capital_Loans_to_State_Electricity_Secured" localSheetId="7">#REF!</definedName>
    <definedName name="Working_Capital_Loans_to_State_Electricity_Secured" localSheetId="20">#REF!</definedName>
    <definedName name="Working_Capital_Loans_to_State_Electricity_Secured" localSheetId="21">#REF!</definedName>
    <definedName name="Working_Capital_Loans_to_State_Electricity_Secured" localSheetId="11">#REF!</definedName>
    <definedName name="Working_Capital_Loans_to_State_Electricity_Secured" localSheetId="17">#REF!</definedName>
    <definedName name="Working_Capital_Loans_to_State_Electricity_Secured" localSheetId="16">#REF!</definedName>
    <definedName name="Working_Capital_Loans_to_State_Electricity_Secured" localSheetId="22">#REF!</definedName>
    <definedName name="Working_Capital_Loans_to_State_Electricity_Secured" localSheetId="9">#REF!</definedName>
    <definedName name="Working_Capital_Loans_to_State_Electricity_Secured" localSheetId="13">#REF!</definedName>
    <definedName name="Working_Capital_Loans_to_State_Electricity_Secured" localSheetId="23">#REF!</definedName>
    <definedName name="Working_Capital_Loans_to_State_Electricity_Secured">#REF!</definedName>
    <definedName name="Working_Capital_Loans_to_State_Electricity_Unsecured" localSheetId="4">#REF!</definedName>
    <definedName name="Working_Capital_Loans_to_State_Electricity_Unsecured" localSheetId="5">#REF!</definedName>
    <definedName name="Working_Capital_Loans_to_State_Electricity_Unsecured" localSheetId="15">#REF!</definedName>
    <definedName name="Working_Capital_Loans_to_State_Electricity_Unsecured" localSheetId="19">#REF!</definedName>
    <definedName name="Working_Capital_Loans_to_State_Electricity_Unsecured" localSheetId="18">#REF!</definedName>
    <definedName name="Working_Capital_Loans_to_State_Electricity_Unsecured" localSheetId="14">#REF!</definedName>
    <definedName name="Working_Capital_Loans_to_State_Electricity_Unsecured" localSheetId="12">#REF!</definedName>
    <definedName name="Working_Capital_Loans_to_State_Electricity_Unsecured" localSheetId="24">#REF!</definedName>
    <definedName name="Working_Capital_Loans_to_State_Electricity_Unsecured" localSheetId="7">#REF!</definedName>
    <definedName name="Working_Capital_Loans_to_State_Electricity_Unsecured" localSheetId="20">#REF!</definedName>
    <definedName name="Working_Capital_Loans_to_State_Electricity_Unsecured" localSheetId="21">#REF!</definedName>
    <definedName name="Working_Capital_Loans_to_State_Electricity_Unsecured" localSheetId="11">#REF!</definedName>
    <definedName name="Working_Capital_Loans_to_State_Electricity_Unsecured" localSheetId="17">#REF!</definedName>
    <definedName name="Working_Capital_Loans_to_State_Electricity_Unsecured" localSheetId="16">#REF!</definedName>
    <definedName name="Working_Capital_Loans_to_State_Electricity_Unsecured" localSheetId="22">#REF!</definedName>
    <definedName name="Working_Capital_Loans_to_State_Electricity_Unsecured" localSheetId="9">#REF!</definedName>
    <definedName name="Working_Capital_Loans_to_State_Electricity_Unsecured" localSheetId="13">#REF!</definedName>
    <definedName name="Working_Capital_Loans_to_State_Electricity_Unsecured" localSheetId="23">#REF!</definedName>
    <definedName name="Working_Capital_Loans_to_State_Electricity_Unsecured">#REF!</definedName>
    <definedName name="Working_Capital_Loans_to_State_Electricity_Unsecured_Doubtful" localSheetId="4">#REF!</definedName>
    <definedName name="Working_Capital_Loans_to_State_Electricity_Unsecured_Doubtful" localSheetId="5">#REF!</definedName>
    <definedName name="Working_Capital_Loans_to_State_Electricity_Unsecured_Doubtful" localSheetId="15">#REF!</definedName>
    <definedName name="Working_Capital_Loans_to_State_Electricity_Unsecured_Doubtful" localSheetId="19">#REF!</definedName>
    <definedName name="Working_Capital_Loans_to_State_Electricity_Unsecured_Doubtful" localSheetId="18">#REF!</definedName>
    <definedName name="Working_Capital_Loans_to_State_Electricity_Unsecured_Doubtful" localSheetId="14">#REF!</definedName>
    <definedName name="Working_Capital_Loans_to_State_Electricity_Unsecured_Doubtful" localSheetId="12">#REF!</definedName>
    <definedName name="Working_Capital_Loans_to_State_Electricity_Unsecured_Doubtful" localSheetId="24">#REF!</definedName>
    <definedName name="Working_Capital_Loans_to_State_Electricity_Unsecured_Doubtful" localSheetId="7">#REF!</definedName>
    <definedName name="Working_Capital_Loans_to_State_Electricity_Unsecured_Doubtful" localSheetId="20">#REF!</definedName>
    <definedName name="Working_Capital_Loans_to_State_Electricity_Unsecured_Doubtful" localSheetId="21">#REF!</definedName>
    <definedName name="Working_Capital_Loans_to_State_Electricity_Unsecured_Doubtful" localSheetId="11">#REF!</definedName>
    <definedName name="Working_Capital_Loans_to_State_Electricity_Unsecured_Doubtful" localSheetId="17">#REF!</definedName>
    <definedName name="Working_Capital_Loans_to_State_Electricity_Unsecured_Doubtful" localSheetId="16">#REF!</definedName>
    <definedName name="Working_Capital_Loans_to_State_Electricity_Unsecured_Doubtful" localSheetId="22">#REF!</definedName>
    <definedName name="Working_Capital_Loans_to_State_Electricity_Unsecured_Doubtful" localSheetId="9">#REF!</definedName>
    <definedName name="Working_Capital_Loans_to_State_Electricity_Unsecured_Doubtful" localSheetId="13">#REF!</definedName>
    <definedName name="Working_Capital_Loans_to_State_Electricity_Unsecured_Doubtful" localSheetId="23">#REF!</definedName>
    <definedName name="Working_Capital_Loans_to_State_Electricity_Unsecured_Doubtful">#REF!</definedName>
    <definedName name="workingcap_sales" localSheetId="4">#REF!</definedName>
    <definedName name="workingcap_sales" localSheetId="9">#REF!</definedName>
    <definedName name="workingcap_sales">#REF!</definedName>
    <definedName name="WorkingCapital_GrossSales" localSheetId="4">#REF!</definedName>
    <definedName name="WorkingCapital_GrossSales" localSheetId="9">#REF!</definedName>
    <definedName name="WorkingCapital_GrossSales">#REF!</definedName>
    <definedName name="wrn" localSheetId="4" hidden="1">{#N/A,#N/A,FALSE,"Status of Projects";#N/A,#N/A,FALSE,"CEA-TEC";#N/A,#N/A,FALSE,"U-Constr.";#N/A,#N/A,FALSE,"summary";#N/A,#N/A,FALSE,"PPP-3 yrs"}</definedName>
    <definedName name="wrn" localSheetId="5" hidden="1">{#N/A,#N/A,FALSE,"INPUTS";#N/A,#N/A,FALSE,"PROFORMA BSHEET";#N/A,#N/A,FALSE,"COMBINED";#N/A,#N/A,FALSE,"ACQUIROR";#N/A,#N/A,FALSE,"TARGET 1";#N/A,#N/A,FALSE,"TARGET 2";#N/A,#N/A,FALSE,"HIGH YIELD";#N/A,#N/A,FALSE,"OVERFUND"}</definedName>
    <definedName name="wrn" localSheetId="15" hidden="1">{#N/A,#N/A,FALSE,"INPUTS";#N/A,#N/A,FALSE,"PROFORMA BSHEET";#N/A,#N/A,FALSE,"COMBINED";#N/A,#N/A,FALSE,"ACQUIROR";#N/A,#N/A,FALSE,"TARGET 1";#N/A,#N/A,FALSE,"TARGET 2";#N/A,#N/A,FALSE,"HIGH YIELD";#N/A,#N/A,FALSE,"OVERFUND"}</definedName>
    <definedName name="wrn" localSheetId="19" hidden="1">{#N/A,#N/A,FALSE,"INPUTS";#N/A,#N/A,FALSE,"PROFORMA BSHEET";#N/A,#N/A,FALSE,"COMBINED";#N/A,#N/A,FALSE,"ACQUIROR";#N/A,#N/A,FALSE,"TARGET 1";#N/A,#N/A,FALSE,"TARGET 2";#N/A,#N/A,FALSE,"HIGH YIELD";#N/A,#N/A,FALSE,"OVERFUND"}</definedName>
    <definedName name="wrn" localSheetId="18" hidden="1">{#N/A,#N/A,FALSE,"INPUTS";#N/A,#N/A,FALSE,"PROFORMA BSHEET";#N/A,#N/A,FALSE,"COMBINED";#N/A,#N/A,FALSE,"ACQUIROR";#N/A,#N/A,FALSE,"TARGET 1";#N/A,#N/A,FALSE,"TARGET 2";#N/A,#N/A,FALSE,"HIGH YIELD";#N/A,#N/A,FALSE,"OVERFUND"}</definedName>
    <definedName name="wrn" localSheetId="14" hidden="1">{#N/A,#N/A,FALSE,"INPUTS";#N/A,#N/A,FALSE,"PROFORMA BSHEET";#N/A,#N/A,FALSE,"COMBINED";#N/A,#N/A,FALSE,"ACQUIROR";#N/A,#N/A,FALSE,"TARGET 1";#N/A,#N/A,FALSE,"TARGET 2";#N/A,#N/A,FALSE,"HIGH YIELD";#N/A,#N/A,FALSE,"OVERFUND"}</definedName>
    <definedName name="wrn" localSheetId="12" hidden="1">{#N/A,#N/A,FALSE,"INPUTS";#N/A,#N/A,FALSE,"PROFORMA BSHEET";#N/A,#N/A,FALSE,"COMBINED";#N/A,#N/A,FALSE,"ACQUIROR";#N/A,#N/A,FALSE,"TARGET 1";#N/A,#N/A,FALSE,"TARGET 2";#N/A,#N/A,FALSE,"HIGH YIELD";#N/A,#N/A,FALSE,"OVERFUND"}</definedName>
    <definedName name="wrn" localSheetId="24" hidden="1">{#N/A,#N/A,FALSE,"INPUTS";#N/A,#N/A,FALSE,"PROFORMA BSHEET";#N/A,#N/A,FALSE,"COMBINED";#N/A,#N/A,FALSE,"ACQUIROR";#N/A,#N/A,FALSE,"TARGET 1";#N/A,#N/A,FALSE,"TARGET 2";#N/A,#N/A,FALSE,"HIGH YIELD";#N/A,#N/A,FALSE,"OVERFUND"}</definedName>
    <definedName name="wrn" localSheetId="7" hidden="1">{#N/A,#N/A,FALSE,"INPUTS";#N/A,#N/A,FALSE,"PROFORMA BSHEET";#N/A,#N/A,FALSE,"COMBINED";#N/A,#N/A,FALSE,"ACQUIROR";#N/A,#N/A,FALSE,"TARGET 1";#N/A,#N/A,FALSE,"TARGET 2";#N/A,#N/A,FALSE,"HIGH YIELD";#N/A,#N/A,FALSE,"OVERFUND"}</definedName>
    <definedName name="wrn" localSheetId="20" hidden="1">{#N/A,#N/A,FALSE,"INPUTS";#N/A,#N/A,FALSE,"PROFORMA BSHEET";#N/A,#N/A,FALSE,"COMBINED";#N/A,#N/A,FALSE,"ACQUIROR";#N/A,#N/A,FALSE,"TARGET 1";#N/A,#N/A,FALSE,"TARGET 2";#N/A,#N/A,FALSE,"HIGH YIELD";#N/A,#N/A,FALSE,"OVERFUND"}</definedName>
    <definedName name="wrn" localSheetId="21" hidden="1">{#N/A,#N/A,FALSE,"INPUTS";#N/A,#N/A,FALSE,"PROFORMA BSHEET";#N/A,#N/A,FALSE,"COMBINED";#N/A,#N/A,FALSE,"ACQUIROR";#N/A,#N/A,FALSE,"TARGET 1";#N/A,#N/A,FALSE,"TARGET 2";#N/A,#N/A,FALSE,"HIGH YIELD";#N/A,#N/A,FALSE,"OVERFUND"}</definedName>
    <definedName name="wrn" localSheetId="11" hidden="1">{#N/A,#N/A,FALSE,"INPUTS";#N/A,#N/A,FALSE,"PROFORMA BSHEET";#N/A,#N/A,FALSE,"COMBINED";#N/A,#N/A,FALSE,"ACQUIROR";#N/A,#N/A,FALSE,"TARGET 1";#N/A,#N/A,FALSE,"TARGET 2";#N/A,#N/A,FALSE,"HIGH YIELD";#N/A,#N/A,FALSE,"OVERFUND"}</definedName>
    <definedName name="wrn" localSheetId="17" hidden="1">{#N/A,#N/A,FALSE,"INPUTS";#N/A,#N/A,FALSE,"PROFORMA BSHEET";#N/A,#N/A,FALSE,"COMBINED";#N/A,#N/A,FALSE,"ACQUIROR";#N/A,#N/A,FALSE,"TARGET 1";#N/A,#N/A,FALSE,"TARGET 2";#N/A,#N/A,FALSE,"HIGH YIELD";#N/A,#N/A,FALSE,"OVERFUND"}</definedName>
    <definedName name="wrn" localSheetId="16" hidden="1">{#N/A,#N/A,FALSE,"INPUTS";#N/A,#N/A,FALSE,"PROFORMA BSHEET";#N/A,#N/A,FALSE,"COMBINED";#N/A,#N/A,FALSE,"ACQUIROR";#N/A,#N/A,FALSE,"TARGET 1";#N/A,#N/A,FALSE,"TARGET 2";#N/A,#N/A,FALSE,"HIGH YIELD";#N/A,#N/A,FALSE,"OVERFUND"}</definedName>
    <definedName name="wrn" localSheetId="22" hidden="1">{#N/A,#N/A,FALSE,"INPUTS";#N/A,#N/A,FALSE,"PROFORMA BSHEET";#N/A,#N/A,FALSE,"COMBINED";#N/A,#N/A,FALSE,"ACQUIROR";#N/A,#N/A,FALSE,"TARGET 1";#N/A,#N/A,FALSE,"TARGET 2";#N/A,#N/A,FALSE,"HIGH YIELD";#N/A,#N/A,FALSE,"OVERFUND"}</definedName>
    <definedName name="wrn" localSheetId="9" hidden="1">{#N/A,#N/A,FALSE,"Status of Projects";#N/A,#N/A,FALSE,"CEA-TEC";#N/A,#N/A,FALSE,"U-Constr.";#N/A,#N/A,FALSE,"summary";#N/A,#N/A,FALSE,"PPP-3 yrs"}</definedName>
    <definedName name="wrn" localSheetId="13" hidden="1">{#N/A,#N/A,FALSE,"INPUTS";#N/A,#N/A,FALSE,"PROFORMA BSHEET";#N/A,#N/A,FALSE,"COMBINED";#N/A,#N/A,FALSE,"ACQUIROR";#N/A,#N/A,FALSE,"TARGET 1";#N/A,#N/A,FALSE,"TARGET 2";#N/A,#N/A,FALSE,"HIGH YIELD";#N/A,#N/A,FALSE,"OVERFUND"}</definedName>
    <definedName name="wrn" localSheetId="23" hidden="1">{#N/A,#N/A,FALSE,"INPUTS";#N/A,#N/A,FALSE,"PROFORMA BSHEET";#N/A,#N/A,FALSE,"COMBINED";#N/A,#N/A,FALSE,"ACQUIROR";#N/A,#N/A,FALSE,"TARGET 1";#N/A,#N/A,FALSE,"TARGET 2";#N/A,#N/A,FALSE,"HIGH YIELD";#N/A,#N/A,FALSE,"OVERFUND"}</definedName>
    <definedName name="wrn" hidden="1">{#N/A,#N/A,FALSE,"INPUTS";#N/A,#N/A,FALSE,"PROFORMA BSHEET";#N/A,#N/A,FALSE,"COMBINED";#N/A,#N/A,FALSE,"ACQUIROR";#N/A,#N/A,FALSE,"TARGET 1";#N/A,#N/A,FALSE,"TARGET 2";#N/A,#N/A,FALSE,"HIGH YIELD";#N/A,#N/A,FALSE,"OVERFUND"}</definedName>
    <definedName name="wrn.1." localSheetId="4" hidden="1">{#N/A,#N/A,FALSE,"Scenario Summary"}</definedName>
    <definedName name="wrn.1." localSheetId="5" hidden="1">{#N/A,#N/A,FALSE,"Scenario Summary"}</definedName>
    <definedName name="wrn.1." localSheetId="15" hidden="1">{#N/A,#N/A,FALSE,"Scenario Summary"}</definedName>
    <definedName name="wrn.1." localSheetId="19" hidden="1">{#N/A,#N/A,FALSE,"Scenario Summary"}</definedName>
    <definedName name="wrn.1." localSheetId="18" hidden="1">{#N/A,#N/A,FALSE,"Scenario Summary"}</definedName>
    <definedName name="wrn.1." localSheetId="14" hidden="1">{#N/A,#N/A,FALSE,"Scenario Summary"}</definedName>
    <definedName name="wrn.1." localSheetId="12" hidden="1">{#N/A,#N/A,FALSE,"Scenario Summary"}</definedName>
    <definedName name="wrn.1." localSheetId="24" hidden="1">{#N/A,#N/A,FALSE,"Scenario Summary"}</definedName>
    <definedName name="wrn.1." localSheetId="7" hidden="1">{#N/A,#N/A,FALSE,"Scenario Summary"}</definedName>
    <definedName name="wrn.1." localSheetId="20" hidden="1">{#N/A,#N/A,FALSE,"Scenario Summary"}</definedName>
    <definedName name="wrn.1." localSheetId="21" hidden="1">{#N/A,#N/A,FALSE,"Scenario Summary"}</definedName>
    <definedName name="wrn.1." localSheetId="11" hidden="1">{#N/A,#N/A,FALSE,"Scenario Summary"}</definedName>
    <definedName name="wrn.1." localSheetId="17" hidden="1">{#N/A,#N/A,FALSE,"Scenario Summary"}</definedName>
    <definedName name="wrn.1." localSheetId="16" hidden="1">{#N/A,#N/A,FALSE,"Scenario Summary"}</definedName>
    <definedName name="wrn.1." localSheetId="22" hidden="1">{#N/A,#N/A,FALSE,"Scenario Summary"}</definedName>
    <definedName name="wrn.1." localSheetId="9" hidden="1">{#N/A,#N/A,FALSE,"Scenario Summary"}</definedName>
    <definedName name="wrn.1." localSheetId="13" hidden="1">{#N/A,#N/A,FALSE,"Scenario Summary"}</definedName>
    <definedName name="wrn.1." localSheetId="23" hidden="1">{#N/A,#N/A,FALSE,"Scenario Summary"}</definedName>
    <definedName name="wrn.1." hidden="1">{#N/A,#N/A,FALSE,"Scenario Summary"}</definedName>
    <definedName name="wrn.a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Pages."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5"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2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2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2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2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9"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2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sia."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Cochanges." hidden="1">{"valn",#N/A,FALSE,"COVER SHEET";"Interims",#N/A,FALSE,"News_Notes_Interims";"notesNews",#N/A,FALSE,"News_Notes_Interims"}</definedName>
    <definedName name="wrn.COMBINED." localSheetId="4" hidden="1">{#N/A,#N/A,FALSE,"INPUTS";#N/A,#N/A,FALSE,"PROFORMA BSHEET";#N/A,#N/A,FALSE,"COMBINED";#N/A,#N/A,FALSE,"HIGH YIELD";#N/A,#N/A,FALSE,"COMB_GRAPHS"}</definedName>
    <definedName name="wrn.COMBINED." localSheetId="5" hidden="1">{#N/A,#N/A,FALSE,"INPUTS";#N/A,#N/A,FALSE,"PROFORMA BSHEET";#N/A,#N/A,FALSE,"COMBINED";#N/A,#N/A,FALSE,"HIGH YIELD";#N/A,#N/A,FALSE,"COMB_GRAPHS"}</definedName>
    <definedName name="wrn.COMBINED." localSheetId="15" hidden="1">{#N/A,#N/A,FALSE,"INPUTS";#N/A,#N/A,FALSE,"PROFORMA BSHEET";#N/A,#N/A,FALSE,"COMBINED";#N/A,#N/A,FALSE,"HIGH YIELD";#N/A,#N/A,FALSE,"COMB_GRAPHS"}</definedName>
    <definedName name="wrn.COMBINED." localSheetId="19" hidden="1">{#N/A,#N/A,FALSE,"INPUTS";#N/A,#N/A,FALSE,"PROFORMA BSHEET";#N/A,#N/A,FALSE,"COMBINED";#N/A,#N/A,FALSE,"HIGH YIELD";#N/A,#N/A,FALSE,"COMB_GRAPHS"}</definedName>
    <definedName name="wrn.COMBINED." localSheetId="18" hidden="1">{#N/A,#N/A,FALSE,"INPUTS";#N/A,#N/A,FALSE,"PROFORMA BSHEET";#N/A,#N/A,FALSE,"COMBINED";#N/A,#N/A,FALSE,"HIGH YIELD";#N/A,#N/A,FALSE,"COMB_GRAPHS"}</definedName>
    <definedName name="wrn.COMBINED." localSheetId="14" hidden="1">{#N/A,#N/A,FALSE,"INPUTS";#N/A,#N/A,FALSE,"PROFORMA BSHEET";#N/A,#N/A,FALSE,"COMBINED";#N/A,#N/A,FALSE,"HIGH YIELD";#N/A,#N/A,FALSE,"COMB_GRAPHS"}</definedName>
    <definedName name="wrn.COMBINED." localSheetId="12" hidden="1">{#N/A,#N/A,FALSE,"INPUTS";#N/A,#N/A,FALSE,"PROFORMA BSHEET";#N/A,#N/A,FALSE,"COMBINED";#N/A,#N/A,FALSE,"HIGH YIELD";#N/A,#N/A,FALSE,"COMB_GRAPHS"}</definedName>
    <definedName name="wrn.COMBINED." localSheetId="24" hidden="1">{#N/A,#N/A,FALSE,"INPUTS";#N/A,#N/A,FALSE,"PROFORMA BSHEET";#N/A,#N/A,FALSE,"COMBINED";#N/A,#N/A,FALSE,"HIGH YIELD";#N/A,#N/A,FALSE,"COMB_GRAPHS"}</definedName>
    <definedName name="wrn.COMBINED." localSheetId="7" hidden="1">{#N/A,#N/A,FALSE,"INPUTS";#N/A,#N/A,FALSE,"PROFORMA BSHEET";#N/A,#N/A,FALSE,"COMBINED";#N/A,#N/A,FALSE,"HIGH YIELD";#N/A,#N/A,FALSE,"COMB_GRAPHS"}</definedName>
    <definedName name="wrn.COMBINED." localSheetId="20" hidden="1">{#N/A,#N/A,FALSE,"INPUTS";#N/A,#N/A,FALSE,"PROFORMA BSHEET";#N/A,#N/A,FALSE,"COMBINED";#N/A,#N/A,FALSE,"HIGH YIELD";#N/A,#N/A,FALSE,"COMB_GRAPHS"}</definedName>
    <definedName name="wrn.COMBINED." localSheetId="21" hidden="1">{#N/A,#N/A,FALSE,"INPUTS";#N/A,#N/A,FALSE,"PROFORMA BSHEET";#N/A,#N/A,FALSE,"COMBINED";#N/A,#N/A,FALSE,"HIGH YIELD";#N/A,#N/A,FALSE,"COMB_GRAPHS"}</definedName>
    <definedName name="wrn.COMBINED." localSheetId="11" hidden="1">{#N/A,#N/A,FALSE,"INPUTS";#N/A,#N/A,FALSE,"PROFORMA BSHEET";#N/A,#N/A,FALSE,"COMBINED";#N/A,#N/A,FALSE,"HIGH YIELD";#N/A,#N/A,FALSE,"COMB_GRAPHS"}</definedName>
    <definedName name="wrn.COMBINED." localSheetId="17" hidden="1">{#N/A,#N/A,FALSE,"INPUTS";#N/A,#N/A,FALSE,"PROFORMA BSHEET";#N/A,#N/A,FALSE,"COMBINED";#N/A,#N/A,FALSE,"HIGH YIELD";#N/A,#N/A,FALSE,"COMB_GRAPHS"}</definedName>
    <definedName name="wrn.COMBINED." localSheetId="16" hidden="1">{#N/A,#N/A,FALSE,"INPUTS";#N/A,#N/A,FALSE,"PROFORMA BSHEET";#N/A,#N/A,FALSE,"COMBINED";#N/A,#N/A,FALSE,"HIGH YIELD";#N/A,#N/A,FALSE,"COMB_GRAPHS"}</definedName>
    <definedName name="wrn.COMBINED." localSheetId="22" hidden="1">{#N/A,#N/A,FALSE,"INPUTS";#N/A,#N/A,FALSE,"PROFORMA BSHEET";#N/A,#N/A,FALSE,"COMBINED";#N/A,#N/A,FALSE,"HIGH YIELD";#N/A,#N/A,FALSE,"COMB_GRAPHS"}</definedName>
    <definedName name="wrn.COMBINED." localSheetId="9" hidden="1">{#N/A,#N/A,FALSE,"INPUTS";#N/A,#N/A,FALSE,"PROFORMA BSHEET";#N/A,#N/A,FALSE,"COMBINED";#N/A,#N/A,FALSE,"HIGH YIELD";#N/A,#N/A,FALSE,"COMB_GRAPHS"}</definedName>
    <definedName name="wrn.COMBINED." localSheetId="13" hidden="1">{#N/A,#N/A,FALSE,"INPUTS";#N/A,#N/A,FALSE,"PROFORMA BSHEET";#N/A,#N/A,FALSE,"COMBINED";#N/A,#N/A,FALSE,"HIGH YIELD";#N/A,#N/A,FALSE,"COMB_GRAPHS"}</definedName>
    <definedName name="wrn.COMBINED." localSheetId="23"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lete._.Report."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8"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8"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6"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OLIDATION." localSheetId="4" hidden="1">{"PAGE1",#N/A,FALSE,"Consolidation";"PAGE2",#N/A,FALSE,"Consolidation";"PAGE3",#N/A,FALSE,"Consolidation";"PAGE4",#N/A,FALSE,"Consolidation";"PAGE5",#N/A,FALSE,"Consolidation";"PAGE6",#N/A,FALSE,"Consolidation";"PAGE7",#N/A,FALSE,"Consolidation"}</definedName>
    <definedName name="wrn.CONSOLIDATION." localSheetId="5" hidden="1">{"PAGE1",#N/A,FALSE,"Consolidation";"PAGE2",#N/A,FALSE,"Consolidation";"PAGE3",#N/A,FALSE,"Consolidation";"PAGE4",#N/A,FALSE,"Consolidation";"PAGE5",#N/A,FALSE,"Consolidation";"PAGE6",#N/A,FALSE,"Consolidation";"PAGE7",#N/A,FALSE,"Consolidation"}</definedName>
    <definedName name="wrn.CONSOLIDATION." localSheetId="15" hidden="1">{"PAGE1",#N/A,FALSE,"Consolidation";"PAGE2",#N/A,FALSE,"Consolidation";"PAGE3",#N/A,FALSE,"Consolidation";"PAGE4",#N/A,FALSE,"Consolidation";"PAGE5",#N/A,FALSE,"Consolidation";"PAGE6",#N/A,FALSE,"Consolidation";"PAGE7",#N/A,FALSE,"Consolidation"}</definedName>
    <definedName name="wrn.CONSOLIDATION." localSheetId="19" hidden="1">{"PAGE1",#N/A,FALSE,"Consolidation";"PAGE2",#N/A,FALSE,"Consolidation";"PAGE3",#N/A,FALSE,"Consolidation";"PAGE4",#N/A,FALSE,"Consolidation";"PAGE5",#N/A,FALSE,"Consolidation";"PAGE6",#N/A,FALSE,"Consolidation";"PAGE7",#N/A,FALSE,"Consolidation"}</definedName>
    <definedName name="wrn.CONSOLIDATION." localSheetId="18" hidden="1">{"PAGE1",#N/A,FALSE,"Consolidation";"PAGE2",#N/A,FALSE,"Consolidation";"PAGE3",#N/A,FALSE,"Consolidation";"PAGE4",#N/A,FALSE,"Consolidation";"PAGE5",#N/A,FALSE,"Consolidation";"PAGE6",#N/A,FALSE,"Consolidation";"PAGE7",#N/A,FALSE,"Consolidation"}</definedName>
    <definedName name="wrn.CONSOLIDATION." localSheetId="14" hidden="1">{"PAGE1",#N/A,FALSE,"Consolidation";"PAGE2",#N/A,FALSE,"Consolidation";"PAGE3",#N/A,FALSE,"Consolidation";"PAGE4",#N/A,FALSE,"Consolidation";"PAGE5",#N/A,FALSE,"Consolidation";"PAGE6",#N/A,FALSE,"Consolidation";"PAGE7",#N/A,FALSE,"Consolidation"}</definedName>
    <definedName name="wrn.CONSOLIDATION." localSheetId="12" hidden="1">{"PAGE1",#N/A,FALSE,"Consolidation";"PAGE2",#N/A,FALSE,"Consolidation";"PAGE3",#N/A,FALSE,"Consolidation";"PAGE4",#N/A,FALSE,"Consolidation";"PAGE5",#N/A,FALSE,"Consolidation";"PAGE6",#N/A,FALSE,"Consolidation";"PAGE7",#N/A,FALSE,"Consolidation"}</definedName>
    <definedName name="wrn.CONSOLIDATION." localSheetId="24" hidden="1">{"PAGE1",#N/A,FALSE,"Consolidation";"PAGE2",#N/A,FALSE,"Consolidation";"PAGE3",#N/A,FALSE,"Consolidation";"PAGE4",#N/A,FALSE,"Consolidation";"PAGE5",#N/A,FALSE,"Consolidation";"PAGE6",#N/A,FALSE,"Consolidation";"PAGE7",#N/A,FALSE,"Consolidation"}</definedName>
    <definedName name="wrn.CONSOLIDATION." localSheetId="7" hidden="1">{"PAGE1",#N/A,FALSE,"Consolidation";"PAGE2",#N/A,FALSE,"Consolidation";"PAGE3",#N/A,FALSE,"Consolidation";"PAGE4",#N/A,FALSE,"Consolidation";"PAGE5",#N/A,FALSE,"Consolidation";"PAGE6",#N/A,FALSE,"Consolidation";"PAGE7",#N/A,FALSE,"Consolidation"}</definedName>
    <definedName name="wrn.CONSOLIDATION." localSheetId="20" hidden="1">{"PAGE1",#N/A,FALSE,"Consolidation";"PAGE2",#N/A,FALSE,"Consolidation";"PAGE3",#N/A,FALSE,"Consolidation";"PAGE4",#N/A,FALSE,"Consolidation";"PAGE5",#N/A,FALSE,"Consolidation";"PAGE6",#N/A,FALSE,"Consolidation";"PAGE7",#N/A,FALSE,"Consolidation"}</definedName>
    <definedName name="wrn.CONSOLIDATION." localSheetId="21" hidden="1">{"PAGE1",#N/A,FALSE,"Consolidation";"PAGE2",#N/A,FALSE,"Consolidation";"PAGE3",#N/A,FALSE,"Consolidation";"PAGE4",#N/A,FALSE,"Consolidation";"PAGE5",#N/A,FALSE,"Consolidation";"PAGE6",#N/A,FALSE,"Consolidation";"PAGE7",#N/A,FALSE,"Consolidation"}</definedName>
    <definedName name="wrn.CONSOLIDATION." localSheetId="11" hidden="1">{"PAGE1",#N/A,FALSE,"Consolidation";"PAGE2",#N/A,FALSE,"Consolidation";"PAGE3",#N/A,FALSE,"Consolidation";"PAGE4",#N/A,FALSE,"Consolidation";"PAGE5",#N/A,FALSE,"Consolidation";"PAGE6",#N/A,FALSE,"Consolidation";"PAGE7",#N/A,FALSE,"Consolidation"}</definedName>
    <definedName name="wrn.CONSOLIDATION." localSheetId="17" hidden="1">{"PAGE1",#N/A,FALSE,"Consolidation";"PAGE2",#N/A,FALSE,"Consolidation";"PAGE3",#N/A,FALSE,"Consolidation";"PAGE4",#N/A,FALSE,"Consolidation";"PAGE5",#N/A,FALSE,"Consolidation";"PAGE6",#N/A,FALSE,"Consolidation";"PAGE7",#N/A,FALSE,"Consolidation"}</definedName>
    <definedName name="wrn.CONSOLIDATION." localSheetId="16" hidden="1">{"PAGE1",#N/A,FALSE,"Consolidation";"PAGE2",#N/A,FALSE,"Consolidation";"PAGE3",#N/A,FALSE,"Consolidation";"PAGE4",#N/A,FALSE,"Consolidation";"PAGE5",#N/A,FALSE,"Consolidation";"PAGE6",#N/A,FALSE,"Consolidation";"PAGE7",#N/A,FALSE,"Consolidation"}</definedName>
    <definedName name="wrn.CONSOLIDATION." localSheetId="22" hidden="1">{"PAGE1",#N/A,FALSE,"Consolidation";"PAGE2",#N/A,FALSE,"Consolidation";"PAGE3",#N/A,FALSE,"Consolidation";"PAGE4",#N/A,FALSE,"Consolidation";"PAGE5",#N/A,FALSE,"Consolidation";"PAGE6",#N/A,FALSE,"Consolidation";"PAGE7",#N/A,FALSE,"Consolidation"}</definedName>
    <definedName name="wrn.CONSOLIDATION." localSheetId="9" hidden="1">{"PAGE1",#N/A,FALSE,"Consolidation";"PAGE2",#N/A,FALSE,"Consolidation";"PAGE3",#N/A,FALSE,"Consolidation";"PAGE4",#N/A,FALSE,"Consolidation";"PAGE5",#N/A,FALSE,"Consolidation";"PAGE6",#N/A,FALSE,"Consolidation";"PAGE7",#N/A,FALSE,"Consolidation"}</definedName>
    <definedName name="wrn.CONSOLIDATION." localSheetId="13" hidden="1">{"PAGE1",#N/A,FALSE,"Consolidation";"PAGE2",#N/A,FALSE,"Consolidation";"PAGE3",#N/A,FALSE,"Consolidation";"PAGE4",#N/A,FALSE,"Consolidation";"PAGE5",#N/A,FALSE,"Consolidation";"PAGE6",#N/A,FALSE,"Consolidation";"PAGE7",#N/A,FALSE,"Consolidation"}</definedName>
    <definedName name="wrn.CONSOLIDATION." localSheetId="23"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tribution." localSheetId="4" hidden="1">{#N/A,#N/A,FALSE,"Contribution Analysis"}</definedName>
    <definedName name="wrn.contribution." localSheetId="5" hidden="1">{#N/A,#N/A,FALSE,"Contribution Analysis"}</definedName>
    <definedName name="wrn.contribution." localSheetId="15" hidden="1">{#N/A,#N/A,FALSE,"Contribution Analysis"}</definedName>
    <definedName name="wrn.contribution." localSheetId="19" hidden="1">{#N/A,#N/A,FALSE,"Contribution Analysis"}</definedName>
    <definedName name="wrn.contribution." localSheetId="18" hidden="1">{#N/A,#N/A,FALSE,"Contribution Analysis"}</definedName>
    <definedName name="wrn.contribution." localSheetId="14" hidden="1">{#N/A,#N/A,FALSE,"Contribution Analysis"}</definedName>
    <definedName name="wrn.contribution." localSheetId="12" hidden="1">{#N/A,#N/A,FALSE,"Contribution Analysis"}</definedName>
    <definedName name="wrn.contribution." localSheetId="24" hidden="1">{#N/A,#N/A,FALSE,"Contribution Analysis"}</definedName>
    <definedName name="wrn.contribution." localSheetId="7" hidden="1">{#N/A,#N/A,FALSE,"Contribution Analysis"}</definedName>
    <definedName name="wrn.contribution." localSheetId="20" hidden="1">{#N/A,#N/A,FALSE,"Contribution Analysis"}</definedName>
    <definedName name="wrn.contribution." localSheetId="21" hidden="1">{#N/A,#N/A,FALSE,"Contribution Analysis"}</definedName>
    <definedName name="wrn.contribution." localSheetId="11" hidden="1">{#N/A,#N/A,FALSE,"Contribution Analysis"}</definedName>
    <definedName name="wrn.contribution." localSheetId="17" hidden="1">{#N/A,#N/A,FALSE,"Contribution Analysis"}</definedName>
    <definedName name="wrn.contribution." localSheetId="16" hidden="1">{#N/A,#N/A,FALSE,"Contribution Analysis"}</definedName>
    <definedName name="wrn.contribution." localSheetId="22" hidden="1">{#N/A,#N/A,FALSE,"Contribution Analysis"}</definedName>
    <definedName name="wrn.contribution." localSheetId="9" hidden="1">{#N/A,#N/A,FALSE,"Contribution Analysis"}</definedName>
    <definedName name="wrn.contribution." localSheetId="13" hidden="1">{#N/A,#N/A,FALSE,"Contribution Analysis"}</definedName>
    <definedName name="wrn.contribution." localSheetId="23" hidden="1">{#N/A,#N/A,FALSE,"Contribution Analysis"}</definedName>
    <definedName name="wrn.contribution." hidden="1">{#N/A,#N/A,FALSE,"Contribution Analysis"}</definedName>
    <definedName name="wrn.Cost._.sheet." localSheetId="4" hidden="1">{#N/A,#N/A,FALSE,"Std cost dilutes";#N/A,#N/A,FALSE,"Std cost dilutes"}</definedName>
    <definedName name="wrn.Cost._.sheet." localSheetId="5" hidden="1">{#N/A,#N/A,FALSE,"Std cost dilutes";#N/A,#N/A,FALSE,"Std cost dilutes"}</definedName>
    <definedName name="wrn.Cost._.sheet." localSheetId="15" hidden="1">{#N/A,#N/A,FALSE,"Std cost dilutes";#N/A,#N/A,FALSE,"Std cost dilutes"}</definedName>
    <definedName name="wrn.Cost._.sheet." localSheetId="19" hidden="1">{#N/A,#N/A,FALSE,"Std cost dilutes";#N/A,#N/A,FALSE,"Std cost dilutes"}</definedName>
    <definedName name="wrn.Cost._.sheet." localSheetId="18" hidden="1">{#N/A,#N/A,FALSE,"Std cost dilutes";#N/A,#N/A,FALSE,"Std cost dilutes"}</definedName>
    <definedName name="wrn.Cost._.sheet." localSheetId="14" hidden="1">{#N/A,#N/A,FALSE,"Std cost dilutes";#N/A,#N/A,FALSE,"Std cost dilutes"}</definedName>
    <definedName name="wrn.Cost._.sheet." localSheetId="12" hidden="1">{#N/A,#N/A,FALSE,"Std cost dilutes";#N/A,#N/A,FALSE,"Std cost dilutes"}</definedName>
    <definedName name="wrn.Cost._.sheet." localSheetId="24" hidden="1">{#N/A,#N/A,FALSE,"Std cost dilutes";#N/A,#N/A,FALSE,"Std cost dilutes"}</definedName>
    <definedName name="wrn.Cost._.sheet." localSheetId="7" hidden="1">{#N/A,#N/A,FALSE,"Std cost dilutes";#N/A,#N/A,FALSE,"Std cost dilutes"}</definedName>
    <definedName name="wrn.Cost._.sheet." localSheetId="20" hidden="1">{#N/A,#N/A,FALSE,"Std cost dilutes";#N/A,#N/A,FALSE,"Std cost dilutes"}</definedName>
    <definedName name="wrn.Cost._.sheet." localSheetId="21" hidden="1">{#N/A,#N/A,FALSE,"Std cost dilutes";#N/A,#N/A,FALSE,"Std cost dilutes"}</definedName>
    <definedName name="wrn.Cost._.sheet." localSheetId="11" hidden="1">{#N/A,#N/A,FALSE,"Std cost dilutes";#N/A,#N/A,FALSE,"Std cost dilutes"}</definedName>
    <definedName name="wrn.Cost._.sheet." localSheetId="17" hidden="1">{#N/A,#N/A,FALSE,"Std cost dilutes";#N/A,#N/A,FALSE,"Std cost dilutes"}</definedName>
    <definedName name="wrn.Cost._.sheet." localSheetId="16" hidden="1">{#N/A,#N/A,FALSE,"Std cost dilutes";#N/A,#N/A,FALSE,"Std cost dilutes"}</definedName>
    <definedName name="wrn.Cost._.sheet." localSheetId="22" hidden="1">{#N/A,#N/A,FALSE,"Std cost dilutes";#N/A,#N/A,FALSE,"Std cost dilutes"}</definedName>
    <definedName name="wrn.Cost._.sheet." localSheetId="9" hidden="1">{#N/A,#N/A,FALSE,"Std cost dilutes";#N/A,#N/A,FALSE,"Std cost dilutes"}</definedName>
    <definedName name="wrn.Cost._.sheet." localSheetId="13" hidden="1">{#N/A,#N/A,FALSE,"Std cost dilutes";#N/A,#N/A,FALSE,"Std cost dilutes"}</definedName>
    <definedName name="wrn.Cost._.sheet." localSheetId="23" hidden="1">{#N/A,#N/A,FALSE,"Std cost dilutes";#N/A,#N/A,FALSE,"Std cost dilutes"}</definedName>
    <definedName name="wrn.Cost._.sheet." hidden="1">{#N/A,#N/A,FALSE,"Std cost dilutes";#N/A,#N/A,FALSE,"Std cost dilutes"}</definedName>
    <definedName name="wrn.Cover." localSheetId="4" hidden="1">{"coverall",#N/A,FALSE,"Definitions";"cover1",#N/A,FALSE,"Definitions";"cover2",#N/A,FALSE,"Definitions";"cover3",#N/A,FALSE,"Definitions";"cover4",#N/A,FALSE,"Definitions";"cover5",#N/A,FALSE,"Definitions";"blank",#N/A,FALSE,"Definitions"}</definedName>
    <definedName name="wrn.Cover." localSheetId="5" hidden="1">{"coverall",#N/A,FALSE,"Definitions";"cover1",#N/A,FALSE,"Definitions";"cover2",#N/A,FALSE,"Definitions";"cover3",#N/A,FALSE,"Definitions";"cover4",#N/A,FALSE,"Definitions";"cover5",#N/A,FALSE,"Definitions";"blank",#N/A,FALSE,"Definitions"}</definedName>
    <definedName name="wrn.Cover." localSheetId="15" hidden="1">{"coverall",#N/A,FALSE,"Definitions";"cover1",#N/A,FALSE,"Definitions";"cover2",#N/A,FALSE,"Definitions";"cover3",#N/A,FALSE,"Definitions";"cover4",#N/A,FALSE,"Definitions";"cover5",#N/A,FALSE,"Definitions";"blank",#N/A,FALSE,"Definitions"}</definedName>
    <definedName name="wrn.Cover." localSheetId="19" hidden="1">{"coverall",#N/A,FALSE,"Definitions";"cover1",#N/A,FALSE,"Definitions";"cover2",#N/A,FALSE,"Definitions";"cover3",#N/A,FALSE,"Definitions";"cover4",#N/A,FALSE,"Definitions";"cover5",#N/A,FALSE,"Definitions";"blank",#N/A,FALSE,"Definitions"}</definedName>
    <definedName name="wrn.Cover." localSheetId="18" hidden="1">{"coverall",#N/A,FALSE,"Definitions";"cover1",#N/A,FALSE,"Definitions";"cover2",#N/A,FALSE,"Definitions";"cover3",#N/A,FALSE,"Definitions";"cover4",#N/A,FALSE,"Definitions";"cover5",#N/A,FALSE,"Definitions";"blank",#N/A,FALSE,"Definitions"}</definedName>
    <definedName name="wrn.Cover." localSheetId="14" hidden="1">{"coverall",#N/A,FALSE,"Definitions";"cover1",#N/A,FALSE,"Definitions";"cover2",#N/A,FALSE,"Definitions";"cover3",#N/A,FALSE,"Definitions";"cover4",#N/A,FALSE,"Definitions";"cover5",#N/A,FALSE,"Definitions";"blank",#N/A,FALSE,"Definitions"}</definedName>
    <definedName name="wrn.Cover." localSheetId="12" hidden="1">{"coverall",#N/A,FALSE,"Definitions";"cover1",#N/A,FALSE,"Definitions";"cover2",#N/A,FALSE,"Definitions";"cover3",#N/A,FALSE,"Definitions";"cover4",#N/A,FALSE,"Definitions";"cover5",#N/A,FALSE,"Definitions";"blank",#N/A,FALSE,"Definitions"}</definedName>
    <definedName name="wrn.Cover." localSheetId="24" hidden="1">{"coverall",#N/A,FALSE,"Definitions";"cover1",#N/A,FALSE,"Definitions";"cover2",#N/A,FALSE,"Definitions";"cover3",#N/A,FALSE,"Definitions";"cover4",#N/A,FALSE,"Definitions";"cover5",#N/A,FALSE,"Definitions";"blank",#N/A,FALSE,"Definitions"}</definedName>
    <definedName name="wrn.Cover." localSheetId="7" hidden="1">{"coverall",#N/A,FALSE,"Definitions";"cover1",#N/A,FALSE,"Definitions";"cover2",#N/A,FALSE,"Definitions";"cover3",#N/A,FALSE,"Definitions";"cover4",#N/A,FALSE,"Definitions";"cover5",#N/A,FALSE,"Definitions";"blank",#N/A,FALSE,"Definitions"}</definedName>
    <definedName name="wrn.Cover." localSheetId="20" hidden="1">{"coverall",#N/A,FALSE,"Definitions";"cover1",#N/A,FALSE,"Definitions";"cover2",#N/A,FALSE,"Definitions";"cover3",#N/A,FALSE,"Definitions";"cover4",#N/A,FALSE,"Definitions";"cover5",#N/A,FALSE,"Definitions";"blank",#N/A,FALSE,"Definitions"}</definedName>
    <definedName name="wrn.Cover." localSheetId="21" hidden="1">{"coverall",#N/A,FALSE,"Definitions";"cover1",#N/A,FALSE,"Definitions";"cover2",#N/A,FALSE,"Definitions";"cover3",#N/A,FALSE,"Definitions";"cover4",#N/A,FALSE,"Definitions";"cover5",#N/A,FALSE,"Definitions";"blank",#N/A,FALSE,"Definitions"}</definedName>
    <definedName name="wrn.Cover." localSheetId="11" hidden="1">{"coverall",#N/A,FALSE,"Definitions";"cover1",#N/A,FALSE,"Definitions";"cover2",#N/A,FALSE,"Definitions";"cover3",#N/A,FALSE,"Definitions";"cover4",#N/A,FALSE,"Definitions";"cover5",#N/A,FALSE,"Definitions";"blank",#N/A,FALSE,"Definitions"}</definedName>
    <definedName name="wrn.Cover." localSheetId="17" hidden="1">{"coverall",#N/A,FALSE,"Definitions";"cover1",#N/A,FALSE,"Definitions";"cover2",#N/A,FALSE,"Definitions";"cover3",#N/A,FALSE,"Definitions";"cover4",#N/A,FALSE,"Definitions";"cover5",#N/A,FALSE,"Definitions";"blank",#N/A,FALSE,"Definitions"}</definedName>
    <definedName name="wrn.Cover." localSheetId="16" hidden="1">{"coverall",#N/A,FALSE,"Definitions";"cover1",#N/A,FALSE,"Definitions";"cover2",#N/A,FALSE,"Definitions";"cover3",#N/A,FALSE,"Definitions";"cover4",#N/A,FALSE,"Definitions";"cover5",#N/A,FALSE,"Definitions";"blank",#N/A,FALSE,"Definitions"}</definedName>
    <definedName name="wrn.Cover." localSheetId="22" hidden="1">{"coverall",#N/A,FALSE,"Definitions";"cover1",#N/A,FALSE,"Definitions";"cover2",#N/A,FALSE,"Definitions";"cover3",#N/A,FALSE,"Definitions";"cover4",#N/A,FALSE,"Definitions";"cover5",#N/A,FALSE,"Definitions";"blank",#N/A,FALSE,"Definitions"}</definedName>
    <definedName name="wrn.Cover." localSheetId="9" hidden="1">{"coverall",#N/A,FALSE,"Definitions";"cover1",#N/A,FALSE,"Definitions";"cover2",#N/A,FALSE,"Definitions";"cover3",#N/A,FALSE,"Definitions";"cover4",#N/A,FALSE,"Definitions";"cover5",#N/A,FALSE,"Definitions";"blank",#N/A,FALSE,"Definitions"}</definedName>
    <definedName name="wrn.Cover." localSheetId="13" hidden="1">{"coverall",#N/A,FALSE,"Definitions";"cover1",#N/A,FALSE,"Definitions";"cover2",#N/A,FALSE,"Definitions";"cover3",#N/A,FALSE,"Definitions";"cover4",#N/A,FALSE,"Definitions";"cover5",#N/A,FALSE,"Definitions";"blank",#N/A,FALSE,"Definitions"}</definedName>
    <definedName name="wrn.Cover." localSheetId="23"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4" hidden="1">{"orixcsc",#N/A,FALSE,"ORIX CSC";"orixcsc2",#N/A,FALSE,"ORIX CSC"}</definedName>
    <definedName name="wrn.csc." localSheetId="5" hidden="1">{"orixcsc",#N/A,FALSE,"ORIX CSC";"orixcsc2",#N/A,FALSE,"ORIX CSC"}</definedName>
    <definedName name="wrn.csc." localSheetId="15" hidden="1">{"orixcsc",#N/A,FALSE,"ORIX CSC";"orixcsc2",#N/A,FALSE,"ORIX CSC"}</definedName>
    <definedName name="wrn.csc." localSheetId="19" hidden="1">{"orixcsc",#N/A,FALSE,"ORIX CSC";"orixcsc2",#N/A,FALSE,"ORIX CSC"}</definedName>
    <definedName name="wrn.csc." localSheetId="18" hidden="1">{"orixcsc",#N/A,FALSE,"ORIX CSC";"orixcsc2",#N/A,FALSE,"ORIX CSC"}</definedName>
    <definedName name="wrn.csc." localSheetId="14" hidden="1">{"orixcsc",#N/A,FALSE,"ORIX CSC";"orixcsc2",#N/A,FALSE,"ORIX CSC"}</definedName>
    <definedName name="wrn.csc." localSheetId="12" hidden="1">{"orixcsc",#N/A,FALSE,"ORIX CSC";"orixcsc2",#N/A,FALSE,"ORIX CSC"}</definedName>
    <definedName name="wrn.csc." localSheetId="24" hidden="1">{"orixcsc",#N/A,FALSE,"ORIX CSC";"orixcsc2",#N/A,FALSE,"ORIX CSC"}</definedName>
    <definedName name="wrn.csc." localSheetId="7" hidden="1">{"orixcsc",#N/A,FALSE,"ORIX CSC";"orixcsc2",#N/A,FALSE,"ORIX CSC"}</definedName>
    <definedName name="wrn.csc." localSheetId="20" hidden="1">{"orixcsc",#N/A,FALSE,"ORIX CSC";"orixcsc2",#N/A,FALSE,"ORIX CSC"}</definedName>
    <definedName name="wrn.csc." localSheetId="21" hidden="1">{"orixcsc",#N/A,FALSE,"ORIX CSC";"orixcsc2",#N/A,FALSE,"ORIX CSC"}</definedName>
    <definedName name="wrn.csc." localSheetId="11" hidden="1">{"orixcsc",#N/A,FALSE,"ORIX CSC";"orixcsc2",#N/A,FALSE,"ORIX CSC"}</definedName>
    <definedName name="wrn.csc." localSheetId="17" hidden="1">{"orixcsc",#N/A,FALSE,"ORIX CSC";"orixcsc2",#N/A,FALSE,"ORIX CSC"}</definedName>
    <definedName name="wrn.csc." localSheetId="16" hidden="1">{"orixcsc",#N/A,FALSE,"ORIX CSC";"orixcsc2",#N/A,FALSE,"ORIX CSC"}</definedName>
    <definedName name="wrn.csc." localSheetId="22" hidden="1">{"orixcsc",#N/A,FALSE,"ORIX CSC";"orixcsc2",#N/A,FALSE,"ORIX CSC"}</definedName>
    <definedName name="wrn.csc." localSheetId="9" hidden="1">{"orixcsc",#N/A,FALSE,"ORIX CSC";"orixcsc2",#N/A,FALSE,"ORIX CSC"}</definedName>
    <definedName name="wrn.csc." localSheetId="13" hidden="1">{"orixcsc",#N/A,FALSE,"ORIX CSC";"orixcsc2",#N/A,FALSE,"ORIX CSC"}</definedName>
    <definedName name="wrn.csc." localSheetId="23" hidden="1">{"orixcsc",#N/A,FALSE,"ORIX CSC";"orixcsc2",#N/A,FALSE,"ORIX CSC"}</definedName>
    <definedName name="wrn.csc." hidden="1">{"orixcsc",#N/A,FALSE,"ORIX CSC";"orixcsc2",#N/A,FALSE,"ORIX CSC"}</definedName>
    <definedName name="wrn.csc2." localSheetId="4" hidden="1">{#N/A,#N/A,FALSE,"ORIX CSC"}</definedName>
    <definedName name="wrn.csc2." localSheetId="5" hidden="1">{#N/A,#N/A,FALSE,"ORIX CSC"}</definedName>
    <definedName name="wrn.csc2." localSheetId="15" hidden="1">{#N/A,#N/A,FALSE,"ORIX CSC"}</definedName>
    <definedName name="wrn.csc2." localSheetId="19" hidden="1">{#N/A,#N/A,FALSE,"ORIX CSC"}</definedName>
    <definedName name="wrn.csc2." localSheetId="18" hidden="1">{#N/A,#N/A,FALSE,"ORIX CSC"}</definedName>
    <definedName name="wrn.csc2." localSheetId="14" hidden="1">{#N/A,#N/A,FALSE,"ORIX CSC"}</definedName>
    <definedName name="wrn.csc2." localSheetId="12" hidden="1">{#N/A,#N/A,FALSE,"ORIX CSC"}</definedName>
    <definedName name="wrn.csc2." localSheetId="24" hidden="1">{#N/A,#N/A,FALSE,"ORIX CSC"}</definedName>
    <definedName name="wrn.csc2." localSheetId="7" hidden="1">{#N/A,#N/A,FALSE,"ORIX CSC"}</definedName>
    <definedName name="wrn.csc2." localSheetId="20" hidden="1">{#N/A,#N/A,FALSE,"ORIX CSC"}</definedName>
    <definedName name="wrn.csc2." localSheetId="21" hidden="1">{#N/A,#N/A,FALSE,"ORIX CSC"}</definedName>
    <definedName name="wrn.csc2." localSheetId="11" hidden="1">{#N/A,#N/A,FALSE,"ORIX CSC"}</definedName>
    <definedName name="wrn.csc2." localSheetId="17" hidden="1">{#N/A,#N/A,FALSE,"ORIX CSC"}</definedName>
    <definedName name="wrn.csc2." localSheetId="16" hidden="1">{#N/A,#N/A,FALSE,"ORIX CSC"}</definedName>
    <definedName name="wrn.csc2." localSheetId="22" hidden="1">{#N/A,#N/A,FALSE,"ORIX CSC"}</definedName>
    <definedName name="wrn.csc2." localSheetId="9" hidden="1">{#N/A,#N/A,FALSE,"ORIX CSC"}</definedName>
    <definedName name="wrn.csc2." localSheetId="13" hidden="1">{#N/A,#N/A,FALSE,"ORIX CSC"}</definedName>
    <definedName name="wrn.csc2." localSheetId="23" hidden="1">{#N/A,#N/A,FALSE,"ORIX CSC"}</definedName>
    <definedName name="wrn.csc2." hidden="1">{#N/A,#N/A,FALSE,"ORIX CSC"}</definedName>
    <definedName name="wrn.cvintl." hidden="1">{"cover",#N/A,FALSE,"COVER SHEET";#N/A,#N/A,FALSE,"TARGET PRICE";#N/A,#N/A,FALSE,"DFCF"}</definedName>
    <definedName name="wrn.datapak." localSheetId="4" hidden="1">{#N/A,#N/A,FALSE,"Status of Projects";#N/A,#N/A,FALSE,"CEA-TEC";#N/A,#N/A,FALSE,"U-Constr.";#N/A,#N/A,FALSE,"summary";#N/A,#N/A,FALSE,"PPP-3 yrs"}</definedName>
    <definedName name="wrn.datapak." localSheetId="5" hidden="1">{#N/A,#N/A,FALSE,"Status of Projects";#N/A,#N/A,FALSE,"CEA-TEC";#N/A,#N/A,FALSE,"U-Constr.";#N/A,#N/A,FALSE,"summary";#N/A,#N/A,FALSE,"PPP-3 yrs"}</definedName>
    <definedName name="wrn.datapak." localSheetId="15" hidden="1">{#N/A,#N/A,FALSE,"Status of Projects";#N/A,#N/A,FALSE,"CEA-TEC";#N/A,#N/A,FALSE,"U-Constr.";#N/A,#N/A,FALSE,"summary";#N/A,#N/A,FALSE,"PPP-3 yrs"}</definedName>
    <definedName name="wrn.datapak." localSheetId="19" hidden="1">{#N/A,#N/A,FALSE,"Status of Projects";#N/A,#N/A,FALSE,"CEA-TEC";#N/A,#N/A,FALSE,"U-Constr.";#N/A,#N/A,FALSE,"summary";#N/A,#N/A,FALSE,"PPP-3 yrs"}</definedName>
    <definedName name="wrn.datapak." localSheetId="18" hidden="1">{#N/A,#N/A,FALSE,"Status of Projects";#N/A,#N/A,FALSE,"CEA-TEC";#N/A,#N/A,FALSE,"U-Constr.";#N/A,#N/A,FALSE,"summary";#N/A,#N/A,FALSE,"PPP-3 yrs"}</definedName>
    <definedName name="wrn.datapak." localSheetId="14" hidden="1">{#N/A,#N/A,FALSE,"Status of Projects";#N/A,#N/A,FALSE,"CEA-TEC";#N/A,#N/A,FALSE,"U-Constr.";#N/A,#N/A,FALSE,"summary";#N/A,#N/A,FALSE,"PPP-3 yrs"}</definedName>
    <definedName name="wrn.datapak." localSheetId="12" hidden="1">{#N/A,#N/A,FALSE,"Status of Projects";#N/A,#N/A,FALSE,"CEA-TEC";#N/A,#N/A,FALSE,"U-Constr.";#N/A,#N/A,FALSE,"summary";#N/A,#N/A,FALSE,"PPP-3 yrs"}</definedName>
    <definedName name="wrn.datapak." localSheetId="24" hidden="1">{#N/A,#N/A,FALSE,"Status of Projects";#N/A,#N/A,FALSE,"CEA-TEC";#N/A,#N/A,FALSE,"U-Constr.";#N/A,#N/A,FALSE,"summary";#N/A,#N/A,FALSE,"PPP-3 yrs"}</definedName>
    <definedName name="wrn.datapak." localSheetId="7" hidden="1">{#N/A,#N/A,FALSE,"Status of Projects";#N/A,#N/A,FALSE,"CEA-TEC";#N/A,#N/A,FALSE,"U-Constr.";#N/A,#N/A,FALSE,"summary";#N/A,#N/A,FALSE,"PPP-3 yrs"}</definedName>
    <definedName name="wrn.datapak." localSheetId="20" hidden="1">{#N/A,#N/A,FALSE,"Status of Projects";#N/A,#N/A,FALSE,"CEA-TEC";#N/A,#N/A,FALSE,"U-Constr.";#N/A,#N/A,FALSE,"summary";#N/A,#N/A,FALSE,"PPP-3 yrs"}</definedName>
    <definedName name="wrn.datapak." localSheetId="21" hidden="1">{#N/A,#N/A,FALSE,"Status of Projects";#N/A,#N/A,FALSE,"CEA-TEC";#N/A,#N/A,FALSE,"U-Constr.";#N/A,#N/A,FALSE,"summary";#N/A,#N/A,FALSE,"PPP-3 yrs"}</definedName>
    <definedName name="wrn.datapak." localSheetId="11" hidden="1">{#N/A,#N/A,FALSE,"Status of Projects";#N/A,#N/A,FALSE,"CEA-TEC";#N/A,#N/A,FALSE,"U-Constr.";#N/A,#N/A,FALSE,"summary";#N/A,#N/A,FALSE,"PPP-3 yrs"}</definedName>
    <definedName name="wrn.datapak." localSheetId="17" hidden="1">{#N/A,#N/A,FALSE,"Status of Projects";#N/A,#N/A,FALSE,"CEA-TEC";#N/A,#N/A,FALSE,"U-Constr.";#N/A,#N/A,FALSE,"summary";#N/A,#N/A,FALSE,"PPP-3 yrs"}</definedName>
    <definedName name="wrn.datapak." localSheetId="16" hidden="1">{#N/A,#N/A,FALSE,"Status of Projects";#N/A,#N/A,FALSE,"CEA-TEC";#N/A,#N/A,FALSE,"U-Constr.";#N/A,#N/A,FALSE,"summary";#N/A,#N/A,FALSE,"PPP-3 yrs"}</definedName>
    <definedName name="wrn.datapak." localSheetId="22" hidden="1">{#N/A,#N/A,FALSE,"Status of Projects";#N/A,#N/A,FALSE,"CEA-TEC";#N/A,#N/A,FALSE,"U-Constr.";#N/A,#N/A,FALSE,"summary";#N/A,#N/A,FALSE,"PPP-3 yrs"}</definedName>
    <definedName name="wrn.datapak." localSheetId="9" hidden="1">{#N/A,#N/A,FALSE,"Status of Projects";#N/A,#N/A,FALSE,"CEA-TEC";#N/A,#N/A,FALSE,"U-Constr.";#N/A,#N/A,FALSE,"summary";#N/A,#N/A,FALSE,"PPP-3 yrs"}</definedName>
    <definedName name="wrn.datapak." localSheetId="13" hidden="1">{#N/A,#N/A,FALSE,"Status of Projects";#N/A,#N/A,FALSE,"CEA-TEC";#N/A,#N/A,FALSE,"U-Constr.";#N/A,#N/A,FALSE,"summary";#N/A,#N/A,FALSE,"PPP-3 yrs"}</definedName>
    <definedName name="wrn.datapak." localSheetId="23" hidden="1">{#N/A,#N/A,FALSE,"Status of Projects";#N/A,#N/A,FALSE,"CEA-TEC";#N/A,#N/A,FALSE,"U-Constr.";#N/A,#N/A,FALSE,"summary";#N/A,#N/A,FALSE,"PPP-3 yrs"}</definedName>
    <definedName name="wrn.datapak." hidden="1">{#N/A,#N/A,FALSE,"Status of Projects";#N/A,#N/A,FALSE,"CEA-TEC";#N/A,#N/A,FALSE,"U-Constr.";#N/A,#N/A,FALSE,"summary";#N/A,#N/A,FALSE,"PPP-3 yrs"}</definedName>
    <definedName name="wrn.datapak.1" localSheetId="4" hidden="1">{#N/A,#N/A,FALSE,"Status of Projects";#N/A,#N/A,FALSE,"CEA-TEC";#N/A,#N/A,FALSE,"U-Constr.";#N/A,#N/A,FALSE,"summary";#N/A,#N/A,FALSE,"PPP-3 yrs"}</definedName>
    <definedName name="wrn.datapak.1" localSheetId="5" hidden="1">{#N/A,#N/A,FALSE,"Status of Projects";#N/A,#N/A,FALSE,"CEA-TEC";#N/A,#N/A,FALSE,"U-Constr.";#N/A,#N/A,FALSE,"summary";#N/A,#N/A,FALSE,"PPP-3 yrs"}</definedName>
    <definedName name="wrn.datapak.1" localSheetId="15" hidden="1">{#N/A,#N/A,FALSE,"Status of Projects";#N/A,#N/A,FALSE,"CEA-TEC";#N/A,#N/A,FALSE,"U-Constr.";#N/A,#N/A,FALSE,"summary";#N/A,#N/A,FALSE,"PPP-3 yrs"}</definedName>
    <definedName name="wrn.datapak.1" localSheetId="19" hidden="1">{#N/A,#N/A,FALSE,"Status of Projects";#N/A,#N/A,FALSE,"CEA-TEC";#N/A,#N/A,FALSE,"U-Constr.";#N/A,#N/A,FALSE,"summary";#N/A,#N/A,FALSE,"PPP-3 yrs"}</definedName>
    <definedName name="wrn.datapak.1" localSheetId="18" hidden="1">{#N/A,#N/A,FALSE,"Status of Projects";#N/A,#N/A,FALSE,"CEA-TEC";#N/A,#N/A,FALSE,"U-Constr.";#N/A,#N/A,FALSE,"summary";#N/A,#N/A,FALSE,"PPP-3 yrs"}</definedName>
    <definedName name="wrn.datapak.1" localSheetId="14" hidden="1">{#N/A,#N/A,FALSE,"Status of Projects";#N/A,#N/A,FALSE,"CEA-TEC";#N/A,#N/A,FALSE,"U-Constr.";#N/A,#N/A,FALSE,"summary";#N/A,#N/A,FALSE,"PPP-3 yrs"}</definedName>
    <definedName name="wrn.datapak.1" localSheetId="12" hidden="1">{#N/A,#N/A,FALSE,"Status of Projects";#N/A,#N/A,FALSE,"CEA-TEC";#N/A,#N/A,FALSE,"U-Constr.";#N/A,#N/A,FALSE,"summary";#N/A,#N/A,FALSE,"PPP-3 yrs"}</definedName>
    <definedName name="wrn.datapak.1" localSheetId="24" hidden="1">{#N/A,#N/A,FALSE,"Status of Projects";#N/A,#N/A,FALSE,"CEA-TEC";#N/A,#N/A,FALSE,"U-Constr.";#N/A,#N/A,FALSE,"summary";#N/A,#N/A,FALSE,"PPP-3 yrs"}</definedName>
    <definedName name="wrn.datapak.1" localSheetId="7" hidden="1">{#N/A,#N/A,FALSE,"Status of Projects";#N/A,#N/A,FALSE,"CEA-TEC";#N/A,#N/A,FALSE,"U-Constr.";#N/A,#N/A,FALSE,"summary";#N/A,#N/A,FALSE,"PPP-3 yrs"}</definedName>
    <definedName name="wrn.datapak.1" localSheetId="20" hidden="1">{#N/A,#N/A,FALSE,"Status of Projects";#N/A,#N/A,FALSE,"CEA-TEC";#N/A,#N/A,FALSE,"U-Constr.";#N/A,#N/A,FALSE,"summary";#N/A,#N/A,FALSE,"PPP-3 yrs"}</definedName>
    <definedName name="wrn.datapak.1" localSheetId="21" hidden="1">{#N/A,#N/A,FALSE,"Status of Projects";#N/A,#N/A,FALSE,"CEA-TEC";#N/A,#N/A,FALSE,"U-Constr.";#N/A,#N/A,FALSE,"summary";#N/A,#N/A,FALSE,"PPP-3 yrs"}</definedName>
    <definedName name="wrn.datapak.1" localSheetId="11" hidden="1">{#N/A,#N/A,FALSE,"Status of Projects";#N/A,#N/A,FALSE,"CEA-TEC";#N/A,#N/A,FALSE,"U-Constr.";#N/A,#N/A,FALSE,"summary";#N/A,#N/A,FALSE,"PPP-3 yrs"}</definedName>
    <definedName name="wrn.datapak.1" localSheetId="17" hidden="1">{#N/A,#N/A,FALSE,"Status of Projects";#N/A,#N/A,FALSE,"CEA-TEC";#N/A,#N/A,FALSE,"U-Constr.";#N/A,#N/A,FALSE,"summary";#N/A,#N/A,FALSE,"PPP-3 yrs"}</definedName>
    <definedName name="wrn.datapak.1" localSheetId="16" hidden="1">{#N/A,#N/A,FALSE,"Status of Projects";#N/A,#N/A,FALSE,"CEA-TEC";#N/A,#N/A,FALSE,"U-Constr.";#N/A,#N/A,FALSE,"summary";#N/A,#N/A,FALSE,"PPP-3 yrs"}</definedName>
    <definedName name="wrn.datapak.1" localSheetId="22" hidden="1">{#N/A,#N/A,FALSE,"Status of Projects";#N/A,#N/A,FALSE,"CEA-TEC";#N/A,#N/A,FALSE,"U-Constr.";#N/A,#N/A,FALSE,"summary";#N/A,#N/A,FALSE,"PPP-3 yrs"}</definedName>
    <definedName name="wrn.datapak.1" localSheetId="9" hidden="1">{#N/A,#N/A,FALSE,"Status of Projects";#N/A,#N/A,FALSE,"CEA-TEC";#N/A,#N/A,FALSE,"U-Constr.";#N/A,#N/A,FALSE,"summary";#N/A,#N/A,FALSE,"PPP-3 yrs"}</definedName>
    <definedName name="wrn.datapak.1" localSheetId="13" hidden="1">{#N/A,#N/A,FALSE,"Status of Projects";#N/A,#N/A,FALSE,"CEA-TEC";#N/A,#N/A,FALSE,"U-Constr.";#N/A,#N/A,FALSE,"summary";#N/A,#N/A,FALSE,"PPP-3 yrs"}</definedName>
    <definedName name="wrn.datapak.1" localSheetId="23" hidden="1">{#N/A,#N/A,FALSE,"Status of Projects";#N/A,#N/A,FALSE,"CEA-TEC";#N/A,#N/A,FALSE,"U-Constr.";#N/A,#N/A,FALSE,"summary";#N/A,#N/A,FALSE,"PPP-3 yrs"}</definedName>
    <definedName name="wrn.datapak.1" hidden="1">{#N/A,#N/A,FALSE,"Status of Projects";#N/A,#N/A,FALSE,"CEA-TEC";#N/A,#N/A,FALSE,"U-Constr.";#N/A,#N/A,FALSE,"summary";#N/A,#N/A,FALSE,"PPP-3 yrs"}</definedName>
    <definedName name="wrn.Earnings._.Model."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ur" localSheetId="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1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1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2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2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1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1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1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2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localSheetId="2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_.A." hidden="1">{"Page 1",#N/A,TRUE,"Sheet1";"Page 2",#N/A,TRUE,"Sheet1"}</definedName>
    <definedName name="wrn.Full._.Financials." localSheetId="4" hidden="1">{#N/A,#N/A,TRUE,"Financials";#N/A,#N/A,TRUE,"Operating Statistics";#N/A,#N/A,TRUE,"Capex &amp; Depreciation";#N/A,#N/A,TRUE,"Debt"}</definedName>
    <definedName name="wrn.Full._.Financials." localSheetId="5" hidden="1">{#N/A,#N/A,TRUE,"Financials";#N/A,#N/A,TRUE,"Operating Statistics";#N/A,#N/A,TRUE,"Capex &amp; Depreciation";#N/A,#N/A,TRUE,"Debt"}</definedName>
    <definedName name="wrn.Full._.Financials." localSheetId="15" hidden="1">{#N/A,#N/A,TRUE,"Financials";#N/A,#N/A,TRUE,"Operating Statistics";#N/A,#N/A,TRUE,"Capex &amp; Depreciation";#N/A,#N/A,TRUE,"Debt"}</definedName>
    <definedName name="wrn.Full._.Financials." localSheetId="19" hidden="1">{#N/A,#N/A,TRUE,"Financials";#N/A,#N/A,TRUE,"Operating Statistics";#N/A,#N/A,TRUE,"Capex &amp; Depreciation";#N/A,#N/A,TRUE,"Debt"}</definedName>
    <definedName name="wrn.Full._.Financials." localSheetId="18" hidden="1">{#N/A,#N/A,TRUE,"Financials";#N/A,#N/A,TRUE,"Operating Statistics";#N/A,#N/A,TRUE,"Capex &amp; Depreciation";#N/A,#N/A,TRUE,"Debt"}</definedName>
    <definedName name="wrn.Full._.Financials." localSheetId="14" hidden="1">{#N/A,#N/A,TRUE,"Financials";#N/A,#N/A,TRUE,"Operating Statistics";#N/A,#N/A,TRUE,"Capex &amp; Depreciation";#N/A,#N/A,TRUE,"Debt"}</definedName>
    <definedName name="wrn.Full._.Financials." localSheetId="12" hidden="1">{#N/A,#N/A,TRUE,"Financials";#N/A,#N/A,TRUE,"Operating Statistics";#N/A,#N/A,TRUE,"Capex &amp; Depreciation";#N/A,#N/A,TRUE,"Debt"}</definedName>
    <definedName name="wrn.Full._.Financials." localSheetId="24" hidden="1">{#N/A,#N/A,TRUE,"Financials";#N/A,#N/A,TRUE,"Operating Statistics";#N/A,#N/A,TRUE,"Capex &amp; Depreciation";#N/A,#N/A,TRUE,"Debt"}</definedName>
    <definedName name="wrn.Full._.Financials." localSheetId="7" hidden="1">{#N/A,#N/A,TRUE,"Financials";#N/A,#N/A,TRUE,"Operating Statistics";#N/A,#N/A,TRUE,"Capex &amp; Depreciation";#N/A,#N/A,TRUE,"Debt"}</definedName>
    <definedName name="wrn.Full._.Financials." localSheetId="20" hidden="1">{#N/A,#N/A,TRUE,"Financials";#N/A,#N/A,TRUE,"Operating Statistics";#N/A,#N/A,TRUE,"Capex &amp; Depreciation";#N/A,#N/A,TRUE,"Debt"}</definedName>
    <definedName name="wrn.Full._.Financials." localSheetId="21" hidden="1">{#N/A,#N/A,TRUE,"Financials";#N/A,#N/A,TRUE,"Operating Statistics";#N/A,#N/A,TRUE,"Capex &amp; Depreciation";#N/A,#N/A,TRUE,"Debt"}</definedName>
    <definedName name="wrn.Full._.Financials." localSheetId="11" hidden="1">{#N/A,#N/A,TRUE,"Financials";#N/A,#N/A,TRUE,"Operating Statistics";#N/A,#N/A,TRUE,"Capex &amp; Depreciation";#N/A,#N/A,TRUE,"Debt"}</definedName>
    <definedName name="wrn.Full._.Financials." localSheetId="17" hidden="1">{#N/A,#N/A,TRUE,"Financials";#N/A,#N/A,TRUE,"Operating Statistics";#N/A,#N/A,TRUE,"Capex &amp; Depreciation";#N/A,#N/A,TRUE,"Debt"}</definedName>
    <definedName name="wrn.Full._.Financials." localSheetId="16" hidden="1">{#N/A,#N/A,TRUE,"Financials";#N/A,#N/A,TRUE,"Operating Statistics";#N/A,#N/A,TRUE,"Capex &amp; Depreciation";#N/A,#N/A,TRUE,"Debt"}</definedName>
    <definedName name="wrn.Full._.Financials." localSheetId="22" hidden="1">{#N/A,#N/A,TRUE,"Financials";#N/A,#N/A,TRUE,"Operating Statistics";#N/A,#N/A,TRUE,"Capex &amp; Depreciation";#N/A,#N/A,TRUE,"Debt"}</definedName>
    <definedName name="wrn.Full._.Financials." localSheetId="9" hidden="1">{#N/A,#N/A,TRUE,"Financials";#N/A,#N/A,TRUE,"Operating Statistics";#N/A,#N/A,TRUE,"Capex &amp; Depreciation";#N/A,#N/A,TRUE,"Debt"}</definedName>
    <definedName name="wrn.Full._.Financials." localSheetId="13" hidden="1">{#N/A,#N/A,TRUE,"Financials";#N/A,#N/A,TRUE,"Operating Statistics";#N/A,#N/A,TRUE,"Capex &amp; Depreciation";#N/A,#N/A,TRUE,"Debt"}</definedName>
    <definedName name="wrn.Full._.Financials." localSheetId="23" hidden="1">{#N/A,#N/A,TRUE,"Financials";#N/A,#N/A,TRUE,"Operating Statistics";#N/A,#N/A,TRUE,"Capex &amp; Depreciation";#N/A,#N/A,TRUE,"Debt"}</definedName>
    <definedName name="wrn.Full._.Financials." hidden="1">{#N/A,#N/A,TRUE,"Financials";#N/A,#N/A,TRUE,"Operating Statistics";#N/A,#N/A,TRUE,"Capex &amp; Depreciation";#N/A,#N/A,TRUE,"Debt"}</definedName>
    <definedName name="wrn.GRAPHS." localSheetId="4" hidden="1">{#N/A,#N/A,FALSE,"ACQ_GRAPHS";#N/A,#N/A,FALSE,"T_1 GRAPHS";#N/A,#N/A,FALSE,"T_2 GRAPHS";#N/A,#N/A,FALSE,"COMB_GRAPHS"}</definedName>
    <definedName name="wrn.GRAPHS." localSheetId="5" hidden="1">{#N/A,#N/A,FALSE,"ACQ_GRAPHS";#N/A,#N/A,FALSE,"T_1 GRAPHS";#N/A,#N/A,FALSE,"T_2 GRAPHS";#N/A,#N/A,FALSE,"COMB_GRAPHS"}</definedName>
    <definedName name="wrn.GRAPHS." localSheetId="15" hidden="1">{#N/A,#N/A,FALSE,"ACQ_GRAPHS";#N/A,#N/A,FALSE,"T_1 GRAPHS";#N/A,#N/A,FALSE,"T_2 GRAPHS";#N/A,#N/A,FALSE,"COMB_GRAPHS"}</definedName>
    <definedName name="wrn.GRAPHS." localSheetId="19" hidden="1">{#N/A,#N/A,FALSE,"ACQ_GRAPHS";#N/A,#N/A,FALSE,"T_1 GRAPHS";#N/A,#N/A,FALSE,"T_2 GRAPHS";#N/A,#N/A,FALSE,"COMB_GRAPHS"}</definedName>
    <definedName name="wrn.GRAPHS." localSheetId="18" hidden="1">{#N/A,#N/A,FALSE,"ACQ_GRAPHS";#N/A,#N/A,FALSE,"T_1 GRAPHS";#N/A,#N/A,FALSE,"T_2 GRAPHS";#N/A,#N/A,FALSE,"COMB_GRAPHS"}</definedName>
    <definedName name="wrn.GRAPHS." localSheetId="14" hidden="1">{#N/A,#N/A,FALSE,"ACQ_GRAPHS";#N/A,#N/A,FALSE,"T_1 GRAPHS";#N/A,#N/A,FALSE,"T_2 GRAPHS";#N/A,#N/A,FALSE,"COMB_GRAPHS"}</definedName>
    <definedName name="wrn.GRAPHS." localSheetId="12" hidden="1">{#N/A,#N/A,FALSE,"ACQ_GRAPHS";#N/A,#N/A,FALSE,"T_1 GRAPHS";#N/A,#N/A,FALSE,"T_2 GRAPHS";#N/A,#N/A,FALSE,"COMB_GRAPHS"}</definedName>
    <definedName name="wrn.GRAPHS." localSheetId="24" hidden="1">{#N/A,#N/A,FALSE,"ACQ_GRAPHS";#N/A,#N/A,FALSE,"T_1 GRAPHS";#N/A,#N/A,FALSE,"T_2 GRAPHS";#N/A,#N/A,FALSE,"COMB_GRAPHS"}</definedName>
    <definedName name="wrn.GRAPHS." localSheetId="7" hidden="1">{#N/A,#N/A,FALSE,"ACQ_GRAPHS";#N/A,#N/A,FALSE,"T_1 GRAPHS";#N/A,#N/A,FALSE,"T_2 GRAPHS";#N/A,#N/A,FALSE,"COMB_GRAPHS"}</definedName>
    <definedName name="wrn.GRAPHS." localSheetId="20" hidden="1">{#N/A,#N/A,FALSE,"ACQ_GRAPHS";#N/A,#N/A,FALSE,"T_1 GRAPHS";#N/A,#N/A,FALSE,"T_2 GRAPHS";#N/A,#N/A,FALSE,"COMB_GRAPHS"}</definedName>
    <definedName name="wrn.GRAPHS." localSheetId="21" hidden="1">{#N/A,#N/A,FALSE,"ACQ_GRAPHS";#N/A,#N/A,FALSE,"T_1 GRAPHS";#N/A,#N/A,FALSE,"T_2 GRAPHS";#N/A,#N/A,FALSE,"COMB_GRAPHS"}</definedName>
    <definedName name="wrn.GRAPHS." localSheetId="11" hidden="1">{#N/A,#N/A,FALSE,"ACQ_GRAPHS";#N/A,#N/A,FALSE,"T_1 GRAPHS";#N/A,#N/A,FALSE,"T_2 GRAPHS";#N/A,#N/A,FALSE,"COMB_GRAPHS"}</definedName>
    <definedName name="wrn.GRAPHS." localSheetId="17" hidden="1">{#N/A,#N/A,FALSE,"ACQ_GRAPHS";#N/A,#N/A,FALSE,"T_1 GRAPHS";#N/A,#N/A,FALSE,"T_2 GRAPHS";#N/A,#N/A,FALSE,"COMB_GRAPHS"}</definedName>
    <definedName name="wrn.GRAPHS." localSheetId="16" hidden="1">{#N/A,#N/A,FALSE,"ACQ_GRAPHS";#N/A,#N/A,FALSE,"T_1 GRAPHS";#N/A,#N/A,FALSE,"T_2 GRAPHS";#N/A,#N/A,FALSE,"COMB_GRAPHS"}</definedName>
    <definedName name="wrn.GRAPHS." localSheetId="22" hidden="1">{#N/A,#N/A,FALSE,"ACQ_GRAPHS";#N/A,#N/A,FALSE,"T_1 GRAPHS";#N/A,#N/A,FALSE,"T_2 GRAPHS";#N/A,#N/A,FALSE,"COMB_GRAPHS"}</definedName>
    <definedName name="wrn.GRAPHS." localSheetId="9" hidden="1">{#N/A,#N/A,FALSE,"ACQ_GRAPHS";#N/A,#N/A,FALSE,"T_1 GRAPHS";#N/A,#N/A,FALSE,"T_2 GRAPHS";#N/A,#N/A,FALSE,"COMB_GRAPHS"}</definedName>
    <definedName name="wrn.GRAPHS." localSheetId="13" hidden="1">{#N/A,#N/A,FALSE,"ACQ_GRAPHS";#N/A,#N/A,FALSE,"T_1 GRAPHS";#N/A,#N/A,FALSE,"T_2 GRAPHS";#N/A,#N/A,FALSE,"COMB_GRAPHS"}</definedName>
    <definedName name="wrn.GRAPHS." localSheetId="23" hidden="1">{#N/A,#N/A,FALSE,"ACQ_GRAPHS";#N/A,#N/A,FALSE,"T_1 GRAPHS";#N/A,#N/A,FALSE,"T_2 GRAPHS";#N/A,#N/A,FALSE,"COMB_GRAPHS"}</definedName>
    <definedName name="wrn.GRAPHS." hidden="1">{#N/A,#N/A,FALSE,"ACQ_GRAPHS";#N/A,#N/A,FALSE,"T_1 GRAPHS";#N/A,#N/A,FALSE,"T_2 GRAPHS";#N/A,#N/A,FALSE,"COMB_GRAPHS"}</definedName>
    <definedName name="wrn.handout." localSheetId="4" hidden="1">{"quarterly",#N/A,FALSE,"Income Statement New CPB";"annual",#N/A,FALSE,"Income Statement New CPB";"cash flow",#N/A,FALSE,"Cash Flow";"balance",#N/A,FALSE,"Balance Sheet";"seg",#N/A,FALSE,"New Segment Breakout"}</definedName>
    <definedName name="wrn.handout." localSheetId="5" hidden="1">{"quarterly",#N/A,FALSE,"Income Statement New CPB";"annual",#N/A,FALSE,"Income Statement New CPB";"cash flow",#N/A,FALSE,"Cash Flow";"balance",#N/A,FALSE,"Balance Sheet";"seg",#N/A,FALSE,"New Segment Breakout"}</definedName>
    <definedName name="wrn.handout." localSheetId="15" hidden="1">{"quarterly",#N/A,FALSE,"Income Statement New CPB";"annual",#N/A,FALSE,"Income Statement New CPB";"cash flow",#N/A,FALSE,"Cash Flow";"balance",#N/A,FALSE,"Balance Sheet";"seg",#N/A,FALSE,"New Segment Breakout"}</definedName>
    <definedName name="wrn.handout." localSheetId="19" hidden="1">{"quarterly",#N/A,FALSE,"Income Statement New CPB";"annual",#N/A,FALSE,"Income Statement New CPB";"cash flow",#N/A,FALSE,"Cash Flow";"balance",#N/A,FALSE,"Balance Sheet";"seg",#N/A,FALSE,"New Segment Breakout"}</definedName>
    <definedName name="wrn.handout." localSheetId="18" hidden="1">{"quarterly",#N/A,FALSE,"Income Statement New CPB";"annual",#N/A,FALSE,"Income Statement New CPB";"cash flow",#N/A,FALSE,"Cash Flow";"balance",#N/A,FALSE,"Balance Sheet";"seg",#N/A,FALSE,"New Segment Breakout"}</definedName>
    <definedName name="wrn.handout." localSheetId="14" hidden="1">{"quarterly",#N/A,FALSE,"Income Statement New CPB";"annual",#N/A,FALSE,"Income Statement New CPB";"cash flow",#N/A,FALSE,"Cash Flow";"balance",#N/A,FALSE,"Balance Sheet";"seg",#N/A,FALSE,"New Segment Breakout"}</definedName>
    <definedName name="wrn.handout." localSheetId="12" hidden="1">{"quarterly",#N/A,FALSE,"Income Statement New CPB";"annual",#N/A,FALSE,"Income Statement New CPB";"cash flow",#N/A,FALSE,"Cash Flow";"balance",#N/A,FALSE,"Balance Sheet";"seg",#N/A,FALSE,"New Segment Breakout"}</definedName>
    <definedName name="wrn.handout." localSheetId="24" hidden="1">{"quarterly",#N/A,FALSE,"Income Statement New CPB";"annual",#N/A,FALSE,"Income Statement New CPB";"cash flow",#N/A,FALSE,"Cash Flow";"balance",#N/A,FALSE,"Balance Sheet";"seg",#N/A,FALSE,"New Segment Breakout"}</definedName>
    <definedName name="wrn.handout." localSheetId="7" hidden="1">{"quarterly",#N/A,FALSE,"Income Statement New CPB";"annual",#N/A,FALSE,"Income Statement New CPB";"cash flow",#N/A,FALSE,"Cash Flow";"balance",#N/A,FALSE,"Balance Sheet";"seg",#N/A,FALSE,"New Segment Breakout"}</definedName>
    <definedName name="wrn.handout." localSheetId="20" hidden="1">{"quarterly",#N/A,FALSE,"Income Statement New CPB";"annual",#N/A,FALSE,"Income Statement New CPB";"cash flow",#N/A,FALSE,"Cash Flow";"balance",#N/A,FALSE,"Balance Sheet";"seg",#N/A,FALSE,"New Segment Breakout"}</definedName>
    <definedName name="wrn.handout." localSheetId="21" hidden="1">{"quarterly",#N/A,FALSE,"Income Statement New CPB";"annual",#N/A,FALSE,"Income Statement New CPB";"cash flow",#N/A,FALSE,"Cash Flow";"balance",#N/A,FALSE,"Balance Sheet";"seg",#N/A,FALSE,"New Segment Breakout"}</definedName>
    <definedName name="wrn.handout." localSheetId="11" hidden="1">{"quarterly",#N/A,FALSE,"Income Statement New CPB";"annual",#N/A,FALSE,"Income Statement New CPB";"cash flow",#N/A,FALSE,"Cash Flow";"balance",#N/A,FALSE,"Balance Sheet";"seg",#N/A,FALSE,"New Segment Breakout"}</definedName>
    <definedName name="wrn.handout." localSheetId="17" hidden="1">{"quarterly",#N/A,FALSE,"Income Statement New CPB";"annual",#N/A,FALSE,"Income Statement New CPB";"cash flow",#N/A,FALSE,"Cash Flow";"balance",#N/A,FALSE,"Balance Sheet";"seg",#N/A,FALSE,"New Segment Breakout"}</definedName>
    <definedName name="wrn.handout." localSheetId="16" hidden="1">{"quarterly",#N/A,FALSE,"Income Statement New CPB";"annual",#N/A,FALSE,"Income Statement New CPB";"cash flow",#N/A,FALSE,"Cash Flow";"balance",#N/A,FALSE,"Balance Sheet";"seg",#N/A,FALSE,"New Segment Breakout"}</definedName>
    <definedName name="wrn.handout." localSheetId="22" hidden="1">{"quarterly",#N/A,FALSE,"Income Statement New CPB";"annual",#N/A,FALSE,"Income Statement New CPB";"cash flow",#N/A,FALSE,"Cash Flow";"balance",#N/A,FALSE,"Balance Sheet";"seg",#N/A,FALSE,"New Segment Breakout"}</definedName>
    <definedName name="wrn.handout." localSheetId="9" hidden="1">{"quarterly",#N/A,FALSE,"Income Statement New CPB";"annual",#N/A,FALSE,"Income Statement New CPB";"cash flow",#N/A,FALSE,"Cash Flow";"balance",#N/A,FALSE,"Balance Sheet";"seg",#N/A,FALSE,"New Segment Breakout"}</definedName>
    <definedName name="wrn.handout." localSheetId="13" hidden="1">{"quarterly",#N/A,FALSE,"Income Statement New CPB";"annual",#N/A,FALSE,"Income Statement New CPB";"cash flow",#N/A,FALSE,"Cash Flow";"balance",#N/A,FALSE,"Balance Sheet";"seg",#N/A,FALSE,"New Segment Breakout"}</definedName>
    <definedName name="wrn.handout." localSheetId="23" hidden="1">{"quarterly",#N/A,FALSE,"Income Statement New CPB";"annual",#N/A,FALSE,"Income Statement New CPB";"cash flow",#N/A,FALSE,"Cash Flow";"balance",#N/A,FALSE,"Balance Sheet";"seg",#N/A,FALSE,"New Segment Breakout"}</definedName>
    <definedName name="wrn.handout." hidden="1">{"quarterly",#N/A,FALSE,"Income Statement New CPB";"annual",#N/A,FALSE,"Income Statement New CPB";"cash flow",#N/A,FALSE,"Cash Flow";"balance",#N/A,FALSE,"Balance Sheet";"seg",#N/A,FALSE,"New Segment Breakout"}</definedName>
    <definedName name="wrn.imprim."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9"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2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7"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2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2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7"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2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9"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2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Main._.Report._.All._.Sections." localSheetId="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8"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4"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7"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6"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rket._.share." localSheetId="4"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5"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5"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9"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8"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4"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2"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24"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7"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20"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21"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1"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7"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6"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22"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9"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13"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23"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onthly._.Report." localSheetId="4" hidden="1">{#N/A,#N/A,FALSE,"Monthly";#N/A,#N/A,FALSE,"Hong Kong";#N/A,#N/A,FALSE,"New York";#N/A,#N/A,FALSE,"London";#N/A,#N/A,FALSE,"Singapore";#N/A,#N/A,FALSE,"Australia";#N/A,#N/A,FALSE,"Korea"}</definedName>
    <definedName name="wrn.Monthly._.Report." localSheetId="5" hidden="1">{#N/A,#N/A,FALSE,"Monthly";#N/A,#N/A,FALSE,"Hong Kong";#N/A,#N/A,FALSE,"New York";#N/A,#N/A,FALSE,"London";#N/A,#N/A,FALSE,"Singapore";#N/A,#N/A,FALSE,"Australia";#N/A,#N/A,FALSE,"Korea"}</definedName>
    <definedName name="wrn.Monthly._.Report." localSheetId="15" hidden="1">{#N/A,#N/A,FALSE,"Monthly";#N/A,#N/A,FALSE,"Hong Kong";#N/A,#N/A,FALSE,"New York";#N/A,#N/A,FALSE,"London";#N/A,#N/A,FALSE,"Singapore";#N/A,#N/A,FALSE,"Australia";#N/A,#N/A,FALSE,"Korea"}</definedName>
    <definedName name="wrn.Monthly._.Report." localSheetId="19" hidden="1">{#N/A,#N/A,FALSE,"Monthly";#N/A,#N/A,FALSE,"Hong Kong";#N/A,#N/A,FALSE,"New York";#N/A,#N/A,FALSE,"London";#N/A,#N/A,FALSE,"Singapore";#N/A,#N/A,FALSE,"Australia";#N/A,#N/A,FALSE,"Korea"}</definedName>
    <definedName name="wrn.Monthly._.Report." localSheetId="18" hidden="1">{#N/A,#N/A,FALSE,"Monthly";#N/A,#N/A,FALSE,"Hong Kong";#N/A,#N/A,FALSE,"New York";#N/A,#N/A,FALSE,"London";#N/A,#N/A,FALSE,"Singapore";#N/A,#N/A,FALSE,"Australia";#N/A,#N/A,FALSE,"Korea"}</definedName>
    <definedName name="wrn.Monthly._.Report." localSheetId="14" hidden="1">{#N/A,#N/A,FALSE,"Monthly";#N/A,#N/A,FALSE,"Hong Kong";#N/A,#N/A,FALSE,"New York";#N/A,#N/A,FALSE,"London";#N/A,#N/A,FALSE,"Singapore";#N/A,#N/A,FALSE,"Australia";#N/A,#N/A,FALSE,"Korea"}</definedName>
    <definedName name="wrn.Monthly._.Report." localSheetId="12" hidden="1">{#N/A,#N/A,FALSE,"Monthly";#N/A,#N/A,FALSE,"Hong Kong";#N/A,#N/A,FALSE,"New York";#N/A,#N/A,FALSE,"London";#N/A,#N/A,FALSE,"Singapore";#N/A,#N/A,FALSE,"Australia";#N/A,#N/A,FALSE,"Korea"}</definedName>
    <definedName name="wrn.Monthly._.Report." localSheetId="24" hidden="1">{#N/A,#N/A,FALSE,"Monthly";#N/A,#N/A,FALSE,"Hong Kong";#N/A,#N/A,FALSE,"New York";#N/A,#N/A,FALSE,"London";#N/A,#N/A,FALSE,"Singapore";#N/A,#N/A,FALSE,"Australia";#N/A,#N/A,FALSE,"Korea"}</definedName>
    <definedName name="wrn.Monthly._.Report." localSheetId="7" hidden="1">{#N/A,#N/A,FALSE,"Monthly";#N/A,#N/A,FALSE,"Hong Kong";#N/A,#N/A,FALSE,"New York";#N/A,#N/A,FALSE,"London";#N/A,#N/A,FALSE,"Singapore";#N/A,#N/A,FALSE,"Australia";#N/A,#N/A,FALSE,"Korea"}</definedName>
    <definedName name="wrn.Monthly._.Report." localSheetId="20" hidden="1">{#N/A,#N/A,FALSE,"Monthly";#N/A,#N/A,FALSE,"Hong Kong";#N/A,#N/A,FALSE,"New York";#N/A,#N/A,FALSE,"London";#N/A,#N/A,FALSE,"Singapore";#N/A,#N/A,FALSE,"Australia";#N/A,#N/A,FALSE,"Korea"}</definedName>
    <definedName name="wrn.Monthly._.Report." localSheetId="21" hidden="1">{#N/A,#N/A,FALSE,"Monthly";#N/A,#N/A,FALSE,"Hong Kong";#N/A,#N/A,FALSE,"New York";#N/A,#N/A,FALSE,"London";#N/A,#N/A,FALSE,"Singapore";#N/A,#N/A,FALSE,"Australia";#N/A,#N/A,FALSE,"Korea"}</definedName>
    <definedName name="wrn.Monthly._.Report." localSheetId="11" hidden="1">{#N/A,#N/A,FALSE,"Monthly";#N/A,#N/A,FALSE,"Hong Kong";#N/A,#N/A,FALSE,"New York";#N/A,#N/A,FALSE,"London";#N/A,#N/A,FALSE,"Singapore";#N/A,#N/A,FALSE,"Australia";#N/A,#N/A,FALSE,"Korea"}</definedName>
    <definedName name="wrn.Monthly._.Report." localSheetId="17" hidden="1">{#N/A,#N/A,FALSE,"Monthly";#N/A,#N/A,FALSE,"Hong Kong";#N/A,#N/A,FALSE,"New York";#N/A,#N/A,FALSE,"London";#N/A,#N/A,FALSE,"Singapore";#N/A,#N/A,FALSE,"Australia";#N/A,#N/A,FALSE,"Korea"}</definedName>
    <definedName name="wrn.Monthly._.Report." localSheetId="16" hidden="1">{#N/A,#N/A,FALSE,"Monthly";#N/A,#N/A,FALSE,"Hong Kong";#N/A,#N/A,FALSE,"New York";#N/A,#N/A,FALSE,"London";#N/A,#N/A,FALSE,"Singapore";#N/A,#N/A,FALSE,"Australia";#N/A,#N/A,FALSE,"Korea"}</definedName>
    <definedName name="wrn.Monthly._.Report." localSheetId="22" hidden="1">{#N/A,#N/A,FALSE,"Monthly";#N/A,#N/A,FALSE,"Hong Kong";#N/A,#N/A,FALSE,"New York";#N/A,#N/A,FALSE,"London";#N/A,#N/A,FALSE,"Singapore";#N/A,#N/A,FALSE,"Australia";#N/A,#N/A,FALSE,"Korea"}</definedName>
    <definedName name="wrn.Monthly._.Report." localSheetId="9" hidden="1">{#N/A,#N/A,FALSE,"Monthly";#N/A,#N/A,FALSE,"Hong Kong";#N/A,#N/A,FALSE,"New York";#N/A,#N/A,FALSE,"London";#N/A,#N/A,FALSE,"Singapore";#N/A,#N/A,FALSE,"Australia";#N/A,#N/A,FALSE,"Korea"}</definedName>
    <definedName name="wrn.Monthly._.Report." localSheetId="13" hidden="1">{#N/A,#N/A,FALSE,"Monthly";#N/A,#N/A,FALSE,"Hong Kong";#N/A,#N/A,FALSE,"New York";#N/A,#N/A,FALSE,"London";#N/A,#N/A,FALSE,"Singapore";#N/A,#N/A,FALSE,"Australia";#N/A,#N/A,FALSE,"Korea"}</definedName>
    <definedName name="wrn.Monthly._.Report." localSheetId="23" hidden="1">{#N/A,#N/A,FALSE,"Monthly";#N/A,#N/A,FALSE,"Hong Kong";#N/A,#N/A,FALSE,"New York";#N/A,#N/A,FALSE,"London";#N/A,#N/A,FALSE,"Singapore";#N/A,#N/A,FALSE,"Australia";#N/A,#N/A,FALSE,"Korea"}</definedName>
    <definedName name="wrn.Monthly._.Report." hidden="1">{#N/A,#N/A,FALSE,"Monthly";#N/A,#N/A,FALSE,"Hong Kong";#N/A,#N/A,FALSE,"New York";#N/A,#N/A,FALSE,"London";#N/A,#N/A,FALSE,"Singapore";#N/A,#N/A,FALSE,"Australia";#N/A,#N/A,FALSE,"Korea"}</definedName>
    <definedName name="wrn.Monthly._.Report.2" localSheetId="4" hidden="1">{#N/A,#N/A,FALSE,"Monthly";#N/A,#N/A,FALSE,"Hong Kong";#N/A,#N/A,FALSE,"New York";#N/A,#N/A,FALSE,"London";#N/A,#N/A,FALSE,"Singapore";#N/A,#N/A,FALSE,"Australia";#N/A,#N/A,FALSE,"Korea"}</definedName>
    <definedName name="wrn.Monthly._.Report.2" localSheetId="5" hidden="1">{#N/A,#N/A,FALSE,"Monthly";#N/A,#N/A,FALSE,"Hong Kong";#N/A,#N/A,FALSE,"New York";#N/A,#N/A,FALSE,"London";#N/A,#N/A,FALSE,"Singapore";#N/A,#N/A,FALSE,"Australia";#N/A,#N/A,FALSE,"Korea"}</definedName>
    <definedName name="wrn.Monthly._.Report.2" localSheetId="15" hidden="1">{#N/A,#N/A,FALSE,"Monthly";#N/A,#N/A,FALSE,"Hong Kong";#N/A,#N/A,FALSE,"New York";#N/A,#N/A,FALSE,"London";#N/A,#N/A,FALSE,"Singapore";#N/A,#N/A,FALSE,"Australia";#N/A,#N/A,FALSE,"Korea"}</definedName>
    <definedName name="wrn.Monthly._.Report.2" localSheetId="19" hidden="1">{#N/A,#N/A,FALSE,"Monthly";#N/A,#N/A,FALSE,"Hong Kong";#N/A,#N/A,FALSE,"New York";#N/A,#N/A,FALSE,"London";#N/A,#N/A,FALSE,"Singapore";#N/A,#N/A,FALSE,"Australia";#N/A,#N/A,FALSE,"Korea"}</definedName>
    <definedName name="wrn.Monthly._.Report.2" localSheetId="18" hidden="1">{#N/A,#N/A,FALSE,"Monthly";#N/A,#N/A,FALSE,"Hong Kong";#N/A,#N/A,FALSE,"New York";#N/A,#N/A,FALSE,"London";#N/A,#N/A,FALSE,"Singapore";#N/A,#N/A,FALSE,"Australia";#N/A,#N/A,FALSE,"Korea"}</definedName>
    <definedName name="wrn.Monthly._.Report.2" localSheetId="14" hidden="1">{#N/A,#N/A,FALSE,"Monthly";#N/A,#N/A,FALSE,"Hong Kong";#N/A,#N/A,FALSE,"New York";#N/A,#N/A,FALSE,"London";#N/A,#N/A,FALSE,"Singapore";#N/A,#N/A,FALSE,"Australia";#N/A,#N/A,FALSE,"Korea"}</definedName>
    <definedName name="wrn.Monthly._.Report.2" localSheetId="12" hidden="1">{#N/A,#N/A,FALSE,"Monthly";#N/A,#N/A,FALSE,"Hong Kong";#N/A,#N/A,FALSE,"New York";#N/A,#N/A,FALSE,"London";#N/A,#N/A,FALSE,"Singapore";#N/A,#N/A,FALSE,"Australia";#N/A,#N/A,FALSE,"Korea"}</definedName>
    <definedName name="wrn.Monthly._.Report.2" localSheetId="24" hidden="1">{#N/A,#N/A,FALSE,"Monthly";#N/A,#N/A,FALSE,"Hong Kong";#N/A,#N/A,FALSE,"New York";#N/A,#N/A,FALSE,"London";#N/A,#N/A,FALSE,"Singapore";#N/A,#N/A,FALSE,"Australia";#N/A,#N/A,FALSE,"Korea"}</definedName>
    <definedName name="wrn.Monthly._.Report.2" localSheetId="7" hidden="1">{#N/A,#N/A,FALSE,"Monthly";#N/A,#N/A,FALSE,"Hong Kong";#N/A,#N/A,FALSE,"New York";#N/A,#N/A,FALSE,"London";#N/A,#N/A,FALSE,"Singapore";#N/A,#N/A,FALSE,"Australia";#N/A,#N/A,FALSE,"Korea"}</definedName>
    <definedName name="wrn.Monthly._.Report.2" localSheetId="20" hidden="1">{#N/A,#N/A,FALSE,"Monthly";#N/A,#N/A,FALSE,"Hong Kong";#N/A,#N/A,FALSE,"New York";#N/A,#N/A,FALSE,"London";#N/A,#N/A,FALSE,"Singapore";#N/A,#N/A,FALSE,"Australia";#N/A,#N/A,FALSE,"Korea"}</definedName>
    <definedName name="wrn.Monthly._.Report.2" localSheetId="21" hidden="1">{#N/A,#N/A,FALSE,"Monthly";#N/A,#N/A,FALSE,"Hong Kong";#N/A,#N/A,FALSE,"New York";#N/A,#N/A,FALSE,"London";#N/A,#N/A,FALSE,"Singapore";#N/A,#N/A,FALSE,"Australia";#N/A,#N/A,FALSE,"Korea"}</definedName>
    <definedName name="wrn.Monthly._.Report.2" localSheetId="11" hidden="1">{#N/A,#N/A,FALSE,"Monthly";#N/A,#N/A,FALSE,"Hong Kong";#N/A,#N/A,FALSE,"New York";#N/A,#N/A,FALSE,"London";#N/A,#N/A,FALSE,"Singapore";#N/A,#N/A,FALSE,"Australia";#N/A,#N/A,FALSE,"Korea"}</definedName>
    <definedName name="wrn.Monthly._.Report.2" localSheetId="17" hidden="1">{#N/A,#N/A,FALSE,"Monthly";#N/A,#N/A,FALSE,"Hong Kong";#N/A,#N/A,FALSE,"New York";#N/A,#N/A,FALSE,"London";#N/A,#N/A,FALSE,"Singapore";#N/A,#N/A,FALSE,"Australia";#N/A,#N/A,FALSE,"Korea"}</definedName>
    <definedName name="wrn.Monthly._.Report.2" localSheetId="16" hidden="1">{#N/A,#N/A,FALSE,"Monthly";#N/A,#N/A,FALSE,"Hong Kong";#N/A,#N/A,FALSE,"New York";#N/A,#N/A,FALSE,"London";#N/A,#N/A,FALSE,"Singapore";#N/A,#N/A,FALSE,"Australia";#N/A,#N/A,FALSE,"Korea"}</definedName>
    <definedName name="wrn.Monthly._.Report.2" localSheetId="22" hidden="1">{#N/A,#N/A,FALSE,"Monthly";#N/A,#N/A,FALSE,"Hong Kong";#N/A,#N/A,FALSE,"New York";#N/A,#N/A,FALSE,"London";#N/A,#N/A,FALSE,"Singapore";#N/A,#N/A,FALSE,"Australia";#N/A,#N/A,FALSE,"Korea"}</definedName>
    <definedName name="wrn.Monthly._.Report.2" localSheetId="9" hidden="1">{#N/A,#N/A,FALSE,"Monthly";#N/A,#N/A,FALSE,"Hong Kong";#N/A,#N/A,FALSE,"New York";#N/A,#N/A,FALSE,"London";#N/A,#N/A,FALSE,"Singapore";#N/A,#N/A,FALSE,"Australia";#N/A,#N/A,FALSE,"Korea"}</definedName>
    <definedName name="wrn.Monthly._.Report.2" localSheetId="13" hidden="1">{#N/A,#N/A,FALSE,"Monthly";#N/A,#N/A,FALSE,"Hong Kong";#N/A,#N/A,FALSE,"New York";#N/A,#N/A,FALSE,"London";#N/A,#N/A,FALSE,"Singapore";#N/A,#N/A,FALSE,"Australia";#N/A,#N/A,FALSE,"Korea"}</definedName>
    <definedName name="wrn.Monthly._.Report.2" localSheetId="23" hidden="1">{#N/A,#N/A,FALSE,"Monthly";#N/A,#N/A,FALSE,"Hong Kong";#N/A,#N/A,FALSE,"New York";#N/A,#N/A,FALSE,"London";#N/A,#N/A,FALSE,"Singapore";#N/A,#N/A,FALSE,"Australia";#N/A,#N/A,FALSE,"Korea"}</definedName>
    <definedName name="wrn.Monthly._.Report.2" hidden="1">{#N/A,#N/A,FALSE,"Monthly";#N/A,#N/A,FALSE,"Hong Kong";#N/A,#N/A,FALSE,"New York";#N/A,#N/A,FALSE,"London";#N/A,#N/A,FALSE,"Singapore";#N/A,#N/A,FALSE,"Australia";#N/A,#N/A,FALSE,"Korea"}</definedName>
    <definedName name="wrn.One._.Pager._.plus._.Technicals." localSheetId="4" hidden="1">{#N/A,#N/A,FALSE,"One Pager";#N/A,#N/A,FALSE,"Technical"}</definedName>
    <definedName name="wrn.One._.Pager._.plus._.Technicals." localSheetId="5" hidden="1">{#N/A,#N/A,FALSE,"One Pager";#N/A,#N/A,FALSE,"Technical"}</definedName>
    <definedName name="wrn.One._.Pager._.plus._.Technicals." localSheetId="15" hidden="1">{#N/A,#N/A,FALSE,"One Pager";#N/A,#N/A,FALSE,"Technical"}</definedName>
    <definedName name="wrn.One._.Pager._.plus._.Technicals." localSheetId="19" hidden="1">{#N/A,#N/A,FALSE,"One Pager";#N/A,#N/A,FALSE,"Technical"}</definedName>
    <definedName name="wrn.One._.Pager._.plus._.Technicals." localSheetId="18" hidden="1">{#N/A,#N/A,FALSE,"One Pager";#N/A,#N/A,FALSE,"Technical"}</definedName>
    <definedName name="wrn.One._.Pager._.plus._.Technicals." localSheetId="14" hidden="1">{#N/A,#N/A,FALSE,"One Pager";#N/A,#N/A,FALSE,"Technical"}</definedName>
    <definedName name="wrn.One._.Pager._.plus._.Technicals." localSheetId="12" hidden="1">{#N/A,#N/A,FALSE,"One Pager";#N/A,#N/A,FALSE,"Technical"}</definedName>
    <definedName name="wrn.One._.Pager._.plus._.Technicals." localSheetId="24" hidden="1">{#N/A,#N/A,FALSE,"One Pager";#N/A,#N/A,FALSE,"Technical"}</definedName>
    <definedName name="wrn.One._.Pager._.plus._.Technicals." localSheetId="7" hidden="1">{#N/A,#N/A,FALSE,"One Pager";#N/A,#N/A,FALSE,"Technical"}</definedName>
    <definedName name="wrn.One._.Pager._.plus._.Technicals." localSheetId="20" hidden="1">{#N/A,#N/A,FALSE,"One Pager";#N/A,#N/A,FALSE,"Technical"}</definedName>
    <definedName name="wrn.One._.Pager._.plus._.Technicals." localSheetId="21" hidden="1">{#N/A,#N/A,FALSE,"One Pager";#N/A,#N/A,FALSE,"Technical"}</definedName>
    <definedName name="wrn.One._.Pager._.plus._.Technicals." localSheetId="11" hidden="1">{#N/A,#N/A,FALSE,"One Pager";#N/A,#N/A,FALSE,"Technical"}</definedName>
    <definedName name="wrn.One._.Pager._.plus._.Technicals." localSheetId="17" hidden="1">{#N/A,#N/A,FALSE,"One Pager";#N/A,#N/A,FALSE,"Technical"}</definedName>
    <definedName name="wrn.One._.Pager._.plus._.Technicals." localSheetId="16" hidden="1">{#N/A,#N/A,FALSE,"One Pager";#N/A,#N/A,FALSE,"Technical"}</definedName>
    <definedName name="wrn.One._.Pager._.plus._.Technicals." localSheetId="22" hidden="1">{#N/A,#N/A,FALSE,"One Pager";#N/A,#N/A,FALSE,"Technical"}</definedName>
    <definedName name="wrn.One._.Pager._.plus._.Technicals." localSheetId="9" hidden="1">{#N/A,#N/A,FALSE,"One Pager";#N/A,#N/A,FALSE,"Technical"}</definedName>
    <definedName name="wrn.One._.Pager._.plus._.Technicals." localSheetId="13" hidden="1">{#N/A,#N/A,FALSE,"One Pager";#N/A,#N/A,FALSE,"Technical"}</definedName>
    <definedName name="wrn.One._.Pager._.plus._.Technicals." localSheetId="23" hidden="1">{#N/A,#N/A,FALSE,"One Pager";#N/A,#N/A,FALSE,"Technical"}</definedName>
    <definedName name="wrn.One._.Pager._.plus._.Technicals." hidden="1">{#N/A,#N/A,FALSE,"One Pager";#N/A,#N/A,FALSE,"Technical"}</definedName>
    <definedName name="wrn.Output." localSheetId="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7"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7"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olymwe."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2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7"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20"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2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7"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2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2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4" hidden="1">{"vi1",#N/A,FALSE,"Financial Statements";"vi2",#N/A,FALSE,"Financial Statements";#N/A,#N/A,FALSE,"DCF"}</definedName>
    <definedName name="wrn.Print." localSheetId="5" hidden="1">{"vi1",#N/A,FALSE,"Financial Statements";"vi2",#N/A,FALSE,"Financial Statements";#N/A,#N/A,FALSE,"DCF"}</definedName>
    <definedName name="wrn.Print." localSheetId="15" hidden="1">{"vi1",#N/A,FALSE,"Financial Statements";"vi2",#N/A,FALSE,"Financial Statements";#N/A,#N/A,FALSE,"DCF"}</definedName>
    <definedName name="wrn.Print." localSheetId="19" hidden="1">{"vi1",#N/A,FALSE,"Financial Statements";"vi2",#N/A,FALSE,"Financial Statements";#N/A,#N/A,FALSE,"DCF"}</definedName>
    <definedName name="wrn.Print." localSheetId="18" hidden="1">{"vi1",#N/A,FALSE,"Financial Statements";"vi2",#N/A,FALSE,"Financial Statements";#N/A,#N/A,FALSE,"DCF"}</definedName>
    <definedName name="wrn.Print." localSheetId="14" hidden="1">{"vi1",#N/A,FALSE,"Financial Statements";"vi2",#N/A,FALSE,"Financial Statements";#N/A,#N/A,FALSE,"DCF"}</definedName>
    <definedName name="wrn.Print." localSheetId="12" hidden="1">{"vi1",#N/A,FALSE,"Financial Statements";"vi2",#N/A,FALSE,"Financial Statements";#N/A,#N/A,FALSE,"DCF"}</definedName>
    <definedName name="wrn.Print." localSheetId="24" hidden="1">{"vi1",#N/A,FALSE,"Financial Statements";"vi2",#N/A,FALSE,"Financial Statements";#N/A,#N/A,FALSE,"DCF"}</definedName>
    <definedName name="wrn.Print." localSheetId="7" hidden="1">{"vi1",#N/A,FALSE,"Financial Statements";"vi2",#N/A,FALSE,"Financial Statements";#N/A,#N/A,FALSE,"DCF"}</definedName>
    <definedName name="wrn.Print." localSheetId="20" hidden="1">{"vi1",#N/A,FALSE,"Financial Statements";"vi2",#N/A,FALSE,"Financial Statements";#N/A,#N/A,FALSE,"DCF"}</definedName>
    <definedName name="wrn.Print." localSheetId="21" hidden="1">{"vi1",#N/A,FALSE,"Financial Statements";"vi2",#N/A,FALSE,"Financial Statements";#N/A,#N/A,FALSE,"DCF"}</definedName>
    <definedName name="wrn.Print." localSheetId="11" hidden="1">{"vi1",#N/A,FALSE,"Financial Statements";"vi2",#N/A,FALSE,"Financial Statements";#N/A,#N/A,FALSE,"DCF"}</definedName>
    <definedName name="wrn.Print." localSheetId="17" hidden="1">{"vi1",#N/A,FALSE,"Financial Statements";"vi2",#N/A,FALSE,"Financial Statements";#N/A,#N/A,FALSE,"DCF"}</definedName>
    <definedName name="wrn.Print." localSheetId="16" hidden="1">{"vi1",#N/A,FALSE,"Financial Statements";"vi2",#N/A,FALSE,"Financial Statements";#N/A,#N/A,FALSE,"DCF"}</definedName>
    <definedName name="wrn.Print." localSheetId="22" hidden="1">{"vi1",#N/A,FALSE,"Financial Statements";"vi2",#N/A,FALSE,"Financial Statements";#N/A,#N/A,FALSE,"DCF"}</definedName>
    <definedName name="wrn.Print." localSheetId="9" hidden="1">{"vi1",#N/A,FALSE,"Financial Statements";"vi2",#N/A,FALSE,"Financial Statements";#N/A,#N/A,FALSE,"DCF"}</definedName>
    <definedName name="wrn.Print." localSheetId="13" hidden="1">{"vi1",#N/A,FALSE,"Financial Statements";"vi2",#N/A,FALSE,"Financial Statements";#N/A,#N/A,FALSE,"DCF"}</definedName>
    <definedName name="wrn.Print." localSheetId="23" hidden="1">{"vi1",#N/A,FALSE,"Financial Statements";"vi2",#N/A,FALSE,"Financial Statements";#N/A,#N/A,FALSE,"DCF"}</definedName>
    <definedName name="wrn.Print." hidden="1">{"vi1",#N/A,FALSE,"Financial Statements";"vi2",#N/A,FALSE,"Financial Statements";#N/A,#N/A,FALSE,"DCF"}</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Staff._.cost1998." localSheetId="4" hidden="1">{#N/A,#N/A,TRUE,"Staffnos &amp; cost"}</definedName>
    <definedName name="wrn.Staff._.cost1998." localSheetId="5" hidden="1">{#N/A,#N/A,TRUE,"Staffnos &amp; cost"}</definedName>
    <definedName name="wrn.Staff._.cost1998." localSheetId="15" hidden="1">{#N/A,#N/A,TRUE,"Staffnos &amp; cost"}</definedName>
    <definedName name="wrn.Staff._.cost1998." localSheetId="19" hidden="1">{#N/A,#N/A,TRUE,"Staffnos &amp; cost"}</definedName>
    <definedName name="wrn.Staff._.cost1998." localSheetId="18" hidden="1">{#N/A,#N/A,TRUE,"Staffnos &amp; cost"}</definedName>
    <definedName name="wrn.Staff._.cost1998." localSheetId="14" hidden="1">{#N/A,#N/A,TRUE,"Staffnos &amp; cost"}</definedName>
    <definedName name="wrn.Staff._.cost1998." localSheetId="12" hidden="1">{#N/A,#N/A,TRUE,"Staffnos &amp; cost"}</definedName>
    <definedName name="wrn.Staff._.cost1998." localSheetId="24" hidden="1">{#N/A,#N/A,TRUE,"Staffnos &amp; cost"}</definedName>
    <definedName name="wrn.Staff._.cost1998." localSheetId="7" hidden="1">{#N/A,#N/A,TRUE,"Staffnos &amp; cost"}</definedName>
    <definedName name="wrn.Staff._.cost1998." localSheetId="20" hidden="1">{#N/A,#N/A,TRUE,"Staffnos &amp; cost"}</definedName>
    <definedName name="wrn.Staff._.cost1998." localSheetId="21" hidden="1">{#N/A,#N/A,TRUE,"Staffnos &amp; cost"}</definedName>
    <definedName name="wrn.Staff._.cost1998." localSheetId="11" hidden="1">{#N/A,#N/A,TRUE,"Staffnos &amp; cost"}</definedName>
    <definedName name="wrn.Staff._.cost1998." localSheetId="17" hidden="1">{#N/A,#N/A,TRUE,"Staffnos &amp; cost"}</definedName>
    <definedName name="wrn.Staff._.cost1998." localSheetId="16" hidden="1">{#N/A,#N/A,TRUE,"Staffnos &amp; cost"}</definedName>
    <definedName name="wrn.Staff._.cost1998." localSheetId="22" hidden="1">{#N/A,#N/A,TRUE,"Staffnos &amp; cost"}</definedName>
    <definedName name="wrn.Staff._.cost1998." localSheetId="9" hidden="1">{#N/A,#N/A,TRUE,"Staffnos &amp; cost"}</definedName>
    <definedName name="wrn.Staff._.cost1998." localSheetId="13" hidden="1">{#N/A,#N/A,TRUE,"Staffnos &amp; cost"}</definedName>
    <definedName name="wrn.Staff._.cost1998." localSheetId="23" hidden="1">{#N/A,#N/A,TRUE,"Staffnos &amp; cost"}</definedName>
    <definedName name="wrn.Staff._.cost1998." hidden="1">{#N/A,#N/A,TRUE,"Staffnos &amp; cost"}</definedName>
    <definedName name="wrn.Staffcost." localSheetId="4" hidden="1">{#N/A,#N/A,FALSE,"Staffnos &amp; cost"}</definedName>
    <definedName name="wrn.Staffcost." localSheetId="5" hidden="1">{#N/A,#N/A,FALSE,"Staffnos &amp; cost"}</definedName>
    <definedName name="wrn.Staffcost." localSheetId="15" hidden="1">{#N/A,#N/A,FALSE,"Staffnos &amp; cost"}</definedName>
    <definedName name="wrn.Staffcost." localSheetId="19" hidden="1">{#N/A,#N/A,FALSE,"Staffnos &amp; cost"}</definedName>
    <definedName name="wrn.Staffcost." localSheetId="18" hidden="1">{#N/A,#N/A,FALSE,"Staffnos &amp; cost"}</definedName>
    <definedName name="wrn.Staffcost." localSheetId="14" hidden="1">{#N/A,#N/A,FALSE,"Staffnos &amp; cost"}</definedName>
    <definedName name="wrn.Staffcost." localSheetId="12" hidden="1">{#N/A,#N/A,FALSE,"Staffnos &amp; cost"}</definedName>
    <definedName name="wrn.Staffcost." localSheetId="24" hidden="1">{#N/A,#N/A,FALSE,"Staffnos &amp; cost"}</definedName>
    <definedName name="wrn.Staffcost." localSheetId="7" hidden="1">{#N/A,#N/A,FALSE,"Staffnos &amp; cost"}</definedName>
    <definedName name="wrn.Staffcost." localSheetId="20" hidden="1">{#N/A,#N/A,FALSE,"Staffnos &amp; cost"}</definedName>
    <definedName name="wrn.Staffcost." localSheetId="21" hidden="1">{#N/A,#N/A,FALSE,"Staffnos &amp; cost"}</definedName>
    <definedName name="wrn.Staffcost." localSheetId="11" hidden="1">{#N/A,#N/A,FALSE,"Staffnos &amp; cost"}</definedName>
    <definedName name="wrn.Staffcost." localSheetId="17" hidden="1">{#N/A,#N/A,FALSE,"Staffnos &amp; cost"}</definedName>
    <definedName name="wrn.Staffcost." localSheetId="16" hidden="1">{#N/A,#N/A,FALSE,"Staffnos &amp; cost"}</definedName>
    <definedName name="wrn.Staffcost." localSheetId="22" hidden="1">{#N/A,#N/A,FALSE,"Staffnos &amp; cost"}</definedName>
    <definedName name="wrn.Staffcost." localSheetId="9" hidden="1">{#N/A,#N/A,FALSE,"Staffnos &amp; cost"}</definedName>
    <definedName name="wrn.Staffcost." localSheetId="13" hidden="1">{#N/A,#N/A,FALSE,"Staffnos &amp; cost"}</definedName>
    <definedName name="wrn.Staffcost." localSheetId="23" hidden="1">{#N/A,#N/A,FALSE,"Staffnos &amp; cost"}</definedName>
    <definedName name="wrn.Staffcost." hidden="1">{#N/A,#N/A,FALSE,"Staffnos &amp; cost"}</definedName>
    <definedName name="wrn.Summary." localSheetId="4" hidden="1">{"Summary",#N/A,FALSE,"Model"}</definedName>
    <definedName name="wrn.Summary." localSheetId="5" hidden="1">{"Summary",#N/A,FALSE,"Model"}</definedName>
    <definedName name="wrn.Summary." localSheetId="15" hidden="1">{"Summary",#N/A,FALSE,"Model"}</definedName>
    <definedName name="wrn.Summary." localSheetId="19" hidden="1">{"Summary",#N/A,FALSE,"Model"}</definedName>
    <definedName name="wrn.Summary." localSheetId="18" hidden="1">{"Summary",#N/A,FALSE,"Model"}</definedName>
    <definedName name="wrn.Summary." localSheetId="14" hidden="1">{"Summary",#N/A,FALSE,"Model"}</definedName>
    <definedName name="wrn.Summary." localSheetId="12" hidden="1">{"Summary",#N/A,FALSE,"Model"}</definedName>
    <definedName name="wrn.Summary." localSheetId="24" hidden="1">{"Summary",#N/A,FALSE,"Model"}</definedName>
    <definedName name="wrn.Summary." localSheetId="7" hidden="1">{"Summary",#N/A,FALSE,"Model"}</definedName>
    <definedName name="wrn.Summary." localSheetId="20" hidden="1">{"Summary",#N/A,FALSE,"Model"}</definedName>
    <definedName name="wrn.Summary." localSheetId="21" hidden="1">{"Summary",#N/A,FALSE,"Model"}</definedName>
    <definedName name="wrn.Summary." localSheetId="11" hidden="1">{"Summary",#N/A,FALSE,"Model"}</definedName>
    <definedName name="wrn.Summary." localSheetId="17" hidden="1">{"Summary",#N/A,FALSE,"Model"}</definedName>
    <definedName name="wrn.Summary." localSheetId="16" hidden="1">{"Summary",#N/A,FALSE,"Model"}</definedName>
    <definedName name="wrn.Summary." localSheetId="22" hidden="1">{"Summary",#N/A,FALSE,"Model"}</definedName>
    <definedName name="wrn.Summary." localSheetId="9" hidden="1">{"Summary",#N/A,FALSE,"Model"}</definedName>
    <definedName name="wrn.Summary." localSheetId="13" hidden="1">{"Summary",#N/A,FALSE,"Model"}</definedName>
    <definedName name="wrn.Summary." localSheetId="23" hidden="1">{"Summary",#N/A,FALSE,"Model"}</definedName>
    <definedName name="wrn.Summary." hidden="1">{"Summary",#N/A,FALSE,"Model"}</definedName>
    <definedName name="wrn.test." localSheetId="4" hidden="1">{"test2",#N/A,TRUE,"Prices"}</definedName>
    <definedName name="wrn.test." localSheetId="5" hidden="1">{"test2",#N/A,TRUE,"Prices"}</definedName>
    <definedName name="wrn.test." localSheetId="15" hidden="1">{"test2",#N/A,TRUE,"Prices"}</definedName>
    <definedName name="wrn.test." localSheetId="19" hidden="1">{"test2",#N/A,TRUE,"Prices"}</definedName>
    <definedName name="wrn.test." localSheetId="18" hidden="1">{"test2",#N/A,TRUE,"Prices"}</definedName>
    <definedName name="wrn.test." localSheetId="14" hidden="1">{"test2",#N/A,TRUE,"Prices"}</definedName>
    <definedName name="wrn.test." localSheetId="12" hidden="1">{"test2",#N/A,TRUE,"Prices"}</definedName>
    <definedName name="wrn.test." localSheetId="24" hidden="1">{"test2",#N/A,TRUE,"Prices"}</definedName>
    <definedName name="wrn.test." localSheetId="7" hidden="1">{"test2",#N/A,TRUE,"Prices"}</definedName>
    <definedName name="wrn.test." localSheetId="20" hidden="1">{"test2",#N/A,TRUE,"Prices"}</definedName>
    <definedName name="wrn.test." localSheetId="21" hidden="1">{"test2",#N/A,TRUE,"Prices"}</definedName>
    <definedName name="wrn.test." localSheetId="11" hidden="1">{"test2",#N/A,TRUE,"Prices"}</definedName>
    <definedName name="wrn.test." localSheetId="17" hidden="1">{"test2",#N/A,TRUE,"Prices"}</definedName>
    <definedName name="wrn.test." localSheetId="16" hidden="1">{"test2",#N/A,TRUE,"Prices"}</definedName>
    <definedName name="wrn.test." localSheetId="22" hidden="1">{"test2",#N/A,TRUE,"Prices"}</definedName>
    <definedName name="wrn.test." localSheetId="9" hidden="1">{"test2",#N/A,TRUE,"Prices"}</definedName>
    <definedName name="wrn.test." localSheetId="13" hidden="1">{"test2",#N/A,TRUE,"Prices"}</definedName>
    <definedName name="wrn.test." localSheetId="23" hidden="1">{"test2",#N/A,TRUE,"Prices"}</definedName>
    <definedName name="wrn.test." hidden="1">{"test2",#N/A,TRUE,"Prices"}</definedName>
    <definedName name="wrn.VALUATION." localSheetId="4" hidden="1">{#N/A,#N/A,FALSE,"Valuation Assumptions";#N/A,#N/A,FALSE,"Summary";#N/A,#N/A,FALSE,"DCF";#N/A,#N/A,FALSE,"Valuation";#N/A,#N/A,FALSE,"WACC";#N/A,#N/A,FALSE,"UBVH";#N/A,#N/A,FALSE,"Free Cash Flow"}</definedName>
    <definedName name="wrn.VALUATION." localSheetId="5" hidden="1">{#N/A,#N/A,FALSE,"Valuation Assumptions";#N/A,#N/A,FALSE,"Summary";#N/A,#N/A,FALSE,"DCF";#N/A,#N/A,FALSE,"Valuation";#N/A,#N/A,FALSE,"WACC";#N/A,#N/A,FALSE,"UBVH";#N/A,#N/A,FALSE,"Free Cash Flow"}</definedName>
    <definedName name="wrn.VALUATION." localSheetId="15" hidden="1">{#N/A,#N/A,FALSE,"Valuation Assumptions";#N/A,#N/A,FALSE,"Summary";#N/A,#N/A,FALSE,"DCF";#N/A,#N/A,FALSE,"Valuation";#N/A,#N/A,FALSE,"WACC";#N/A,#N/A,FALSE,"UBVH";#N/A,#N/A,FALSE,"Free Cash Flow"}</definedName>
    <definedName name="wrn.VALUATION." localSheetId="19" hidden="1">{#N/A,#N/A,FALSE,"Valuation Assumptions";#N/A,#N/A,FALSE,"Summary";#N/A,#N/A,FALSE,"DCF";#N/A,#N/A,FALSE,"Valuation";#N/A,#N/A,FALSE,"WACC";#N/A,#N/A,FALSE,"UBVH";#N/A,#N/A,FALSE,"Free Cash Flow"}</definedName>
    <definedName name="wrn.VALUATION." localSheetId="18" hidden="1">{#N/A,#N/A,FALSE,"Valuation Assumptions";#N/A,#N/A,FALSE,"Summary";#N/A,#N/A,FALSE,"DCF";#N/A,#N/A,FALSE,"Valuation";#N/A,#N/A,FALSE,"WACC";#N/A,#N/A,FALSE,"UBVH";#N/A,#N/A,FALSE,"Free Cash Flow"}</definedName>
    <definedName name="wrn.VALUATION." localSheetId="14" hidden="1">{#N/A,#N/A,FALSE,"Valuation Assumptions";#N/A,#N/A,FALSE,"Summary";#N/A,#N/A,FALSE,"DCF";#N/A,#N/A,FALSE,"Valuation";#N/A,#N/A,FALSE,"WACC";#N/A,#N/A,FALSE,"UBVH";#N/A,#N/A,FALSE,"Free Cash Flow"}</definedName>
    <definedName name="wrn.VALUATION." localSheetId="12" hidden="1">{#N/A,#N/A,FALSE,"Valuation Assumptions";#N/A,#N/A,FALSE,"Summary";#N/A,#N/A,FALSE,"DCF";#N/A,#N/A,FALSE,"Valuation";#N/A,#N/A,FALSE,"WACC";#N/A,#N/A,FALSE,"UBVH";#N/A,#N/A,FALSE,"Free Cash Flow"}</definedName>
    <definedName name="wrn.VALUATION." localSheetId="24" hidden="1">{#N/A,#N/A,FALSE,"Valuation Assumptions";#N/A,#N/A,FALSE,"Summary";#N/A,#N/A,FALSE,"DCF";#N/A,#N/A,FALSE,"Valuation";#N/A,#N/A,FALSE,"WACC";#N/A,#N/A,FALSE,"UBVH";#N/A,#N/A,FALSE,"Free Cash Flow"}</definedName>
    <definedName name="wrn.VALUATION." localSheetId="7" hidden="1">{#N/A,#N/A,FALSE,"Valuation Assumptions";#N/A,#N/A,FALSE,"Summary";#N/A,#N/A,FALSE,"DCF";#N/A,#N/A,FALSE,"Valuation";#N/A,#N/A,FALSE,"WACC";#N/A,#N/A,FALSE,"UBVH";#N/A,#N/A,FALSE,"Free Cash Flow"}</definedName>
    <definedName name="wrn.VALUATION." localSheetId="20" hidden="1">{#N/A,#N/A,FALSE,"Valuation Assumptions";#N/A,#N/A,FALSE,"Summary";#N/A,#N/A,FALSE,"DCF";#N/A,#N/A,FALSE,"Valuation";#N/A,#N/A,FALSE,"WACC";#N/A,#N/A,FALSE,"UBVH";#N/A,#N/A,FALSE,"Free Cash Flow"}</definedName>
    <definedName name="wrn.VALUATION." localSheetId="21" hidden="1">{#N/A,#N/A,FALSE,"Valuation Assumptions";#N/A,#N/A,FALSE,"Summary";#N/A,#N/A,FALSE,"DCF";#N/A,#N/A,FALSE,"Valuation";#N/A,#N/A,FALSE,"WACC";#N/A,#N/A,FALSE,"UBVH";#N/A,#N/A,FALSE,"Free Cash Flow"}</definedName>
    <definedName name="wrn.VALUATION." localSheetId="11" hidden="1">{#N/A,#N/A,FALSE,"Valuation Assumptions";#N/A,#N/A,FALSE,"Summary";#N/A,#N/A,FALSE,"DCF";#N/A,#N/A,FALSE,"Valuation";#N/A,#N/A,FALSE,"WACC";#N/A,#N/A,FALSE,"UBVH";#N/A,#N/A,FALSE,"Free Cash Flow"}</definedName>
    <definedName name="wrn.VALUATION." localSheetId="17" hidden="1">{#N/A,#N/A,FALSE,"Valuation Assumptions";#N/A,#N/A,FALSE,"Summary";#N/A,#N/A,FALSE,"DCF";#N/A,#N/A,FALSE,"Valuation";#N/A,#N/A,FALSE,"WACC";#N/A,#N/A,FALSE,"UBVH";#N/A,#N/A,FALSE,"Free Cash Flow"}</definedName>
    <definedName name="wrn.VALUATION." localSheetId="16" hidden="1">{#N/A,#N/A,FALSE,"Valuation Assumptions";#N/A,#N/A,FALSE,"Summary";#N/A,#N/A,FALSE,"DCF";#N/A,#N/A,FALSE,"Valuation";#N/A,#N/A,FALSE,"WACC";#N/A,#N/A,FALSE,"UBVH";#N/A,#N/A,FALSE,"Free Cash Flow"}</definedName>
    <definedName name="wrn.VALUATION." localSheetId="22" hidden="1">{#N/A,#N/A,FALSE,"Valuation Assumptions";#N/A,#N/A,FALSE,"Summary";#N/A,#N/A,FALSE,"DCF";#N/A,#N/A,FALSE,"Valuation";#N/A,#N/A,FALSE,"WACC";#N/A,#N/A,FALSE,"UBVH";#N/A,#N/A,FALSE,"Free Cash Flow"}</definedName>
    <definedName name="wrn.VALUATION." localSheetId="9" hidden="1">{#N/A,#N/A,FALSE,"Valuation Assumptions";#N/A,#N/A,FALSE,"Summary";#N/A,#N/A,FALSE,"DCF";#N/A,#N/A,FALSE,"Valuation";#N/A,#N/A,FALSE,"WACC";#N/A,#N/A,FALSE,"UBVH";#N/A,#N/A,FALSE,"Free Cash Flow"}</definedName>
    <definedName name="wrn.VALUATION." localSheetId="13" hidden="1">{#N/A,#N/A,FALSE,"Valuation Assumptions";#N/A,#N/A,FALSE,"Summary";#N/A,#N/A,FALSE,"DCF";#N/A,#N/A,FALSE,"Valuation";#N/A,#N/A,FALSE,"WACC";#N/A,#N/A,FALSE,"UBVH";#N/A,#N/A,FALSE,"Free Cash Flow"}</definedName>
    <definedName name="wrn.VALUATION." localSheetId="23"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1.repo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td_avg_shares">#REF!</definedName>
    <definedName name="Wtd_avg_shares_m">#REF!</definedName>
    <definedName name="wtd_avg_shares_qtr">#REF!</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 hidden="1">{"'Standalone List Price Trends'!$A$1:$X$56"}</definedName>
    <definedName name="xer" localSheetId="4">#REF!</definedName>
    <definedName name="xer" localSheetId="5">#REF!</definedName>
    <definedName name="xer" localSheetId="15">#REF!</definedName>
    <definedName name="xer" localSheetId="19">#REF!</definedName>
    <definedName name="xer" localSheetId="18">#REF!</definedName>
    <definedName name="xer" localSheetId="14">#REF!</definedName>
    <definedName name="xer" localSheetId="12">#REF!</definedName>
    <definedName name="xer" localSheetId="24">#REF!</definedName>
    <definedName name="xer" localSheetId="7">#REF!</definedName>
    <definedName name="xer" localSheetId="20">#REF!</definedName>
    <definedName name="xer" localSheetId="21">#REF!</definedName>
    <definedName name="xer" localSheetId="11">#REF!</definedName>
    <definedName name="xer" localSheetId="17">#REF!</definedName>
    <definedName name="xer" localSheetId="16">#REF!</definedName>
    <definedName name="xer" localSheetId="22">#REF!</definedName>
    <definedName name="xer" localSheetId="9">#REF!</definedName>
    <definedName name="xer" localSheetId="13">#REF!</definedName>
    <definedName name="xer" localSheetId="23">#REF!</definedName>
    <definedName name="xer">#REF!</definedName>
    <definedName name="xfx" localSheetId="4">#REF!</definedName>
    <definedName name="xfx" localSheetId="5">#REF!</definedName>
    <definedName name="xfx" localSheetId="15">#REF!</definedName>
    <definedName name="xfx" localSheetId="19">#REF!</definedName>
    <definedName name="xfx" localSheetId="18">#REF!</definedName>
    <definedName name="xfx" localSheetId="14">#REF!</definedName>
    <definedName name="xfx" localSheetId="12">#REF!</definedName>
    <definedName name="xfx" localSheetId="24">#REF!</definedName>
    <definedName name="xfx" localSheetId="7">#REF!</definedName>
    <definedName name="xfx" localSheetId="20">#REF!</definedName>
    <definedName name="xfx" localSheetId="21">#REF!</definedName>
    <definedName name="xfx" localSheetId="11">#REF!</definedName>
    <definedName name="xfx" localSheetId="17">#REF!</definedName>
    <definedName name="xfx" localSheetId="16">#REF!</definedName>
    <definedName name="xfx" localSheetId="22">#REF!</definedName>
    <definedName name="xfx" localSheetId="9">#REF!</definedName>
    <definedName name="xfx" localSheetId="13">#REF!</definedName>
    <definedName name="xfx" localSheetId="23">#REF!</definedName>
    <definedName name="xfx">#REF!</definedName>
    <definedName name="xitem" localSheetId="4">#REF!</definedName>
    <definedName name="xitem" localSheetId="5">#REF!</definedName>
    <definedName name="xitem" localSheetId="15">#REF!</definedName>
    <definedName name="xitem" localSheetId="19">#REF!</definedName>
    <definedName name="xitem" localSheetId="18">#REF!</definedName>
    <definedName name="xitem" localSheetId="14">#REF!</definedName>
    <definedName name="xitem" localSheetId="12">#REF!</definedName>
    <definedName name="xitem" localSheetId="24">#REF!</definedName>
    <definedName name="xitem" localSheetId="7">#REF!</definedName>
    <definedName name="xitem" localSheetId="20">#REF!</definedName>
    <definedName name="xitem" localSheetId="21">#REF!</definedName>
    <definedName name="xitem" localSheetId="11">#REF!</definedName>
    <definedName name="xitem" localSheetId="17">#REF!</definedName>
    <definedName name="xitem" localSheetId="16">#REF!</definedName>
    <definedName name="xitem" localSheetId="22">#REF!</definedName>
    <definedName name="xitem" localSheetId="9">#REF!</definedName>
    <definedName name="xitem" localSheetId="13">#REF!</definedName>
    <definedName name="xitem" localSheetId="23">#REF!</definedName>
    <definedName name="xitem">#REF!</definedName>
    <definedName name="xls" localSheetId="4" hidden="1">{"Print Summary",#N/A,FALSE,"Bal_Graphs";"Print Summary",#N/A,FALSE,"DCF";"Print Summary",#N/A,FALSE,"Graphs";"Print Summary",#N/A,FALSE,"Summary"}</definedName>
    <definedName name="xls" localSheetId="5" hidden="1">{"Print Summary",#N/A,FALSE,"Bal_Graphs";"Print Summary",#N/A,FALSE,"DCF";"Print Summary",#N/A,FALSE,"Graphs";"Print Summary",#N/A,FALSE,"Summary"}</definedName>
    <definedName name="xls" localSheetId="15" hidden="1">{"Print Summary",#N/A,FALSE,"Bal_Graphs";"Print Summary",#N/A,FALSE,"DCF";"Print Summary",#N/A,FALSE,"Graphs";"Print Summary",#N/A,FALSE,"Summary"}</definedName>
    <definedName name="xls" localSheetId="19" hidden="1">{"Print Summary",#N/A,FALSE,"Bal_Graphs";"Print Summary",#N/A,FALSE,"DCF";"Print Summary",#N/A,FALSE,"Graphs";"Print Summary",#N/A,FALSE,"Summary"}</definedName>
    <definedName name="xls" localSheetId="18" hidden="1">{"Print Summary",#N/A,FALSE,"Bal_Graphs";"Print Summary",#N/A,FALSE,"DCF";"Print Summary",#N/A,FALSE,"Graphs";"Print Summary",#N/A,FALSE,"Summary"}</definedName>
    <definedName name="xls" localSheetId="14" hidden="1">{"Print Summary",#N/A,FALSE,"Bal_Graphs";"Print Summary",#N/A,FALSE,"DCF";"Print Summary",#N/A,FALSE,"Graphs";"Print Summary",#N/A,FALSE,"Summary"}</definedName>
    <definedName name="xls" localSheetId="12" hidden="1">{"Print Summary",#N/A,FALSE,"Bal_Graphs";"Print Summary",#N/A,FALSE,"DCF";"Print Summary",#N/A,FALSE,"Graphs";"Print Summary",#N/A,FALSE,"Summary"}</definedName>
    <definedName name="xls" localSheetId="24" hidden="1">{"Print Summary",#N/A,FALSE,"Bal_Graphs";"Print Summary",#N/A,FALSE,"DCF";"Print Summary",#N/A,FALSE,"Graphs";"Print Summary",#N/A,FALSE,"Summary"}</definedName>
    <definedName name="xls" localSheetId="7" hidden="1">{"Print Summary",#N/A,FALSE,"Bal_Graphs";"Print Summary",#N/A,FALSE,"DCF";"Print Summary",#N/A,FALSE,"Graphs";"Print Summary",#N/A,FALSE,"Summary"}</definedName>
    <definedName name="xls" localSheetId="20" hidden="1">{"Print Summary",#N/A,FALSE,"Bal_Graphs";"Print Summary",#N/A,FALSE,"DCF";"Print Summary",#N/A,FALSE,"Graphs";"Print Summary",#N/A,FALSE,"Summary"}</definedName>
    <definedName name="xls" localSheetId="21" hidden="1">{"Print Summary",#N/A,FALSE,"Bal_Graphs";"Print Summary",#N/A,FALSE,"DCF";"Print Summary",#N/A,FALSE,"Graphs";"Print Summary",#N/A,FALSE,"Summary"}</definedName>
    <definedName name="xls" localSheetId="11" hidden="1">{"Print Summary",#N/A,FALSE,"Bal_Graphs";"Print Summary",#N/A,FALSE,"DCF";"Print Summary",#N/A,FALSE,"Graphs";"Print Summary",#N/A,FALSE,"Summary"}</definedName>
    <definedName name="xls" localSheetId="17" hidden="1">{"Print Summary",#N/A,FALSE,"Bal_Graphs";"Print Summary",#N/A,FALSE,"DCF";"Print Summary",#N/A,FALSE,"Graphs";"Print Summary",#N/A,FALSE,"Summary"}</definedName>
    <definedName name="xls" localSheetId="16" hidden="1">{"Print Summary",#N/A,FALSE,"Bal_Graphs";"Print Summary",#N/A,FALSE,"DCF";"Print Summary",#N/A,FALSE,"Graphs";"Print Summary",#N/A,FALSE,"Summary"}</definedName>
    <definedName name="xls" localSheetId="22" hidden="1">{"Print Summary",#N/A,FALSE,"Bal_Graphs";"Print Summary",#N/A,FALSE,"DCF";"Print Summary",#N/A,FALSE,"Graphs";"Print Summary",#N/A,FALSE,"Summary"}</definedName>
    <definedName name="xls" localSheetId="9" hidden="1">{"Print Summary",#N/A,FALSE,"Bal_Graphs";"Print Summary",#N/A,FALSE,"DCF";"Print Summary",#N/A,FALSE,"Graphs";"Print Summary",#N/A,FALSE,"Summary"}</definedName>
    <definedName name="xls" localSheetId="13" hidden="1">{"Print Summary",#N/A,FALSE,"Bal_Graphs";"Print Summary",#N/A,FALSE,"DCF";"Print Summary",#N/A,FALSE,"Graphs";"Print Summary",#N/A,FALSE,"Summary"}</definedName>
    <definedName name="xls" localSheetId="23" hidden="1">{"Print Summary",#N/A,FALSE,"Bal_Graphs";"Print Summary",#N/A,FALSE,"DCF";"Print Summary",#N/A,FALSE,"Graphs";"Print Summary",#N/A,FALSE,"Summary"}</definedName>
    <definedName name="xls" hidden="1">{"Print Summary",#N/A,FALSE,"Bal_Graphs";"Print Summary",#N/A,FALSE,"DCF";"Print Summary",#N/A,FALSE,"Graphs";"Print Summary",#N/A,FALSE,"Summary"}</definedName>
    <definedName name="xoe" localSheetId="4">#REF!</definedName>
    <definedName name="xoe" localSheetId="5">#REF!</definedName>
    <definedName name="xoe" localSheetId="15">#REF!</definedName>
    <definedName name="xoe" localSheetId="19">#REF!</definedName>
    <definedName name="xoe" localSheetId="18">#REF!</definedName>
    <definedName name="xoe" localSheetId="14">#REF!</definedName>
    <definedName name="xoe" localSheetId="12">#REF!</definedName>
    <definedName name="xoe" localSheetId="24">#REF!</definedName>
    <definedName name="xoe" localSheetId="7">#REF!</definedName>
    <definedName name="xoe" localSheetId="20">#REF!</definedName>
    <definedName name="xoe" localSheetId="21">#REF!</definedName>
    <definedName name="xoe" localSheetId="11">#REF!</definedName>
    <definedName name="xoe" localSheetId="17">#REF!</definedName>
    <definedName name="xoe" localSheetId="16">#REF!</definedName>
    <definedName name="xoe" localSheetId="22">#REF!</definedName>
    <definedName name="xoe" localSheetId="9">#REF!</definedName>
    <definedName name="xoe" localSheetId="13">#REF!</definedName>
    <definedName name="xoe" localSheetId="23">#REF!</definedName>
    <definedName name="xoe">#REF!</definedName>
    <definedName name="xpr" localSheetId="4">#REF!</definedName>
    <definedName name="xpr" localSheetId="5">#REF!</definedName>
    <definedName name="xpr" localSheetId="15">#REF!</definedName>
    <definedName name="xpr" localSheetId="19">#REF!</definedName>
    <definedName name="xpr" localSheetId="18">#REF!</definedName>
    <definedName name="xpr" localSheetId="14">#REF!</definedName>
    <definedName name="xpr" localSheetId="12">#REF!</definedName>
    <definedName name="xpr" localSheetId="24">#REF!</definedName>
    <definedName name="xpr" localSheetId="7">#REF!</definedName>
    <definedName name="xpr" localSheetId="20">#REF!</definedName>
    <definedName name="xpr" localSheetId="21">#REF!</definedName>
    <definedName name="xpr" localSheetId="11">#REF!</definedName>
    <definedName name="xpr" localSheetId="17">#REF!</definedName>
    <definedName name="xpr" localSheetId="16">#REF!</definedName>
    <definedName name="xpr" localSheetId="22">#REF!</definedName>
    <definedName name="xpr" localSheetId="9">#REF!</definedName>
    <definedName name="xpr" localSheetId="13">#REF!</definedName>
    <definedName name="xpr" localSheetId="23">#REF!</definedName>
    <definedName name="xpr">#REF!</definedName>
    <definedName name="xunits" localSheetId="4">#REF!</definedName>
    <definedName name="xunits" localSheetId="5">#REF!</definedName>
    <definedName name="xunits" localSheetId="15">#REF!</definedName>
    <definedName name="xunits" localSheetId="19">#REF!</definedName>
    <definedName name="xunits" localSheetId="18">#REF!</definedName>
    <definedName name="xunits" localSheetId="14">#REF!</definedName>
    <definedName name="xunits" localSheetId="12">#REF!</definedName>
    <definedName name="xunits" localSheetId="24">#REF!</definedName>
    <definedName name="xunits" localSheetId="7">#REF!</definedName>
    <definedName name="xunits" localSheetId="20">#REF!</definedName>
    <definedName name="xunits" localSheetId="21">#REF!</definedName>
    <definedName name="xunits" localSheetId="11">#REF!</definedName>
    <definedName name="xunits" localSheetId="17">#REF!</definedName>
    <definedName name="xunits" localSheetId="16">#REF!</definedName>
    <definedName name="xunits" localSheetId="22">#REF!</definedName>
    <definedName name="xunits" localSheetId="9">#REF!</definedName>
    <definedName name="xunits" localSheetId="13">#REF!</definedName>
    <definedName name="xunits" localSheetId="23">#REF!</definedName>
    <definedName name="xunits">#REF!</definedName>
    <definedName name="xvxv" hidden="1">#N/A</definedName>
    <definedName name="xx" localSheetId="4">#REF!</definedName>
    <definedName name="xx" localSheetId="5">#REF!</definedName>
    <definedName name="xx" localSheetId="15">#REF!</definedName>
    <definedName name="xx" localSheetId="19">#REF!</definedName>
    <definedName name="xx" localSheetId="18">#REF!</definedName>
    <definedName name="xx" localSheetId="14">#REF!</definedName>
    <definedName name="xx" localSheetId="12">#REF!</definedName>
    <definedName name="xx" localSheetId="24">#REF!</definedName>
    <definedName name="xx" localSheetId="7">#REF!</definedName>
    <definedName name="xx" localSheetId="20">#REF!</definedName>
    <definedName name="xx" localSheetId="21">#REF!</definedName>
    <definedName name="xx" localSheetId="11">#REF!</definedName>
    <definedName name="xx" localSheetId="17">#REF!</definedName>
    <definedName name="xx" localSheetId="16">#REF!</definedName>
    <definedName name="xx" localSheetId="22">#REF!</definedName>
    <definedName name="xx" localSheetId="9">#REF!</definedName>
    <definedName name="xx" localSheetId="13">#REF!</definedName>
    <definedName name="xx" localSheetId="23">#REF!</definedName>
    <definedName name="xx">#REF!</definedName>
    <definedName name="y" hidden="1">{#N/A,#N/A,FALSE,"earnings"}</definedName>
    <definedName name="YEAR" localSheetId="4">#REF!</definedName>
    <definedName name="YEAR" localSheetId="9">#REF!</definedName>
    <definedName name="YEAR">#REF!</definedName>
    <definedName name="year_end" localSheetId="4">#REF!</definedName>
    <definedName name="year_end" localSheetId="5">#REF!</definedName>
    <definedName name="year_end" localSheetId="15">#REF!</definedName>
    <definedName name="year_end" localSheetId="19">#REF!</definedName>
    <definedName name="year_end" localSheetId="18">#REF!</definedName>
    <definedName name="year_end" localSheetId="14">#REF!</definedName>
    <definedName name="year_end" localSheetId="12">#REF!</definedName>
    <definedName name="year_end" localSheetId="24">#REF!</definedName>
    <definedName name="year_end" localSheetId="7">#REF!</definedName>
    <definedName name="year_end" localSheetId="20">#REF!</definedName>
    <definedName name="year_end" localSheetId="21">#REF!</definedName>
    <definedName name="year_end" localSheetId="11">#REF!</definedName>
    <definedName name="year_end" localSheetId="17">#REF!</definedName>
    <definedName name="year_end" localSheetId="16">#REF!</definedName>
    <definedName name="year_end" localSheetId="22">#REF!</definedName>
    <definedName name="year_end" localSheetId="9">#REF!</definedName>
    <definedName name="year_end" localSheetId="13">#REF!</definedName>
    <definedName name="year_end" localSheetId="23">#REF!</definedName>
    <definedName name="year_end">#REF!</definedName>
    <definedName name="Year_End_Core_Fixed_asset_turns" localSheetId="4">#REF!</definedName>
    <definedName name="Year_End_Core_Fixed_asset_turns" localSheetId="5">#REF!</definedName>
    <definedName name="Year_End_Core_Fixed_asset_turns" localSheetId="15">#REF!</definedName>
    <definedName name="Year_End_Core_Fixed_asset_turns" localSheetId="19">#REF!</definedName>
    <definedName name="Year_End_Core_Fixed_asset_turns" localSheetId="18">#REF!</definedName>
    <definedName name="Year_End_Core_Fixed_asset_turns" localSheetId="14">#REF!</definedName>
    <definedName name="Year_End_Core_Fixed_asset_turns" localSheetId="12">#REF!</definedName>
    <definedName name="Year_End_Core_Fixed_asset_turns" localSheetId="24">#REF!</definedName>
    <definedName name="Year_End_Core_Fixed_asset_turns" localSheetId="7">#REF!</definedName>
    <definedName name="Year_End_Core_Fixed_asset_turns" localSheetId="20">#REF!</definedName>
    <definedName name="Year_End_Core_Fixed_asset_turns" localSheetId="21">#REF!</definedName>
    <definedName name="Year_End_Core_Fixed_asset_turns" localSheetId="11">#REF!</definedName>
    <definedName name="Year_End_Core_Fixed_asset_turns" localSheetId="17">#REF!</definedName>
    <definedName name="Year_End_Core_Fixed_asset_turns" localSheetId="16">#REF!</definedName>
    <definedName name="Year_End_Core_Fixed_asset_turns" localSheetId="22">#REF!</definedName>
    <definedName name="Year_End_Core_Fixed_asset_turns" localSheetId="9">#REF!</definedName>
    <definedName name="Year_End_Core_Fixed_asset_turns" localSheetId="13">#REF!</definedName>
    <definedName name="Year_End_Core_Fixed_asset_turns" localSheetId="23">#REF!</definedName>
    <definedName name="Year_End_Core_Fixed_asset_turns">#REF!</definedName>
    <definedName name="Year_End_Core_Invested_Capital_turns" localSheetId="4">#REF!</definedName>
    <definedName name="Year_End_Core_Invested_Capital_turns" localSheetId="5">#REF!</definedName>
    <definedName name="Year_End_Core_Invested_Capital_turns" localSheetId="15">#REF!</definedName>
    <definedName name="Year_End_Core_Invested_Capital_turns" localSheetId="19">#REF!</definedName>
    <definedName name="Year_End_Core_Invested_Capital_turns" localSheetId="18">#REF!</definedName>
    <definedName name="Year_End_Core_Invested_Capital_turns" localSheetId="14">#REF!</definedName>
    <definedName name="Year_End_Core_Invested_Capital_turns" localSheetId="12">#REF!</definedName>
    <definedName name="Year_End_Core_Invested_Capital_turns" localSheetId="24">#REF!</definedName>
    <definedName name="Year_End_Core_Invested_Capital_turns" localSheetId="7">#REF!</definedName>
    <definedName name="Year_End_Core_Invested_Capital_turns" localSheetId="20">#REF!</definedName>
    <definedName name="Year_End_Core_Invested_Capital_turns" localSheetId="21">#REF!</definedName>
    <definedName name="Year_End_Core_Invested_Capital_turns" localSheetId="11">#REF!</definedName>
    <definedName name="Year_End_Core_Invested_Capital_turns" localSheetId="17">#REF!</definedName>
    <definedName name="Year_End_Core_Invested_Capital_turns" localSheetId="16">#REF!</definedName>
    <definedName name="Year_End_Core_Invested_Capital_turns" localSheetId="22">#REF!</definedName>
    <definedName name="Year_End_Core_Invested_Capital_turns" localSheetId="9">#REF!</definedName>
    <definedName name="Year_End_Core_Invested_Capital_turns" localSheetId="13">#REF!</definedName>
    <definedName name="Year_End_Core_Invested_Capital_turns" localSheetId="23">#REF!</definedName>
    <definedName name="Year_End_Core_Invested_Capital_turns">#REF!</definedName>
    <definedName name="Year_End_Core_NetWC_turns" localSheetId="4">#REF!</definedName>
    <definedName name="Year_End_Core_NetWC_turns" localSheetId="9">#REF!</definedName>
    <definedName name="Year_End_Core_NetWC_turns">#REF!</definedName>
    <definedName name="Year_End_Core_other_asset_turns" localSheetId="4">#REF!</definedName>
    <definedName name="Year_End_Core_other_asset_turns" localSheetId="9">#REF!</definedName>
    <definedName name="Year_End_Core_other_asset_turns">#REF!</definedName>
    <definedName name="year_in_future" localSheetId="4">#REF!</definedName>
    <definedName name="year_in_future" localSheetId="9">#REF!</definedName>
    <definedName name="year_in_future">#REF!</definedName>
    <definedName name="YearEnd">#REF!</definedName>
    <definedName name="YearEndSharesInIssue" localSheetId="4">#REF!</definedName>
    <definedName name="YearEndSharesInIssue" localSheetId="9">#REF!</definedName>
    <definedName name="YearEndSharesInIssue">#REF!</definedName>
    <definedName name="Years_in_full_stream" localSheetId="4">#REF!</definedName>
    <definedName name="Years_in_full_stream" localSheetId="9">#REF!</definedName>
    <definedName name="Years_in_full_stream">#REF!</definedName>
    <definedName name="Years_into_future" localSheetId="4">#REF!</definedName>
    <definedName name="Years_into_future" localSheetId="9">#REF!</definedName>
    <definedName name="Years_into_future">#REF!</definedName>
    <definedName name="YeEq">#REF!</definedName>
    <definedName name="Yield_on_advances_Q" localSheetId="4">#REF!</definedName>
    <definedName name="Yield_on_advances_Q" localSheetId="5">#REF!</definedName>
    <definedName name="Yield_on_advances_Q" localSheetId="15">#REF!</definedName>
    <definedName name="Yield_on_advances_Q" localSheetId="19">#REF!</definedName>
    <definedName name="Yield_on_advances_Q" localSheetId="18">#REF!</definedName>
    <definedName name="Yield_on_advances_Q" localSheetId="14">#REF!</definedName>
    <definedName name="Yield_on_advances_Q" localSheetId="12">#REF!</definedName>
    <definedName name="Yield_on_advances_Q" localSheetId="24">#REF!</definedName>
    <definedName name="Yield_on_advances_Q" localSheetId="7">#REF!</definedName>
    <definedName name="Yield_on_advances_Q" localSheetId="20">#REF!</definedName>
    <definedName name="Yield_on_advances_Q" localSheetId="21">#REF!</definedName>
    <definedName name="Yield_on_advances_Q" localSheetId="11">#REF!</definedName>
    <definedName name="Yield_on_advances_Q" localSheetId="17">#REF!</definedName>
    <definedName name="Yield_on_advances_Q" localSheetId="16">#REF!</definedName>
    <definedName name="Yield_on_advances_Q" localSheetId="22">#REF!</definedName>
    <definedName name="Yield_on_advances_Q" localSheetId="9">#REF!</definedName>
    <definedName name="Yield_on_advances_Q" localSheetId="13">#REF!</definedName>
    <definedName name="Yield_on_advances_Q" localSheetId="23">#REF!</definedName>
    <definedName name="Yield_on_advances_Q">#REF!</definedName>
    <definedName name="Yield_on_fixed_deposits" localSheetId="4">#REF!</definedName>
    <definedName name="Yield_on_fixed_deposits" localSheetId="5">#REF!</definedName>
    <definedName name="Yield_on_fixed_deposits" localSheetId="15">#REF!</definedName>
    <definedName name="Yield_on_fixed_deposits" localSheetId="19">#REF!</definedName>
    <definedName name="Yield_on_fixed_deposits" localSheetId="18">#REF!</definedName>
    <definedName name="Yield_on_fixed_deposits" localSheetId="14">#REF!</definedName>
    <definedName name="Yield_on_fixed_deposits" localSheetId="12">#REF!</definedName>
    <definedName name="Yield_on_fixed_deposits" localSheetId="24">#REF!</definedName>
    <definedName name="Yield_on_fixed_deposits" localSheetId="7">#REF!</definedName>
    <definedName name="Yield_on_fixed_deposits" localSheetId="20">#REF!</definedName>
    <definedName name="Yield_on_fixed_deposits" localSheetId="21">#REF!</definedName>
    <definedName name="Yield_on_fixed_deposits" localSheetId="11">#REF!</definedName>
    <definedName name="Yield_on_fixed_deposits" localSheetId="17">#REF!</definedName>
    <definedName name="Yield_on_fixed_deposits" localSheetId="16">#REF!</definedName>
    <definedName name="Yield_on_fixed_deposits" localSheetId="22">#REF!</definedName>
    <definedName name="Yield_on_fixed_deposits" localSheetId="9">#REF!</definedName>
    <definedName name="Yield_on_fixed_deposits" localSheetId="13">#REF!</definedName>
    <definedName name="Yield_on_fixed_deposits" localSheetId="23">#REF!</definedName>
    <definedName name="Yield_on_fixed_deposits">#REF!</definedName>
    <definedName name="Yield_on_interest_earning_assets">#REF!</definedName>
    <definedName name="Yield_on_total_assets_Q">#REF!</definedName>
    <definedName name="yihjh" hidden="1">#N/A</definedName>
    <definedName name="YoA12" localSheetId="4">#REF!</definedName>
    <definedName name="YoA12" localSheetId="5">#REF!</definedName>
    <definedName name="YoA12" localSheetId="15">#REF!</definedName>
    <definedName name="YoA12" localSheetId="19">#REF!</definedName>
    <definedName name="YoA12" localSheetId="18">#REF!</definedName>
    <definedName name="YoA12" localSheetId="14">#REF!</definedName>
    <definedName name="YoA12" localSheetId="12">#REF!</definedName>
    <definedName name="YoA12" localSheetId="24">#REF!</definedName>
    <definedName name="YoA12" localSheetId="7">#REF!</definedName>
    <definedName name="YoA12" localSheetId="20">#REF!</definedName>
    <definedName name="YoA12" localSheetId="21">#REF!</definedName>
    <definedName name="YoA12" localSheetId="11">#REF!</definedName>
    <definedName name="YoA12" localSheetId="17">#REF!</definedName>
    <definedName name="YoA12" localSheetId="16">#REF!</definedName>
    <definedName name="YoA12" localSheetId="22">#REF!</definedName>
    <definedName name="YoA12" localSheetId="9">#REF!</definedName>
    <definedName name="YoA12" localSheetId="13">#REF!</definedName>
    <definedName name="YoA12" localSheetId="23">#REF!</definedName>
    <definedName name="YoA12">#REF!</definedName>
    <definedName name="YoA13" localSheetId="4">#REF!</definedName>
    <definedName name="YoA13" localSheetId="5">#REF!</definedName>
    <definedName name="YoA13" localSheetId="15">#REF!</definedName>
    <definedName name="YoA13" localSheetId="19">#REF!</definedName>
    <definedName name="YoA13" localSheetId="18">#REF!</definedName>
    <definedName name="YoA13" localSheetId="14">#REF!</definedName>
    <definedName name="YoA13" localSheetId="12">#REF!</definedName>
    <definedName name="YoA13" localSheetId="24">#REF!</definedName>
    <definedName name="YoA13" localSheetId="7">#REF!</definedName>
    <definedName name="YoA13" localSheetId="20">#REF!</definedName>
    <definedName name="YoA13" localSheetId="21">#REF!</definedName>
    <definedName name="YoA13" localSheetId="11">#REF!</definedName>
    <definedName name="YoA13" localSheetId="17">#REF!</definedName>
    <definedName name="YoA13" localSheetId="16">#REF!</definedName>
    <definedName name="YoA13" localSheetId="22">#REF!</definedName>
    <definedName name="YoA13" localSheetId="9">#REF!</definedName>
    <definedName name="YoA13" localSheetId="13">#REF!</definedName>
    <definedName name="YoA13" localSheetId="23">#REF!</definedName>
    <definedName name="YoA13">#REF!</definedName>
    <definedName name="YoI12" localSheetId="4">#REF!</definedName>
    <definedName name="YoI12" localSheetId="5">#REF!</definedName>
    <definedName name="YoI12" localSheetId="15">#REF!</definedName>
    <definedName name="YoI12" localSheetId="19">#REF!</definedName>
    <definedName name="YoI12" localSheetId="18">#REF!</definedName>
    <definedName name="YoI12" localSheetId="14">#REF!</definedName>
    <definedName name="YoI12" localSheetId="12">#REF!</definedName>
    <definedName name="YoI12" localSheetId="24">#REF!</definedName>
    <definedName name="YoI12" localSheetId="7">#REF!</definedName>
    <definedName name="YoI12" localSheetId="20">#REF!</definedName>
    <definedName name="YoI12" localSheetId="21">#REF!</definedName>
    <definedName name="YoI12" localSheetId="11">#REF!</definedName>
    <definedName name="YoI12" localSheetId="17">#REF!</definedName>
    <definedName name="YoI12" localSheetId="16">#REF!</definedName>
    <definedName name="YoI12" localSheetId="22">#REF!</definedName>
    <definedName name="YoI12" localSheetId="9">#REF!</definedName>
    <definedName name="YoI12" localSheetId="13">#REF!</definedName>
    <definedName name="YoI12" localSheetId="23">#REF!</definedName>
    <definedName name="YoI12">#REF!</definedName>
    <definedName name="YoI13" localSheetId="4">#REF!</definedName>
    <definedName name="YoI13" localSheetId="9">#REF!</definedName>
    <definedName name="YoI13">#REF!</definedName>
    <definedName name="YoY_Growth" localSheetId="4">#REF!</definedName>
    <definedName name="YoY_Growth" localSheetId="9">#REF!</definedName>
    <definedName name="YoY_Growth">#REF!</definedName>
    <definedName name="YrRange" hidden="1">#REF!</definedName>
    <definedName name="yrty" localSheetId="4" hidden="1">#REF!</definedName>
    <definedName name="yrty" localSheetId="5" hidden="1">#REF!</definedName>
    <definedName name="yrty" localSheetId="15" hidden="1">#REF!</definedName>
    <definedName name="yrty" localSheetId="19" hidden="1">#REF!</definedName>
    <definedName name="yrty" localSheetId="18" hidden="1">#REF!</definedName>
    <definedName name="yrty" localSheetId="14" hidden="1">#REF!</definedName>
    <definedName name="yrty" localSheetId="12" hidden="1">#REF!</definedName>
    <definedName name="yrty" localSheetId="24" hidden="1">#REF!</definedName>
    <definedName name="yrty" localSheetId="7" hidden="1">#REF!</definedName>
    <definedName name="yrty" localSheetId="20" hidden="1">#REF!</definedName>
    <definedName name="yrty" localSheetId="21" hidden="1">#REF!</definedName>
    <definedName name="yrty" localSheetId="11" hidden="1">#REF!</definedName>
    <definedName name="yrty" localSheetId="17" hidden="1">#REF!</definedName>
    <definedName name="yrty" localSheetId="16" hidden="1">#REF!</definedName>
    <definedName name="yrty" localSheetId="22" hidden="1">#REF!</definedName>
    <definedName name="yrty" localSheetId="9" hidden="1">#REF!</definedName>
    <definedName name="yrty" localSheetId="13" hidden="1">#REF!</definedName>
    <definedName name="yrty" localSheetId="23" hidden="1">#REF!</definedName>
    <definedName name="yrty" hidden="1">#REF!</definedName>
    <definedName name="yyy">#REF!</definedName>
    <definedName name="yyyy">#REF!</definedName>
    <definedName name="z" localSheetId="4" hidden="1">{#N/A,#N/A,FALSE,"Status of Projects";#N/A,#N/A,FALSE,"CEA-TEC";#N/A,#N/A,FALSE,"U-Constr.";#N/A,#N/A,FALSE,"summary";#N/A,#N/A,FALSE,"PPP-3 yrs"}</definedName>
    <definedName name="Z" localSheetId="5">#REF!</definedName>
    <definedName name="Z" localSheetId="15">#REF!</definedName>
    <definedName name="Z" localSheetId="19">#REF!</definedName>
    <definedName name="Z" localSheetId="18">#REF!</definedName>
    <definedName name="Z" localSheetId="14">#REF!</definedName>
    <definedName name="Z" localSheetId="12">#REF!</definedName>
    <definedName name="Z" localSheetId="24">#REF!</definedName>
    <definedName name="Z" localSheetId="7">#REF!</definedName>
    <definedName name="Z" localSheetId="20">#REF!</definedName>
    <definedName name="Z" localSheetId="21">#REF!</definedName>
    <definedName name="Z" localSheetId="11">#REF!</definedName>
    <definedName name="Z" localSheetId="17">#REF!</definedName>
    <definedName name="Z" localSheetId="16">#REF!</definedName>
    <definedName name="Z" localSheetId="22">#REF!</definedName>
    <definedName name="z" localSheetId="9" hidden="1">{#N/A,#N/A,FALSE,"Status of Projects";#N/A,#N/A,FALSE,"CEA-TEC";#N/A,#N/A,FALSE,"U-Constr.";#N/A,#N/A,FALSE,"summary";#N/A,#N/A,FALSE,"PPP-3 yrs"}</definedName>
    <definedName name="Z" localSheetId="13">#REF!</definedName>
    <definedName name="Z" localSheetId="23">#REF!</definedName>
    <definedName name="Z">#REF!</definedName>
    <definedName name="Z_47AE1863_C7DD_11D6_BE51_0050BA324F5C_.wvu.PrintTitles" localSheetId="4" hidden="1">#REF!</definedName>
    <definedName name="Z_47AE1863_C7DD_11D6_BE51_0050BA324F5C_.wvu.PrintTitles" localSheetId="5" hidden="1">#REF!</definedName>
    <definedName name="Z_47AE1863_C7DD_11D6_BE51_0050BA324F5C_.wvu.PrintTitles" localSheetId="15" hidden="1">#REF!</definedName>
    <definedName name="Z_47AE1863_C7DD_11D6_BE51_0050BA324F5C_.wvu.PrintTitles" localSheetId="19" hidden="1">#REF!</definedName>
    <definedName name="Z_47AE1863_C7DD_11D6_BE51_0050BA324F5C_.wvu.PrintTitles" localSheetId="18" hidden="1">#REF!</definedName>
    <definedName name="Z_47AE1863_C7DD_11D6_BE51_0050BA324F5C_.wvu.PrintTitles" localSheetId="14" hidden="1">#REF!</definedName>
    <definedName name="Z_47AE1863_C7DD_11D6_BE51_0050BA324F5C_.wvu.PrintTitles" localSheetId="12" hidden="1">#REF!</definedName>
    <definedName name="Z_47AE1863_C7DD_11D6_BE51_0050BA324F5C_.wvu.PrintTitles" localSheetId="24" hidden="1">#REF!</definedName>
    <definedName name="Z_47AE1863_C7DD_11D6_BE51_0050BA324F5C_.wvu.PrintTitles" localSheetId="7" hidden="1">#REF!</definedName>
    <definedName name="Z_47AE1863_C7DD_11D6_BE51_0050BA324F5C_.wvu.PrintTitles" localSheetId="20" hidden="1">#REF!</definedName>
    <definedName name="Z_47AE1863_C7DD_11D6_BE51_0050BA324F5C_.wvu.PrintTitles" localSheetId="21" hidden="1">#REF!</definedName>
    <definedName name="Z_47AE1863_C7DD_11D6_BE51_0050BA324F5C_.wvu.PrintTitles" localSheetId="11" hidden="1">#REF!</definedName>
    <definedName name="Z_47AE1863_C7DD_11D6_BE51_0050BA324F5C_.wvu.PrintTitles" localSheetId="17" hidden="1">#REF!</definedName>
    <definedName name="Z_47AE1863_C7DD_11D6_BE51_0050BA324F5C_.wvu.PrintTitles" localSheetId="16" hidden="1">#REF!</definedName>
    <definedName name="Z_47AE1863_C7DD_11D6_BE51_0050BA324F5C_.wvu.PrintTitles" localSheetId="22" hidden="1">#REF!</definedName>
    <definedName name="Z_47AE1863_C7DD_11D6_BE51_0050BA324F5C_.wvu.PrintTitles" localSheetId="9" hidden="1">#REF!</definedName>
    <definedName name="Z_47AE1863_C7DD_11D6_BE51_0050BA324F5C_.wvu.PrintTitles" localSheetId="13" hidden="1">#REF!</definedName>
    <definedName name="Z_47AE1863_C7DD_11D6_BE51_0050BA324F5C_.wvu.PrintTitles" localSheetId="23" hidden="1">#REF!</definedName>
    <definedName name="Z_47AE1863_C7DD_11D6_BE51_0050BA324F5C_.wvu.PrintTitles" hidden="1">#REF!</definedName>
    <definedName name="zaq"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2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2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2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17"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2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1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a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ZZ_COV_Cover">#REF!</definedName>
    <definedName name="zzz" hidden="1">#N/A</definedName>
  </definedNames>
  <calcPr calcId="191029" iterate="1"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Bharanidhar Vijaykumar</author>
    <author>Ketan Jain</author>
    <author>Dheeraj Kripalani</author>
  </authors>
  <commentList>
    <comment ref="Q5" authorId="0" shapeId="0" xr:uid="{4182960B-E1AC-4D80-90DD-02F62B5B0A65}">
      <text>
        <r>
          <rPr>
            <b/>
            <sz val="9"/>
            <color indexed="81"/>
            <rFont val="Tahoma"/>
            <family val="2"/>
          </rPr>
          <t>Bharanidhar Vijaykumar:</t>
        </r>
        <r>
          <rPr>
            <sz val="9"/>
            <color indexed="81"/>
            <rFont val="Tahoma"/>
            <family val="2"/>
          </rPr>
          <t xml:space="preserve">
DRHP, p121</t>
        </r>
      </text>
    </comment>
    <comment ref="AA5" authorId="1" shapeId="0" xr:uid="{4872ED11-F5F5-424A-88DF-C3D11A187E47}">
      <text>
        <r>
          <rPr>
            <b/>
            <sz val="9"/>
            <color indexed="81"/>
            <rFont val="Tahoma"/>
            <family val="2"/>
          </rPr>
          <t>25.2 mn to JSW Steel and 6.4 mn to JSW Energy - This is for expansion land, existing land is on lease for 99  years with JSW Steel</t>
        </r>
      </text>
    </comment>
    <comment ref="V6" authorId="1" shapeId="0" xr:uid="{2BEC8A75-792D-45CB-BBE3-D4B324BD27E6}">
      <text>
        <r>
          <rPr>
            <b/>
            <sz val="9"/>
            <color indexed="81"/>
            <rFont val="Tahoma"/>
            <family val="2"/>
          </rPr>
          <t>In dispute</t>
        </r>
      </text>
    </comment>
    <comment ref="AA6" authorId="1" shapeId="0" xr:uid="{47014F44-94DF-458C-8927-339927D9EDAA}">
      <text>
        <r>
          <rPr>
            <b/>
            <sz val="9"/>
            <color indexed="81"/>
            <rFont val="Tahoma"/>
            <family val="2"/>
          </rPr>
          <t>Ketan Jain:</t>
        </r>
        <r>
          <rPr>
            <sz val="9"/>
            <color indexed="81"/>
            <rFont val="Tahoma"/>
            <family val="2"/>
          </rPr>
          <t xml:space="preserve">
From 1st year, with escalation of 5% every year</t>
        </r>
      </text>
    </comment>
    <comment ref="O8" authorId="0" shapeId="0" xr:uid="{15516711-6B4B-473E-8118-4824786032AA}">
      <text>
        <r>
          <rPr>
            <b/>
            <sz val="9"/>
            <color indexed="81"/>
            <rFont val="Tahoma"/>
            <family val="2"/>
          </rPr>
          <t>Bharanidhar Vijaykumar:</t>
        </r>
        <r>
          <rPr>
            <sz val="9"/>
            <color indexed="81"/>
            <rFont val="Tahoma"/>
            <family val="2"/>
          </rPr>
          <t xml:space="preserve">
additional capacity of up to 119,574 TEU and an additional plot of 7.5Ha</t>
        </r>
      </text>
    </comment>
    <comment ref="X8" authorId="1" shapeId="0" xr:uid="{061FE7FC-D4D4-4D47-B0F9-F237D0D7653E}">
      <text>
        <r>
          <rPr>
            <b/>
            <sz val="9"/>
            <color indexed="81"/>
            <rFont val="Tahoma"/>
            <family val="2"/>
          </rPr>
          <t>Ketan Jain:</t>
        </r>
        <r>
          <rPr>
            <sz val="9"/>
            <color indexed="81"/>
            <rFont val="Tahoma"/>
            <family val="2"/>
          </rPr>
          <t xml:space="preserve">
Annual escalation leading to 228,000 TEU in 29th year</t>
        </r>
      </text>
    </comment>
    <comment ref="X9" authorId="1" shapeId="0" xr:uid="{5BDAF675-A181-4D4D-9323-D0DD3F9C223E}">
      <text>
        <r>
          <rPr>
            <b/>
            <sz val="9"/>
            <color indexed="81"/>
            <rFont val="Tahoma"/>
            <family val="2"/>
          </rPr>
          <t>Ketan Jain:</t>
        </r>
        <r>
          <rPr>
            <sz val="9"/>
            <color indexed="81"/>
            <rFont val="Tahoma"/>
            <family val="2"/>
          </rPr>
          <t xml:space="preserve">
with annual escalation till Rs. 206mn till 15th year</t>
        </r>
      </text>
    </comment>
    <comment ref="X11" authorId="1" shapeId="0" xr:uid="{0D08D6CC-D8AB-4F14-A587-F8FE338AFF9B}">
      <text>
        <r>
          <rPr>
            <b/>
            <sz val="9"/>
            <color indexed="81"/>
            <rFont val="Tahoma"/>
            <family val="2"/>
          </rPr>
          <t>Ketan Jain:</t>
        </r>
        <r>
          <rPr>
            <sz val="9"/>
            <color indexed="81"/>
            <rFont val="Tahoma"/>
            <family val="2"/>
          </rPr>
          <t xml:space="preserve">
70% of terminal capacity from 6th year onwards</t>
        </r>
      </text>
    </comment>
    <comment ref="X12" authorId="1" shapeId="0" xr:uid="{F67320E5-E5BD-445F-93F4-A32915B1DE0B}">
      <text>
        <r>
          <rPr>
            <b/>
            <sz val="9"/>
            <color indexed="81"/>
            <rFont val="Tahoma"/>
            <family val="2"/>
          </rPr>
          <t>Ketan Jain:</t>
        </r>
        <r>
          <rPr>
            <sz val="9"/>
            <color indexed="81"/>
            <rFont val="Tahoma"/>
            <family val="2"/>
          </rPr>
          <t xml:space="preserve">
70% of terminal capacity from 6th year onwards</t>
        </r>
      </text>
    </comment>
    <comment ref="AA12" authorId="1" shapeId="0" xr:uid="{00361158-FC24-4BE1-BD76-AC97485194C4}">
      <text>
        <r>
          <rPr>
            <b/>
            <sz val="9"/>
            <color indexed="81"/>
            <rFont val="Tahoma"/>
            <family val="2"/>
          </rPr>
          <t>Ketan Jain:</t>
        </r>
        <r>
          <rPr>
            <sz val="9"/>
            <color indexed="81"/>
            <rFont val="Tahoma"/>
            <family val="2"/>
          </rPr>
          <t xml:space="preserve">
Escalation of 2%</t>
        </r>
      </text>
    </comment>
    <comment ref="O13" authorId="1" shapeId="0" xr:uid="{789D62F2-7A4B-46E4-AF11-4CA633B34E1E}">
      <text>
        <r>
          <rPr>
            <b/>
            <sz val="9"/>
            <color indexed="81"/>
            <rFont val="Tahoma"/>
            <family val="2"/>
          </rPr>
          <t>Ketan Jain:</t>
        </r>
        <r>
          <rPr>
            <sz val="9"/>
            <color indexed="81"/>
            <rFont val="Tahoma"/>
            <family val="2"/>
          </rPr>
          <t xml:space="preserve">
Expandable upto 19 MTPA</t>
        </r>
      </text>
    </comment>
    <comment ref="T13" authorId="0" shapeId="0" xr:uid="{386B1636-6C3E-4BC2-B141-A641E107FD92}">
      <text>
        <r>
          <rPr>
            <b/>
            <sz val="9"/>
            <color indexed="81"/>
            <rFont val="Tahoma"/>
            <family val="2"/>
          </rPr>
          <t>Bharanidhar Vijaykumar:</t>
        </r>
        <r>
          <rPr>
            <sz val="9"/>
            <color indexed="81"/>
            <rFont val="Tahoma"/>
            <family val="2"/>
          </rPr>
          <t xml:space="preserve">
Effective from 1st October, 1999, the PNP
Port entered into a 30 year license
agreement with Maharashtra Maritime
Board (MMB) to engage in the business
of developing, operating and managing
cargo handling facilities at Dharamtar,
village Shahabad in Raigad district of
Maharashtra for import and export of
the cargo. Further, PNP Port has
executed Deed of Lease for development
of multi-purpose jetty for an additional
waterfront area of 1,000 meters on 11th
April, 2012.</t>
        </r>
      </text>
    </comment>
    <comment ref="K14" authorId="0" shapeId="0" xr:uid="{2D837D3F-BF47-4DD9-A54B-76C9C2B562AF}">
      <text>
        <r>
          <rPr>
            <b/>
            <sz val="9"/>
            <color indexed="81"/>
            <rFont val="Tahoma"/>
            <family val="2"/>
          </rPr>
          <t>Bharanidhar Vijaykumar:</t>
        </r>
        <r>
          <rPr>
            <sz val="9"/>
            <color indexed="81"/>
            <rFont val="Tahoma"/>
            <family val="2"/>
          </rPr>
          <t xml:space="preserve">
465,000 Cubic Meter Liquid Storage Facility at Fujairah, UAE
6 tanks of Heavy Fuel Oil, 9
Tanks of Light Fuel Oil</t>
        </r>
      </text>
    </comment>
    <comment ref="T14" authorId="0" shapeId="0" xr:uid="{92882C54-D33F-4559-9529-428327957B67}">
      <text>
        <r>
          <rPr>
            <b/>
            <sz val="9"/>
            <color indexed="81"/>
            <rFont val="Tahoma"/>
            <family val="2"/>
          </rPr>
          <t>Bharanidhar Vijaykumar:</t>
        </r>
        <r>
          <rPr>
            <sz val="9"/>
            <color indexed="81"/>
            <rFont val="Tahoma"/>
            <family val="2"/>
          </rPr>
          <t xml:space="preserve">
source: Nov 2023 PPT</t>
        </r>
      </text>
    </comment>
    <comment ref="Z15" authorId="2" shapeId="0" xr:uid="{B4EBB462-B182-4FEF-97DD-3DD335EBD14B}">
      <text>
        <r>
          <rPr>
            <b/>
            <sz val="9"/>
            <color indexed="81"/>
            <rFont val="Tahoma"/>
            <family val="2"/>
          </rPr>
          <t>Dheeraj Kripalani:</t>
        </r>
        <r>
          <rPr>
            <sz val="9"/>
            <color indexed="81"/>
            <rFont val="Tahoma"/>
            <family val="2"/>
          </rPr>
          <t xml:space="preserve">
Each of 300</t>
        </r>
      </text>
    </comment>
    <comment ref="AD15" authorId="0" shapeId="0" xr:uid="{F9BA751D-E94E-44A0-90A5-6131A499B620}">
      <text>
        <r>
          <rPr>
            <b/>
            <sz val="9"/>
            <color indexed="81"/>
            <rFont val="Tahoma"/>
            <family val="2"/>
          </rPr>
          <t>Bharanidhar Vijaykumar:</t>
        </r>
        <r>
          <rPr>
            <sz val="9"/>
            <color indexed="81"/>
            <rFont val="Tahoma"/>
            <family val="2"/>
          </rPr>
          <t xml:space="preserve">
Company</t>
        </r>
      </text>
    </comment>
    <comment ref="AC27" authorId="0" shapeId="0" xr:uid="{52DA0AFB-C357-49AF-9D24-9A910B691EC4}">
      <text>
        <r>
          <rPr>
            <b/>
            <sz val="9"/>
            <color indexed="81"/>
            <rFont val="Tahoma"/>
            <family val="2"/>
          </rPr>
          <t>Bharanidhar Vijaykumar:</t>
        </r>
        <r>
          <rPr>
            <sz val="9"/>
            <color indexed="81"/>
            <rFont val="Tahoma"/>
            <family val="2"/>
          </rPr>
          <t xml:space="preserve">
https://infra.economictimes.indiatimes.com/news/ports-shipping/jsw-infrastructure-set-to-win-north-cargo-berth-3-deal-at-v-o-chidambaranar-port/107755720</t>
        </r>
      </text>
    </comment>
    <comment ref="AD27" authorId="0" shapeId="0" xr:uid="{87355598-5B93-42A9-90AE-D1769789D37F}">
      <text>
        <r>
          <rPr>
            <b/>
            <sz val="9"/>
            <color indexed="81"/>
            <rFont val="Tahoma"/>
            <family val="2"/>
          </rPr>
          <t>Bharanidhar Vijaykumar:</t>
        </r>
        <r>
          <rPr>
            <sz val="9"/>
            <color indexed="81"/>
            <rFont val="Tahoma"/>
            <family val="2"/>
          </rPr>
          <t xml:space="preserve">
Company</t>
        </r>
      </text>
    </comment>
    <comment ref="O28" authorId="0" shapeId="0" xr:uid="{7BBA1463-D21E-4E5F-B55F-BF4AD7C52E04}">
      <text>
        <r>
          <rPr>
            <b/>
            <sz val="9"/>
            <color indexed="81"/>
            <rFont val="Tahoma"/>
            <family val="2"/>
          </rPr>
          <t>Bharanidhar Vijaykumar:</t>
        </r>
        <r>
          <rPr>
            <sz val="9"/>
            <color indexed="81"/>
            <rFont val="Tahoma"/>
            <family val="2"/>
          </rPr>
          <t xml:space="preserve">
2QFY24 Call Transcript</t>
        </r>
      </text>
    </comment>
    <comment ref="AD28" authorId="0" shapeId="0" xr:uid="{95DF60EE-9E1B-4A82-AF5E-5839FC06921A}">
      <text>
        <r>
          <rPr>
            <b/>
            <sz val="9"/>
            <color indexed="81"/>
            <rFont val="Tahoma"/>
            <family val="2"/>
          </rPr>
          <t>Bharanidhar Vijaykumar:</t>
        </r>
        <r>
          <rPr>
            <sz val="9"/>
            <color indexed="81"/>
            <rFont val="Tahoma"/>
            <family val="2"/>
          </rPr>
          <t xml:space="preserve">
Company
</t>
        </r>
      </text>
    </comment>
    <comment ref="AD31" authorId="0" shapeId="0" xr:uid="{9D9BC6EF-53BF-425F-B5FA-DF09D7F6A326}">
      <text>
        <r>
          <rPr>
            <b/>
            <sz val="9"/>
            <color indexed="81"/>
            <rFont val="Tahoma"/>
            <family val="2"/>
          </rPr>
          <t>Includes payment of 40% work done to JSW Steel</t>
        </r>
      </text>
    </comment>
    <comment ref="AD33" authorId="0" shapeId="0" xr:uid="{1DD1604A-3D3C-4EF3-B166-4F754A1A1E7E}">
      <text>
        <r>
          <rPr>
            <b/>
            <sz val="9"/>
            <color indexed="81"/>
            <rFont val="Tahoma"/>
            <family val="2"/>
          </rPr>
          <t>USD 300mn - CFO meet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Ketan Jain</author>
    <author>ketan.j</author>
  </authors>
  <commentList>
    <comment ref="M141" authorId="0" shapeId="0" xr:uid="{56DF20FD-FAE0-4810-94E5-F4BF7A88A47D}">
      <text>
        <r>
          <rPr>
            <b/>
            <sz val="9"/>
            <color indexed="81"/>
            <rFont val="Tahoma"/>
            <family val="2"/>
          </rPr>
          <t>Ketan Jain:</t>
        </r>
        <r>
          <rPr>
            <sz val="9"/>
            <color indexed="81"/>
            <rFont val="Tahoma"/>
            <family val="2"/>
          </rPr>
          <t xml:space="preserve">
DRHP Pg 118 - LPG Terminal
</t>
        </r>
      </text>
    </comment>
    <comment ref="I232" authorId="0" shapeId="0" xr:uid="{55B8C97E-BDC7-42B3-9C9B-1D6AB22A64F0}">
      <text>
        <r>
          <rPr>
            <b/>
            <sz val="9"/>
            <color indexed="81"/>
            <rFont val="Tahoma"/>
            <family val="2"/>
          </rPr>
          <t xml:space="preserve">Related party disclosure of Sale of Goods of Standalone with subs </t>
        </r>
      </text>
    </comment>
    <comment ref="J1038" authorId="0" shapeId="0" xr:uid="{A1B709E3-9F25-4A63-8412-792095952B76}">
      <text>
        <r>
          <rPr>
            <b/>
            <sz val="9"/>
            <color indexed="81"/>
            <rFont val="Tahoma"/>
            <family val="2"/>
          </rPr>
          <t>Full year volumes not included as it was an acquistion in middle of the year</t>
        </r>
      </text>
    </comment>
    <comment ref="L1089" authorId="1" shapeId="0" xr:uid="{D7493A78-CF44-485B-A6F3-AAA167606EE2}">
      <text>
        <r>
          <rPr>
            <b/>
            <sz val="9"/>
            <color indexed="81"/>
            <rFont val="Tahoma"/>
            <family val="2"/>
          </rPr>
          <t>ketan.j:</t>
        </r>
        <r>
          <rPr>
            <sz val="9"/>
            <color indexed="81"/>
            <rFont val="Tahoma"/>
            <family val="2"/>
          </rPr>
          <t xml:space="preserve">
Interim cargo volumes</t>
        </r>
      </text>
    </comment>
    <comment ref="M1479" authorId="1" shapeId="0" xr:uid="{1CA44675-39E7-4BAC-B092-7BA369CD6BF6}">
      <text>
        <r>
          <rPr>
            <b/>
            <sz val="9"/>
            <color indexed="81"/>
            <rFont val="Tahoma"/>
            <family val="2"/>
          </rPr>
          <t>ketan.j:</t>
        </r>
        <r>
          <rPr>
            <sz val="9"/>
            <color indexed="81"/>
            <rFont val="Tahoma"/>
            <family val="2"/>
          </rPr>
          <t xml:space="preserve">
Interim operations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Dheeraj Kripalani</author>
    <author>ketan.j</author>
    <author>Ketan Jain</author>
  </authors>
  <commentList>
    <comment ref="P65" authorId="0" shapeId="0" xr:uid="{20F67CB9-A03E-4FEF-9795-B17FCAC5247F}">
      <text>
        <r>
          <rPr>
            <b/>
            <sz val="9"/>
            <color indexed="81"/>
            <rFont val="Tahoma"/>
            <family val="2"/>
          </rPr>
          <t>Dheeraj Kripalani:</t>
        </r>
        <r>
          <rPr>
            <sz val="9"/>
            <color indexed="81"/>
            <rFont val="Tahoma"/>
            <family val="2"/>
          </rPr>
          <t xml:space="preserve">
</t>
        </r>
      </text>
    </comment>
    <comment ref="R76" authorId="1" shapeId="0" xr:uid="{07402814-62B3-468C-8692-AE81AF427C88}">
      <text>
        <r>
          <rPr>
            <b/>
            <sz val="9"/>
            <color indexed="81"/>
            <rFont val="Tahoma"/>
            <family val="2"/>
          </rPr>
          <t>ketan.j:</t>
        </r>
        <r>
          <rPr>
            <sz val="9"/>
            <color indexed="81"/>
            <rFont val="Tahoma"/>
            <family val="2"/>
          </rPr>
          <t xml:space="preserve">
400mn $ bullet repayment</t>
        </r>
      </text>
    </comment>
    <comment ref="O130" authorId="0" shapeId="0" xr:uid="{47DB06B3-85AE-4C2B-A757-C088FD633122}">
      <text>
        <r>
          <rPr>
            <b/>
            <sz val="9"/>
            <color indexed="81"/>
            <rFont val="Tahoma"/>
            <family val="2"/>
          </rPr>
          <t>Dheeraj Kripalani:</t>
        </r>
        <r>
          <rPr>
            <sz val="9"/>
            <color indexed="81"/>
            <rFont val="Tahoma"/>
            <family val="2"/>
          </rPr>
          <t xml:space="preserve">
Exceptional</t>
        </r>
      </text>
    </comment>
    <comment ref="N206" authorId="2" shapeId="0" xr:uid="{8F9E9DD1-C21E-4C67-A38A-6BB4B0358E32}">
      <text>
        <r>
          <rPr>
            <b/>
            <sz val="9"/>
            <color indexed="81"/>
            <rFont val="Tahoma"/>
            <family val="2"/>
          </rPr>
          <t>Ketan Jain:</t>
        </r>
        <r>
          <rPr>
            <sz val="9"/>
            <color indexed="81"/>
            <rFont val="Tahoma"/>
            <family val="2"/>
          </rPr>
          <t xml:space="preserve">
Cash paid for Navkar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Dheeraj Kripalani</author>
    <author>ketan.j</author>
  </authors>
  <commentList>
    <comment ref="P15" authorId="0" shapeId="0" xr:uid="{9DBE398B-97AC-478E-9CA1-E70DF02C8FF8}">
      <text>
        <r>
          <rPr>
            <b/>
            <sz val="9"/>
            <color indexed="81"/>
            <rFont val="Tahoma"/>
            <family val="2"/>
          </rPr>
          <t>Dheeraj Kripalani:</t>
        </r>
        <r>
          <rPr>
            <sz val="9"/>
            <color indexed="81"/>
            <rFont val="Tahoma"/>
            <family val="2"/>
          </rPr>
          <t xml:space="preserve">
restated as per 3Q PPT page 26</t>
        </r>
      </text>
    </comment>
    <comment ref="AM119" authorId="1" shapeId="0" xr:uid="{5E9CF391-37A4-4D37-957E-E74949620CF1}">
      <text>
        <r>
          <rPr>
            <b/>
            <sz val="9"/>
            <color indexed="81"/>
            <rFont val="Tahoma"/>
            <family val="2"/>
          </rPr>
          <t>ketan.j:</t>
        </r>
        <r>
          <rPr>
            <sz val="9"/>
            <color indexed="81"/>
            <rFont val="Tahoma"/>
            <family val="2"/>
          </rPr>
          <t xml:space="preserve">
As per PPT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Gaurika Dhanush Nair</author>
  </authors>
  <commentList>
    <comment ref="F148" authorId="0" shapeId="0" xr:uid="{D912899E-245A-4E59-979E-36548BBEA7CD}">
      <text>
        <r>
          <rPr>
            <b/>
            <sz val="10"/>
            <color rgb="FF000000"/>
            <rFont val="Tahoma"/>
            <family val="2"/>
          </rPr>
          <t>Gaurika Dhanush Nair:</t>
        </r>
        <r>
          <rPr>
            <sz val="10"/>
            <color rgb="FF000000"/>
            <rFont val="Tahoma"/>
            <family val="2"/>
          </rPr>
          <t xml:space="preserve">
</t>
        </r>
        <r>
          <rPr>
            <sz val="10"/>
            <color rgb="FF000000"/>
            <rFont val="Tahoma"/>
            <family val="2"/>
          </rPr>
          <t xml:space="preserve">balance; does not match in actual pdf
</t>
        </r>
        <r>
          <rPr>
            <sz val="10"/>
            <color rgb="FF000000"/>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Ketan Jain</author>
  </authors>
  <commentList>
    <comment ref="G152" authorId="0" shapeId="0" xr:uid="{EDA0A2F8-3D6B-4787-8DD5-C5CAF67DF3E4}">
      <text>
        <r>
          <rPr>
            <b/>
            <sz val="9"/>
            <color indexed="81"/>
            <rFont val="Tahoma"/>
            <family val="2"/>
          </rPr>
          <t>Ketan Jain:</t>
        </r>
        <r>
          <rPr>
            <sz val="9"/>
            <color indexed="81"/>
            <rFont val="Tahoma"/>
            <family val="2"/>
          </rPr>
          <t xml:space="preserve">
Inter Corporate Deposits
</t>
        </r>
      </text>
    </comment>
    <comment ref="I152" authorId="0" shapeId="0" xr:uid="{013202E3-A7F4-4206-B07B-0EBA7F2954A4}">
      <text>
        <r>
          <rPr>
            <b/>
            <sz val="9"/>
            <color indexed="81"/>
            <rFont val="Tahoma"/>
            <family val="2"/>
          </rPr>
          <t>Ketan Jain:</t>
        </r>
        <r>
          <rPr>
            <sz val="9"/>
            <color indexed="81"/>
            <rFont val="Tahoma"/>
            <family val="2"/>
          </rPr>
          <t xml:space="preserve">
Loan to subsidiaries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<sst xmlns="http://schemas.openxmlformats.org/spreadsheetml/2006/main" count="9708" uniqueCount="2052">
  <si>
    <t>Port</t>
  </si>
  <si>
    <t>Dharamtar</t>
  </si>
  <si>
    <t>PNP Port</t>
  </si>
  <si>
    <t>Jaigarh</t>
  </si>
  <si>
    <t>MTPA</t>
  </si>
  <si>
    <t>New Mangalore Coal</t>
  </si>
  <si>
    <t>New Mangalore Container</t>
  </si>
  <si>
    <t>Terminal</t>
  </si>
  <si>
    <t>Ennore Coal</t>
  </si>
  <si>
    <t>Ennore Bulk</t>
  </si>
  <si>
    <t>Paradip Iron Ore</t>
  </si>
  <si>
    <t>Paradip Coal Exports</t>
  </si>
  <si>
    <t>Fujairah Liquid</t>
  </si>
  <si>
    <t>Operational Capacity</t>
  </si>
  <si>
    <t>Under Construction</t>
  </si>
  <si>
    <t>Keni Greenfield</t>
  </si>
  <si>
    <t>Consolidated</t>
  </si>
  <si>
    <t>P&amp;L, Rs. mn</t>
  </si>
  <si>
    <t>FY14</t>
  </si>
  <si>
    <t>FY15</t>
  </si>
  <si>
    <t>FY16</t>
  </si>
  <si>
    <t>FY17</t>
  </si>
  <si>
    <t>FY18</t>
  </si>
  <si>
    <t>FY19</t>
  </si>
  <si>
    <t>FY20</t>
  </si>
  <si>
    <t>FY21</t>
  </si>
  <si>
    <t>FY22</t>
  </si>
  <si>
    <t>FY23</t>
  </si>
  <si>
    <t>FY25E</t>
  </si>
  <si>
    <t>Revenue from Operations</t>
  </si>
  <si>
    <t>growth, %</t>
  </si>
  <si>
    <t>Operating Expenses</t>
  </si>
  <si>
    <t>Employee benefits expense</t>
  </si>
  <si>
    <t>Other expenses</t>
  </si>
  <si>
    <t>EBITDA</t>
  </si>
  <si>
    <t>margin, %</t>
  </si>
  <si>
    <t>Other Income</t>
  </si>
  <si>
    <t>Depreciation and Amortisation</t>
  </si>
  <si>
    <t>EBIT</t>
  </si>
  <si>
    <t>Finance Expenses</t>
  </si>
  <si>
    <t>PBT</t>
  </si>
  <si>
    <t>Tax</t>
  </si>
  <si>
    <t>Current Tax</t>
  </si>
  <si>
    <t>Deferred Tax</t>
  </si>
  <si>
    <t>Prior Period Tax</t>
  </si>
  <si>
    <t>Total Tax</t>
  </si>
  <si>
    <t>Effective tax rate, %</t>
  </si>
  <si>
    <t>PAT before Minority</t>
  </si>
  <si>
    <t>Less: Minority share</t>
  </si>
  <si>
    <t>Add: Associates share</t>
  </si>
  <si>
    <t>PAT after Minority</t>
  </si>
  <si>
    <t>No. of shares</t>
  </si>
  <si>
    <t>EPS</t>
  </si>
  <si>
    <t>P/E</t>
  </si>
  <si>
    <t>BV/ Share</t>
  </si>
  <si>
    <t>P/BV</t>
  </si>
  <si>
    <t>DPS</t>
  </si>
  <si>
    <t>Dividend Payout</t>
  </si>
  <si>
    <t>Dividend</t>
  </si>
  <si>
    <t>Balance Sheet</t>
  </si>
  <si>
    <t>Share Capital</t>
  </si>
  <si>
    <t>Reserves &amp; Surplus</t>
  </si>
  <si>
    <t>Share application money pending allotment</t>
  </si>
  <si>
    <t>Minority Interest</t>
  </si>
  <si>
    <t>Long Term Borrowings</t>
  </si>
  <si>
    <t>Short Term Borrowings</t>
  </si>
  <si>
    <t>Current Maturities of Long Term Borrowings</t>
  </si>
  <si>
    <t>opening</t>
  </si>
  <si>
    <t>addition</t>
  </si>
  <si>
    <t>repayment</t>
  </si>
  <si>
    <t>closing</t>
  </si>
  <si>
    <t>Long term borrowings</t>
  </si>
  <si>
    <t>Deferred Tax Liabilities (net)</t>
  </si>
  <si>
    <t>Other long term liabilities</t>
  </si>
  <si>
    <t>Long term provisions</t>
  </si>
  <si>
    <t>Total Liabilities</t>
  </si>
  <si>
    <t>Non current assets</t>
  </si>
  <si>
    <t>Fixed assets</t>
  </si>
  <si>
    <t>Gross block</t>
  </si>
  <si>
    <t>Accumulated depreciation</t>
  </si>
  <si>
    <t>Net block</t>
  </si>
  <si>
    <t>Capital work in progress</t>
  </si>
  <si>
    <t>Tangible Assets</t>
  </si>
  <si>
    <t>Intangible Assets</t>
  </si>
  <si>
    <t>Intangible Assets Under Development</t>
  </si>
  <si>
    <t>Non current investments</t>
  </si>
  <si>
    <t>Deferred tax assets (net)</t>
  </si>
  <si>
    <t>Long term loans &amp; advances</t>
  </si>
  <si>
    <t>Other non-current assets</t>
  </si>
  <si>
    <t>Current Investments</t>
  </si>
  <si>
    <t>Inventories</t>
  </si>
  <si>
    <t>Trade receivabels</t>
  </si>
  <si>
    <t>Cash and bank balances</t>
  </si>
  <si>
    <t>Short term loans and advances</t>
  </si>
  <si>
    <t>Other current assets</t>
  </si>
  <si>
    <t>Total Current Assets</t>
  </si>
  <si>
    <t>Trade payables</t>
  </si>
  <si>
    <t>Other current liabilities</t>
  </si>
  <si>
    <t>Short term provisions</t>
  </si>
  <si>
    <t>Total Current Liabilities</t>
  </si>
  <si>
    <t>Net Current Assets</t>
  </si>
  <si>
    <t>Total Assets</t>
  </si>
  <si>
    <t>Cash Flows</t>
  </si>
  <si>
    <t>Depreciation and Amortisation Expense</t>
  </si>
  <si>
    <t>Finance Costs</t>
  </si>
  <si>
    <t>Share Based Payment Expenses</t>
  </si>
  <si>
    <t>Interest Income</t>
  </si>
  <si>
    <t>Gain on sale of Financial instruments designated</t>
  </si>
  <si>
    <t>-</t>
  </si>
  <si>
    <t>Gain arising on financial investments designated</t>
  </si>
  <si>
    <t>(Gain)/ loss on sale of Property plant and</t>
  </si>
  <si>
    <t>Others</t>
  </si>
  <si>
    <t>OPERATING PROFIT BEFORE WORKING CAPITAL CHANGES</t>
  </si>
  <si>
    <t>(Increase)/ Decrease in Trade Receivables and Unbilled Revenue</t>
  </si>
  <si>
    <t>(Increase) in Other Assets</t>
  </si>
  <si>
    <t>Decrease in Inventories</t>
  </si>
  <si>
    <t>Increase in Trade Payables</t>
  </si>
  <si>
    <t>Increase in other Payables</t>
  </si>
  <si>
    <t>Increase/ (Decrease) in Provisions</t>
  </si>
  <si>
    <t>CASH GENERATED / (USED) FROM OPERATIONS</t>
  </si>
  <si>
    <t>Minority Interest and Share of profit from associates</t>
  </si>
  <si>
    <t>Taxes paid</t>
  </si>
  <si>
    <t>NET CASH USED IN OPERATING ACTIVITIES - (A)</t>
  </si>
  <si>
    <t>Sale of Property, Plant and Equipment and Intangible Assets</t>
  </si>
  <si>
    <t>Sale of Current Investments</t>
  </si>
  <si>
    <t>Sale / redemption of Non-current Investments</t>
  </si>
  <si>
    <t>Interest Received</t>
  </si>
  <si>
    <t>Purchase of property plant and equipment and Intangible Asset</t>
  </si>
  <si>
    <t>Purchase of Current Investments</t>
  </si>
  <si>
    <t>Purchase of Non-current Investments</t>
  </si>
  <si>
    <t>Investment in bank deposits not considered as Cash</t>
  </si>
  <si>
    <t>NET CASH FLOW / (USED IN) INVESTING ACTIVITIES - (B)</t>
  </si>
  <si>
    <t>Acquisition of non-controlling interests of subsidiaries</t>
  </si>
  <si>
    <t>Issue of Share capital</t>
  </si>
  <si>
    <t>Gain on divestment of a subsidiary</t>
  </si>
  <si>
    <t>Proceeds from Non-current Borrowings</t>
  </si>
  <si>
    <t>Proceeds from Current Borrowings</t>
  </si>
  <si>
    <t>Repayment of lease obligations</t>
  </si>
  <si>
    <t>Repayments of Non-current Borrowings</t>
  </si>
  <si>
    <t>Repayments of Current Borrowings</t>
  </si>
  <si>
    <t>Bought back of ESOP options</t>
  </si>
  <si>
    <t>Interest Paid</t>
  </si>
  <si>
    <t>Financing cash flows</t>
  </si>
  <si>
    <t>Effect of exchange differences of translation of foreign currency cash/cash equivalents</t>
  </si>
  <si>
    <t>Net Increase in Cash</t>
  </si>
  <si>
    <t>Beginning balance of cash</t>
  </si>
  <si>
    <t>Ending balance of cash</t>
  </si>
  <si>
    <t>Consolidated cashflows (Rs.mn)</t>
  </si>
  <si>
    <t>Sources of Funds</t>
  </si>
  <si>
    <t>Operating Cashflows before WC (a)</t>
  </si>
  <si>
    <t>Interest &amp; Dividend Income</t>
  </si>
  <si>
    <t>Sale of Assets</t>
  </si>
  <si>
    <t>Net Debt increase/(decrease)</t>
  </si>
  <si>
    <t>Total Sources of Funds (A)</t>
  </si>
  <si>
    <t>Application of Funds (positive number indicates cash outflow)</t>
  </si>
  <si>
    <t xml:space="preserve"> </t>
  </si>
  <si>
    <t>Working Capital changes (b)</t>
  </si>
  <si>
    <t>Taxes paid (c)</t>
  </si>
  <si>
    <t>Capex</t>
  </si>
  <si>
    <t>Total Application of Funds (B)</t>
  </si>
  <si>
    <t>Net cash generation (A) - (B)</t>
  </si>
  <si>
    <t>Operating cashflows (post tax) (a)-(b)-(c)</t>
  </si>
  <si>
    <t>Free cashflows</t>
  </si>
  <si>
    <t>Closing cash</t>
  </si>
  <si>
    <t>Consol</t>
  </si>
  <si>
    <t>Inventory Days</t>
  </si>
  <si>
    <t>Debtor Days</t>
  </si>
  <si>
    <t>Creditor Days</t>
  </si>
  <si>
    <t>Working capital days</t>
  </si>
  <si>
    <t>Avg. Inventory Days</t>
  </si>
  <si>
    <t>Avg. Debtor Days</t>
  </si>
  <si>
    <t>Avg. Creditor Days</t>
  </si>
  <si>
    <t>Avg.  Working capital days</t>
  </si>
  <si>
    <t>Capital Employed</t>
  </si>
  <si>
    <t>ROA (%)</t>
  </si>
  <si>
    <t>ROE (%)</t>
  </si>
  <si>
    <t>ROCE (%)</t>
  </si>
  <si>
    <t>FY26E</t>
  </si>
  <si>
    <t>FY27E</t>
  </si>
  <si>
    <t>FY28E</t>
  </si>
  <si>
    <t>Yearly Section - Standalone</t>
  </si>
  <si>
    <t>1QFY22</t>
  </si>
  <si>
    <t>2QFY22</t>
  </si>
  <si>
    <t>3QFY22</t>
  </si>
  <si>
    <t>4QFY22</t>
  </si>
  <si>
    <t>1QFY23</t>
  </si>
  <si>
    <t>2QFY23</t>
  </si>
  <si>
    <t>3QFY23</t>
  </si>
  <si>
    <t>4QFY23</t>
  </si>
  <si>
    <t>1QFY24</t>
  </si>
  <si>
    <t>2QFY24</t>
  </si>
  <si>
    <t>3QFY24</t>
  </si>
  <si>
    <t>4QFY24</t>
  </si>
  <si>
    <t>1QFY25</t>
  </si>
  <si>
    <t>2QFY25</t>
  </si>
  <si>
    <t>3QFY25</t>
  </si>
  <si>
    <t>4QFY25</t>
  </si>
  <si>
    <t>Volumes, MT</t>
  </si>
  <si>
    <t>Other Operating Income</t>
  </si>
  <si>
    <t>Depreciation</t>
  </si>
  <si>
    <t>yoy growth, %</t>
  </si>
  <si>
    <t>Net Sales</t>
  </si>
  <si>
    <t>Total Income</t>
  </si>
  <si>
    <t>Employee Cost</t>
  </si>
  <si>
    <t>Other Expenses</t>
  </si>
  <si>
    <t>Total Expenditure</t>
  </si>
  <si>
    <t>EBITDA margin, %</t>
  </si>
  <si>
    <t>Finance Cost</t>
  </si>
  <si>
    <t>Net profit/ loss before exceptional items / prior period adjustments</t>
  </si>
  <si>
    <t>Exceptional items / prior period adjustments (refer note no.</t>
  </si>
  <si>
    <t>Tax Expense</t>
  </si>
  <si>
    <t>PAT margin, %</t>
  </si>
  <si>
    <t>JSW Infra</t>
  </si>
  <si>
    <t>Standalone</t>
  </si>
  <si>
    <t>Goa</t>
  </si>
  <si>
    <t>Mangalore Coal</t>
  </si>
  <si>
    <t>Mangalore Container</t>
  </si>
  <si>
    <t>JSW Jaigarh Port Ltd</t>
  </si>
  <si>
    <t>JSW Dharmatar Port Private Ltd</t>
  </si>
  <si>
    <t>South West Port Limited</t>
  </si>
  <si>
    <t>JSW Paradip Terminal Pvt Ltd</t>
  </si>
  <si>
    <t>Paradip East Quay Coal Terminal Ltd</t>
  </si>
  <si>
    <t>Ennore Coal Terminal Pvt Ltd</t>
  </si>
  <si>
    <t>Ennore Bulk Terminal Pvt Ltd</t>
  </si>
  <si>
    <t>Mangalore Coal Terminal Pvt Ltd</t>
  </si>
  <si>
    <t>JSW Mangalore Container Terminal Pvt Ltd</t>
  </si>
  <si>
    <t>Total Cargo Handled</t>
  </si>
  <si>
    <t>Growth, yoy</t>
  </si>
  <si>
    <t>Forex (Gain)/Loss</t>
  </si>
  <si>
    <t>Minortiy Interest</t>
  </si>
  <si>
    <t>Consolidated P&amp;L, Rs. mn</t>
  </si>
  <si>
    <t>FY29E</t>
  </si>
  <si>
    <t>FY30E</t>
  </si>
  <si>
    <t>State</t>
  </si>
  <si>
    <t>Entity</t>
  </si>
  <si>
    <t>CoD</t>
  </si>
  <si>
    <t>Concession With</t>
  </si>
  <si>
    <t>Third Party Revenue</t>
  </si>
  <si>
    <t>Type of Agreement (Concession/Lease/License/O&amp;M)</t>
  </si>
  <si>
    <t>South West (Goa)</t>
  </si>
  <si>
    <t>Guaranteed Throughput</t>
  </si>
  <si>
    <t>JSW Steel</t>
  </si>
  <si>
    <t>Other JSW Group</t>
  </si>
  <si>
    <t>JSW Energy</t>
  </si>
  <si>
    <t>Amba River Coke Ltd</t>
  </si>
  <si>
    <t>Total JSW Group</t>
  </si>
  <si>
    <t>License</t>
  </si>
  <si>
    <t>Mormugao Port</t>
  </si>
  <si>
    <t>O&amp;M</t>
  </si>
  <si>
    <t>Fujairah Sea Port (UAE)</t>
  </si>
  <si>
    <t>Dibba Terminal (UAE)</t>
  </si>
  <si>
    <t>Concession Expiry</t>
  </si>
  <si>
    <t>Maharashtra</t>
  </si>
  <si>
    <t>JSW Energy:
15 per MMT in
the first year of
operations,
subject to
revisions by the
Maharashtra
Maritime Board
Other
customers: ₹3
per MMT in the
first year of
operations,
escalated by
20% annually
till the 15th year
of operation; and from the
16th year of
operations,
escalated by 3%
every fifth
financial year</t>
  </si>
  <si>
    <t>Maharashtra Maritime Board</t>
  </si>
  <si>
    <t>As per Maharashtra Maritime Board</t>
  </si>
  <si>
    <t>18% of
gross
revenue
excludin
g berth
hire
income</t>
  </si>
  <si>
    <t>Revenue Share</t>
  </si>
  <si>
    <t>Tariff</t>
  </si>
  <si>
    <t>Negotiated</t>
  </si>
  <si>
    <t>Odisha</t>
  </si>
  <si>
    <t>Paradip Port Trust</t>
  </si>
  <si>
    <t>21% of Gross Revenue</t>
  </si>
  <si>
    <t>31.7% of Gross Revenue</t>
  </si>
  <si>
    <t>Karnataka</t>
  </si>
  <si>
    <t>Tamil Nadu</t>
  </si>
  <si>
    <t>INR 951 per TEU</t>
  </si>
  <si>
    <t>New Mangalore Port Authority</t>
  </si>
  <si>
    <t>31% of Gross Revenue</t>
  </si>
  <si>
    <t>52.52% of Gross Revenue</t>
  </si>
  <si>
    <t>Fixed by the operator for various services across customers</t>
  </si>
  <si>
    <t>Kamarajar Port Ltd</t>
  </si>
  <si>
    <t>36% of Gross Revenue</t>
  </si>
  <si>
    <t>FY24</t>
  </si>
  <si>
    <t>O&amp;M Volumes</t>
  </si>
  <si>
    <t>Fujairah</t>
  </si>
  <si>
    <t>Dibba</t>
  </si>
  <si>
    <t>Volumes by Port, MT</t>
  </si>
  <si>
    <t>Volumes by cargo, MT</t>
  </si>
  <si>
    <t>Iron Ore</t>
  </si>
  <si>
    <t>Thermal Coal</t>
  </si>
  <si>
    <t>Non-Thermal Coal</t>
  </si>
  <si>
    <t>Liquid and Gas</t>
  </si>
  <si>
    <t>Container</t>
  </si>
  <si>
    <t>Other Bulk</t>
  </si>
  <si>
    <t>Growth, yoy %</t>
  </si>
  <si>
    <t>Composition %</t>
  </si>
  <si>
    <t>Composition, %</t>
  </si>
  <si>
    <t>None</t>
  </si>
  <si>
    <t>5 MMT</t>
  </si>
  <si>
    <t>Concession</t>
  </si>
  <si>
    <t>7 MTPA</t>
  </si>
  <si>
    <t>8 MTPA</t>
  </si>
  <si>
    <t>3.7 MMT</t>
  </si>
  <si>
    <t>Rs. 50mn</t>
  </si>
  <si>
    <t>1.4 MMT</t>
  </si>
  <si>
    <t>With effect from Fiscal 2022, the NMAGI is as follows: (i) AED 47 million if the actual cargo loaded quantity is
more than 17 MTPA; (ii) AED 43.87 million if the cargo loaded quantity is between 15 MTPA and 17 MTPA; and
(iii) AED 40.73 million if the actual cargo loaded quantity is between 13 MTPA and 15 MTPA.</t>
  </si>
  <si>
    <t>Re-imbursement of actual costs incurred and O&amp;M fees of AED 0.45/MMT for actual qty loaded</t>
  </si>
  <si>
    <t>Karnataka Maritime Board</t>
  </si>
  <si>
    <t>Third Party Cargo</t>
  </si>
  <si>
    <t>Third Party Cargo, %</t>
  </si>
  <si>
    <t>Recently Acquired</t>
  </si>
  <si>
    <t>Lease</t>
  </si>
  <si>
    <t>Capacity, MTPA</t>
  </si>
  <si>
    <t>Total JSW Infra</t>
  </si>
  <si>
    <t>Consolidated Revenue</t>
  </si>
  <si>
    <t>Revenue by Customers, Rs. mn</t>
  </si>
  <si>
    <t>Prior Period Items/Exceptional Items</t>
  </si>
  <si>
    <t>JSW Dharamtar Port Pvt Ltd</t>
  </si>
  <si>
    <t>Major Cargoes Handled</t>
  </si>
  <si>
    <t>Expansion Plans, MTPA</t>
  </si>
  <si>
    <t>Expansion - Cargo type</t>
  </si>
  <si>
    <t>Asset Type</t>
  </si>
  <si>
    <t>CAPEX, Rs. mn</t>
  </si>
  <si>
    <t>Until Fiscal 2022 – regulated Post 2022 – WPI linked</t>
  </si>
  <si>
    <t>Fixed at bidding and WPI linked</t>
  </si>
  <si>
    <t>Port Asset</t>
  </si>
  <si>
    <t>IPO</t>
  </si>
  <si>
    <t>New Shares</t>
  </si>
  <si>
    <t>No. of Shares pre-IPO</t>
  </si>
  <si>
    <t>Equity Shares outstanding after the Issue</t>
  </si>
  <si>
    <t>Dilution</t>
  </si>
  <si>
    <t>Issue</t>
  </si>
  <si>
    <t>Non-Institutional Portion</t>
  </si>
  <si>
    <t>Retail Portion</t>
  </si>
  <si>
    <t>QIB - Anchor Investor Portion</t>
  </si>
  <si>
    <t>QIB - Net QIB Portion - Mutual Funds only</t>
  </si>
  <si>
    <t>QIB - Net QIB Portion - Balance for all QIBs</t>
  </si>
  <si>
    <t>Shares - nos.</t>
  </si>
  <si>
    <t>Key Managerial Personnel</t>
  </si>
  <si>
    <t>Sajjan Jindal</t>
  </si>
  <si>
    <t>Arun Sitaram Maheshwari</t>
  </si>
  <si>
    <t>Lalit Chandanmal Singhvi</t>
  </si>
  <si>
    <t>Chairman</t>
  </si>
  <si>
    <t>Joint MD and CEO</t>
  </si>
  <si>
    <t>CFO</t>
  </si>
  <si>
    <t>Acquired or Created?</t>
  </si>
  <si>
    <t>Gross proceeds from the Issue</t>
  </si>
  <si>
    <t>(Less) Issue related expenses</t>
  </si>
  <si>
    <t>Net Proceeds</t>
  </si>
  <si>
    <t>Rs. mn</t>
  </si>
  <si>
    <t>LPG Terminal Project</t>
  </si>
  <si>
    <t>setting up an electric sub-station</t>
  </si>
  <si>
    <t>purchase and installation of dredger</t>
  </si>
  <si>
    <t>CAPEX - Jaigarh Port</t>
  </si>
  <si>
    <t>CAPEX - JSW Mangalore Container Terminal</t>
  </si>
  <si>
    <t>General corporate purposes</t>
  </si>
  <si>
    <t>FY25</t>
  </si>
  <si>
    <t>FY26</t>
  </si>
  <si>
    <t>DRHP, p116</t>
  </si>
  <si>
    <t>Actual CAPEX</t>
  </si>
  <si>
    <t>Repayment through investment in wholly owned Subsidiaries, JSW Dharamtar Port and JSW Jaigarh Port</t>
  </si>
  <si>
    <t>Hinterland</t>
  </si>
  <si>
    <t>Evacuation Plan/ Infrastructure</t>
  </si>
  <si>
    <t>Stake, %</t>
  </si>
  <si>
    <t>parts of northern Goa, southern and western Maharashtra, and Northern and central Karnataka</t>
  </si>
  <si>
    <t>Jaigarh Port is connected to NH-66 (Mumbai-Goa) at Nivali through SH 106. The Jaigarh Port is at a distance of about 55 kilometres from Ratnagiri on the Konkan railway network. Trans-ship cargo from the Jaigarh Port to other locations including the Dharamtar Port through mini
bulk carriers.</t>
  </si>
  <si>
    <t>Concession, years</t>
  </si>
  <si>
    <t>multi-purpose, all weather port. LNG, LPG, molasses, sugar, steel coil, bauxite, fly ash, thermal coal, coking coal, iron ore, limestone, fertilizers, coated pipes, rock phosphate,
sulphur, steel coil, containers, gypsum, and edible oil</t>
  </si>
  <si>
    <t>Key Customers</t>
  </si>
  <si>
    <t>LPG</t>
  </si>
  <si>
    <t>Civil works</t>
  </si>
  <si>
    <t>Mechanical works</t>
  </si>
  <si>
    <t>Electrical and instrumentation works</t>
  </si>
  <si>
    <t>Consultancy charges</t>
  </si>
  <si>
    <t>Contingency charges</t>
  </si>
  <si>
    <t>Draft, m</t>
  </si>
  <si>
    <t>New Mangalore Port Authority - to mechanization of berth 14 for
providing equipment for handling containers and other cargoes at New Mangalore Port on DBFOT basis</t>
  </si>
  <si>
    <t>minimum 91,000 TEU</t>
  </si>
  <si>
    <t>connectivity to NH-75, NH-66, NH-52, NH-50 and NH-275, which permits our terminals to connect with all of Karnataka, Goa and other parts of southern India through Mangalore, Kerala and Chennai</t>
  </si>
  <si>
    <t xml:space="preserve">To further our diversification strategy with focus on expanding footprint in containers cargo, pursuing opportunities in synergistic businesses and increasing our third-party customer base, we are in the process of
expanding our existing facilities at Mangalore Container Terminal by developing an additional yard and procure additional equipment </t>
  </si>
  <si>
    <t>Plant and machinery (mechanical)</t>
  </si>
  <si>
    <t>Plant and machinery (electrical)</t>
  </si>
  <si>
    <t>IT infrastructure</t>
  </si>
  <si>
    <t>limestone, dolomite, iron ore, coal, and scrap</t>
  </si>
  <si>
    <t>South West Port Ltd</t>
  </si>
  <si>
    <t>Shareholder's funds</t>
  </si>
  <si>
    <t>Current Assets</t>
  </si>
  <si>
    <t>Created</t>
  </si>
  <si>
    <t>JSW Energy, JSW Steel</t>
  </si>
  <si>
    <t>JSW Steel and JSW Cement</t>
  </si>
  <si>
    <t>The Dharamtar Port is located in close proximity to the Mumbai and Jawaharlal Nehru Port Trust (Nhava Sheva
harbors), NH-66 and the Konkan railway network and almost all the cargo is evacuated through its conveyor
system. It is also directly connected to the premises of JSW Steel’s manufacturing facility through a mechanized
conveyor system.</t>
  </si>
  <si>
    <t>NA</t>
  </si>
  <si>
    <t>Acquired</t>
  </si>
  <si>
    <t>Coal, Steel and Limestone</t>
  </si>
  <si>
    <t>The South West Port is connected to both NH 66 and NH 748, with NH 748 providing connectivity to NH 566, a
major highway that connects Mumbai and Bengaluru. The South West Port has a railway connection with the Southwest Railway rail head entering the harbor to touch
the terminal, allowing for smooth transportation of goods by rail. The Zuari and Mandovi rivers provide inland
waterway transport facilities, connecting the Mormugao Harbor – and the South West Port – with mines and
manufacturing plants in the hinterland.</t>
  </si>
  <si>
    <t>Iron ore and pellets</t>
  </si>
  <si>
    <t>The terminal is connected with its hinterland through a network of roads and railways. It is connected by a state
highway with Cuttack in the state of Odisha and the state capital Bhubaneswar and is also linked to NH 5A. The
Indian Railways serves the port through a direct broad gauge double line connected to Cuttack, the commercial
hub of Odisha.</t>
  </si>
  <si>
    <t>Coal</t>
  </si>
  <si>
    <t>The terminal is connected to NH 5 through a dedicated four-lane road. The terminal also connected to East Coast
Railways network leading to Cuttack in Odisha, through the Paradip Port Trust’s rail network within the port area
(broad-gauge double line tracks).</t>
  </si>
  <si>
    <t>New Mangalore Coal Terminal is located in NMPT and is a modern all-weather terminal situated at Panambur,
Mangalore on the west coast of India, 170 nautical miles south of Mormugao Port and 191 nautical miles north of
Cochin Port.</t>
  </si>
  <si>
    <t>The terminal’s key customers are the power plants located around the hinterland belts of Karnataka and Tamil
Nadu.</t>
  </si>
  <si>
    <t>Coal, Limestone, and dolomite cargo</t>
  </si>
  <si>
    <t>New Mangalore Port is connected to NH 75, NH 66, NH 52, NH 50 and NH 275, which permits our terminals to
connect with all of Karnataka, Goa and other parts of southern part of India through Mangalore, Kerala, Chennai.</t>
  </si>
  <si>
    <t>Containers and other bulk</t>
  </si>
  <si>
    <t>Ennore Port is connected to NH 4, NH 5 and NH 45 and a dedicated freight corridor between Chennai and
Bangalore/Mumbai and Delhi/Kolkata. Our terminals are connected by rail to the Chennai-Gudur Section (North-
East Line) of the Southern Railway. The connection involves two lines – the South Connectivity Line and the
North Connectivity Line, both located in the terminal area, and another a 6 km rail line connecting to the Chennai-
Kolkata line.</t>
  </si>
  <si>
    <t>Dry Bulk (Clean cargo other than coal,iron ore, POL and automobile)</t>
  </si>
  <si>
    <t>Timeline</t>
  </si>
  <si>
    <t>Dharamtar Port commences operations</t>
  </si>
  <si>
    <t>Jaigarh Port commences operations</t>
  </si>
  <si>
    <t>Paradip Iron ore Concession signed</t>
  </si>
  <si>
    <t>Paradip Coal Concession signed</t>
  </si>
  <si>
    <t>Commissioned a LNG terminal at Jaigarh</t>
  </si>
  <si>
    <t xml:space="preserve">Acquired Ennore Coal, Ennore Bulk and Mangalore Coal </t>
  </si>
  <si>
    <t>Jaigarh Port Concession signed</t>
  </si>
  <si>
    <t>O&amp;M of Berth 5 and Berth 6 at the Fujairah Sea Port signed</t>
  </si>
  <si>
    <t>JSW Mangalore Container terminal concession signed</t>
  </si>
  <si>
    <t>Dharmtar capacity increased to 34 MTPA from 9.69 MTPA</t>
  </si>
  <si>
    <t>Paradip Coal Terminal commences operations</t>
  </si>
  <si>
    <t>JSW Mangalore Container terminal commences operations</t>
  </si>
  <si>
    <t>JSW Terminal (Middle East) FZE signs O&amp;M agreement with Dibba Port</t>
  </si>
  <si>
    <t>Cargo Handling Charges</t>
  </si>
  <si>
    <t>Vessel Related Charges</t>
  </si>
  <si>
    <t>Acquired South West Port Goa</t>
  </si>
  <si>
    <t>South West Port Goa Commences operations</t>
  </si>
  <si>
    <t>No of Berths</t>
  </si>
  <si>
    <t>Berth Length, mtrs</t>
  </si>
  <si>
    <t>Starlog Enterprises Ltd</t>
  </si>
  <si>
    <t>JSW Jatadhar Marine Services Pvt Ltd</t>
  </si>
  <si>
    <t>Paradip East Quay Coal Terminal Pvt Ltd</t>
  </si>
  <si>
    <t>Southern Bulk Terminals Pvt Ltd</t>
  </si>
  <si>
    <t>JSW Terminal (Middle East) FZE</t>
  </si>
  <si>
    <t>Shareholding Pattern - Directly Held</t>
  </si>
  <si>
    <t>Shareholding Pattern - Indirectly Held</t>
  </si>
  <si>
    <t>JSW Infrastructure ltd</t>
  </si>
  <si>
    <t>Annual/Lease charges (Rs. mn)</t>
  </si>
  <si>
    <t>MCTPL is required to pay to the Board of Trustees for NMPT certain license fees. License fee for land area being
equivalent to the product of extent of land area in square meter and license fee per square meter per year (derived
with 2% compounded annual increment) corresponding to a base license fee of ₹19.21 square meter per month,
with an additional 10% surcharge on custom notified areas. License fee for water area being equivalent to the
product of extent of water area in square meter and license fee per square meter per year (derived with 2%
compounded annual increment) corresponding to a base license fee of ₹9.61 per square meter per month, with an
additional 10% surcharge on custom notified areas.</t>
  </si>
  <si>
    <t>MTPL’s payment obligations comprise (i) license fee equal to the product of extent of land area in square meter
and license fee per square meter per year (derived with 2% compounded annual increment) corresponding to
base license fee of ₹24.83 per square meter per month, with an additional 10% surcharge on custom notified areas;</t>
  </si>
  <si>
    <t>Current and Non-Current Investments</t>
  </si>
  <si>
    <t>Investments into JVs/Subs</t>
  </si>
  <si>
    <t>Equity raised</t>
  </si>
  <si>
    <t>Dividend Paid</t>
  </si>
  <si>
    <t>Interest Income on</t>
  </si>
  <si>
    <t>Loans to related parties</t>
  </si>
  <si>
    <t>Bank Deposits</t>
  </si>
  <si>
    <t>Equipment hire income</t>
  </si>
  <si>
    <t>Govt Grant Incentive Income</t>
  </si>
  <si>
    <t>Miscellaneous Income</t>
  </si>
  <si>
    <t>Interest Expense on</t>
  </si>
  <si>
    <t>Loans from Banks and Financial Institutions</t>
  </si>
  <si>
    <t>Loans from Related Parties</t>
  </si>
  <si>
    <t>Bonds</t>
  </si>
  <si>
    <t>Interest on Lease obligation</t>
  </si>
  <si>
    <t>Premium on Debentures</t>
  </si>
  <si>
    <t>Forex differences recognised as adj to borrowing costs</t>
  </si>
  <si>
    <t>Cargo handling expenses</t>
  </si>
  <si>
    <t>Tug and pilotage charges</t>
  </si>
  <si>
    <t>Stores &amp; spares consumed</t>
  </si>
  <si>
    <t>Power &amp; fuel</t>
  </si>
  <si>
    <t>Maintenance Dredging charges</t>
  </si>
  <si>
    <t>Repair &amp; Maintenance</t>
  </si>
  <si>
    <t>Fees to Regulatory Authorities</t>
  </si>
  <si>
    <t>Other operating expenses</t>
  </si>
  <si>
    <t>Mooring - Unmooring</t>
  </si>
  <si>
    <t>Labour charges</t>
  </si>
  <si>
    <t>Payloader hiring</t>
  </si>
  <si>
    <t>Stevedoring &amp; Waterfront charges</t>
  </si>
  <si>
    <t>Rent, rates &amp; taxes</t>
  </si>
  <si>
    <t>Advertisement and publicity</t>
  </si>
  <si>
    <t>Directors sitting fees</t>
  </si>
  <si>
    <t>Legal, professional &amp; consultancy charges</t>
  </si>
  <si>
    <t>Insurance</t>
  </si>
  <si>
    <t>House keeping and horticulture expenses</t>
  </si>
  <si>
    <t>Vehicle hiring &amp; maintenance</t>
  </si>
  <si>
    <t>Security charges</t>
  </si>
  <si>
    <t>Corporate Social Responsibilities Expenses</t>
  </si>
  <si>
    <t>Loss on sale of property, plant, equipment and other intangible assets (net)</t>
  </si>
  <si>
    <t>Travelling expenses</t>
  </si>
  <si>
    <t>General office expenses and overheads</t>
  </si>
  <si>
    <t>Business support services</t>
  </si>
  <si>
    <t>Allowances for doubtful debts (net)</t>
  </si>
  <si>
    <t>Paradip railway project expenses</t>
  </si>
  <si>
    <t>xxx</t>
  </si>
  <si>
    <t>Units</t>
  </si>
  <si>
    <t>Realisations</t>
  </si>
  <si>
    <t>Untits</t>
  </si>
  <si>
    <t>Rs./MTPA</t>
  </si>
  <si>
    <t>%</t>
  </si>
  <si>
    <t>Vessel Charges - Port Dues</t>
  </si>
  <si>
    <t>Vessel Charges - Pilotage &amp; Tug hire</t>
  </si>
  <si>
    <t>Vessel Charges - Berth Hire Charges</t>
  </si>
  <si>
    <t>Cargo Handling - Cargo Handling Income</t>
  </si>
  <si>
    <t>Cargo Handling - Storage Income</t>
  </si>
  <si>
    <t>Cargo Handling - Wharfage Income</t>
  </si>
  <si>
    <t>Cargo Handling - Cape dredging Income</t>
  </si>
  <si>
    <t>Cargo Handling - Grabs Transportation Charges</t>
  </si>
  <si>
    <t>Cargo Handling - Other Port Service income</t>
  </si>
  <si>
    <t>Cargo Handling - Paradip railway project Income</t>
  </si>
  <si>
    <t>Cargo Handling - Other Operating Income</t>
  </si>
  <si>
    <t>Volumes</t>
  </si>
  <si>
    <t>LNG</t>
  </si>
  <si>
    <t>.</t>
  </si>
  <si>
    <t>PNP</t>
  </si>
  <si>
    <t xml:space="preserve">MROTC </t>
  </si>
  <si>
    <t>https://eaindustry.nic.in/download_data_1112.asp</t>
  </si>
  <si>
    <t>WPI Data</t>
  </si>
  <si>
    <t>Payment made towards acquisition of Subsidiaries</t>
  </si>
  <si>
    <t>All group</t>
  </si>
  <si>
    <t>Customer</t>
  </si>
  <si>
    <t>70% is group</t>
  </si>
  <si>
    <t>All third Party</t>
  </si>
  <si>
    <t>70% third party. 30% Group</t>
  </si>
  <si>
    <t>80% Third Party</t>
  </si>
  <si>
    <t>Check in RHP Once</t>
  </si>
  <si>
    <t>Usually inland transport of Coal to Telangana and Tamil Nadu, TANGEDCO, Sembcorp</t>
  </si>
  <si>
    <t>JSW Steel biggest customer, H Energy</t>
  </si>
  <si>
    <t>Exclusive to Steel</t>
  </si>
  <si>
    <t>Largely JSW Steel</t>
  </si>
  <si>
    <t>Third Party and Group</t>
  </si>
  <si>
    <t>Merchant Pellet Plant owners and Miners in Orissa</t>
  </si>
  <si>
    <t>Vijaynagar Steel Plant</t>
  </si>
  <si>
    <t>Trans Shipment to Dharamtar</t>
  </si>
  <si>
    <t>1 tonne of steel requires 3 tonnes of raw material (2 tonnes of iron ore, 0.8 coking coal and 0.2 tonnes of others)</t>
  </si>
  <si>
    <t>If JSW Infra exports this^ then it totally gets 4MT of Cargo</t>
  </si>
  <si>
    <t>Cement,Clinker - local traders of coal</t>
  </si>
  <si>
    <t>2 berths in goa</t>
  </si>
  <si>
    <t>1 in standalone</t>
  </si>
  <si>
    <t>1 in south west goa</t>
  </si>
  <si>
    <t>belonged to adani and was not able to do minimum thorughput</t>
  </si>
  <si>
    <t>Company can operate if the shed is made with capex of 100crs - should complete by year end</t>
  </si>
  <si>
    <t>&lt;&lt; without transhipment volumes of large ships, trans shipment revenue booked in Jaigarh</t>
  </si>
  <si>
    <t>&lt;&lt;&lt; Includes transhipment volumes of large ships, books cargo handling charges</t>
  </si>
  <si>
    <t>Forecast it with per tonne royalty</t>
  </si>
  <si>
    <t xml:space="preserve">Jaigarh Sub concession, minimum throyghput of 65crs revenue, </t>
  </si>
  <si>
    <t>Revenue is only 2 million USD, booked under International subsidiary</t>
  </si>
  <si>
    <t>&lt;&lt; Includes combination of outsourcing and internal</t>
  </si>
  <si>
    <t>Coal (JSWEL) - Panamax</t>
  </si>
  <si>
    <t>Coal (JSWEL) - Cape</t>
  </si>
  <si>
    <t>Coal (JSWSL)</t>
  </si>
  <si>
    <t>Iron Ore (JSWSL)</t>
  </si>
  <si>
    <t>Limestone (JSWSL)</t>
  </si>
  <si>
    <t>Coke: Third Party</t>
  </si>
  <si>
    <t>Coal: Third Party</t>
  </si>
  <si>
    <t>Bauxite</t>
  </si>
  <si>
    <t>Sugar/ Raw sugar</t>
  </si>
  <si>
    <t>Fertilisers</t>
  </si>
  <si>
    <t>Molasses</t>
  </si>
  <si>
    <t>Rock phosphate</t>
  </si>
  <si>
    <t>Gypsum</t>
  </si>
  <si>
    <t>Agri products (maize/ SBM/ Corn)</t>
  </si>
  <si>
    <t>POL/Chemicals</t>
  </si>
  <si>
    <t>Steel Coils and project cargo</t>
  </si>
  <si>
    <t>Sulphur</t>
  </si>
  <si>
    <t>Edible Oil</t>
  </si>
  <si>
    <t>Fly Ash</t>
  </si>
  <si>
    <t>Wheat</t>
  </si>
  <si>
    <t>Pet Coke</t>
  </si>
  <si>
    <t>Pig Iron</t>
  </si>
  <si>
    <t>Prime Semi HCC</t>
  </si>
  <si>
    <t>Rs./mn</t>
  </si>
  <si>
    <t>Volumes (Detailed)</t>
  </si>
  <si>
    <t>Total</t>
  </si>
  <si>
    <t>Keni Port</t>
  </si>
  <si>
    <t>Tuticorin Dry Bulk</t>
  </si>
  <si>
    <t>JNPT Liquid Terminal</t>
  </si>
  <si>
    <t>Capacity Utilisation</t>
  </si>
  <si>
    <t>POL, Chemical, Molasses</t>
  </si>
  <si>
    <t>Jaigarh and Dharamtar Expansion - how likely it is?</t>
  </si>
  <si>
    <t>Jatadhar</t>
  </si>
  <si>
    <t>Jatadhar Port update?</t>
  </si>
  <si>
    <t>Jaigarh Expansion</t>
  </si>
  <si>
    <t>Dharamtar Expansion</t>
  </si>
  <si>
    <t>What is Berth Hire Charges and is it linked to volumes?</t>
  </si>
  <si>
    <t>JSW Group Cargo</t>
  </si>
  <si>
    <t>Trans - shipment volumes</t>
  </si>
  <si>
    <t>Cargo handling charges</t>
  </si>
  <si>
    <t>MT</t>
  </si>
  <si>
    <t>Utilization</t>
  </si>
  <si>
    <t>Paradip Coal</t>
  </si>
  <si>
    <t>What is the cargo typr in Standalone?</t>
  </si>
  <si>
    <t>Rs.mn</t>
  </si>
  <si>
    <t>JSW Standalone</t>
  </si>
  <si>
    <t>Fujairah Liquid (MROTC)</t>
  </si>
  <si>
    <t>Jatadhar Port</t>
  </si>
  <si>
    <t>Realisation and volume assumption for Tuticorin, JNPT liquid, Keni and Jatadhar?</t>
  </si>
  <si>
    <t>Volume growth for individual ports?</t>
  </si>
  <si>
    <t>Estimated utilisation levels for Tuticorin and JNPT Terminal and Keni Port?</t>
  </si>
  <si>
    <t>Estimated EBITDA margin for Tuticoring and JNPT Terminal? And other ports</t>
  </si>
  <si>
    <t>Approx COD</t>
  </si>
  <si>
    <t>No of Days Operational</t>
  </si>
  <si>
    <t>Year of Operation</t>
  </si>
  <si>
    <t>Execution Spacing (Days)</t>
  </si>
  <si>
    <t>Execution Spacing(%)</t>
  </si>
  <si>
    <t>CAPEX each year</t>
  </si>
  <si>
    <t>Equity Infusion each year</t>
  </si>
  <si>
    <t>Debt Taken each year</t>
  </si>
  <si>
    <t>Repayment of Loan (1 yr moratorium, 25 year repayment)</t>
  </si>
  <si>
    <t>Loans Outstanding</t>
  </si>
  <si>
    <t>Interest</t>
  </si>
  <si>
    <t>Gross Block Addition</t>
  </si>
  <si>
    <t>CWIP</t>
  </si>
  <si>
    <t>LoA</t>
  </si>
  <si>
    <t>Jaigarh LNG Terminal</t>
  </si>
  <si>
    <t>Goa Shed</t>
  </si>
  <si>
    <t>Debt to Equity Ratio?</t>
  </si>
  <si>
    <t xml:space="preserve">Equity </t>
  </si>
  <si>
    <t>Dep Rate</t>
  </si>
  <si>
    <t>Rs. mn/ MT</t>
  </si>
  <si>
    <t>Comparison of Port Charges across geographies</t>
  </si>
  <si>
    <t>CAGR</t>
  </si>
  <si>
    <t>FY24-30E</t>
  </si>
  <si>
    <t>Debt</t>
  </si>
  <si>
    <t>Cash</t>
  </si>
  <si>
    <t>Net Debt</t>
  </si>
  <si>
    <t>Capacity</t>
  </si>
  <si>
    <t>x</t>
  </si>
  <si>
    <t>Jaigarh and Dharamtar</t>
  </si>
  <si>
    <t>Slighlty higher in Jaigarh</t>
  </si>
  <si>
    <t>Greenfield</t>
  </si>
  <si>
    <t>13MT steel plant with integrated Port</t>
  </si>
  <si>
    <t>25% can be used for third party</t>
  </si>
  <si>
    <t>Pellet plant 8+8</t>
  </si>
  <si>
    <t>Other Potential Projects</t>
  </si>
  <si>
    <t>30MTPA</t>
  </si>
  <si>
    <t>Slurry pipeline from Iron Ore Minees in Odisha to Jatadhar Port</t>
  </si>
  <si>
    <t>Coking Coal</t>
  </si>
  <si>
    <t>Thermal coal</t>
  </si>
  <si>
    <t>100 MT Privatisation opportunities in India</t>
  </si>
  <si>
    <t>1 more in tuticorin</t>
  </si>
  <si>
    <t>1 in cochin</t>
  </si>
  <si>
    <t>Privatisation Opportunity</t>
  </si>
  <si>
    <t>1 bid in progress in Kandla</t>
  </si>
  <si>
    <t>Hand to Hand Logisitcs</t>
  </si>
  <si>
    <t>CFS, ICD</t>
  </si>
  <si>
    <t>Focus  on South and West Region</t>
  </si>
  <si>
    <t>Wont breach net debt to ebitda 2.5x</t>
  </si>
  <si>
    <t>One more pipeline</t>
  </si>
  <si>
    <t>Murbe Container Port</t>
  </si>
  <si>
    <t>33MTPA</t>
  </si>
  <si>
    <t>Expansion Murbe</t>
  </si>
  <si>
    <t>Overseas Project for Steel Plant</t>
  </si>
  <si>
    <t>29MTPA</t>
  </si>
  <si>
    <t>300Million USD</t>
  </si>
  <si>
    <t>Real Export vargo at 10% of volumes</t>
  </si>
  <si>
    <t>Vijaynagar</t>
  </si>
  <si>
    <t>Dolvi</t>
  </si>
  <si>
    <t>Ispat</t>
  </si>
  <si>
    <t>Salem</t>
  </si>
  <si>
    <t>EAF</t>
  </si>
  <si>
    <t>Delta</t>
  </si>
  <si>
    <t>BPSL</t>
  </si>
  <si>
    <t>JSW Steel Capacity, MTPA</t>
  </si>
  <si>
    <t>Utilisation,%</t>
  </si>
  <si>
    <t>Production, MT</t>
  </si>
  <si>
    <t>Coaking Coal</t>
  </si>
  <si>
    <t>Finished Goods</t>
  </si>
  <si>
    <t>Requirement to produce 1MT Steel,MT</t>
  </si>
  <si>
    <t>&lt;&lt; Sep'2027 to come online</t>
  </si>
  <si>
    <t>&lt;&lt; No fixed timeline, will announce in future</t>
  </si>
  <si>
    <t>&lt;&lt; Land and approvals ready, but construction will start after 2-3 years depending on demand</t>
  </si>
  <si>
    <t>Steel Plant</t>
  </si>
  <si>
    <t>Iron ore &gt;&gt; sintering &gt;&gt; Pellets</t>
  </si>
  <si>
    <t>Coke and Pellets goes to blast furnace (Heat it) &gt;&gt; to get liquid steel</t>
  </si>
  <si>
    <t>700 units of power for 1tonne of steel output</t>
  </si>
  <si>
    <t>Take liquid steel to blast oxygen furnace (oxidation takes place)</t>
  </si>
  <si>
    <t>Crude steel is formed (liquid form)</t>
  </si>
  <si>
    <t>Either make slabs//flats/longs - Steel Melt Shops</t>
  </si>
  <si>
    <t>Greenfield Capex - Rs. 6000crs</t>
  </si>
  <si>
    <t>Brownfield Capex - Rs. 4500crs</t>
  </si>
  <si>
    <t>Dolvi plant</t>
  </si>
  <si>
    <t>Finished Good</t>
  </si>
  <si>
    <t>Opportunity from JSW Steel and JSW Energy - FY26</t>
  </si>
  <si>
    <t>Opportunity from JSW Steel and JSW Energy - FY30</t>
  </si>
  <si>
    <t>Slurry Pipeline</t>
  </si>
  <si>
    <t>Murbe</t>
  </si>
  <si>
    <t>Overseas</t>
  </si>
  <si>
    <t>P/E methodology</t>
  </si>
  <si>
    <t>Upside</t>
  </si>
  <si>
    <t>Consolidated EPS</t>
  </si>
  <si>
    <t>Rs./ share</t>
  </si>
  <si>
    <t>implied P/E</t>
  </si>
  <si>
    <t>Consolidated EBITDA</t>
  </si>
  <si>
    <t>implied EV/ EBITDA</t>
  </si>
  <si>
    <t>RoCE calculation?</t>
  </si>
  <si>
    <t>EBITDA margin for Jaigarh, Dharamtar and Goa?</t>
  </si>
  <si>
    <t>Expected blended margin in FY25 and FY26? What will be the driver?</t>
  </si>
  <si>
    <t>Revenue - Port Wise</t>
  </si>
  <si>
    <t>EBITDA - Port Wise</t>
  </si>
  <si>
    <t>EBITDA Margin - Port Wise</t>
  </si>
  <si>
    <t>Revenue/Tonne</t>
  </si>
  <si>
    <t>EBITDA/Tonne</t>
  </si>
  <si>
    <t>Lost</t>
  </si>
  <si>
    <t>Won</t>
  </si>
  <si>
    <t xml:space="preserve">JNPT </t>
  </si>
  <si>
    <t>FY24 margin higher due to additional storage income in Jaigarh in FY24</t>
  </si>
  <si>
    <t>Operationally no lever to increase margins</t>
  </si>
  <si>
    <t>Employee cost 50-60crs due to lesser provisions</t>
  </si>
  <si>
    <t>F25 - 10-12%. FY26 depends on JNPT and Tuticoring, FY27 lot of capacity increase</t>
  </si>
  <si>
    <t>15% CAGR till FY27</t>
  </si>
  <si>
    <t>Realisations are Similar to Dharamtar, rn margins are lower and will improve, wil spend 45-50crs and margin to come to 45-50%</t>
  </si>
  <si>
    <t>&lt;&lt;&lt;&lt;</t>
  </si>
  <si>
    <t>30 mn USD of EBITDA</t>
  </si>
  <si>
    <t>88% margins</t>
  </si>
  <si>
    <t>22-25mn USD EBITDA from FY27</t>
  </si>
  <si>
    <t>30-35% EBITDA margin</t>
  </si>
  <si>
    <t>Royalty - 72rs per tonne</t>
  </si>
  <si>
    <t>Realisations similar to Ennore or slightly higher</t>
  </si>
  <si>
    <t>Awaiting Concession signed</t>
  </si>
  <si>
    <t>Tender process</t>
  </si>
  <si>
    <t>-Govt specifies minimum guarantee throughput and CAPEX</t>
  </si>
  <si>
    <t>&lt;&lt; want to cater to additional aviation fuel to Navi Mumbai Airport</t>
  </si>
  <si>
    <t xml:space="preserve">&lt;&lt; want to create liquid storage at Jaigarh and then discharge it to JNPT </t>
  </si>
  <si>
    <t>&lt;&lt; cant do LPG and LNG</t>
  </si>
  <si>
    <t>&lt;&lt; BPCL and Reliance can do only LPG and LNG</t>
  </si>
  <si>
    <t>20% Ebitda margin after 2 years</t>
  </si>
  <si>
    <t>currently IOC does for mumbai airport</t>
  </si>
  <si>
    <t>utilisation levels to be around - 2,3,4 MT phased ramp up</t>
  </si>
  <si>
    <t>Overseas Port</t>
  </si>
  <si>
    <t>&lt;&lt; should be higher utilisations</t>
  </si>
  <si>
    <t>70-75%</t>
  </si>
  <si>
    <t>No Royalty</t>
  </si>
  <si>
    <t>Container Port</t>
  </si>
  <si>
    <t>65% EBITDA</t>
  </si>
  <si>
    <t>Jaigarh type realisations</t>
  </si>
  <si>
    <t>Dharamtart</t>
  </si>
  <si>
    <t>20 MT</t>
  </si>
  <si>
    <t>16 MT</t>
  </si>
  <si>
    <t>BP world offered 6000rs per TEU (to remain in India) whereas adani offered 1900 per TEU</t>
  </si>
  <si>
    <t>Operational</t>
  </si>
  <si>
    <t>XX</t>
  </si>
  <si>
    <t>Operational + Under Construction</t>
  </si>
  <si>
    <t>PNP Maritime Services</t>
  </si>
  <si>
    <t>Acquiried From?</t>
  </si>
  <si>
    <t>JSW JNPT Liquid Terminal Pvt Ltd</t>
  </si>
  <si>
    <t>PNP Port is operating multi-purpose
jetties at Shahabad in Raigad district of
Maharashtra - Steel, Cement and Coal</t>
  </si>
  <si>
    <t>Shapoorji Pallonji Group (SP Port
Maintenance Private Limited). The Company has vision to expand its cargo handling capacity and cargo volume/ throughput in all types of cargoes. Considering the same, this acquisition would help the Company to achieve its growth &amp; expand its footprint.</t>
  </si>
  <si>
    <t>Pipeline</t>
  </si>
  <si>
    <t>Acq Consideration, Rs. mn</t>
  </si>
  <si>
    <t>2700mn Equity, 7000mn EV</t>
  </si>
  <si>
    <t>This acquisition is part of JSW Infrastructure’s strategic direction to explore opportunities to expand organically and inorganically, to provide end to end logistics services near the cargo consumption / generation centres. PNP port is expected to strengthen JSW Infrastructure’s position to provide Hub &amp; Spoke model services to customers, thereby saving substantially in the logistics costs. JSW Infrastructure intends to upgrade the PNP Port facilities and expand its capacity from current 5 MTPA to 19 MTPA in a phased manner. This acquisition furthers its vision to increase the use of waterways and existing railway facility at PNP adds synergies to the last mile connectivity.
The acquisition of PNP Port is a strategic asset for JSW infrastructure. It will allow the company to service growing share of 3rd party customers in India and derive huge synergies with our existing ports &amp; terminals. It will be able to participate in the Govt. of India Maritime Vision to move cargo through Rail- Sea- Rail route and coastal cargo. At PNP Port, development of Port based industries will be a key focus area and service to multipurpose cargo of Bulk, Container, Liquid etc. The PNP Port is an operational port, connected with Road &amp; Rail facilities, and servicing to various industries in the hinterland i.e. Maharashtra, Madhya Pradesh, Karnataka etc. It has a very strategic locational advantage on West Coast of India and having direct access to large cargo centres such as Mumbai, Pune, Mumbai, Palghar, Thane, Pune, Solapur, Bhiwandi, Nasik etc. PNP Port is connected with the Central &amp; Konkan Railway network which is a very important cargo evacuation mode. With the well-connected railway system, it will be able to service customers for container, Liquid and bulk cargo in future. The Port also has very good
road connectivity with Mumbai- Goa Highway.</t>
  </si>
  <si>
    <t>PNP Port is well connected with road and Railway facilities.</t>
  </si>
  <si>
    <t>NO ROYALTY, why?</t>
  </si>
  <si>
    <t>50% stepdown subsidairy of JSW Dharmatar Port Private Ltd</t>
  </si>
  <si>
    <t>JSW Terminal (Middle East) FZE acquired Marine Oil Terminal Corp</t>
  </si>
  <si>
    <t>MPT Commodities Limited, British Virgin Islands (Mercuria Group) in December 19, 2023</t>
  </si>
  <si>
    <t>UAE</t>
  </si>
  <si>
    <t>$187m EV, Implied EV/EBITDA valuation of 8.5x-9.5x (FY24 EBITDA)</t>
  </si>
  <si>
    <t>Class I to III products including fuel oil, gas oil, diesel &amp; naphtha</t>
  </si>
  <si>
    <t>Net Debt/Equity</t>
  </si>
  <si>
    <t>Net Debt/EBITDA</t>
  </si>
  <si>
    <t>to serve the industries in the area covering Bellary, Hosapete, Hubballi, Kalaburagi and South Maharashtra</t>
  </si>
  <si>
    <t>with further potential to increase substantially in the long
run</t>
  </si>
  <si>
    <t xml:space="preserve">Multi-Cargo, The proposed Keni Port is located strategically between two operational Major Ports viz. Mormugao Port in the north and New Mangalore Port in the south. The proposed port’s hinterland is primarily of coal and coke cargo which is being utilized for steel, cement and power plants. It is also further supported by Iron ore, limestone, dolomite handlings and export of finished steel products. </t>
  </si>
  <si>
    <t>Rs. 17/ tonne</t>
  </si>
  <si>
    <t xml:space="preserve">Rail connectivity to the Keni Port site is proposed to be in southern side and will be connected with the existing Konkan line to north of the Ankola Station. The proposed railway alignment will be developed with a total length of approximately 8 km. The proposed port shall be well connected with Road and Railway Connectivity. </t>
  </si>
  <si>
    <t>3rd Party</t>
  </si>
  <si>
    <t>2.5 - 3 MT</t>
  </si>
  <si>
    <t>Rs. 252/ tonne</t>
  </si>
  <si>
    <t>North Cargo Berth 3 Mechanisation inculding Dredging for Handling Bulk Cargo</t>
  </si>
  <si>
    <t>&lt;-- RFQ document say 356cr?</t>
  </si>
  <si>
    <t xml:space="preserve">Coal / Coke ii) Limestone iii) Gypsum iv) Rock Phosphate v) Copper Concentrate </t>
  </si>
  <si>
    <t>Rs. 72/ tonne + WPI</t>
  </si>
  <si>
    <t>The Concessionaire shall, in consideration of its investment and services, be entitled to levy and collect a pre-determined user fee</t>
  </si>
  <si>
    <t>https://infra.economictimes.indiatimes.com/news/ports-shipping/did-jsw-infra-miscalculate-in-quoting-rs252-a-ton-as-royalty-to-clinch-liquid-cargo-berth-at-j-n-port/107606649</t>
  </si>
  <si>
    <t>V.O. CHIDAMBARANAR PORT TRUST</t>
  </si>
  <si>
    <t>Jawaharlal Nehru Port</t>
  </si>
  <si>
    <t>Orissa</t>
  </si>
  <si>
    <t>Bulk</t>
  </si>
  <si>
    <t>Orissa Maritime Board</t>
  </si>
  <si>
    <t>Bulk - thermal coal, coking coal, iron ore, limestone</t>
  </si>
  <si>
    <t>Slurry Pipeline Phase I</t>
  </si>
  <si>
    <t>Slurry Pipeline Phase II</t>
  </si>
  <si>
    <t>Third Party</t>
  </si>
  <si>
    <t>Jatdhar Port</t>
  </si>
  <si>
    <t>500-550Rs/tonne</t>
  </si>
  <si>
    <t>300km Pipeline</t>
  </si>
  <si>
    <t>Murbe Port</t>
  </si>
  <si>
    <t>Captive</t>
  </si>
  <si>
    <t>https://infra.economictimes.indiatimes.com/news/ports-shipping/maharashtra-seeks-bids-for-a-new-port-at-murbe-under-swiss-challenge-after-jsw-infra-place-suo-moto-offer/107983282</t>
  </si>
  <si>
    <t>Major industrial centres and business hubs in the hinterland of the proposed por ..
Read more at:
https://infra.economictimes.indiatimes.com/news/ports-shipping/maharashtra-seeks-bids-for-a-new-port-at-murbe-under-swiss-challenge-after-jsw-infra-place-suo-moto-offer/107983282</t>
  </si>
  <si>
    <t>Steel</t>
  </si>
  <si>
    <t>Operational - as at end of FY24</t>
  </si>
  <si>
    <t>Cargo Type</t>
  </si>
  <si>
    <t>Multi-Cargo</t>
  </si>
  <si>
    <t>Liquid</t>
  </si>
  <si>
    <t>CY21</t>
  </si>
  <si>
    <t>CY22</t>
  </si>
  <si>
    <t>CY20</t>
  </si>
  <si>
    <t>USD mn</t>
  </si>
  <si>
    <t>Cargo handling charges/Revenue</t>
  </si>
  <si>
    <t>Average USD/INR</t>
  </si>
  <si>
    <t>&lt;&lt; Revenue and EBITDA similar to Dharamtar</t>
  </si>
  <si>
    <t>To spend 50-60crs CAPEX</t>
  </si>
  <si>
    <t>Post 2 years margins will improve to 45-50%</t>
  </si>
  <si>
    <t>Currently margins at 30%</t>
  </si>
  <si>
    <t>Slurry Pipeline Phase I - 300km</t>
  </si>
  <si>
    <t>Other Upcoming Projects</t>
  </si>
  <si>
    <t>Growth, %</t>
  </si>
  <si>
    <t>JNPT Liquid</t>
  </si>
  <si>
    <t>Keni</t>
  </si>
  <si>
    <t>Dharmatar</t>
  </si>
  <si>
    <t>Fujairah Liquid Storage</t>
  </si>
  <si>
    <t>CHECK</t>
  </si>
  <si>
    <t>Eliminations</t>
  </si>
  <si>
    <t>&lt;- forex exposure in revenues</t>
  </si>
  <si>
    <t>&lt;-The compnay has raised H 2,99,028.00 lakhs [USD 400 million] on 21st January, 2022 by issuing USD denominated senior secured “4.95 per cent. Senior Notes due 2029” (also referred as the notes)</t>
  </si>
  <si>
    <t>net long exposure to USD</t>
  </si>
  <si>
    <t>Revenue</t>
  </si>
  <si>
    <t>PAT</t>
  </si>
  <si>
    <t>Total Debt</t>
  </si>
  <si>
    <t>Borrowings</t>
  </si>
  <si>
    <t>USD 400mn</t>
  </si>
  <si>
    <t>Indian Debt</t>
  </si>
  <si>
    <t>Foreign Borrowings (Bonds)</t>
  </si>
  <si>
    <t>DCF</t>
  </si>
  <si>
    <t>Net Income</t>
  </si>
  <si>
    <t>Add: Depreciation</t>
  </si>
  <si>
    <t>Less: Working Capital changes</t>
  </si>
  <si>
    <t>Less: CAPEX</t>
  </si>
  <si>
    <t>Add: Net Borrowing</t>
  </si>
  <si>
    <t>FCFE</t>
  </si>
  <si>
    <t>Terminal Value</t>
  </si>
  <si>
    <t>PV of Terminal Value</t>
  </si>
  <si>
    <t>Equity Value</t>
  </si>
  <si>
    <t>No. of shares (in mn)</t>
  </si>
  <si>
    <t>Per Share Value</t>
  </si>
  <si>
    <t>Cost of Equity</t>
  </si>
  <si>
    <t>Terminal growth rate (%)</t>
  </si>
  <si>
    <t>To dilute</t>
  </si>
  <si>
    <t>No of shares to dilute (mn)</t>
  </si>
  <si>
    <t>Fund raise at CMP (Rs. mn)</t>
  </si>
  <si>
    <t>Share capital</t>
  </si>
  <si>
    <t>Other Equity</t>
  </si>
  <si>
    <t>Note: 1. Return on Capital Employed (RoCE) is calculated as EBIT as a percentage of Capital Employed, where Capital Employed refers to the sum of total equity and Net Debt. EBIT is calculated as Operating</t>
  </si>
  <si>
    <t>EBITDA minus depreciation and amortization.</t>
  </si>
  <si>
    <t>ROCE (%) - As per Company</t>
  </si>
  <si>
    <t>ROCE (%) - Without CWIP</t>
  </si>
  <si>
    <t>Cost of Debt</t>
  </si>
  <si>
    <t>&lt;&lt; From Bloom</t>
  </si>
  <si>
    <t>EV</t>
  </si>
  <si>
    <t>Multiple&gt;&gt;</t>
  </si>
  <si>
    <t>JSW Infra - Valuation</t>
  </si>
  <si>
    <t>Value at end of:</t>
  </si>
  <si>
    <t>FY25E/ FY24</t>
  </si>
  <si>
    <t>FY26E/ FY24</t>
  </si>
  <si>
    <t>FY27E/ FY24</t>
  </si>
  <si>
    <t>FY28E/ FY24</t>
  </si>
  <si>
    <t>FY29E/ FY24</t>
  </si>
  <si>
    <t>FY30E/ FY24</t>
  </si>
  <si>
    <t>Mcap, Rs. mn</t>
  </si>
  <si>
    <t>CMP, Rs./ share</t>
  </si>
  <si>
    <t>No. of Shares, mn</t>
  </si>
  <si>
    <t>CAGR, %</t>
  </si>
  <si>
    <t>EV/ EBITDA methodology</t>
  </si>
  <si>
    <t>Capacity, MT</t>
  </si>
  <si>
    <t>Present Value of FCFE till FY30E</t>
  </si>
  <si>
    <t>Implied EV/ EBITDA multiple</t>
  </si>
  <si>
    <t>&lt;&lt;- past 10 years' volume growth of Non Major Ports in India</t>
  </si>
  <si>
    <t>FCFF = CFO + Int (1-T) - CAPEX</t>
  </si>
  <si>
    <t>FCFE = CFO - CAPEX + Net Borrowing</t>
  </si>
  <si>
    <t>Acquired PNP port and Fujairah Liquid Terminal Storage</t>
  </si>
  <si>
    <t>Won Tuticorin Dry Bulk and JNPT liquid terminal concessions</t>
  </si>
  <si>
    <t xml:space="preserve">JSW </t>
  </si>
  <si>
    <t>a</t>
  </si>
  <si>
    <t>Under Construction/Upcoming</t>
  </si>
  <si>
    <t>Goa shed</t>
  </si>
  <si>
    <t>LPG terminal</t>
  </si>
  <si>
    <t>Mangalore Container Expansion</t>
  </si>
  <si>
    <t>West</t>
  </si>
  <si>
    <t>East</t>
  </si>
  <si>
    <t>Capacity Addition, MTPA</t>
  </si>
  <si>
    <t>Acquisition</t>
  </si>
  <si>
    <t>Terminals won in PPP</t>
  </si>
  <si>
    <t>Total Capacity</t>
  </si>
  <si>
    <t>Expansion of Existing Port/Terminals</t>
  </si>
  <si>
    <t>L1 - JSW Infra</t>
  </si>
  <si>
    <t>L2 - IMC ltd</t>
  </si>
  <si>
    <t>Rs./tonne</t>
  </si>
  <si>
    <t>GAP</t>
  </si>
  <si>
    <t>L2 - Orissa Stevedores ltd</t>
  </si>
  <si>
    <t>Recent Terminal wins</t>
  </si>
  <si>
    <t>Royalty</t>
  </si>
  <si>
    <t>JNPT Terminal</t>
  </si>
  <si>
    <t>Tuticorin Terminal</t>
  </si>
  <si>
    <t>FY30</t>
  </si>
  <si>
    <t>Production</t>
  </si>
  <si>
    <t>1.6-2 MT</t>
  </si>
  <si>
    <t>0.6-0.7 MT</t>
  </si>
  <si>
    <t>0.8-0.3 MT</t>
  </si>
  <si>
    <t>Raw material Required to Produce Steel</t>
  </si>
  <si>
    <t>JSW Steel Capacity and Production, MT</t>
  </si>
  <si>
    <t>Raw Material Requirement for JSW Steel, MT</t>
  </si>
  <si>
    <t>Total Opportunity for JSW Infra</t>
  </si>
  <si>
    <t>Raw Material Requirement</t>
  </si>
  <si>
    <t>Volumes transported through JSW Infra</t>
  </si>
  <si>
    <t>JSW Group Opportunity</t>
  </si>
  <si>
    <t>Volumes - Portwise, MT</t>
  </si>
  <si>
    <t>Cargo - Customer Wise, MT</t>
  </si>
  <si>
    <t>Volumes - Cargowise, MT</t>
  </si>
  <si>
    <t>Revenue, Rs. mn</t>
  </si>
  <si>
    <t>EBITDA, Rs. mn</t>
  </si>
  <si>
    <t>Revenue, Rs. bn</t>
  </si>
  <si>
    <t>Margin, %</t>
  </si>
  <si>
    <t>Revenue/tonne</t>
  </si>
  <si>
    <t>EBITDA/tonne</t>
  </si>
  <si>
    <t>Free Cashflow to Equity (FCFE)</t>
  </si>
  <si>
    <t>Free Cashflows to Firm (FCFF)</t>
  </si>
  <si>
    <t>Application of Funds</t>
  </si>
  <si>
    <t>Investments</t>
  </si>
  <si>
    <t>ROCE (%) - As per company calculated</t>
  </si>
  <si>
    <t>FY28</t>
  </si>
  <si>
    <t>Return on Capital Employed</t>
  </si>
  <si>
    <t>Return on Capital Employed - Without CWIP</t>
  </si>
  <si>
    <t>Return on Capital Employed - As per Company</t>
  </si>
  <si>
    <t>Debt Profile</t>
  </si>
  <si>
    <t>Total Debt, Rs. bn</t>
  </si>
  <si>
    <t>RoE</t>
  </si>
  <si>
    <t>Consolidated RoE, %</t>
  </si>
  <si>
    <t>Consolidated RoCE, %</t>
  </si>
  <si>
    <t>Spark O&amp;G Team - Standalone Production Estimate</t>
  </si>
  <si>
    <t>Spark O&amp;G Team - Subsidiaries Production Estimate</t>
  </si>
  <si>
    <t>yoy growth,%</t>
  </si>
  <si>
    <t>Expansion</t>
  </si>
  <si>
    <t>2MT Liquid</t>
  </si>
  <si>
    <t>20MT is multipurpose</t>
  </si>
  <si>
    <t>Added To Which Port?</t>
  </si>
  <si>
    <t>Capacity Addition</t>
  </si>
  <si>
    <t>&lt;-- adjust volumes taking into account: 1) capacity expansion in specifica type of cargo 2) utilisation level</t>
  </si>
  <si>
    <t>16MT Multipurpose</t>
  </si>
  <si>
    <t>FY27</t>
  </si>
  <si>
    <t>ADSEZ</t>
  </si>
  <si>
    <t>FY29</t>
  </si>
  <si>
    <t>RoCE, Adjusted as per JSW Infra</t>
  </si>
  <si>
    <t>Avg Net Worth Without Minority</t>
  </si>
  <si>
    <t xml:space="preserve">RoCE - Consol </t>
  </si>
  <si>
    <t>RoE - without minority</t>
  </si>
  <si>
    <t>Coking Coal &gt;&gt; Coke oven &gt;&gt; Make Coke</t>
  </si>
  <si>
    <t>~15% expected long-term (FY24-30E) cargo growth profile</t>
  </si>
  <si>
    <t>Total JSW Cargo Volumes</t>
  </si>
  <si>
    <r>
      <t>1.</t>
    </r>
    <r>
      <rPr>
        <sz val="9"/>
        <color rgb="FF000000"/>
        <rFont val="Calibri"/>
        <family val="2"/>
        <scheme val="minor"/>
      </rPr>
      <t>JSW Group Cargo growth due to expansion at Steel Plants</t>
    </r>
  </si>
  <si>
    <r>
      <t>2.</t>
    </r>
    <r>
      <rPr>
        <sz val="9"/>
        <color rgb="FF000000"/>
        <rFont val="Calibri"/>
        <family val="2"/>
        <scheme val="minor"/>
      </rPr>
      <t>JSW Group Cargo growth due to addition of new Steel Assets</t>
    </r>
  </si>
  <si>
    <r>
      <t>3.</t>
    </r>
    <r>
      <rPr>
        <sz val="9"/>
        <color rgb="FF000000"/>
        <rFont val="Calibri"/>
        <family val="2"/>
        <scheme val="minor"/>
      </rPr>
      <t>3</t>
    </r>
    <r>
      <rPr>
        <vertAlign val="superscript"/>
        <sz val="9"/>
        <color rgb="FF000000"/>
        <rFont val="Calibri"/>
        <family val="2"/>
        <scheme val="minor"/>
      </rPr>
      <t>rd</t>
    </r>
    <r>
      <rPr>
        <sz val="9"/>
        <color rgb="FF000000"/>
        <rFont val="Calibri"/>
        <family val="2"/>
        <scheme val="minor"/>
      </rPr>
      <t xml:space="preserve"> Party Cargo Growth due to addition of new Port Assets</t>
    </r>
  </si>
  <si>
    <t>Existing Volumes</t>
  </si>
  <si>
    <t>Incremental Volumes</t>
  </si>
  <si>
    <t xml:space="preserve">Consolidated Financial Statements  </t>
  </si>
  <si>
    <t xml:space="preserve">Profit &amp; Loss </t>
  </si>
  <si>
    <t>Gross profit</t>
  </si>
  <si>
    <t>Interest expense</t>
  </si>
  <si>
    <t xml:space="preserve">Exceptional items </t>
  </si>
  <si>
    <t>Reported PAT (after minority interest)</t>
  </si>
  <si>
    <t>Adj PAT</t>
  </si>
  <si>
    <t>EPS (Rs.)</t>
  </si>
  <si>
    <t>Net Worth</t>
  </si>
  <si>
    <t>Total debt</t>
  </si>
  <si>
    <t>Other liabilities and provisions</t>
  </si>
  <si>
    <t>Total Networth and liabilities</t>
  </si>
  <si>
    <t>Gross Fixed assets</t>
  </si>
  <si>
    <t>Net fixed assets</t>
  </si>
  <si>
    <t>Capital work-in-progress</t>
  </si>
  <si>
    <t>Goodwill</t>
  </si>
  <si>
    <t>Loans &amp; advances and other assets</t>
  </si>
  <si>
    <t>Net working capital</t>
  </si>
  <si>
    <t>Total assets</t>
  </si>
  <si>
    <t>Invested Capital (CE - cash - CWIP)</t>
  </si>
  <si>
    <t>Net debt</t>
  </si>
  <si>
    <t xml:space="preserve">Cash Flows </t>
  </si>
  <si>
    <t>Cash flows from Operations (Pre-tax)</t>
  </si>
  <si>
    <t>Cash flows from Operations (post-tax)</t>
  </si>
  <si>
    <t>Capex + Acquisitions</t>
  </si>
  <si>
    <t>Free cashflows (post interest costs)</t>
  </si>
  <si>
    <t>Cash flows from Investing</t>
  </si>
  <si>
    <t>Cash flows from Financing</t>
  </si>
  <si>
    <t>Total cash &amp; liquid investments</t>
  </si>
  <si>
    <t>Key variables (sector specific)</t>
  </si>
  <si>
    <t>Growth ratios</t>
  </si>
  <si>
    <t>Margin ratios</t>
  </si>
  <si>
    <t>Gross</t>
  </si>
  <si>
    <t>Performance ratios</t>
  </si>
  <si>
    <t>Pre-tax OCF/EBITDA (%)</t>
  </si>
  <si>
    <t>OCF/IC (%)</t>
  </si>
  <si>
    <t>RoE (%)</t>
  </si>
  <si>
    <t>RoCE  (%)</t>
  </si>
  <si>
    <t>RoCE (Pre-tax)</t>
  </si>
  <si>
    <t>RoIC (Pre-tax)</t>
  </si>
  <si>
    <t>Fixed asset turnover (x)</t>
  </si>
  <si>
    <t>Total asset turnover (x)</t>
  </si>
  <si>
    <t>Financial stability ratios</t>
  </si>
  <si>
    <t>Net Debt to Equity (x)</t>
  </si>
  <si>
    <t>Net Debt to EBITDA (x)</t>
  </si>
  <si>
    <t>Interest cover (x)</t>
  </si>
  <si>
    <t>Cash conversion days</t>
  </si>
  <si>
    <t>Valuation metrics</t>
  </si>
  <si>
    <t>Fully Diluted Shares (mn)</t>
  </si>
  <si>
    <t>Market cap (Rs.mn)</t>
  </si>
  <si>
    <t>P/E (x)</t>
  </si>
  <si>
    <t>P/OCF(x)</t>
  </si>
  <si>
    <t>EV (Rs.mn)  (ex-CWIP)</t>
  </si>
  <si>
    <t>EV/ EBITDA (x)</t>
  </si>
  <si>
    <t>EV/ OCF(x)</t>
  </si>
  <si>
    <t>FCF Yield (%)</t>
  </si>
  <si>
    <t>Price to BV (x)</t>
  </si>
  <si>
    <t>BV/Share (x)</t>
  </si>
  <si>
    <t>Dividend pay-out (%)</t>
  </si>
  <si>
    <t>Dividend yield (%)</t>
  </si>
  <si>
    <t>Total Share count (Mn)</t>
  </si>
  <si>
    <t>CRYSTAL BALL GAZING</t>
  </si>
  <si>
    <t>Valuation Table</t>
  </si>
  <si>
    <t>Revenues CAGR</t>
  </si>
  <si>
    <t>Business</t>
  </si>
  <si>
    <t>EV/EBITDA Multiple</t>
  </si>
  <si>
    <t>Equity Value (Rs/share)</t>
  </si>
  <si>
    <t>Ports</t>
  </si>
  <si>
    <t>EBITDA CAGR</t>
  </si>
  <si>
    <t>EBITDA margin</t>
  </si>
  <si>
    <t>EPS CAGR</t>
  </si>
  <si>
    <t>Total Asset Turnover (x)</t>
  </si>
  <si>
    <t>Total WC days</t>
  </si>
  <si>
    <t>Upside calculation</t>
  </si>
  <si>
    <t>Entry Price (CMP)</t>
  </si>
  <si>
    <t>Rs/share</t>
  </si>
  <si>
    <t>OCF as a % of IC</t>
  </si>
  <si>
    <t>Target Price</t>
  </si>
  <si>
    <t>Cumulative Dividends</t>
  </si>
  <si>
    <t xml:space="preserve">Total Return </t>
  </si>
  <si>
    <t>Upside/(Downside)</t>
  </si>
  <si>
    <t>RoCE (%)</t>
  </si>
  <si>
    <t>RoIC (%)</t>
  </si>
  <si>
    <t>Average 1 yr fwd</t>
  </si>
  <si>
    <t>&lt;From Bloomberg Crystal Ball Gazing file</t>
  </si>
  <si>
    <t>PE (x)</t>
  </si>
  <si>
    <t>EV/EBITDA (x)</t>
  </si>
  <si>
    <t>PB (x)</t>
  </si>
  <si>
    <t>Peak 1 yr fwd</t>
  </si>
  <si>
    <t>First Page Summary</t>
  </si>
  <si>
    <t>PAT (Rs. Mn)</t>
  </si>
  <si>
    <t>EPS (Rs/share)</t>
  </si>
  <si>
    <t>EV/EBITDA</t>
  </si>
  <si>
    <t>RoE(%)</t>
  </si>
  <si>
    <t>Old</t>
  </si>
  <si>
    <t>New</t>
  </si>
  <si>
    <t>Change (%)</t>
  </si>
  <si>
    <t>Sales</t>
  </si>
  <si>
    <t>EBITDA (%)</t>
  </si>
  <si>
    <t>Method</t>
  </si>
  <si>
    <t>After Results</t>
  </si>
  <si>
    <t>EV/EBITDA 18x</t>
  </si>
  <si>
    <t>Input</t>
  </si>
  <si>
    <t>Item Codes</t>
  </si>
  <si>
    <t>Calculated</t>
  </si>
  <si>
    <t>Actual/Estimate</t>
  </si>
  <si>
    <t>UNITS</t>
  </si>
  <si>
    <t>Months</t>
  </si>
  <si>
    <t>Period Type</t>
  </si>
  <si>
    <t>Annual</t>
  </si>
  <si>
    <t>Year End</t>
  </si>
  <si>
    <t>Year Label</t>
  </si>
  <si>
    <t>EQ_COMPANY_NAME</t>
  </si>
  <si>
    <t>Full Name Of Company</t>
  </si>
  <si>
    <t>&lt;-- Use EQUIDATA</t>
  </si>
  <si>
    <t>COMPANY_SHORT_NAME</t>
  </si>
  <si>
    <t>Short Name For Company</t>
  </si>
  <si>
    <t>EQ_SECTOR_NAME</t>
  </si>
  <si>
    <t>Sector</t>
  </si>
  <si>
    <t>Infrastructure</t>
  </si>
  <si>
    <t>EQ_INDUSTRY_NAME</t>
  </si>
  <si>
    <t>Industry</t>
  </si>
  <si>
    <t>EQ_SUBINDUSTRY_NAME</t>
  </si>
  <si>
    <t>Sub-Industry</t>
  </si>
  <si>
    <t>BB</t>
  </si>
  <si>
    <t>Bloomberg code</t>
  </si>
  <si>
    <t>&lt;-- Analyst to enter</t>
  </si>
  <si>
    <t>RATING</t>
  </si>
  <si>
    <t>Recommendation</t>
  </si>
  <si>
    <t>PRIOR_RATING</t>
  </si>
  <si>
    <t>Prior Rating</t>
  </si>
  <si>
    <t>DATE_RATING_CHG</t>
  </si>
  <si>
    <t>Date of Recommendation Change</t>
  </si>
  <si>
    <t>FREE_FLOAT</t>
  </si>
  <si>
    <t>Free Float</t>
  </si>
  <si>
    <t>CMP</t>
  </si>
  <si>
    <t>Share Price (Rs)</t>
  </si>
  <si>
    <t>EQ_PXDT</t>
  </si>
  <si>
    <t>Price Date</t>
  </si>
  <si>
    <t>PRICE_TARGET</t>
  </si>
  <si>
    <t>Target Price (Rs)</t>
  </si>
  <si>
    <t>SHARES_OS_CUR</t>
  </si>
  <si>
    <t>Current Shares Out (m)</t>
  </si>
  <si>
    <t>mn</t>
  </si>
  <si>
    <t>LAST_REPORT_DATE</t>
  </si>
  <si>
    <t>Last Reported Result Date</t>
  </si>
  <si>
    <t>FISCAL_YEAR_END</t>
  </si>
  <si>
    <t>Fiscal Year End</t>
  </si>
  <si>
    <t>COMPANY_TYPE</t>
  </si>
  <si>
    <t>Consolidated/Standalone</t>
  </si>
  <si>
    <t>BSE_SENSEX</t>
  </si>
  <si>
    <t>BSE Sensex</t>
  </si>
  <si>
    <t>INR CURNCY</t>
  </si>
  <si>
    <t>Exchange rate (Rs:USD)</t>
  </si>
  <si>
    <t>FIFTY_TWO_WEEK_HIGH</t>
  </si>
  <si>
    <t>52-week High</t>
  </si>
  <si>
    <t>FIFTY_TWO_WEEK_LOW</t>
  </si>
  <si>
    <t>52-week Low</t>
  </si>
  <si>
    <t>CURR_MKT_CAP_RS</t>
  </si>
  <si>
    <t>Current Market cap</t>
  </si>
  <si>
    <t>CURR_MKT_CAP_USD</t>
  </si>
  <si>
    <t>Current Market cap USD</t>
  </si>
  <si>
    <t>TABLE1_SCALE</t>
  </si>
  <si>
    <t>Financial Summary (scale)</t>
  </si>
  <si>
    <t>Rs mn</t>
  </si>
  <si>
    <t>TABLE2_SCALE</t>
  </si>
  <si>
    <t>Income Statement (scale)</t>
  </si>
  <si>
    <t>TABLE3_SCALE</t>
  </si>
  <si>
    <t>Balance Sheet (scale)</t>
  </si>
  <si>
    <t>TABLE4_SCALE</t>
  </si>
  <si>
    <t>Cash Flow (scale)</t>
  </si>
  <si>
    <t>TABLE5_SCALE</t>
  </si>
  <si>
    <t>Old vs. New Table (scale)</t>
  </si>
  <si>
    <t>Profit &amp; Loss statement</t>
  </si>
  <si>
    <t>IS_GR_SALES</t>
  </si>
  <si>
    <t>+</t>
  </si>
  <si>
    <t>Gross Sales</t>
  </si>
  <si>
    <t>IS_DUTIES</t>
  </si>
  <si>
    <t>Less: Duties</t>
  </si>
  <si>
    <t>IS_NET_SALES</t>
  </si>
  <si>
    <t>●</t>
  </si>
  <si>
    <t>IS_NET_SALES_USD</t>
  </si>
  <si>
    <t>Net Sales ($)</t>
  </si>
  <si>
    <t>IS_OOP_INC</t>
  </si>
  <si>
    <t>IS_TTL_REV</t>
  </si>
  <si>
    <t>Total Revenue</t>
  </si>
  <si>
    <t>IS_RAW_MATERIALS</t>
  </si>
  <si>
    <t>Raw material expenses</t>
  </si>
  <si>
    <t>IS_DIRECT_EXP</t>
  </si>
  <si>
    <t>Direct /Employee Costs</t>
  </si>
  <si>
    <t>IS_GROSS_PRFT</t>
  </si>
  <si>
    <t>Gross Profit</t>
  </si>
  <si>
    <t>IS_EMPL_EXP</t>
  </si>
  <si>
    <t>Employee Expenses</t>
  </si>
  <si>
    <t>IS_PROM_EXP</t>
  </si>
  <si>
    <t>Promotion Expenses</t>
  </si>
  <si>
    <t>IS_FND_EXP</t>
  </si>
  <si>
    <t>Freight &amp; Distribution Expenses</t>
  </si>
  <si>
    <t>IS_REPAIR_MAIN</t>
  </si>
  <si>
    <t>Repairs &amp; maintenance</t>
  </si>
  <si>
    <t>IS_RENT</t>
  </si>
  <si>
    <t xml:space="preserve">Rent </t>
  </si>
  <si>
    <t>IS_POWER_FUEL</t>
  </si>
  <si>
    <t>IS_RD_EXPENSE</t>
  </si>
  <si>
    <t>R&amp;D Expense</t>
  </si>
  <si>
    <t>IS_PROV</t>
  </si>
  <si>
    <t>Provisions</t>
  </si>
  <si>
    <t>IS_OOP_EXP</t>
  </si>
  <si>
    <t>Other Operating Expenses</t>
  </si>
  <si>
    <t>IS_TTL_EXP</t>
  </si>
  <si>
    <t>Total Operating Expenses</t>
  </si>
  <si>
    <t>IS_DEP</t>
  </si>
  <si>
    <t>IS_AMRT</t>
  </si>
  <si>
    <t>Amortisation</t>
  </si>
  <si>
    <t>IS_TTL_DNA</t>
  </si>
  <si>
    <t>Total D&amp;A</t>
  </si>
  <si>
    <t>IS_EBIT</t>
  </si>
  <si>
    <t>IS_INT_INC</t>
  </si>
  <si>
    <t>IS_INT_EXP</t>
  </si>
  <si>
    <t>Interest Expenses</t>
  </si>
  <si>
    <t>IS_NET_NET</t>
  </si>
  <si>
    <t>Net Interest</t>
  </si>
  <si>
    <t>IS_OTHR_NOP_INC</t>
  </si>
  <si>
    <t>Other Non Operating Income</t>
  </si>
  <si>
    <t>IS_EXCPT_ITEM</t>
  </si>
  <si>
    <t>±</t>
  </si>
  <si>
    <t>Exceptional Items</t>
  </si>
  <si>
    <t>IS_RPBT</t>
  </si>
  <si>
    <t>Reported PBT</t>
  </si>
  <si>
    <t>IS_APBT</t>
  </si>
  <si>
    <t>Adjusted PBT</t>
  </si>
  <si>
    <t>IS_CURR_TAX</t>
  </si>
  <si>
    <t>IS_DEF_TAX</t>
  </si>
  <si>
    <t>IS_OTHR_ADJ</t>
  </si>
  <si>
    <t xml:space="preserve">Other Adjustments </t>
  </si>
  <si>
    <t>IS_TTL_TAX</t>
  </si>
  <si>
    <t>IS_PAT</t>
  </si>
  <si>
    <t>Profit After Tax</t>
  </si>
  <si>
    <t>IS_EXT_ITEM</t>
  </si>
  <si>
    <t>Extra Ordinary Items</t>
  </si>
  <si>
    <t>IS_MIN_INT</t>
  </si>
  <si>
    <t>IS_ASSOCIATES</t>
  </si>
  <si>
    <t>Profit / (Loss) from Associates</t>
  </si>
  <si>
    <t>IS_RPAT</t>
  </si>
  <si>
    <t>Reported PAT after M.I.</t>
  </si>
  <si>
    <t>IS_APAT</t>
  </si>
  <si>
    <t>Adjusted PAT after M.I.</t>
  </si>
  <si>
    <t>IS_DIVIDEND</t>
  </si>
  <si>
    <t>Total dividends</t>
  </si>
  <si>
    <t>NO_SHARES</t>
  </si>
  <si>
    <t>Shares Outstanding (Wt Avg)</t>
  </si>
  <si>
    <t>FD_SH_OUT</t>
  </si>
  <si>
    <t>Fully Diluted Shares Outstanding (Wt Avg)</t>
  </si>
  <si>
    <t>Sources Of Funds</t>
  </si>
  <si>
    <t>Shareholders' Equity</t>
  </si>
  <si>
    <t>BS_SHRE_CAP</t>
  </si>
  <si>
    <t>Paid up Capital</t>
  </si>
  <si>
    <t>BS_EMPL_STCK_OPT</t>
  </si>
  <si>
    <t>Employee Stock Options</t>
  </si>
  <si>
    <t>BS_TTL_RES_SURP</t>
  </si>
  <si>
    <t>BS_TRFR_PL_AC</t>
  </si>
  <si>
    <t>Trfr P&amp;L A/c</t>
  </si>
  <si>
    <t>BS_SH_PREM_RES</t>
  </si>
  <si>
    <t>Share Premium Reserve</t>
  </si>
  <si>
    <t>BS_GEN_RES</t>
  </si>
  <si>
    <t>General Reserve</t>
  </si>
  <si>
    <t>BS_FTA_RES</t>
  </si>
  <si>
    <t>Foreign Transaction Reserve</t>
  </si>
  <si>
    <t>BS_OTHR_RES</t>
  </si>
  <si>
    <t>Other Reserves</t>
  </si>
  <si>
    <t>BS_TTL_SH_EQTY</t>
  </si>
  <si>
    <t>Total Shareholders' Equity / Networth</t>
  </si>
  <si>
    <t>BS_MIN_INT</t>
  </si>
  <si>
    <t>BS_TTL_SH_EQTY_MINT</t>
  </si>
  <si>
    <t>Total Shareholders' Equity After MI</t>
  </si>
  <si>
    <t>BS_TTL_BORROW</t>
  </si>
  <si>
    <t>Total Borrowings</t>
  </si>
  <si>
    <t>BS_LTD</t>
  </si>
  <si>
    <t>BS_STD</t>
  </si>
  <si>
    <t>BS_LEASE_LIB</t>
  </si>
  <si>
    <t>Lease Liability</t>
  </si>
  <si>
    <t>BS_DEF_TAX_LIAB</t>
  </si>
  <si>
    <t>Deferred Tax Liability</t>
  </si>
  <si>
    <t>BS_LT_PROV</t>
  </si>
  <si>
    <t>Long Term Provisions</t>
  </si>
  <si>
    <t>BS_OTHER_LT_LIAB</t>
  </si>
  <si>
    <t>BS_TTL_LIAB</t>
  </si>
  <si>
    <t>BS_GFA</t>
  </si>
  <si>
    <t>Gross Block</t>
  </si>
  <si>
    <t>BS_DEP</t>
  </si>
  <si>
    <t>Less: Depreciation</t>
  </si>
  <si>
    <t>BS_NFA</t>
  </si>
  <si>
    <t>Net Block</t>
  </si>
  <si>
    <t>BS_WIP</t>
  </si>
  <si>
    <t>Add: Work in Progress</t>
  </si>
  <si>
    <t>BS_NFA_WIP</t>
  </si>
  <si>
    <t>Net Fixed Assets</t>
  </si>
  <si>
    <t>BS_ROU_ASSETS</t>
  </si>
  <si>
    <t>ROU Assets</t>
  </si>
  <si>
    <t>BS_TTL_INT_ASSETS</t>
  </si>
  <si>
    <t>Total Intangible Assets</t>
  </si>
  <si>
    <t>BS_GOODWILL</t>
  </si>
  <si>
    <t>BS_OTHR_INTANG</t>
  </si>
  <si>
    <t>Other intangibles</t>
  </si>
  <si>
    <t>BS_TTL_INV</t>
  </si>
  <si>
    <t>Total Investments</t>
  </si>
  <si>
    <t>BS_NONCURR_INV</t>
  </si>
  <si>
    <t>Non-Current Investments</t>
  </si>
  <si>
    <t>BS_CURR_INV</t>
  </si>
  <si>
    <t>BS_LT_LOANS_ADV</t>
  </si>
  <si>
    <t>LT Loans &amp; Advances</t>
  </si>
  <si>
    <t>BS_OTHR_NC_ASSETS</t>
  </si>
  <si>
    <t>Other NC Assets</t>
  </si>
  <si>
    <t>BS_NCA</t>
  </si>
  <si>
    <t>BS_INVENTORIES</t>
  </si>
  <si>
    <t>BS_SUN_DEBTORS</t>
  </si>
  <si>
    <t>Sundry Debtors</t>
  </si>
  <si>
    <t>BS_CASH</t>
  </si>
  <si>
    <t>Cash &amp; Bank Balances</t>
  </si>
  <si>
    <t>BS_OTHR_CURR_ASSETS</t>
  </si>
  <si>
    <t>Other Current Assets</t>
  </si>
  <si>
    <t>BS_ST_LOANS_ADV</t>
  </si>
  <si>
    <t>ST Loans &amp; Advances</t>
  </si>
  <si>
    <t>BS_TTL_CURR_ASSETS</t>
  </si>
  <si>
    <t>BS_PAYABLES</t>
  </si>
  <si>
    <t>Trade Payables</t>
  </si>
  <si>
    <t>BS_OTHR_CURR_LIAB</t>
  </si>
  <si>
    <t>Other Current Liabilities</t>
  </si>
  <si>
    <t>BS_PROVISIONS</t>
  </si>
  <si>
    <t>BS_TTL_CURR_LIAB</t>
  </si>
  <si>
    <t>Deferred Tax Assets</t>
  </si>
  <si>
    <t>BS_MISC_EXP</t>
  </si>
  <si>
    <t>Miscellaneous Expenses</t>
  </si>
  <si>
    <t>BS_TTL_ASSETS</t>
  </si>
  <si>
    <t>Balance Sheet Check</t>
  </si>
  <si>
    <t>Cash Flow Statement</t>
  </si>
  <si>
    <t>CF_CFO_BFR_WC_CHG</t>
  </si>
  <si>
    <t>CFO before WC changes</t>
  </si>
  <si>
    <t>CF_INV_CHG</t>
  </si>
  <si>
    <t>Inventory changes</t>
  </si>
  <si>
    <t>CF_DEBT_CHG</t>
  </si>
  <si>
    <t>Debtor changes</t>
  </si>
  <si>
    <t>CF_PAY_CHG</t>
  </si>
  <si>
    <t>Payable changes</t>
  </si>
  <si>
    <t>CF_OTHR_CHG</t>
  </si>
  <si>
    <t>Other WC changes</t>
  </si>
  <si>
    <t>CF_WC_CH</t>
  </si>
  <si>
    <t>Working Capital Changes</t>
  </si>
  <si>
    <t>CF_CFO_AFTR_WC</t>
  </si>
  <si>
    <t>CFO after WC changes</t>
  </si>
  <si>
    <t>CF_TAX_PAID</t>
  </si>
  <si>
    <t>input</t>
  </si>
  <si>
    <t>Tax Paid</t>
  </si>
  <si>
    <t>CF_OTHR_CFO</t>
  </si>
  <si>
    <t>Other CFO</t>
  </si>
  <si>
    <t>CF_OPERATIONS</t>
  </si>
  <si>
    <t>Cashflow from Operations</t>
  </si>
  <si>
    <t>CF_GROSS_CAPEX</t>
  </si>
  <si>
    <t>Gross Block Addtion</t>
  </si>
  <si>
    <t>CF_SOA</t>
  </si>
  <si>
    <t>Sale of fixed assets</t>
  </si>
  <si>
    <t>CF_CAPEX</t>
  </si>
  <si>
    <t>Net Capital Exp</t>
  </si>
  <si>
    <t>CF_FCF</t>
  </si>
  <si>
    <t>Free Cash Flow</t>
  </si>
  <si>
    <t>CF_OTHR_CFI</t>
  </si>
  <si>
    <t>Other CFI</t>
  </si>
  <si>
    <t>CF_INVESTING</t>
  </si>
  <si>
    <t>Cashflow from Investing</t>
  </si>
  <si>
    <t>CF_EQTY_RAISE_REPAID</t>
  </si>
  <si>
    <t>Equity Raised / Repaid</t>
  </si>
  <si>
    <t>CF_DEBT_RAISE_REPAID</t>
  </si>
  <si>
    <t>Debt Raised / Repaid</t>
  </si>
  <si>
    <t>CF_DIV_PAID</t>
  </si>
  <si>
    <t>CF_INT_PD_BORROW</t>
  </si>
  <si>
    <t>Interest Paid on borrowings</t>
  </si>
  <si>
    <t>CF_INT_PD_LEASE_LIAB</t>
  </si>
  <si>
    <t>Interest Paid on lease liabilities</t>
  </si>
  <si>
    <t>CF_REPAY_LEASE_LIAB</t>
  </si>
  <si>
    <t>Repayment of lease liabilities</t>
  </si>
  <si>
    <t>CF_OTHR_CFF</t>
  </si>
  <si>
    <t>Other OCF</t>
  </si>
  <si>
    <t>CF_FINANCING</t>
  </si>
  <si>
    <t>Cashflow from Financing</t>
  </si>
  <si>
    <t>CF_FX_CHG</t>
  </si>
  <si>
    <t>FX changes</t>
  </si>
  <si>
    <t>CF_NET_CHG_CASH</t>
  </si>
  <si>
    <t>Net Change in Cash</t>
  </si>
  <si>
    <t>CF_START_CASH</t>
  </si>
  <si>
    <t>Cash at the Start of the Year</t>
  </si>
  <si>
    <t>CF_END_CASH</t>
  </si>
  <si>
    <t>Cash at the End of the Year</t>
  </si>
  <si>
    <t>Cash Check</t>
  </si>
  <si>
    <t>Ratios, Magins &amp; Growth</t>
  </si>
  <si>
    <t>Per share Data</t>
  </si>
  <si>
    <t xml:space="preserve">Reported EPS </t>
  </si>
  <si>
    <t>NEPS</t>
  </si>
  <si>
    <t>Normalised EPS</t>
  </si>
  <si>
    <t>CEPS</t>
  </si>
  <si>
    <t>CASH EPS</t>
  </si>
  <si>
    <t>DIVIDEND PER SHARE</t>
  </si>
  <si>
    <t>BPS</t>
  </si>
  <si>
    <t>Book Value per Share</t>
  </si>
  <si>
    <t>Margins</t>
  </si>
  <si>
    <t>GROSS_MRGN</t>
  </si>
  <si>
    <t>Gross Margins</t>
  </si>
  <si>
    <t>EBITDA_MRGN</t>
  </si>
  <si>
    <t>EBITDA Margins</t>
  </si>
  <si>
    <t>EBIT_MRGN</t>
  </si>
  <si>
    <t>EBIT Margins</t>
  </si>
  <si>
    <t>PBT_MRGN</t>
  </si>
  <si>
    <t>PBT Margins</t>
  </si>
  <si>
    <t>PAT_MRGN</t>
  </si>
  <si>
    <t>PAT Margins</t>
  </si>
  <si>
    <t>TAX_RATE</t>
  </si>
  <si>
    <t>Effective Tax Rate</t>
  </si>
  <si>
    <t>RATIO_DIV_PAY</t>
  </si>
  <si>
    <t>Dividend Pay out %</t>
  </si>
  <si>
    <t>Profitablity Ratios</t>
  </si>
  <si>
    <t>RATIO_ROCE</t>
  </si>
  <si>
    <t>ROCE%</t>
  </si>
  <si>
    <t>RATIO_ROCE_PBT</t>
  </si>
  <si>
    <t>RATIO_ROE</t>
  </si>
  <si>
    <t>ROE%</t>
  </si>
  <si>
    <t>RATIO_ASST_TURN</t>
  </si>
  <si>
    <t>Asset Turnover</t>
  </si>
  <si>
    <t>RATIO_LVERAGE</t>
  </si>
  <si>
    <t xml:space="preserve">Leverage </t>
  </si>
  <si>
    <t>RATIO_ROIC</t>
  </si>
  <si>
    <t xml:space="preserve">ROIC </t>
  </si>
  <si>
    <t>Y-o-Y Change (%)</t>
  </si>
  <si>
    <t>REV_CHG</t>
  </si>
  <si>
    <t>EBITDA_CHG</t>
  </si>
  <si>
    <t>APAT_CHG</t>
  </si>
  <si>
    <t xml:space="preserve">Adj. PAT </t>
  </si>
  <si>
    <t>Valuation Metrics</t>
  </si>
  <si>
    <t>CMP_YE</t>
  </si>
  <si>
    <t>MKT_CAP_YE</t>
  </si>
  <si>
    <t>Market Cap</t>
  </si>
  <si>
    <t>NET_DEBT</t>
  </si>
  <si>
    <t>CAP_EMP</t>
  </si>
  <si>
    <t>INV_CAP</t>
  </si>
  <si>
    <t>P_E</t>
  </si>
  <si>
    <t>P_SALES</t>
  </si>
  <si>
    <t>P/Sales (x)</t>
  </si>
  <si>
    <t>EV_EBITDA</t>
  </si>
  <si>
    <t>EV_OCF</t>
  </si>
  <si>
    <t>FCF_YIELD</t>
  </si>
  <si>
    <t>FCF Yield</t>
  </si>
  <si>
    <t>P_BV</t>
  </si>
  <si>
    <t>DIV_YIELD</t>
  </si>
  <si>
    <t>RATIO_ND_EQTY</t>
  </si>
  <si>
    <t>RATIO_ND_EBITDA</t>
  </si>
  <si>
    <t>RATIO_INT_COV</t>
  </si>
  <si>
    <t>INVENTORY_DAYS</t>
  </si>
  <si>
    <t>Inventory days</t>
  </si>
  <si>
    <t>DEBTOR_DAYS</t>
  </si>
  <si>
    <t>Receivable days</t>
  </si>
  <si>
    <t>PAYABLE_DAYS</t>
  </si>
  <si>
    <t>Payable days</t>
  </si>
  <si>
    <t>CASH_CON_DAYS</t>
  </si>
  <si>
    <t>Cash conversion cycle</t>
  </si>
  <si>
    <t>TTL_WC_DAYS</t>
  </si>
  <si>
    <t>Total Working capital days</t>
  </si>
  <si>
    <t>PBT_OCF_EBITDA</t>
  </si>
  <si>
    <t>Pre-tax OCF/EBITDA</t>
  </si>
  <si>
    <t>RATIO_OCF_IC</t>
  </si>
  <si>
    <t>RATIO_NFA_TURN</t>
  </si>
  <si>
    <t>RATIO_TA_TURN</t>
  </si>
  <si>
    <t>Company Specific Ratios</t>
  </si>
  <si>
    <t>COMPANY_KEY_1</t>
  </si>
  <si>
    <t>Assumption 1</t>
  </si>
  <si>
    <t>COMPANY_KEY_2</t>
  </si>
  <si>
    <t>Assumption 2</t>
  </si>
  <si>
    <t>COMPANY_KEY_3</t>
  </si>
  <si>
    <t>Assumption 3</t>
  </si>
  <si>
    <t>COMPANY_KEY_4</t>
  </si>
  <si>
    <t>Assumption 4</t>
  </si>
  <si>
    <t>COMPANY_KEY_5</t>
  </si>
  <si>
    <t>Assumption 5</t>
  </si>
  <si>
    <t>COMPANY_KEY_6</t>
  </si>
  <si>
    <t>Assumption 6</t>
  </si>
  <si>
    <t>COMPANY_KEY_7</t>
  </si>
  <si>
    <t>Assumption 7</t>
  </si>
  <si>
    <t>COMPANY_KEY_8</t>
  </si>
  <si>
    <t>Assumption 8</t>
  </si>
  <si>
    <t>COMPANY_KEY_9</t>
  </si>
  <si>
    <t>Assumption 9</t>
  </si>
  <si>
    <t>COMPANY_KEY_10</t>
  </si>
  <si>
    <t>Assumption 10</t>
  </si>
  <si>
    <t>COMPANY_KEY_11</t>
  </si>
  <si>
    <t>Assumption 11</t>
  </si>
  <si>
    <t>COMPANY_KEY_12</t>
  </si>
  <si>
    <t>Assumption 12</t>
  </si>
  <si>
    <t>COMPANY_KEY_13</t>
  </si>
  <si>
    <t>Assumption 13</t>
  </si>
  <si>
    <t>COMPANY_KEY_14</t>
  </si>
  <si>
    <t>Assumption 14</t>
  </si>
  <si>
    <t>COMPANY_KEY_15</t>
  </si>
  <si>
    <t>Assumption 15</t>
  </si>
  <si>
    <t>COMPANY_KEY_16</t>
  </si>
  <si>
    <t>Assumption 16</t>
  </si>
  <si>
    <t>COMPANY_KEY_17</t>
  </si>
  <si>
    <t>Assumption 17</t>
  </si>
  <si>
    <t>COMPANY_KEY_18</t>
  </si>
  <si>
    <t>Assumption 18</t>
  </si>
  <si>
    <t>COMPANY_KEY_19</t>
  </si>
  <si>
    <t>Assumption 19</t>
  </si>
  <si>
    <t>COMPANY_KEY_20</t>
  </si>
  <si>
    <t>Assumption 20</t>
  </si>
  <si>
    <t>COMPANY_KEY_21</t>
  </si>
  <si>
    <t>Assumption 21</t>
  </si>
  <si>
    <t>COMPANY_KEY_22</t>
  </si>
  <si>
    <t>Assumption 22</t>
  </si>
  <si>
    <t>COMPANY_KEY_23</t>
  </si>
  <si>
    <t>Assumption 23</t>
  </si>
  <si>
    <t>COMPANY_KEY_24</t>
  </si>
  <si>
    <t>Assumption 24</t>
  </si>
  <si>
    <t>COMPANY_KEY_25</t>
  </si>
  <si>
    <t>Assumption 25</t>
  </si>
  <si>
    <t>COMPANY_KEY_26</t>
  </si>
  <si>
    <t>Assumption 26</t>
  </si>
  <si>
    <t>COMPANY_KEY_27</t>
  </si>
  <si>
    <t>Assumption 27</t>
  </si>
  <si>
    <t>COMPANY_KEY_28</t>
  </si>
  <si>
    <t>Assumption 28</t>
  </si>
  <si>
    <t>COMPANY_KEY_29</t>
  </si>
  <si>
    <t>Assumption 29</t>
  </si>
  <si>
    <t>COMPANY_KEY_30</t>
  </si>
  <si>
    <t>Assumption 30</t>
  </si>
  <si>
    <t>COMPANY_KEY_31</t>
  </si>
  <si>
    <t>Assumption 31</t>
  </si>
  <si>
    <t>COMPANY_KEY_32</t>
  </si>
  <si>
    <t>Assumption 32</t>
  </si>
  <si>
    <t>COMPANY_KEY_33</t>
  </si>
  <si>
    <t>Assumption 33</t>
  </si>
  <si>
    <t>COMPANY_KEY_34</t>
  </si>
  <si>
    <t>Assumption 34</t>
  </si>
  <si>
    <t>COMPANY_KEY_35</t>
  </si>
  <si>
    <t>Assumption 35</t>
  </si>
  <si>
    <t>COMPANY_KEY_36</t>
  </si>
  <si>
    <t>Assumption 36</t>
  </si>
  <si>
    <t>COMPANY_KEY_37</t>
  </si>
  <si>
    <t>Assumption 37</t>
  </si>
  <si>
    <t>COMPANY_KEY_38</t>
  </si>
  <si>
    <t>Assumption 38</t>
  </si>
  <si>
    <t>COMPANY_KEY_39</t>
  </si>
  <si>
    <t>Assumption 39</t>
  </si>
  <si>
    <t>COMPANY_KEY_40</t>
  </si>
  <si>
    <t>Assumption 40</t>
  </si>
  <si>
    <t>COMPANY_KEY_41</t>
  </si>
  <si>
    <t>COMPANY_KEY_42</t>
  </si>
  <si>
    <t>COMPANY_KEY_43</t>
  </si>
  <si>
    <t>COMPANY_KEY_44</t>
  </si>
  <si>
    <t>COMPANY_KEY_45</t>
  </si>
  <si>
    <t>COMPANY_KEY_46</t>
  </si>
  <si>
    <t>COMPANY_KEY_47</t>
  </si>
  <si>
    <t>COMPANY_KEY_48</t>
  </si>
  <si>
    <t>Assumption 48</t>
  </si>
  <si>
    <t>COMPANY_KEY_49</t>
  </si>
  <si>
    <t>Assumption 49</t>
  </si>
  <si>
    <t>COMPANY_KEY_50</t>
  </si>
  <si>
    <t>Target Multiple</t>
  </si>
  <si>
    <t>JSWINFRA IN EQUITY</t>
  </si>
  <si>
    <t>Capacity - Portwise, MT</t>
  </si>
  <si>
    <t xml:space="preserve">Cargo Potential for </t>
  </si>
  <si>
    <t>&lt;---change in formula from other stocks</t>
  </si>
  <si>
    <t>D, V, O - production</t>
  </si>
  <si>
    <t>FY14- 30</t>
  </si>
  <si>
    <t>Total JSW</t>
  </si>
  <si>
    <t>GPPV</t>
  </si>
  <si>
    <t xml:space="preserve">Source: </t>
  </si>
  <si>
    <t>Production (V/D/O)</t>
  </si>
  <si>
    <t>Utilisation</t>
  </si>
  <si>
    <t>Total JSW production</t>
  </si>
  <si>
    <t>Raw Material Requirement for Vijaynagar, Dolvi and Odisha, FY26</t>
  </si>
  <si>
    <t>Utilisation, %</t>
  </si>
  <si>
    <t>Revenue growth</t>
  </si>
  <si>
    <t>EBITDA Margin</t>
  </si>
  <si>
    <t>RoIC,% (Pre tax)</t>
  </si>
  <si>
    <t>v</t>
  </si>
  <si>
    <t>Port Capacity Additions every year, MT</t>
  </si>
  <si>
    <t>Total Capacity, MT</t>
  </si>
  <si>
    <t>Total Raw material</t>
  </si>
  <si>
    <t>Difference to adjust</t>
  </si>
  <si>
    <t>For charts</t>
  </si>
  <si>
    <t>Capex, Rs. bn</t>
  </si>
  <si>
    <t>Total Debt, Rs.bn</t>
  </si>
  <si>
    <t>Reported RoCE, %</t>
  </si>
  <si>
    <t>RoIC (Pre-Tax), %</t>
  </si>
  <si>
    <t>JSW Infra - Du-Pont Analysis</t>
  </si>
  <si>
    <t>Revenues</t>
  </si>
  <si>
    <t>PAT margin</t>
  </si>
  <si>
    <t>Assets Turnover</t>
  </si>
  <si>
    <t>RoA</t>
  </si>
  <si>
    <t>Leverage</t>
  </si>
  <si>
    <t>JSW Infra Capacity Utilisation,%</t>
  </si>
  <si>
    <t>Return Metrics</t>
  </si>
  <si>
    <t>Concession Years Left</t>
  </si>
  <si>
    <t>Reported RoCE</t>
  </si>
  <si>
    <t>Reported RoIC</t>
  </si>
  <si>
    <t>Adani Ports</t>
  </si>
  <si>
    <t>Market Share, Capacity</t>
  </si>
  <si>
    <t>Market Share, Volume</t>
  </si>
  <si>
    <t>India Capacity</t>
  </si>
  <si>
    <t>India Volumes</t>
  </si>
  <si>
    <t>Gujarat Pipavav</t>
  </si>
  <si>
    <t>Concession Period left, Years</t>
  </si>
  <si>
    <t>Potential Domestic Asset</t>
  </si>
  <si>
    <t>Qtr Preview</t>
  </si>
  <si>
    <t>Rs. /MT</t>
  </si>
  <si>
    <t>JSW Infrastructure</t>
  </si>
  <si>
    <t>yoy,%</t>
  </si>
  <si>
    <t>qoq,%</t>
  </si>
  <si>
    <t>yoy, %</t>
  </si>
  <si>
    <t>Port wise Volumes - mn tonnes</t>
  </si>
  <si>
    <t>Current Qtr</t>
  </si>
  <si>
    <t>Yoy</t>
  </si>
  <si>
    <t>Qoq</t>
  </si>
  <si>
    <t>&lt;&lt;&lt; Input here</t>
  </si>
  <si>
    <t>Prv Year</t>
  </si>
  <si>
    <t>Currnt Year</t>
  </si>
  <si>
    <t>1QFY26</t>
  </si>
  <si>
    <t>2QFY26</t>
  </si>
  <si>
    <t>3QFY26</t>
  </si>
  <si>
    <t>4QFY26</t>
  </si>
  <si>
    <t xml:space="preserve">Actual </t>
  </si>
  <si>
    <t>Spark's Estimate</t>
  </si>
  <si>
    <t>QoQ growth</t>
  </si>
  <si>
    <t>YoY growth</t>
  </si>
  <si>
    <t>Revenues (Rs.mn)</t>
  </si>
  <si>
    <t>EBITDA (Rs. mn)</t>
  </si>
  <si>
    <t>JSW Infrastructure - Consolidated</t>
  </si>
  <si>
    <t>PAT after Minority (Rs. mn)</t>
  </si>
  <si>
    <t>Financial Metrics</t>
  </si>
  <si>
    <t>Operating Metrics</t>
  </si>
  <si>
    <t>Cargo (MT)</t>
  </si>
  <si>
    <t>Revenue per tonne (Rs./tn)</t>
  </si>
  <si>
    <t>EBITDA per tonne (Rs. /tn)</t>
  </si>
  <si>
    <t>Code 2</t>
  </si>
  <si>
    <t>Final Code</t>
  </si>
  <si>
    <t>Code 1</t>
  </si>
  <si>
    <t>- Bharani, Avendus Spark</t>
  </si>
  <si>
    <t>Consolidated Financial Results</t>
  </si>
  <si>
    <t>Rs. mn \ Period</t>
  </si>
  <si>
    <t>YoY Growth</t>
  </si>
  <si>
    <t>YoY</t>
  </si>
  <si>
    <t>Income from Operations</t>
  </si>
  <si>
    <t>Total Expenditures</t>
  </si>
  <si>
    <t>EBITDA, %</t>
  </si>
  <si>
    <t>Taxes</t>
  </si>
  <si>
    <t>Minority</t>
  </si>
  <si>
    <t>EPS (in Rs.)</t>
  </si>
  <si>
    <t>QoQ</t>
  </si>
  <si>
    <t>Exceptional/Prior Period Items</t>
  </si>
  <si>
    <t>JSW Mangalore Container Terminal Private Ltd</t>
  </si>
  <si>
    <t>PNP Maritime Services Pvt Ltd</t>
  </si>
  <si>
    <t>Navkar Corporation Ltd</t>
  </si>
  <si>
    <t>Add: Associates share/Discontinued Ops</t>
  </si>
  <si>
    <t>Trade receivables</t>
  </si>
  <si>
    <t>Third Party Cargo Mix,  %</t>
  </si>
  <si>
    <t>JSW Infrastructure Cargo Volumes by Port</t>
  </si>
  <si>
    <t>EPS Growth</t>
  </si>
  <si>
    <t>NM</t>
  </si>
  <si>
    <t>P&amp;L</t>
  </si>
  <si>
    <t>EBITDA Margin (%)</t>
  </si>
  <si>
    <t xml:space="preserve">Total Non-Operating Income (Expenses) </t>
  </si>
  <si>
    <t xml:space="preserve">Interest Income </t>
  </si>
  <si>
    <t>Other Non-operating Income (Expense)</t>
  </si>
  <si>
    <t>Profit Before Taxes</t>
  </si>
  <si>
    <t>Income Tax Expense (Gain)</t>
  </si>
  <si>
    <t>Tax Rate (%)</t>
  </si>
  <si>
    <t>Net Income Before MI, Associates &amp; Extraordinaries</t>
  </si>
  <si>
    <t>BS</t>
  </si>
  <si>
    <t>Cash and Cash Equivalents</t>
  </si>
  <si>
    <t>Accounts Receivable</t>
  </si>
  <si>
    <t>Inventory</t>
  </si>
  <si>
    <t>Loans and Advances</t>
  </si>
  <si>
    <t>Total Other Current Assets</t>
  </si>
  <si>
    <t>Gross Fixed Assets</t>
  </si>
  <si>
    <t>Accumulated Depreciation</t>
  </si>
  <si>
    <t>Construction in Progress</t>
  </si>
  <si>
    <t>Acquisition/(Divestures)</t>
  </si>
  <si>
    <t>Other Long Term Assets</t>
  </si>
  <si>
    <t>Long Term Investments and Associates</t>
  </si>
  <si>
    <t>Total Long Term Assets</t>
  </si>
  <si>
    <t>Non-Cash Working Capital (Excl. Debt) - Already forecast at quarterly level</t>
  </si>
  <si>
    <t>ST Debt and Current Portion of LT Debt</t>
  </si>
  <si>
    <t>Accounts Payable</t>
  </si>
  <si>
    <t>Long Term Debt</t>
  </si>
  <si>
    <t>Other Long Term Liabilities</t>
  </si>
  <si>
    <t>Total Long Term Liabilities</t>
  </si>
  <si>
    <t>Total Equity</t>
  </si>
  <si>
    <t>Total Liabilities and Equity</t>
  </si>
  <si>
    <t>Promoters</t>
  </si>
  <si>
    <t>FII</t>
  </si>
  <si>
    <t>DII</t>
  </si>
  <si>
    <t>Public</t>
  </si>
  <si>
    <t>Promoter</t>
  </si>
  <si>
    <t>Institutions</t>
  </si>
  <si>
    <t>Mar'24</t>
  </si>
  <si>
    <t>Jun'24</t>
  </si>
  <si>
    <t>Sep'24</t>
  </si>
  <si>
    <t>Navkar</t>
  </si>
  <si>
    <t>Acquisitions</t>
  </si>
  <si>
    <t>&lt;&lt; Repaid in FY29</t>
  </si>
  <si>
    <t>Project</t>
  </si>
  <si>
    <t>Loan</t>
  </si>
  <si>
    <t>Interest Project Wise</t>
  </si>
  <si>
    <t>Interest for new project debt</t>
  </si>
  <si>
    <t>Interest for Indian opening Debt</t>
  </si>
  <si>
    <t>&lt;&lt; check annually</t>
  </si>
  <si>
    <t>Q4FY24</t>
  </si>
  <si>
    <t>Q4FY25</t>
  </si>
  <si>
    <t>Q1FY25</t>
  </si>
  <si>
    <t>Q2FY25</t>
  </si>
  <si>
    <t>Q3FY25</t>
  </si>
  <si>
    <t>Q1FY26</t>
  </si>
  <si>
    <t>Q2FY26</t>
  </si>
  <si>
    <t>Q3FY26</t>
  </si>
  <si>
    <t>Volume</t>
  </si>
  <si>
    <t>JSW Market Share</t>
  </si>
  <si>
    <t>Logistics</t>
  </si>
  <si>
    <t>Segment - Revenue</t>
  </si>
  <si>
    <t>Segment - EBITDA</t>
  </si>
  <si>
    <t>Total EBITDA</t>
  </si>
  <si>
    <t>Receivables</t>
  </si>
  <si>
    <t>Payables</t>
  </si>
  <si>
    <t>Working Capital Days</t>
  </si>
  <si>
    <t>JSW Infra Equity investment</t>
  </si>
  <si>
    <t>Port wise volumes- mn tonnes</t>
  </si>
  <si>
    <t>Segment Revenue (Rs. Mn)</t>
  </si>
  <si>
    <t>Segment EBITDA (Rs. Mn)</t>
  </si>
  <si>
    <t>All fig in INRmn</t>
  </si>
  <si>
    <t>Revenue from operations</t>
  </si>
  <si>
    <t>% of sales</t>
  </si>
  <si>
    <t>D&amp;A</t>
  </si>
  <si>
    <t>Other income</t>
  </si>
  <si>
    <t>Finance costs</t>
  </si>
  <si>
    <t>Recurring PAT</t>
  </si>
  <si>
    <t>Basic</t>
  </si>
  <si>
    <t>Capacity (mnt)</t>
  </si>
  <si>
    <t>Capacity Mix (%)</t>
  </si>
  <si>
    <t>Volume Mix (%)</t>
  </si>
  <si>
    <t>CU (%)</t>
  </si>
  <si>
    <t>Draft (mtrs)</t>
  </si>
  <si>
    <t>Dharamtar Port 2012</t>
  </si>
  <si>
    <t>Paradip Coal Exports Terminal 2021</t>
  </si>
  <si>
    <t>Paradip Iron Ore Terminal 2016</t>
  </si>
  <si>
    <t>Enmore Bulk Acquisition 2020</t>
  </si>
  <si>
    <t>Mangalore Coal Acquisition 2020</t>
  </si>
  <si>
    <t>Mangalore Container 2022</t>
  </si>
  <si>
    <t xml:space="preserve">Others </t>
  </si>
  <si>
    <t>Enmore Coal Acquisition 2020</t>
  </si>
  <si>
    <t>Volume (mnt, FY24)</t>
  </si>
  <si>
    <t>Port/Year of commissioning or Acquisition</t>
  </si>
  <si>
    <t>Jaigarh Port 2010</t>
  </si>
  <si>
    <t>Loaction (State); in mnt pa</t>
  </si>
  <si>
    <t>Dolvi (Maharashtra)</t>
  </si>
  <si>
    <t>Vijaynagar (Karnataka)</t>
  </si>
  <si>
    <t>BPSL (Odisha)</t>
  </si>
  <si>
    <t>Salem (Tamil Nadu)</t>
  </si>
  <si>
    <t>Future Plans</t>
  </si>
  <si>
    <t xml:space="preserve">Total </t>
  </si>
  <si>
    <t>JSW Steel Data</t>
  </si>
  <si>
    <t>28
(FY 2024)</t>
  </si>
  <si>
    <t>Southwest Mormugao Port - 2002</t>
  </si>
  <si>
    <t>Commodity Mix</t>
  </si>
  <si>
    <t>3rd Party Volume</t>
  </si>
  <si>
    <t>Group Customer volume</t>
  </si>
  <si>
    <t>INR mn</t>
  </si>
  <si>
    <t>Gross Debt</t>
  </si>
  <si>
    <t>Cash and cash equivalents</t>
  </si>
  <si>
    <t>EBITDA (excl OI)</t>
  </si>
  <si>
    <t>other income</t>
  </si>
  <si>
    <t>EBITDA (including Other income)</t>
  </si>
  <si>
    <t>Current net debt/EBITDA</t>
  </si>
  <si>
    <t>Max net debt/EBITDA</t>
  </si>
  <si>
    <t>Net Debt (max)</t>
  </si>
  <si>
    <t>Scope for Incremental borrowing (max)</t>
  </si>
  <si>
    <t>Net sales</t>
  </si>
  <si>
    <t>Total volume</t>
  </si>
  <si>
    <t>Realisation</t>
  </si>
  <si>
    <t>Operational costs</t>
  </si>
  <si>
    <t>% of net sales</t>
  </si>
  <si>
    <t>Employees</t>
  </si>
  <si>
    <t>Other Exp</t>
  </si>
  <si>
    <t>Total expenses</t>
  </si>
  <si>
    <t>EBITDA/t</t>
  </si>
  <si>
    <t>Depreciation and Amortisations</t>
  </si>
  <si>
    <t>% of gross block</t>
  </si>
  <si>
    <t>Interest exp (net of int inc/forex chg)</t>
  </si>
  <si>
    <t>EBT</t>
  </si>
  <si>
    <t>Tax rate</t>
  </si>
  <si>
    <t>Share of minority interest</t>
  </si>
  <si>
    <t>Consolidated Reported PAT</t>
  </si>
  <si>
    <t xml:space="preserve">Adjusted PAT </t>
  </si>
  <si>
    <t>Rs mn.</t>
  </si>
  <si>
    <t>Capital Work in Progress</t>
  </si>
  <si>
    <t>Invested Capital (CE- cash-CWIP)</t>
  </si>
  <si>
    <t>% Margin</t>
  </si>
  <si>
    <t>FY20-24</t>
  </si>
  <si>
    <t>FY24-26E</t>
  </si>
  <si>
    <t>FY22-24</t>
  </si>
  <si>
    <t>Particulars</t>
  </si>
  <si>
    <t>Growth</t>
  </si>
  <si>
    <t xml:space="preserve">Source: MCA </t>
  </si>
  <si>
    <t>Acquisition value</t>
  </si>
  <si>
    <t>Enterprise Value</t>
  </si>
  <si>
    <t>Share Value (100%)</t>
  </si>
  <si>
    <t>Acquisition Value (50% stake)</t>
  </si>
  <si>
    <t>Source: Company</t>
  </si>
  <si>
    <t>South West</t>
  </si>
  <si>
    <t>FY 24 Capacity (mnt)</t>
  </si>
  <si>
    <t>East Coast</t>
  </si>
  <si>
    <t>West Coast</t>
  </si>
  <si>
    <t>FY20-FY25</t>
  </si>
  <si>
    <t>FY29E EBITDA (Rs. bn)</t>
  </si>
  <si>
    <t>ADD</t>
  </si>
  <si>
    <t>Capacity (TEUs)</t>
  </si>
  <si>
    <t>L1/L2</t>
  </si>
  <si>
    <t>Duration</t>
  </si>
  <si>
    <t>30 years</t>
  </si>
  <si>
    <t>Reconstruction of Berth 8, mechanisation of 7 and 8 by installing rail mounted quay crane in Kolkata Port</t>
  </si>
  <si>
    <t>Royalty L1 Bid - JSW Infra Rs./TEU</t>
  </si>
  <si>
    <t>Royalty L2 Bid - Adani Ports Rs./TEU</t>
  </si>
  <si>
    <t>Investment Rs. mn</t>
  </si>
  <si>
    <t>Revenue from Logistics</t>
  </si>
  <si>
    <t>Total - Port Revenue</t>
  </si>
  <si>
    <t>FY25-30E</t>
  </si>
  <si>
    <t>FY21-FY25</t>
  </si>
  <si>
    <t>FY26-FY30</t>
  </si>
  <si>
    <t>18 months from LoI and 6 months to sign concession</t>
  </si>
  <si>
    <t>Kolkata Container Terminal</t>
  </si>
  <si>
    <t>Impact</t>
  </si>
  <si>
    <t>Forex Gain of 743mn</t>
  </si>
  <si>
    <t>Reasons for PAT fall in FY26</t>
  </si>
  <si>
    <t>Reasons for PAT fall in FY27</t>
  </si>
  <si>
    <t>Interest payment of commissioned capacity to kick in - Jaigarh LNG, Tuticorin</t>
  </si>
  <si>
    <t>Lower EBITDA margin due to logistics and terminals</t>
  </si>
  <si>
    <t>Lower tax rate in FY25</t>
  </si>
  <si>
    <t>Cumulative FY26-30E</t>
  </si>
  <si>
    <t>&lt;&lt; Discount it till end of FY26E till 3Q and FY27 from 4Q</t>
  </si>
  <si>
    <t>Balance Sheet Metrics</t>
  </si>
  <si>
    <t>CFO post Tax</t>
  </si>
  <si>
    <t>Investment in PPE</t>
  </si>
  <si>
    <t>Trade Recevables</t>
  </si>
  <si>
    <t>Total Working Capital</t>
  </si>
  <si>
    <t>Trade Recevables Days</t>
  </si>
  <si>
    <t>Trade Payables Days</t>
  </si>
  <si>
    <t>Total Working Capital Days</t>
  </si>
  <si>
    <t>1HFY25</t>
  </si>
  <si>
    <t>1HFY26</t>
  </si>
  <si>
    <t>-Growth, %</t>
  </si>
  <si>
    <t>Code For Balance Sheet Metrics</t>
  </si>
  <si>
    <t>CAPEX</t>
  </si>
  <si>
    <t>Growth,yoy</t>
  </si>
  <si>
    <t>- Cargo Volumes for 3QFY26 came in at 32MT (up by 8% yoy). Cargo Volumes for 9MFY26 came in at 90MT (up by 6% yoy)</t>
  </si>
  <si>
    <t>- Revenue per tonne for 3QFY26 came in at Rs. 367/tn (up by 2% yoy). Revenue per tonne for 9MFY26 came in at Rs. 373/tn (up by 3% yoy)</t>
  </si>
  <si>
    <t>- EBITDA per tonne for 3QFY26 came in at Rs. 193/tn (down by -3% yoy). EBITDA per tonne for 9MFY26 came in at Rs. 204/tn (up by 7% yoy)</t>
  </si>
  <si>
    <t xml:space="preserve">- Third party cargo mix came in at 50% in 3QFY26 vs 49% in 3QFY25 and 46% in 2QFY26. </t>
  </si>
  <si>
    <t>- Consolidated Revenue for 3QFY26 came in at Rs. 13497mn (up by 14% yoy). Consolidated Revenue for 9MFY26 came in at Rs. 38391mn (up by 20% yoy)</t>
  </si>
  <si>
    <t>- Consolidated EBITDA for 3QFY26 came in at Rs. 6437mn (up by 10% yoy). Consolidated EBITDA for 9MFY26 came in at Rs. 18345mn (up by 13% yoy)</t>
  </si>
  <si>
    <t xml:space="preserve">- Consolidated EBITDA margin came in at 48% in 3QFY26 vs 50% in 3QFY25 and 48% in 2QFY26. </t>
  </si>
  <si>
    <t>- Consolidated PAT for 3QFY26 came in at Rs. 3591mn (up by 9% yoy). Consolidated PAT for 9MFY26 came in at Rs. 11050mn (up by 11% yoy)</t>
  </si>
  <si>
    <t>Logistics - Consolidated</t>
  </si>
  <si>
    <t>No of Rakes (LSFTO)</t>
  </si>
  <si>
    <t>Revenue/Rake</t>
  </si>
  <si>
    <t>JSW (South) Rail Logistics (JSRL)</t>
  </si>
  <si>
    <t>JSW Minerals Rail Logistics Pvt Ltd (JMRL)</t>
  </si>
  <si>
    <t>JSW Rail Infra Logistics Pvt Ltd (JRIL)</t>
  </si>
  <si>
    <t>Domestic Volume ('000 Metric Tonnes)</t>
  </si>
  <si>
    <t>ICD ('000 TEUs)</t>
  </si>
  <si>
    <t>CFS ('000 TEUs)</t>
  </si>
  <si>
    <t>EXIM Volumes (ICD + CFS) ('000 TEUs)</t>
  </si>
  <si>
    <t>Guidance</t>
  </si>
  <si>
    <t>Management set a full-year revenue target of INR 700 to INR 800 crores for the entire logistics segment and an EBITDA target of at least INR 100 crores specifically for Navkar</t>
  </si>
  <si>
    <t>Management maintained its FY2026 EBITDA guidance of INR 100 crores for Navkar</t>
  </si>
  <si>
    <t>Logistics EBITDA in FY27 to be 450 to 500 crore (160 crore by Navkar)</t>
  </si>
  <si>
    <t>ICD Volume</t>
  </si>
  <si>
    <t>CFS Volume</t>
  </si>
  <si>
    <t>Total Volume ('000 TEUS)</t>
  </si>
  <si>
    <t>Avg Realisation Rs. /TEU</t>
  </si>
  <si>
    <t>Total Volume (ICD + CFS) ('000 TEUs)</t>
  </si>
  <si>
    <t>Acquisition of Railway business</t>
  </si>
  <si>
    <t>EV (Rs. mn)</t>
  </si>
  <si>
    <t>Debt (Rs. mn)</t>
  </si>
  <si>
    <t>Equity (Rs. mn)</t>
  </si>
  <si>
    <t>Spark</t>
  </si>
  <si>
    <t xml:space="preserve">Depreciation </t>
  </si>
  <si>
    <t>Consensus</t>
  </si>
  <si>
    <t>PAT Margin</t>
  </si>
  <si>
    <t>ROCE (%) - Pre tax</t>
  </si>
  <si>
    <t>A</t>
  </si>
  <si>
    <t>Quarterly</t>
  </si>
  <si>
    <t>Realisations, Rs.mn/MT</t>
  </si>
  <si>
    <t>Dharmtar</t>
  </si>
  <si>
    <t>Total Cargo handled</t>
  </si>
  <si>
    <t>JSW Infra Cargo handled, MT</t>
  </si>
  <si>
    <t>Group</t>
  </si>
  <si>
    <t>JSW Infra Revenue, Rs. bn</t>
  </si>
  <si>
    <t>JSW Infra Revenue Mix</t>
  </si>
  <si>
    <t>JSW Infra EBITDA, Rs. bn</t>
  </si>
  <si>
    <t>Consol EBITDA Margin,%</t>
  </si>
  <si>
    <t>JSW Infra EBITDA Mix</t>
  </si>
  <si>
    <t>Growth, yoy%</t>
  </si>
  <si>
    <t>JSW Infra Cargo - Portwise, MT</t>
  </si>
  <si>
    <t>Adani</t>
  </si>
  <si>
    <t>JSWIL</t>
  </si>
  <si>
    <t>DP World</t>
  </si>
  <si>
    <t>PSA</t>
  </si>
  <si>
    <t>JM Baxi</t>
  </si>
  <si>
    <t>APM Terminals</t>
  </si>
  <si>
    <t>9MFY25</t>
  </si>
  <si>
    <t>9MFY26</t>
  </si>
  <si>
    <t>Group Customer Volume Trend - CAGR of 15% in FY21-25</t>
  </si>
  <si>
    <t>Revenues (Rs. crs)</t>
  </si>
  <si>
    <t>Company</t>
  </si>
  <si>
    <t>Revenues Growth YoY (%)</t>
  </si>
  <si>
    <t>EBITDA (Rs.crs)</t>
  </si>
  <si>
    <t>EBITDA growth YoY(%)</t>
  </si>
  <si>
    <t>FY25-28 CAGR</t>
  </si>
  <si>
    <t>Take or Pay</t>
  </si>
  <si>
    <t xml:space="preserve">Revenue - 1120crs </t>
  </si>
  <si>
    <t>EBITDA - 820crs</t>
  </si>
  <si>
    <t>Cargo - 18MT</t>
  </si>
  <si>
    <t>Tax rate?</t>
  </si>
  <si>
    <t>No of Rakes (GPWIS)</t>
  </si>
  <si>
    <t>Port assets realisation and margin - Murbe and Oman</t>
  </si>
  <si>
    <t>Cargo of all ports</t>
  </si>
  <si>
    <t>Reported RoE</t>
  </si>
  <si>
    <t>Container rakes any target?</t>
  </si>
  <si>
    <t>Oman Port</t>
  </si>
  <si>
    <t>FX hedging fully done?</t>
  </si>
  <si>
    <t>&lt;&lt; Can go to 70% in FY29</t>
  </si>
  <si>
    <t>21MT</t>
  </si>
  <si>
    <t>1st year</t>
  </si>
  <si>
    <t>24MT</t>
  </si>
  <si>
    <t>2nd year</t>
  </si>
  <si>
    <t>3$ EBITDA</t>
  </si>
  <si>
    <t>65% margin</t>
  </si>
  <si>
    <t>COD</t>
  </si>
  <si>
    <t>CY29</t>
  </si>
  <si>
    <t>No royalty sharing</t>
  </si>
  <si>
    <t>JSW Infra 51%</t>
  </si>
  <si>
    <t>49% by MDO - Oman Investment Authority</t>
  </si>
  <si>
    <t>Minority interest</t>
  </si>
  <si>
    <t>Under Review</t>
  </si>
  <si>
    <t>Subject to CP, but agreement is signed</t>
  </si>
  <si>
    <t>3 years consturction period</t>
  </si>
  <si>
    <t>Approvals are already done</t>
  </si>
  <si>
    <t>Opencast mining</t>
  </si>
  <si>
    <t>Dolomite and Gypsum, other bulk</t>
  </si>
  <si>
    <t>Exports</t>
  </si>
  <si>
    <t>MDO is the miner</t>
  </si>
  <si>
    <t>Multipurpose</t>
  </si>
  <si>
    <t>Phase - 1 Bulk port</t>
  </si>
  <si>
    <t>EBITDA 65-70%</t>
  </si>
  <si>
    <t>Start raming up in FY30, 10MT in Year 1</t>
  </si>
  <si>
    <t>EC approval ispending</t>
  </si>
  <si>
    <t>3 years construction - excluding approvals</t>
  </si>
  <si>
    <t>Realisation at 600, blended realisation</t>
  </si>
  <si>
    <t xml:space="preserve">Vijayanagar steel </t>
  </si>
  <si>
    <t>13MT goes to Krishnapatnam can move to Keni; Coal + Iron ore</t>
  </si>
  <si>
    <t>Finished goods in domestic use</t>
  </si>
  <si>
    <t>Local industries, and exploring liquid</t>
  </si>
  <si>
    <t>Cargo is not a big problem</t>
  </si>
  <si>
    <t>65-70% margin</t>
  </si>
  <si>
    <t>Container port</t>
  </si>
  <si>
    <t>6-7MT in first year</t>
  </si>
  <si>
    <t>then ramp in 2-3 year</t>
  </si>
  <si>
    <t>JNPT is full, so by 2030 cargo growth will increase</t>
  </si>
  <si>
    <t>Growth cargo cant go to JNPT, and hence murbe will benefit</t>
  </si>
  <si>
    <t>10-11km of rail line to be built connecting to DFC</t>
  </si>
  <si>
    <t>7000Rs./TEU</t>
  </si>
  <si>
    <t>2mn TEUs</t>
  </si>
  <si>
    <t>Can do coal and container</t>
  </si>
  <si>
    <t>600Rs./tonne</t>
  </si>
  <si>
    <t>As per current numbers</t>
  </si>
  <si>
    <t>100-120</t>
  </si>
  <si>
    <t>100-</t>
  </si>
  <si>
    <t>Titagarh given order</t>
  </si>
  <si>
    <t xml:space="preserve">Long dollars; revenue is greater than </t>
  </si>
  <si>
    <t>RSR policy leading to increase in volumes</t>
  </si>
  <si>
    <t>Getting coal cargo</t>
  </si>
  <si>
    <t>otherside of dolvi</t>
  </si>
  <si>
    <t>8MT</t>
  </si>
  <si>
    <t>eventually going to dolvi - third party</t>
  </si>
  <si>
    <t>FY26-30E</t>
  </si>
  <si>
    <t>FY26-28E</t>
  </si>
  <si>
    <t>GPWIS</t>
  </si>
  <si>
    <t>10% rebate from railways</t>
  </si>
  <si>
    <t>~15% premium over railways tariff from customer</t>
  </si>
  <si>
    <t>LSFTO</t>
  </si>
  <si>
    <t>Received 115% Tariff from Customer (100% tariff + 15% premium)</t>
  </si>
  <si>
    <t>Tariff paid to railways by JSW (100% tariff - 12% rebate)</t>
  </si>
  <si>
    <t>Consolidated Revenue - by Segment</t>
  </si>
  <si>
    <t>Consolidated EBITDA - by Segment</t>
  </si>
  <si>
    <t>Reported Net Debt/EBITDA (x)</t>
  </si>
  <si>
    <t>Reported Net Debt/EBITDA</t>
  </si>
  <si>
    <t>Consolidated CAPEX - by Segment</t>
  </si>
  <si>
    <t>Ports Revenue/ Ports Cargo</t>
  </si>
  <si>
    <t>Margin</t>
  </si>
  <si>
    <t>West Bengal</t>
  </si>
  <si>
    <t>India</t>
  </si>
  <si>
    <t>Q4FY26</t>
  </si>
  <si>
    <t>FY27E-30E</t>
  </si>
  <si>
    <t>JSW Rail Logistics</t>
  </si>
  <si>
    <t>Total Logistics EBITDA</t>
  </si>
  <si>
    <t>Logistics EBITDA, Rs. bn</t>
  </si>
  <si>
    <t>Terminals</t>
  </si>
  <si>
    <t>Upcoming MMLPs/ICDs</t>
  </si>
  <si>
    <t>&lt;&lt; Change to 45</t>
  </si>
  <si>
    <t>CAPEX per Terminal</t>
  </si>
  <si>
    <t>Total CAPEX</t>
  </si>
  <si>
    <t>Addition</t>
  </si>
  <si>
    <t>Asset turn</t>
  </si>
  <si>
    <t>Upcoming Terminals</t>
  </si>
  <si>
    <t>Ports EBITDA/ Ports Cargo</t>
  </si>
  <si>
    <t>Logistics Revenue, Rs. bn</t>
  </si>
  <si>
    <t>Logistics Revenue Split, %</t>
  </si>
  <si>
    <t>Logistics EBITDA Split, %</t>
  </si>
  <si>
    <t>Logistics margin, Rs. bn</t>
  </si>
  <si>
    <t>Logistics Margin, %</t>
  </si>
  <si>
    <t>Domestic Port</t>
  </si>
  <si>
    <t>Domestic Terminals</t>
  </si>
  <si>
    <t>Cargo mix</t>
  </si>
  <si>
    <t>JSW Port Logistics Standalone</t>
  </si>
  <si>
    <t>RoCE</t>
  </si>
  <si>
    <t>Avg Capital Employed</t>
  </si>
  <si>
    <t>RoIC (pre tax)</t>
  </si>
  <si>
    <t>12M</t>
  </si>
  <si>
    <t>Consolidated Revenue for 12MFY26 came in at Rs. 53614mn (up by 20% yoy)</t>
  </si>
  <si>
    <t>- Consolidated PAT for 4QFY26 came in at Rs. 4183mn (down by -18% yoy). Consolidated PAT for 12MFY26 came in at Rs. 15233mn (up by 1% yoy)</t>
  </si>
  <si>
    <t>As per guidance</t>
  </si>
  <si>
    <t>FY24-26</t>
  </si>
  <si>
    <t>FY26-28</t>
  </si>
  <si>
    <t>FY25-FY30E</t>
  </si>
  <si>
    <t>JSW Tuticorin Multipurpose Terminal Limited</t>
  </si>
  <si>
    <t>JSW Keni Port Pvt Ltd</t>
  </si>
  <si>
    <t>JSW Murbe Port Pvt Ltd</t>
  </si>
  <si>
    <t>Utilisations</t>
  </si>
  <si>
    <t>Implied Capacity</t>
  </si>
  <si>
    <t>EXIM ('000 TEUs)</t>
  </si>
  <si>
    <t>Total Volumes Derived</t>
  </si>
  <si>
    <t>Implied Capacity MMT</t>
  </si>
  <si>
    <t>Domestic ('000 Metric tonnes)</t>
  </si>
  <si>
    <t>EXIM Volumes ('000 Metric tonne) - Calculated</t>
  </si>
  <si>
    <t>Domestic Volumes ('000 Metric tonne) - Reported</t>
  </si>
  <si>
    <t>OR</t>
  </si>
  <si>
    <t>12MFY25</t>
  </si>
  <si>
    <t>12MFY26</t>
  </si>
  <si>
    <t>Total Exp.</t>
  </si>
  <si>
    <t>No. of Shares</t>
  </si>
  <si>
    <t>EXIM Volumes</t>
  </si>
  <si>
    <t>Domestic Volumes</t>
  </si>
  <si>
    <t>Operational Data</t>
  </si>
  <si>
    <t>P&amp;L Statement</t>
  </si>
  <si>
    <t>Financial Results</t>
  </si>
  <si>
    <t>&lt;&lt;Annual nos. are punched in please check&gt;&gt;</t>
  </si>
  <si>
    <t>Utilisation % *</t>
  </si>
  <si>
    <t>Segmental Results, Rs. mn</t>
  </si>
  <si>
    <t>Land lease</t>
  </si>
  <si>
    <t>Oil traders, Fuel operators and commodity trading companies</t>
  </si>
  <si>
    <t>15 tanks</t>
  </si>
  <si>
    <t>Maharashtra, Gujarat</t>
  </si>
  <si>
    <t xml:space="preserve">oil importers/refiners, POL &amp; petroleum product handlers </t>
  </si>
  <si>
    <t>19 pipelines of varying diameters, 6 Marine Loading Arms, From tank farms, onward evacuation to hinterland is via road tankers and rail through the JNPA logistics network</t>
  </si>
  <si>
    <t>Primarily Tamil Nadu, and Kerala, Karnataka, Andhra Pradesh connected via state and NHs</t>
  </si>
  <si>
    <t>TANGEDCO, NTPL, Cement manufacturers, Fertiliser &amp; chemical companies</t>
  </si>
  <si>
    <t>Rail — VOC Port owns and operates a 17.6 km internal railway network connecting berths to the broader Indian Railways broad-gauge network, Road — Connected to National Highways and State Highways serving Tamil Nadu, Kerala, Karnataka, and Andhra Pradesh., Conveyor system (direct) — A Link Conveyor system connects the Tuticorin Thermal Power Station's conveyor to the port's coal yard, discharging over 1,500 TPH of bulk cargo directly to the adjacent power plant.</t>
  </si>
  <si>
    <t>Odisha, Jagatsinghpur district — home to JSW Utkal Steel's , Nuagaon iron ore mines (Jajang, Odisha)</t>
  </si>
  <si>
    <t>Slurry Pipeline, Connected to National Highway NH-16, Rail: Howrah–Chennai main line</t>
  </si>
  <si>
    <t>Southern &amp; Western Maharashtra, Northern &amp; Central Karnataka</t>
  </si>
  <si>
    <t>JSW Steel, JSW Energy</t>
  </si>
  <si>
    <t>Connected to NH-66 (Mumbai–Goa highway) at Nivali via SH-106 (42 km four-laned highway), Jaigarh Digni Rail Line — 33.7 km new railway corridor connecting Jaigarh Port to Digni station on the Konkan Railway network</t>
  </si>
  <si>
    <t xml:space="preserve">Dolvi, Maharashtra; Kalmeshwar, Maharashtra; Mumbai &amp; Raigad industrial belt </t>
  </si>
  <si>
    <t>JSW Steel, JSW Cement</t>
  </si>
  <si>
    <t>Direct conveyor to Dolvi Steel Plant, Mini Bulk Carriers, Connected to NH-66 (Mumbai–Goa); located 80 km south of Mumbai, 135 km from Pune, Just 2 km from Pen railway station on the Mumbai–Goa rail route</t>
  </si>
  <si>
    <t>18 MTPA take-or-pay; full capacity 30 MTPA</t>
  </si>
  <si>
    <t xml:space="preserve">JSW group, MIDC </t>
  </si>
  <si>
    <t>Road: NH-8 (Mumbai–Ahmedabad national highway); Rail: Located near Delhi-Mumbai trunk rail route and the Dedicated Western Freight Corridor (DWFC)</t>
  </si>
  <si>
    <t>Total Logistics</t>
  </si>
  <si>
    <t>eastern India, Nepal, Bhutan, and the northeastern states</t>
  </si>
  <si>
    <t>Garment &amp; textile exporters ,Engineering goods manufacturers</t>
  </si>
  <si>
    <t>Rail: NSD is directly connected to Indian Railways' Howrah–Chennai trunk line and the Eastern Railway network, Road: Connected to NH-12 and Kolkata's arterial road network; proximity to NH-19 (Golden Quadrilateral) for road-based evacuation</t>
  </si>
  <si>
    <t>SMPKA, Kolkata</t>
  </si>
  <si>
    <t>EBIT (Post-tax)</t>
  </si>
  <si>
    <t>Rs. bn</t>
  </si>
  <si>
    <t>Avg. Capital Employed</t>
  </si>
  <si>
    <t>Avg. Networth</t>
  </si>
  <si>
    <t>ROE</t>
  </si>
  <si>
    <t>Kolkata Container Terminal - 2</t>
  </si>
  <si>
    <t>Rs. 4,678/TEU</t>
  </si>
  <si>
    <t>Rs. 3,701/TEU</t>
  </si>
  <si>
    <t>Royalty L2 Bid - Ripley and Co Rs./TEU</t>
  </si>
  <si>
    <t>Phase 1 Capacity</t>
  </si>
  <si>
    <t>Phase 1 COD</t>
  </si>
  <si>
    <t>Jan'29</t>
  </si>
  <si>
    <t>Phase 2 Capacity</t>
  </si>
  <si>
    <t>Phase 2 COD</t>
  </si>
  <si>
    <t>Jul'31</t>
  </si>
  <si>
    <t>Existing 5 berths, currently running under Adani on an O&amp;M basis</t>
  </si>
  <si>
    <t>Constructing 2 new outer containers handling berths</t>
  </si>
  <si>
    <t>EXIM container</t>
  </si>
  <si>
    <t>Domestic container</t>
  </si>
  <si>
    <t>Current Tariff - Rs./TEU</t>
  </si>
  <si>
    <t>&lt;&lt; Rate to be fixed by Port Authority</t>
  </si>
  <si>
    <t>https://infra.economictimes.indiatimes.com/news/ports-shipping/jsw-infra-emerges-as-highest-bidder-for-outer-container-terminal-five-nsd-berths-at-kolkata-port/131247541</t>
  </si>
  <si>
    <t>Deployment of Rail-Mounted Quay Cranes (RMQCs) at OT-1 and OT-2 and Mobile Harbour Cranes (MHCs) at berths 2, 3, 4 and 5 at NSD</t>
  </si>
  <si>
    <t>Capacity (Phase 1 and 2), MTPA</t>
  </si>
  <si>
    <t>Kolkata Container Terminal 2</t>
  </si>
  <si>
    <t xml:space="preserve">  </t>
  </si>
  <si>
    <t>1QFY27</t>
  </si>
  <si>
    <t>1QFY27E</t>
  </si>
  <si>
    <t>2QFY27</t>
  </si>
  <si>
    <t>3QFY27</t>
  </si>
  <si>
    <t>4QFY27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</si>
</sst>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_(* #,##0.00_);_(* \(#,##0.00\);_(* &quot;-&quot;??_);_(@_)"/>
    <numFmt numFmtId="165" formatCode="_ * #,##0.00_ ;_ * \-#,##0.00_ ;_ * &quot;-&quot;??_ ;_ @_ "/>
    <numFmt numFmtId="166" formatCode="_(* #,##0_);_(* \(#,##0\);_(* &quot;-&quot;??_);_(@_)"/>
    <numFmt numFmtId="167" formatCode="0.0%"/>
    <numFmt numFmtId="168" formatCode="#,##0.0_);\(#,##0.0\)"/>
    <numFmt numFmtId="169" formatCode="[$-409]d\-mmm\-yyyy;@"/>
    <numFmt numFmtId="170" formatCode="#,##0.000_);\(#,##0.000\)"/>
    <numFmt numFmtId="171" formatCode="0_);\(0\)"/>
    <numFmt numFmtId="172" formatCode="_(* #,##0.0_);_(* \(#,##0.0\);_(* &quot;-&quot;??_);_(@_)"/>
    <numFmt numFmtId="173" formatCode="[$-409]mmm\-yy;@"/>
    <numFmt numFmtId="174" formatCode="[$-409]h:mm:ss\ AM/PM"/>
    <numFmt numFmtId="175" formatCode="0\x"/>
    <numFmt numFmtId="176" formatCode="0.0"/>
    <numFmt numFmtId="177" formatCode="0;[Red]0"/>
    <numFmt numFmtId="178" formatCode="mmm/yyyy"/>
    <numFmt numFmtId="179" formatCode="[$-409]d/mmm;@"/>
    <numFmt numFmtId="180" formatCode="[$-409]d/mmm/yy;@"/>
    <numFmt numFmtId="181" formatCode="#,##0.0"/>
    <numFmt numFmtId="182" formatCode="#,##0.0000"/>
    <numFmt numFmtId="183" formatCode="#,##0.0;\-#,##0.0"/>
    <numFmt numFmtId="184" formatCode="0.000%"/>
    <numFmt numFmtId="185" formatCode="_(* #,##0.0_);_(* \(#,##0.0\);_(* &quot;-&quot;?_);_(@_)"/>
    <numFmt numFmtId="186" formatCode="_ [$₹-44D]\ * #,##0.00_ ;_ [$₹-44D]\ * \-#,##0.00_ ;_ [$₹-44D]\ * &quot;-&quot;??_ ;_ @_ "/>
    <numFmt numFmtId="187" formatCode="#,##0;\(#,##0\)"/>
  </numFmts>
  <fonts count="107" x14ac:knownFonts="1">
    <font>
      <sz val="11"/>
      <color theme="1"/>
      <name val="Calibri"/>
      <family val="2"/>
      <scheme val="minor"/>
    </font>
    <font>
      <sz val="11"/>
      <color theme="1"/>
      <name val="Calibri"/>
      <family val="2"/>
      <scheme val="minor"/>
    </font>
    <font>
      <sz val="10"/>
      <color theme="1"/>
      <name val="Arial"/>
      <family val="2"/>
    </font>
    <font>
      <b/>
      <sz val="10"/>
      <color theme="1"/>
      <name val="Arial"/>
      <family val="2"/>
    </font>
    <font>
      <b/>
      <sz val="9"/>
      <color theme="1"/>
      <name val="Arial"/>
      <family val="2"/>
    </font>
    <font>
      <sz val="9"/>
      <color theme="1"/>
      <name val="Arial"/>
      <family val="2"/>
    </font>
    <font>
      <i/>
      <sz val="9"/>
      <color rgb="FFFF0000"/>
      <name val="Arial"/>
      <family val="2"/>
    </font>
    <font>
      <sz val="9"/>
      <color rgb="FFFF0000"/>
      <name val="Arial"/>
      <family val="2"/>
    </font>
    <font>
      <b/>
      <sz val="9"/>
      <color indexed="81"/>
      <name val="Tahoma"/>
      <family val="2"/>
    </font>
    <font>
      <sz val="9"/>
      <color indexed="81"/>
      <name val="Tahoma"/>
      <family val="2"/>
    </font>
    <font>
      <b/>
      <sz val="9"/>
      <color theme="0"/>
      <name val="Arial"/>
      <family val="2"/>
    </font>
    <font>
      <sz val="9"/>
      <color theme="0"/>
      <name val="Arial"/>
      <family val="2"/>
    </font>
    <font>
      <b/>
      <sz val="9"/>
      <name val="Arial"/>
      <family val="2"/>
    </font>
    <font>
      <i/>
      <sz val="9"/>
      <color theme="1"/>
      <name val="Arial"/>
      <family val="2"/>
    </font>
    <font>
      <sz val="10"/>
      <name val="Arial"/>
      <family val="2"/>
    </font>
    <font>
      <b/>
      <i/>
      <sz val="9"/>
      <color rgb="FFFF0000"/>
      <name val="Arial"/>
      <family val="2"/>
    </font>
    <font>
      <b/>
      <sz val="9"/>
      <color rgb="FFFF0000"/>
      <name val="Arial"/>
      <family val="2"/>
    </font>
    <font>
      <sz val="9"/>
      <color rgb="FF0000FF"/>
      <name val="Arial"/>
      <family val="2"/>
    </font>
    <font>
      <u/>
      <sz val="11"/>
      <color theme="10"/>
      <name val="Calibri"/>
      <family val="2"/>
      <scheme val="minor"/>
    </font>
    <font>
      <b/>
      <sz val="9"/>
      <color rgb="FF0000FF"/>
      <name val="Arial"/>
      <family val="2"/>
    </font>
    <font>
      <i/>
      <sz val="9"/>
      <color rgb="FF0000FF"/>
      <name val="Arial"/>
      <family val="2"/>
    </font>
    <font>
      <sz val="9"/>
      <name val="Arial"/>
      <family val="2"/>
    </font>
    <font>
      <b/>
      <i/>
      <sz val="9"/>
      <color rgb="FF0000FF"/>
      <name val="Arial"/>
      <family val="2"/>
    </font>
    <font>
      <sz val="10"/>
      <name val="Book Antiqua"/>
      <family val="1"/>
    </font>
    <font>
      <sz val="8"/>
      <name val="Calibri"/>
      <family val="2"/>
      <scheme val="minor"/>
    </font>
    <font>
      <b/>
      <sz val="9"/>
      <color theme="0"/>
      <name val="Calibri"/>
      <family val="2"/>
      <scheme val="minor"/>
    </font>
    <font>
      <sz val="9"/>
      <color theme="1"/>
      <name val="Calibri"/>
      <family val="2"/>
      <scheme val="minor"/>
    </font>
    <font>
      <b/>
      <sz val="11"/>
      <color theme="1"/>
      <name val="Calibri"/>
      <family val="2"/>
      <scheme val="minor"/>
    </font>
    <font>
      <b/>
      <sz val="10"/>
      <color rgb="FF000000"/>
      <name val="Tahoma"/>
      <family val="2"/>
    </font>
    <font>
      <sz val="10"/>
      <color rgb="FF000000"/>
      <name val="Tahoma"/>
      <family val="2"/>
    </font>
    <font>
      <b/>
      <i/>
      <sz val="9"/>
      <color theme="1"/>
      <name val="Arial"/>
      <family val="2"/>
    </font>
    <font>
      <b/>
      <sz val="9"/>
      <color theme="1"/>
      <name val="Calibri"/>
      <family val="2"/>
      <scheme val="minor"/>
    </font>
    <font>
      <b/>
      <sz val="9"/>
      <color theme="4"/>
      <name val="Calibri"/>
      <family val="2"/>
      <scheme val="minor"/>
    </font>
    <font>
      <i/>
      <sz val="9"/>
      <color rgb="FFFF0000"/>
      <name val="Calibri"/>
      <family val="2"/>
      <scheme val="minor"/>
    </font>
    <font>
      <sz val="9"/>
      <color theme="1"/>
      <name val="Calibri"/>
      <family val="2"/>
    </font>
    <font>
      <b/>
      <sz val="9"/>
      <color theme="1"/>
      <name val="Calibri"/>
      <family val="2"/>
    </font>
    <font>
      <b/>
      <sz val="9"/>
      <color theme="0"/>
      <name val="Calibri"/>
      <family val="2"/>
    </font>
    <font>
      <b/>
      <sz val="11"/>
      <color theme="0"/>
      <name val="Calibri"/>
      <family val="2"/>
      <scheme val="minor"/>
    </font>
    <font>
      <b/>
      <sz val="9"/>
      <color theme="4"/>
      <name val="Calibri"/>
      <family val="2"/>
    </font>
    <font>
      <sz val="9"/>
      <color rgb="FFFFFFFF"/>
      <name val="Calibri"/>
      <family val="2"/>
      <scheme val="minor"/>
    </font>
    <font>
      <sz val="9"/>
      <name val="Calibri"/>
      <family val="2"/>
      <scheme val="minor"/>
    </font>
    <font>
      <sz val="9"/>
      <color rgb="FF000000"/>
      <name val="Calibri"/>
      <family val="2"/>
      <scheme val="minor"/>
    </font>
    <font>
      <vertAlign val="superscript"/>
      <sz val="9"/>
      <color rgb="FF000000"/>
      <name val="Calibri"/>
      <family val="2"/>
      <scheme val="minor"/>
    </font>
    <font>
      <b/>
      <sz val="9"/>
      <color rgb="FF000000"/>
      <name val="Calibri"/>
      <family val="2"/>
      <scheme val="minor"/>
    </font>
    <font>
      <b/>
      <sz val="9"/>
      <name val="Calibri"/>
      <family val="2"/>
      <scheme val="minor"/>
    </font>
    <font>
      <b/>
      <sz val="9"/>
      <color rgb="FFF2F2F2"/>
      <name val="Calibri"/>
      <family val="2"/>
      <scheme val="minor"/>
    </font>
    <font>
      <b/>
      <sz val="9"/>
      <color rgb="FFFFFFFF"/>
      <name val="Calibri"/>
      <family val="2"/>
      <scheme val="minor"/>
    </font>
    <font>
      <sz val="11"/>
      <color indexed="8"/>
      <name val="Arial"/>
      <family val="2"/>
    </font>
    <font>
      <sz val="11"/>
      <color indexed="63"/>
      <name val="Calibri"/>
      <family val="2"/>
    </font>
    <font>
      <i/>
      <sz val="9"/>
      <name val="Calibri"/>
      <family val="2"/>
      <scheme val="minor"/>
    </font>
    <font>
      <sz val="10"/>
      <name val="Trebuchet MS"/>
      <family val="2"/>
    </font>
    <font>
      <sz val="9"/>
      <color theme="0"/>
      <name val="Calibri"/>
      <family val="2"/>
      <scheme val="minor"/>
    </font>
    <font>
      <b/>
      <sz val="8"/>
      <color rgb="FFFFFFFF"/>
      <name val="Calibri"/>
      <family val="2"/>
    </font>
    <font>
      <b/>
      <sz val="9"/>
      <color rgb="FFFFFFFF"/>
      <name val="Calibri"/>
      <family val="2"/>
    </font>
    <font>
      <sz val="8"/>
      <color rgb="FF000000"/>
      <name val="Calibri"/>
      <family val="2"/>
    </font>
    <font>
      <sz val="9"/>
      <color rgb="FF000000"/>
      <name val="Calibri"/>
      <family val="2"/>
    </font>
    <font>
      <b/>
      <sz val="8"/>
      <color rgb="FF000000"/>
      <name val="Calibri"/>
      <family val="2"/>
    </font>
    <font>
      <sz val="9"/>
      <color rgb="FFFF0000"/>
      <name val="Calibri"/>
      <family val="2"/>
      <scheme val="minor"/>
    </font>
    <font>
      <sz val="10"/>
      <name val="Calibri"/>
      <family val="2"/>
      <scheme val="minor"/>
    </font>
    <font>
      <sz val="11"/>
      <color indexed="8"/>
      <name val="Calibri"/>
      <family val="2"/>
    </font>
    <font>
      <sz val="8"/>
      <name val="Arial"/>
      <family val="2"/>
    </font>
    <font>
      <b/>
      <sz val="10"/>
      <name val="Calibri"/>
      <family val="2"/>
      <scheme val="minor"/>
    </font>
    <font>
      <b/>
      <sz val="10"/>
      <name val="Arial"/>
      <family val="2"/>
    </font>
    <font>
      <b/>
      <sz val="8"/>
      <name val="Arial"/>
      <family val="2"/>
    </font>
    <font>
      <sz val="11"/>
      <name val="Calibri"/>
      <family val="2"/>
      <scheme val="minor"/>
    </font>
    <font>
      <b/>
      <sz val="11"/>
      <name val="Calibri"/>
      <family val="2"/>
      <scheme val="minor"/>
    </font>
    <font>
      <sz val="10"/>
      <color theme="1"/>
      <name val="Calibri"/>
      <family val="2"/>
      <scheme val="minor"/>
    </font>
    <font>
      <i/>
      <sz val="11"/>
      <name val="Calibri"/>
      <family val="2"/>
      <scheme val="minor"/>
    </font>
    <font>
      <b/>
      <sz val="10"/>
      <color theme="1"/>
      <name val="Calibri"/>
      <family val="2"/>
      <scheme val="minor"/>
    </font>
    <font>
      <sz val="8"/>
      <color theme="1"/>
      <name val="Arial"/>
      <family val="2"/>
    </font>
    <font>
      <b/>
      <i/>
      <sz val="10"/>
      <name val="Arial"/>
      <family val="2"/>
    </font>
    <font>
      <b/>
      <i/>
      <sz val="11"/>
      <name val="Calibri"/>
      <family val="2"/>
      <scheme val="minor"/>
    </font>
    <font>
      <sz val="8.5"/>
      <name val="Calibri"/>
      <family val="2"/>
      <scheme val="minor"/>
    </font>
    <font>
      <b/>
      <sz val="8.5"/>
      <name val="Calibri"/>
      <family val="2"/>
      <scheme val="minor"/>
    </font>
    <font>
      <b/>
      <sz val="11"/>
      <color rgb="FFFF0000"/>
      <name val="Calibri"/>
      <family val="2"/>
      <scheme val="minor"/>
    </font>
    <font>
      <sz val="9"/>
      <color rgb="FF0000FF"/>
      <name val="Calibri"/>
      <family val="2"/>
      <scheme val="minor"/>
    </font>
    <font>
      <sz val="9"/>
      <color rgb="FFFF0000"/>
      <name val="Calibri"/>
      <family val="2"/>
    </font>
    <font>
      <b/>
      <sz val="9"/>
      <color rgb="FFFF0000"/>
      <name val="Calibri"/>
      <family val="2"/>
    </font>
    <font>
      <b/>
      <sz val="9"/>
      <color rgb="FFFF0000"/>
      <name val="Calibri"/>
      <family val="2"/>
      <scheme val="minor"/>
    </font>
    <font>
      <b/>
      <sz val="10"/>
      <color theme="1"/>
      <name val="Trebuchet MS"/>
      <family val="2"/>
    </font>
    <font>
      <i/>
      <sz val="10"/>
      <color theme="1"/>
      <name val="Trebuchet MS"/>
      <family val="2"/>
    </font>
    <font>
      <sz val="10"/>
      <color theme="1"/>
      <name val="Trebuchet MS"/>
      <family val="2"/>
    </font>
    <font>
      <i/>
      <sz val="10"/>
      <color rgb="FFFF0000"/>
      <name val="Trebuchet MS"/>
      <family val="2"/>
    </font>
    <font>
      <sz val="10"/>
      <color rgb="FFFF0000"/>
      <name val="Trebuchet MS"/>
      <family val="2"/>
    </font>
    <font>
      <b/>
      <sz val="10"/>
      <color rgb="FF336699"/>
      <name val="Calibri"/>
      <family val="2"/>
    </font>
    <font>
      <b/>
      <sz val="10"/>
      <color rgb="FF000000"/>
      <name val="Calibri"/>
      <family val="2"/>
    </font>
    <font>
      <sz val="10"/>
      <color rgb="FF000000"/>
      <name val="Calibri"/>
      <family val="2"/>
    </font>
    <font>
      <b/>
      <sz val="10"/>
      <color rgb="FFFF0000"/>
      <name val="Calibri"/>
      <family val="2"/>
    </font>
    <font>
      <b/>
      <sz val="10"/>
      <color rgb="FF000000"/>
      <name val="Calibri"/>
      <family val="2"/>
    </font>
    <font>
      <b/>
      <sz val="10"/>
      <color rgb="FFFF0000"/>
      <name val="Calibri"/>
      <family val="2"/>
    </font>
    <font>
      <sz val="10"/>
      <color rgb="FFFF0000"/>
      <name val="Calibri"/>
      <family val="2"/>
    </font>
    <font>
      <b/>
      <i/>
      <sz val="10"/>
      <color rgb="FFFF0000"/>
      <name val="Calibri"/>
      <family val="2"/>
    </font>
    <font>
      <i/>
      <sz val="10"/>
      <color rgb="FFFF0000"/>
      <name val="Calibri"/>
      <family val="2"/>
    </font>
    <font>
      <b/>
      <sz val="9"/>
      <color rgb="FF000000"/>
      <name val="Arial"/>
      <family val="2"/>
    </font>
    <font>
      <sz val="9"/>
      <color rgb="FF000000"/>
      <name val="Arial"/>
      <family val="2"/>
    </font>
    <font>
      <b/>
      <sz val="9"/>
      <color rgb="FF1F317F"/>
      <name val="Arial"/>
      <family val="2"/>
    </font>
    <font>
      <strike/>
      <sz val="9"/>
      <color theme="1"/>
      <name val="Arial"/>
      <family val="2"/>
    </font>
    <font>
      <b/>
      <i/>
      <sz val="9"/>
      <color rgb="FF000000"/>
      <name val="Arial"/>
      <family val="2"/>
    </font>
    <font>
      <i/>
      <sz val="9"/>
      <color rgb="FF000000"/>
      <name val="Arial"/>
      <family val="2"/>
    </font>
    <font>
      <sz val="9"/>
      <color rgb="FFFFFFFF"/>
      <name val="Arial"/>
      <family val="2"/>
    </font>
    <font>
      <sz val="9"/>
      <color rgb="FFDBDBDB"/>
      <name val="Arial"/>
      <family val="2"/>
    </font>
    <font>
      <sz val="18"/>
      <name val="Arial"/>
      <family val="2"/>
    </font>
    <font>
      <b/>
      <sz val="10"/>
      <color rgb="FF336699"/>
      <name val="Calibri"/>
      <family val="2"/>
    </font>
    <font>
      <b/>
      <sz val="10"/>
      <color rgb="FF000000"/>
      <name val="Calibri"/>
      <family val="2"/>
    </font>
    <font>
      <sz val="10"/>
      <color rgb="FF000000"/>
      <name val="Calibri"/>
      <family val="2"/>
    </font>
    <font>
      <i/>
      <sz val="10"/>
      <color rgb="FF000000"/>
      <name val="Calibri"/>
      <family val="2"/>
    </font>
    <font>
      <sz val="10"/>
      <color rgb="FFFF0000"/>
      <name val="Arial"/>
      <family val="2"/>
    </font>
  </fonts>
  <fills count="2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theme="4"/>
        <bgColor indexed="64"/>
      </patternFill>
    </fill>
    <fill>
      <patternFill patternType="solid">
        <fgColor theme="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E2ECF5"/>
        <bgColor indexed="64"/>
      </patternFill>
    </fill>
    <fill>
      <patternFill patternType="solid">
        <fgColor theme="5" tint="0.79998168889431442"/>
        <bgColor indexed="64"/>
      </patternFill>
    </fill>
    <fill>
      <patternFill patternType="solid">
        <fgColor theme="4"/>
        <bgColor rgb="FF000000"/>
      </patternFill>
    </fill>
    <fill>
      <patternFill patternType="solid">
        <fgColor theme="2"/>
        <bgColor rgb="FF000000"/>
      </patternFill>
    </fill>
    <fill>
      <patternFill patternType="solid">
        <fgColor rgb="FFF2F2F2"/>
        <bgColor indexed="64"/>
      </patternFill>
    </fill>
    <fill>
      <patternFill patternType="solid">
        <fgColor rgb="FFFFFFFF"/>
        <bgColor indexed="64"/>
      </patternFill>
    </fill>
    <fill>
      <patternFill patternType="solid">
        <fgColor rgb="FF4D4D4D"/>
        <bgColor indexed="64"/>
      </patternFill>
    </fill>
    <fill>
      <patternFill patternType="solid">
        <fgColor indexed="47"/>
      </patternFill>
    </fill>
    <fill>
      <patternFill patternType="solid">
        <fgColor rgb="FFFFC000"/>
        <bgColor indexed="64"/>
      </patternFill>
    </fill>
    <fill>
      <patternFill patternType="solid">
        <fgColor theme="4" tint="0.59999389629810485"/>
        <bgColor indexed="64"/>
      </patternFill>
    </fill>
    <fill>
      <patternFill patternType="solid">
        <fgColor theme="6"/>
        <bgColor indexed="64"/>
      </patternFill>
    </fill>
    <fill>
      <patternFill patternType="solid">
        <fgColor rgb="FFE3EDF6"/>
        <bgColor indexed="64"/>
      </patternFill>
    </fill>
    <fill>
      <patternFill patternType="solid">
        <fgColor theme="9" tint="0.79998168889431442"/>
        <bgColor indexed="64"/>
      </patternFill>
    </fill>
    <fill>
      <patternFill patternType="solid">
        <fgColor rgb="FFCCF0FC"/>
        <bgColor indexed="64"/>
      </patternFill>
    </fill>
  </fills>
  <borders count="83">
    <border>
      <left/>
      <right/>
      <top/>
      <bottom/>
      <diagonal/>
    </border>
    <border>
      <left/>
      <right/>
      <top/>
      <bottom style="thin">
        <color auto="1"/>
      </bottom>
      <diagonal/>
    </border>
    <border>
      <left/>
      <right/>
      <top style="thin">
        <color indexed="64"/>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theme="0" tint="-0.24994659260841701"/>
      </top>
      <bottom style="thin">
        <color theme="0" tint="-0.24994659260841701"/>
      </bottom>
      <diagonal/>
    </border>
    <border>
      <left/>
      <right/>
      <top style="thin">
        <color theme="0" tint="-0.24994659260841701"/>
      </top>
      <bottom style="thin">
        <color theme="4"/>
      </bottom>
      <diagonal/>
    </border>
    <border>
      <left/>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right>
      <top style="thin">
        <color theme="0" tint="-0.24994659260841701"/>
      </top>
      <bottom style="thin">
        <color theme="4"/>
      </bottom>
      <diagonal/>
    </border>
    <border>
      <left style="thin">
        <color theme="0"/>
      </left>
      <right style="thin">
        <color theme="0"/>
      </right>
      <top style="thin">
        <color theme="0" tint="-0.24994659260841701"/>
      </top>
      <bottom style="thin">
        <color theme="4"/>
      </bottom>
      <diagonal/>
    </border>
    <border>
      <left style="thin">
        <color theme="0"/>
      </left>
      <right/>
      <top style="thin">
        <color theme="0" tint="-0.24994659260841701"/>
      </top>
      <bottom style="thin">
        <color theme="4"/>
      </bottom>
      <diagonal/>
    </border>
    <border>
      <left/>
      <right style="thin">
        <color theme="0"/>
      </right>
      <top/>
      <bottom style="thin">
        <color theme="0" tint="-0.24994659260841701"/>
      </bottom>
      <diagonal/>
    </border>
    <border>
      <left style="thin">
        <color theme="0"/>
      </left>
      <right style="thin">
        <color theme="0"/>
      </right>
      <top/>
      <bottom style="thin">
        <color theme="0" tint="-0.24994659260841701"/>
      </bottom>
      <diagonal/>
    </border>
    <border>
      <left style="thin">
        <color theme="0"/>
      </left>
      <right/>
      <top/>
      <bottom style="thin">
        <color theme="0" tint="-0.24994659260841701"/>
      </bottom>
      <diagonal/>
    </border>
    <border>
      <left/>
      <right style="thin">
        <color theme="0"/>
      </right>
      <top style="thin">
        <color theme="0" tint="-0.24994659260841701"/>
      </top>
      <bottom style="thin">
        <color theme="0" tint="-0.24994659260841701"/>
      </bottom>
      <diagonal/>
    </border>
    <border>
      <left style="thin">
        <color theme="0"/>
      </left>
      <right style="thin">
        <color theme="0"/>
      </right>
      <top style="thin">
        <color theme="0" tint="-0.24994659260841701"/>
      </top>
      <bottom style="thin">
        <color theme="0" tint="-0.24994659260841701"/>
      </bottom>
      <diagonal/>
    </border>
    <border>
      <left style="thin">
        <color theme="0"/>
      </left>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4"/>
      </bottom>
      <diagonal/>
    </border>
    <border>
      <left style="thin">
        <color theme="0" tint="-0.24994659260841701"/>
      </left>
      <right/>
      <top style="thin">
        <color theme="0" tint="-0.24994659260841701"/>
      </top>
      <bottom style="thin">
        <color theme="4"/>
      </bottom>
      <diagonal/>
    </border>
    <border>
      <left style="thin">
        <color theme="0" tint="-0.14993743705557422"/>
      </left>
      <right/>
      <top style="thin">
        <color theme="0" tint="-0.14996795556505021"/>
      </top>
      <bottom style="thin">
        <color theme="0" tint="-0.14993743705557422"/>
      </bottom>
      <diagonal/>
    </border>
    <border>
      <left/>
      <right style="thin">
        <color theme="0" tint="-0.14993743705557422"/>
      </right>
      <top style="thin">
        <color theme="0" tint="-0.14996795556505021"/>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6795556505021"/>
      </bottom>
      <diagonal/>
    </border>
    <border>
      <left/>
      <right style="thin">
        <color theme="0" tint="-0.14993743705557422"/>
      </right>
      <top style="thin">
        <color theme="0" tint="-0.14993743705557422"/>
      </top>
      <bottom style="thin">
        <color theme="0" tint="-0.1499679555650502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4"/>
      </bottom>
      <diagonal/>
    </border>
    <border>
      <left/>
      <right style="thin">
        <color theme="0" tint="-0.24994659260841701"/>
      </right>
      <top/>
      <bottom style="thin">
        <color theme="0" tint="-0.24994659260841701"/>
      </bottom>
      <diagonal/>
    </border>
    <border>
      <left/>
      <right style="thin">
        <color theme="0"/>
      </right>
      <top/>
      <bottom/>
      <diagonal/>
    </border>
    <border>
      <left style="thin">
        <color theme="0"/>
      </left>
      <right style="thin">
        <color theme="0"/>
      </right>
      <top/>
      <bottom/>
      <diagonal/>
    </border>
    <border>
      <left/>
      <right/>
      <top style="thin">
        <color theme="0" tint="-0.24994659260841701"/>
      </top>
      <bottom/>
      <diagonal/>
    </border>
    <border>
      <left style="thin">
        <color rgb="FFBFBFBF"/>
      </left>
      <right style="thin">
        <color theme="0"/>
      </right>
      <top style="thin">
        <color rgb="FFBFBFBF"/>
      </top>
      <bottom/>
      <diagonal/>
    </border>
    <border>
      <left style="thin">
        <color theme="0"/>
      </left>
      <right style="thin">
        <color theme="0"/>
      </right>
      <top style="thin">
        <color rgb="FFBFBFBF"/>
      </top>
      <bottom/>
      <diagonal/>
    </border>
    <border>
      <left style="thin">
        <color theme="0"/>
      </left>
      <right style="thin">
        <color rgb="FFBFBFBF"/>
      </right>
      <top style="thin">
        <color rgb="FFBFBFBF"/>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top/>
      <bottom style="thin">
        <color theme="4"/>
      </bottom>
      <diagonal/>
    </border>
    <border>
      <left style="thin">
        <color indexed="64"/>
      </left>
      <right style="thin">
        <color indexed="64"/>
      </right>
      <top style="thin">
        <color indexed="64"/>
      </top>
      <bottom style="thin">
        <color indexed="64"/>
      </bottom>
      <diagonal/>
    </border>
    <border>
      <left/>
      <right/>
      <top style="medium">
        <color theme="4"/>
      </top>
      <bottom style="medium">
        <color theme="4"/>
      </bottom>
      <diagonal/>
    </border>
    <border>
      <left/>
      <right/>
      <top style="medium">
        <color theme="4"/>
      </top>
      <bottom style="thin">
        <color theme="0"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n">
        <color theme="4"/>
      </bottom>
      <diagonal/>
    </border>
    <border>
      <left/>
      <right/>
      <top style="thin">
        <color theme="0" tint="-0.14996795556505021"/>
      </top>
      <bottom/>
      <diagonal/>
    </border>
    <border>
      <left/>
      <right/>
      <top/>
      <bottom style="thin">
        <color theme="0" tint="-0.14996795556505021"/>
      </bottom>
      <diagonal/>
    </border>
    <border>
      <left/>
      <right/>
      <top style="thin">
        <color theme="0" tint="-0.14993743705557422"/>
      </top>
      <bottom style="thin">
        <color theme="0" tint="-0.14996795556505021"/>
      </bottom>
      <diagonal/>
    </border>
    <border>
      <left/>
      <right/>
      <top style="thin">
        <color theme="0"/>
      </top>
      <bottom style="thin">
        <color theme="4"/>
      </bottom>
      <diagonal/>
    </border>
    <border>
      <left/>
      <right/>
      <top style="thin">
        <color theme="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rgb="FF336699"/>
      </bottom>
      <diagonal/>
    </border>
    <border>
      <left/>
      <right/>
      <top style="thin">
        <color rgb="FF336699"/>
      </top>
      <bottom style="thin">
        <color rgb="FFBFBFBF"/>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rgb="FF336699"/>
      </top>
      <bottom style="medium">
        <color rgb="FFD6D6D6"/>
      </bottom>
      <diagonal/>
    </border>
    <border>
      <left/>
      <right/>
      <top style="medium">
        <color rgb="FFD6D6D6"/>
      </top>
      <bottom style="medium">
        <color rgb="FFD6D6D6"/>
      </bottom>
      <diagonal/>
    </border>
    <border>
      <left style="thin">
        <color theme="0" tint="-0.14999847407452621"/>
      </left>
      <right/>
      <top style="thin">
        <color theme="0" tint="-0.14999847407452621"/>
      </top>
      <bottom style="thin">
        <color rgb="FF336699"/>
      </bottom>
      <diagonal/>
    </border>
    <border>
      <left/>
      <right/>
      <top style="thin">
        <color theme="0" tint="-0.14999847407452621"/>
      </top>
      <bottom style="thin">
        <color rgb="FF336699"/>
      </bottom>
      <diagonal/>
    </border>
    <border>
      <left/>
      <right style="thin">
        <color theme="0" tint="-0.14999847407452621"/>
      </right>
      <top style="thin">
        <color theme="0" tint="-0.14999847407452621"/>
      </top>
      <bottom style="thin">
        <color rgb="FF336699"/>
      </bottom>
      <diagonal/>
    </border>
    <border>
      <left style="thin">
        <color theme="0" tint="-0.14999847407452621"/>
      </left>
      <right/>
      <top style="thin">
        <color rgb="FF336699"/>
      </top>
      <bottom style="thin">
        <color rgb="FFBFBFBF"/>
      </bottom>
      <diagonal/>
    </border>
    <border>
      <left/>
      <right style="thin">
        <color theme="0" tint="-0.14999847407452621"/>
      </right>
      <top style="thin">
        <color rgb="FF336699"/>
      </top>
      <bottom style="thin">
        <color rgb="FFBFBFBF"/>
      </bottom>
      <diagonal/>
    </border>
    <border>
      <left style="thin">
        <color theme="0" tint="-0.14999847407452621"/>
      </left>
      <right/>
      <top style="thin">
        <color rgb="FFBFBFBF"/>
      </top>
      <bottom style="thin">
        <color rgb="FFBFBFBF"/>
      </bottom>
      <diagonal/>
    </border>
    <border>
      <left/>
      <right style="thin">
        <color theme="0" tint="-0.14999847407452621"/>
      </right>
      <top style="thin">
        <color rgb="FFBFBFBF"/>
      </top>
      <bottom style="thin">
        <color rgb="FFBFBFBF"/>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style="thin">
        <color rgb="FFBFBFBF"/>
      </top>
      <bottom style="thin">
        <color theme="0" tint="-0.14999847407452621"/>
      </bottom>
      <diagonal/>
    </border>
    <border>
      <left/>
      <right/>
      <top style="thin">
        <color rgb="FFBFBFBF"/>
      </top>
      <bottom style="thin">
        <color theme="0" tint="-0.14999847407452621"/>
      </bottom>
      <diagonal/>
    </border>
    <border>
      <left/>
      <right style="thin">
        <color theme="0" tint="-0.14999847407452621"/>
      </right>
      <top style="thin">
        <color rgb="FFBFBFBF"/>
      </top>
      <bottom style="thin">
        <color theme="0" tint="-0.14999847407452621"/>
      </bottom>
      <diagonal/>
    </border>
    <border>
      <left/>
      <right/>
      <top/>
      <bottom style="medium">
        <color rgb="FFD6D6D6"/>
      </bottom>
      <diagonal/>
    </border>
  </borders>
  <cellStyleXfs count="32">
    <xf numFmtId="0" fontId="0" fillId="0" borderId="0"/>
    <xf numFmtId="164" fontId="1" fillId="0" borderId="0" applyFont="0" applyFill="0" applyBorder="0" applyAlignment="0" applyProtection="0"/>
    <xf numFmtId="9" fontId="1" fillId="0" borderId="0" applyFont="0" applyFill="0" applyBorder="0" applyAlignment="0" applyProtection="0"/>
    <xf numFmtId="169" fontId="1" fillId="0" borderId="0"/>
    <xf numFmtId="169" fontId="1" fillId="0" borderId="0"/>
    <xf numFmtId="9" fontId="1" fillId="0" borderId="0" applyFont="0" applyFill="0" applyBorder="0" applyAlignment="0" applyProtection="0"/>
    <xf numFmtId="169" fontId="14" fillId="0" borderId="0"/>
    <xf numFmtId="0" fontId="18" fillId="0" borderId="0" applyNumberFormat="0" applyFill="0" applyBorder="0" applyAlignment="0" applyProtection="0"/>
    <xf numFmtId="0" fontId="14" fillId="0" borderId="0"/>
    <xf numFmtId="0" fontId="14" fillId="0" borderId="0"/>
    <xf numFmtId="0" fontId="1" fillId="0" borderId="0"/>
    <xf numFmtId="9" fontId="1" fillId="0" borderId="0" applyFont="0" applyFill="0" applyBorder="0" applyAlignment="0" applyProtection="0"/>
    <xf numFmtId="9" fontId="23" fillId="0" borderId="0" applyFont="0" applyFill="0" applyBorder="0" applyAlignment="0" applyProtection="0"/>
    <xf numFmtId="164" fontId="1" fillId="0" borderId="0" applyFont="0" applyFill="0" applyBorder="0" applyAlignment="0" applyProtection="0"/>
    <xf numFmtId="3" fontId="14" fillId="0" borderId="0"/>
    <xf numFmtId="0" fontId="47" fillId="0" borderId="0"/>
    <xf numFmtId="164" fontId="48" fillId="0" borderId="0" applyFont="0" applyFill="0" applyBorder="0" applyAlignment="0" applyProtection="0"/>
    <xf numFmtId="0" fontId="1" fillId="0" borderId="0"/>
    <xf numFmtId="9" fontId="48" fillId="0" borderId="0" applyFont="0" applyFill="0" applyBorder="0" applyAlignment="0" applyProtection="0"/>
    <xf numFmtId="165" fontId="1" fillId="0" borderId="0" applyFont="0" applyFill="0" applyBorder="0" applyAlignment="0" applyProtection="0"/>
    <xf numFmtId="9" fontId="50" fillId="0" borderId="0" applyFont="0" applyFill="0" applyBorder="0" applyAlignment="0" applyProtection="0"/>
    <xf numFmtId="174" fontId="1" fillId="0" borderId="0"/>
    <xf numFmtId="3" fontId="14" fillId="0" borderId="0"/>
    <xf numFmtId="0" fontId="14" fillId="0" borderId="0"/>
    <xf numFmtId="0" fontId="59" fillId="17" borderId="0" applyNumberFormat="0" applyBorder="0" applyAlignment="0" applyProtection="0"/>
    <xf numFmtId="0" fontId="1" fillId="0" borderId="0"/>
    <xf numFmtId="0" fontId="59" fillId="17" borderId="0" applyNumberFormat="0" applyBorder="0" applyAlignment="0" applyProtection="0"/>
    <xf numFmtId="179" fontId="1" fillId="0" borderId="0"/>
    <xf numFmtId="180" fontId="1" fillId="0" borderId="0"/>
    <xf numFmtId="164" fontId="69" fillId="0" borderId="0" applyFont="0" applyFill="0" applyBorder="0" applyAlignment="0" applyProtection="0"/>
    <xf numFmtId="0" fontId="47" fillId="0" borderId="0"/>
    <xf numFmtId="174" fontId="14" fillId="0" borderId="0"/>
  </cellStyleXfs>
  <cellXfs count="1312">
    <xf numFmtId="0" fontId="0" fillId="0" borderId="0" xfId="0"/>
    <xf numFmtId="37" fontId="4" fillId="0" borderId="0" xfId="0" applyNumberFormat="1" applyFont="1" applyAlignment="1">
      <alignment vertical="center"/>
    </xf>
    <xf numFmtId="0" fontId="5" fillId="0" borderId="0" xfId="0" applyFont="1" applyAlignment="1">
      <alignment vertical="center"/>
    </xf>
    <xf numFmtId="37" fontId="4" fillId="2" borderId="1" xfId="0" applyNumberFormat="1" applyFont="1" applyFill="1" applyBorder="1" applyAlignment="1">
      <alignment vertical="center"/>
    </xf>
    <xf numFmtId="37" fontId="4" fillId="2" borderId="1" xfId="0" applyNumberFormat="1" applyFont="1" applyFill="1" applyBorder="1" applyAlignment="1">
      <alignment horizontal="right" vertical="center"/>
    </xf>
    <xf numFmtId="37" fontId="4" fillId="3" borderId="0" xfId="0" applyNumberFormat="1" applyFont="1" applyFill="1" applyAlignment="1">
      <alignment horizontal="right" vertical="center"/>
    </xf>
    <xf numFmtId="37" fontId="5" fillId="2" borderId="0" xfId="0" applyNumberFormat="1" applyFont="1" applyFill="1" applyAlignment="1">
      <alignment vertical="center"/>
    </xf>
    <xf numFmtId="37" fontId="5" fillId="2" borderId="0" xfId="0" applyNumberFormat="1" applyFont="1" applyFill="1" applyAlignment="1">
      <alignment horizontal="right" vertical="center"/>
    </xf>
    <xf numFmtId="37" fontId="5" fillId="3" borderId="0" xfId="0" applyNumberFormat="1" applyFont="1" applyFill="1" applyAlignment="1">
      <alignment horizontal="right" vertical="center"/>
    </xf>
    <xf numFmtId="37" fontId="4" fillId="2" borderId="0" xfId="0" applyNumberFormat="1" applyFont="1" applyFill="1" applyAlignment="1">
      <alignment vertical="center"/>
    </xf>
    <xf numFmtId="37" fontId="4" fillId="2" borderId="0" xfId="0" applyNumberFormat="1" applyFont="1" applyFill="1" applyAlignment="1">
      <alignment horizontal="right" vertical="center"/>
    </xf>
    <xf numFmtId="9" fontId="6" fillId="2" borderId="0" xfId="0" applyNumberFormat="1" applyFont="1" applyFill="1" applyAlignment="1">
      <alignment vertical="center"/>
    </xf>
    <xf numFmtId="9" fontId="6" fillId="2" borderId="0" xfId="0" applyNumberFormat="1" applyFont="1" applyFill="1" applyAlignment="1">
      <alignment horizontal="right" vertical="center"/>
    </xf>
    <xf numFmtId="9" fontId="6" fillId="3" borderId="0" xfId="0" applyNumberFormat="1" applyFont="1" applyFill="1" applyAlignment="1">
      <alignment horizontal="right" vertical="center"/>
    </xf>
    <xf numFmtId="9" fontId="5" fillId="0" borderId="0" xfId="0" applyNumberFormat="1" applyFont="1" applyAlignment="1">
      <alignment vertical="center"/>
    </xf>
    <xf numFmtId="167" fontId="6" fillId="2" borderId="0" xfId="0" applyNumberFormat="1" applyFont="1" applyFill="1" applyAlignment="1">
      <alignment vertical="center"/>
    </xf>
    <xf numFmtId="167" fontId="6" fillId="2" borderId="0" xfId="0" applyNumberFormat="1" applyFont="1" applyFill="1" applyAlignment="1">
      <alignment horizontal="right" vertical="center"/>
    </xf>
    <xf numFmtId="167" fontId="6" fillId="3" borderId="0" xfId="0" applyNumberFormat="1" applyFont="1" applyFill="1" applyAlignment="1">
      <alignment horizontal="right" vertical="center"/>
    </xf>
    <xf numFmtId="0" fontId="4" fillId="0" borderId="0" xfId="0" applyFont="1" applyAlignment="1">
      <alignment vertical="center"/>
    </xf>
    <xf numFmtId="37" fontId="6" fillId="2" borderId="0" xfId="0" applyNumberFormat="1" applyFont="1" applyFill="1" applyAlignment="1">
      <alignment vertical="center"/>
    </xf>
    <xf numFmtId="168" fontId="4" fillId="2" borderId="0" xfId="0" applyNumberFormat="1" applyFont="1" applyFill="1" applyAlignment="1">
      <alignment horizontal="right" vertical="center"/>
    </xf>
    <xf numFmtId="168" fontId="4" fillId="3" borderId="0" xfId="0" applyNumberFormat="1" applyFont="1" applyFill="1" applyAlignment="1">
      <alignment horizontal="right" vertical="center"/>
    </xf>
    <xf numFmtId="9" fontId="4" fillId="2" borderId="0" xfId="0" applyNumberFormat="1" applyFont="1" applyFill="1" applyAlignment="1">
      <alignment horizontal="right" vertical="center"/>
    </xf>
    <xf numFmtId="9" fontId="4" fillId="3" borderId="0" xfId="0" applyNumberFormat="1" applyFont="1" applyFill="1" applyAlignment="1">
      <alignment horizontal="right" vertical="center"/>
    </xf>
    <xf numFmtId="37" fontId="5" fillId="4" borderId="0" xfId="0" applyNumberFormat="1" applyFont="1" applyFill="1" applyAlignment="1">
      <alignment vertical="center"/>
    </xf>
    <xf numFmtId="37" fontId="5" fillId="4" borderId="0" xfId="0" applyNumberFormat="1" applyFont="1" applyFill="1" applyAlignment="1">
      <alignment horizontal="right" vertical="center"/>
    </xf>
    <xf numFmtId="0" fontId="5" fillId="4" borderId="0" xfId="0" applyFont="1" applyFill="1" applyAlignment="1">
      <alignment vertical="center"/>
    </xf>
    <xf numFmtId="37" fontId="5" fillId="2" borderId="2" xfId="0" applyNumberFormat="1" applyFont="1" applyFill="1" applyBorder="1" applyAlignment="1">
      <alignment vertical="center"/>
    </xf>
    <xf numFmtId="37" fontId="5" fillId="2" borderId="2" xfId="0" applyNumberFormat="1" applyFont="1" applyFill="1" applyBorder="1" applyAlignment="1">
      <alignment horizontal="right" vertical="center"/>
    </xf>
    <xf numFmtId="37" fontId="5" fillId="2" borderId="1" xfId="0" applyNumberFormat="1" applyFont="1" applyFill="1" applyBorder="1" applyAlignment="1">
      <alignment vertical="center"/>
    </xf>
    <xf numFmtId="37" fontId="5" fillId="2" borderId="1" xfId="0" applyNumberFormat="1" applyFont="1" applyFill="1" applyBorder="1" applyAlignment="1">
      <alignment horizontal="right" vertical="center"/>
    </xf>
    <xf numFmtId="37" fontId="7" fillId="2" borderId="0" xfId="0" applyNumberFormat="1" applyFont="1" applyFill="1" applyAlignment="1">
      <alignment vertical="center"/>
    </xf>
    <xf numFmtId="0" fontId="7" fillId="0" borderId="0" xfId="0" applyFont="1" applyAlignment="1">
      <alignment vertical="center"/>
    </xf>
    <xf numFmtId="37" fontId="5" fillId="0" borderId="0" xfId="0" applyNumberFormat="1" applyFont="1" applyAlignment="1">
      <alignment vertical="center"/>
    </xf>
    <xf numFmtId="37" fontId="5" fillId="0" borderId="0" xfId="0" applyNumberFormat="1" applyFont="1" applyAlignment="1">
      <alignment horizontal="right" vertical="center"/>
    </xf>
    <xf numFmtId="37" fontId="5" fillId="2" borderId="0" xfId="0" applyNumberFormat="1" applyFont="1" applyFill="1"/>
    <xf numFmtId="9" fontId="5" fillId="2" borderId="0" xfId="0" applyNumberFormat="1" applyFont="1" applyFill="1" applyAlignment="1">
      <alignment horizontal="right" vertical="center"/>
    </xf>
    <xf numFmtId="37" fontId="5" fillId="4" borderId="0" xfId="3" applyNumberFormat="1" applyFont="1" applyFill="1"/>
    <xf numFmtId="37" fontId="4" fillId="4" borderId="0" xfId="3" applyNumberFormat="1" applyFont="1" applyFill="1"/>
    <xf numFmtId="37" fontId="5" fillId="4" borderId="0" xfId="3" applyNumberFormat="1" applyFont="1" applyFill="1" applyAlignment="1">
      <alignment horizontal="right"/>
    </xf>
    <xf numFmtId="37" fontId="5" fillId="0" borderId="0" xfId="3" applyNumberFormat="1" applyFont="1" applyAlignment="1">
      <alignment horizontal="right"/>
    </xf>
    <xf numFmtId="169" fontId="4" fillId="5" borderId="0" xfId="3" applyFont="1" applyFill="1" applyAlignment="1">
      <alignment horizontal="right"/>
    </xf>
    <xf numFmtId="37" fontId="4" fillId="0" borderId="0" xfId="3" applyNumberFormat="1" applyFont="1" applyAlignment="1">
      <alignment horizontal="right"/>
    </xf>
    <xf numFmtId="169" fontId="10" fillId="6" borderId="0" xfId="3" applyFont="1" applyFill="1" applyAlignment="1">
      <alignment horizontal="right"/>
    </xf>
    <xf numFmtId="37" fontId="11" fillId="6" borderId="0" xfId="3" applyNumberFormat="1" applyFont="1" applyFill="1"/>
    <xf numFmtId="37" fontId="4" fillId="4" borderId="0" xfId="3" applyNumberFormat="1" applyFont="1" applyFill="1" applyAlignment="1">
      <alignment horizontal="left"/>
    </xf>
    <xf numFmtId="37" fontId="4" fillId="4" borderId="0" xfId="3" applyNumberFormat="1" applyFont="1" applyFill="1" applyAlignment="1">
      <alignment horizontal="right" wrapText="1"/>
    </xf>
    <xf numFmtId="37" fontId="4" fillId="0" borderId="0" xfId="3" applyNumberFormat="1" applyFont="1" applyAlignment="1">
      <alignment horizontal="right" wrapText="1"/>
    </xf>
    <xf numFmtId="169" fontId="4" fillId="5" borderId="0" xfId="4" applyFont="1" applyFill="1" applyAlignment="1">
      <alignment horizontal="right"/>
    </xf>
    <xf numFmtId="37" fontId="10" fillId="7" borderId="0" xfId="3" applyNumberFormat="1" applyFont="1" applyFill="1" applyAlignment="1">
      <alignment horizontal="right"/>
    </xf>
    <xf numFmtId="37" fontId="4" fillId="2" borderId="1" xfId="3" applyNumberFormat="1" applyFont="1" applyFill="1" applyBorder="1" applyAlignment="1">
      <alignment horizontal="left"/>
    </xf>
    <xf numFmtId="37" fontId="4" fillId="2" borderId="1" xfId="3" applyNumberFormat="1" applyFont="1" applyFill="1" applyBorder="1" applyAlignment="1">
      <alignment horizontal="right" wrapText="1"/>
    </xf>
    <xf numFmtId="9" fontId="4" fillId="2" borderId="1" xfId="3" applyNumberFormat="1" applyFont="1" applyFill="1" applyBorder="1" applyAlignment="1">
      <alignment horizontal="right" wrapText="1"/>
    </xf>
    <xf numFmtId="9" fontId="4" fillId="0" borderId="0" xfId="3" applyNumberFormat="1" applyFont="1" applyAlignment="1">
      <alignment horizontal="right" wrapText="1"/>
    </xf>
    <xf numFmtId="37" fontId="4" fillId="3" borderId="1" xfId="3" applyNumberFormat="1" applyFont="1" applyFill="1" applyBorder="1" applyAlignment="1">
      <alignment horizontal="right" wrapText="1"/>
    </xf>
    <xf numFmtId="37" fontId="5" fillId="2" borderId="1" xfId="3" applyNumberFormat="1" applyFont="1" applyFill="1" applyBorder="1"/>
    <xf numFmtId="37" fontId="5" fillId="2" borderId="0" xfId="3" applyNumberFormat="1" applyFont="1" applyFill="1" applyAlignment="1">
      <alignment horizontal="left" indent="1"/>
    </xf>
    <xf numFmtId="37" fontId="5" fillId="2" borderId="0" xfId="3" applyNumberFormat="1" applyFont="1" applyFill="1" applyAlignment="1">
      <alignment horizontal="right"/>
    </xf>
    <xf numFmtId="9" fontId="5" fillId="2" borderId="0" xfId="3" applyNumberFormat="1" applyFont="1" applyFill="1" applyAlignment="1">
      <alignment horizontal="right"/>
    </xf>
    <xf numFmtId="37" fontId="5" fillId="2" borderId="0" xfId="3" applyNumberFormat="1" applyFont="1" applyFill="1"/>
    <xf numFmtId="37" fontId="5" fillId="3" borderId="0" xfId="3" applyNumberFormat="1" applyFont="1" applyFill="1"/>
    <xf numFmtId="37" fontId="5" fillId="2" borderId="0" xfId="3" applyNumberFormat="1" applyFont="1" applyFill="1" applyAlignment="1">
      <alignment horizontal="left"/>
    </xf>
    <xf numFmtId="166" fontId="5" fillId="0" borderId="0" xfId="1" applyNumberFormat="1" applyFont="1" applyFill="1" applyAlignment="1">
      <alignment horizontal="right"/>
    </xf>
    <xf numFmtId="37" fontId="4" fillId="2" borderId="0" xfId="3" applyNumberFormat="1" applyFont="1" applyFill="1" applyAlignment="1">
      <alignment horizontal="right"/>
    </xf>
    <xf numFmtId="37" fontId="4" fillId="3" borderId="0" xfId="3" applyNumberFormat="1" applyFont="1" applyFill="1" applyAlignment="1">
      <alignment horizontal="right"/>
    </xf>
    <xf numFmtId="168" fontId="5" fillId="2" borderId="0" xfId="3" applyNumberFormat="1" applyFont="1" applyFill="1" applyAlignment="1">
      <alignment horizontal="left"/>
    </xf>
    <xf numFmtId="168" fontId="5" fillId="2" borderId="0" xfId="3" applyNumberFormat="1" applyFont="1" applyFill="1" applyAlignment="1">
      <alignment horizontal="right"/>
    </xf>
    <xf numFmtId="168" fontId="5" fillId="0" borderId="0" xfId="3" applyNumberFormat="1" applyFont="1" applyAlignment="1">
      <alignment horizontal="right"/>
    </xf>
    <xf numFmtId="37" fontId="5" fillId="3" borderId="0" xfId="3" applyNumberFormat="1" applyFont="1" applyFill="1" applyAlignment="1">
      <alignment horizontal="right"/>
    </xf>
    <xf numFmtId="168" fontId="5" fillId="2" borderId="0" xfId="3" applyNumberFormat="1" applyFont="1" applyFill="1"/>
    <xf numFmtId="39" fontId="5" fillId="0" borderId="0" xfId="3" applyNumberFormat="1" applyFont="1" applyAlignment="1">
      <alignment horizontal="right"/>
    </xf>
    <xf numFmtId="9" fontId="5" fillId="0" borderId="0" xfId="3" applyNumberFormat="1" applyFont="1" applyAlignment="1">
      <alignment horizontal="right"/>
    </xf>
    <xf numFmtId="37" fontId="4" fillId="2" borderId="0" xfId="3" applyNumberFormat="1" applyFont="1" applyFill="1"/>
    <xf numFmtId="37" fontId="4" fillId="3" borderId="0" xfId="3" applyNumberFormat="1" applyFont="1" applyFill="1"/>
    <xf numFmtId="168" fontId="4" fillId="2" borderId="0" xfId="3" applyNumberFormat="1" applyFont="1" applyFill="1" applyAlignment="1">
      <alignment horizontal="right"/>
    </xf>
    <xf numFmtId="168" fontId="4" fillId="0" borderId="0" xfId="3" applyNumberFormat="1" applyFont="1" applyAlignment="1">
      <alignment horizontal="right"/>
    </xf>
    <xf numFmtId="168" fontId="4" fillId="3" borderId="0" xfId="3" applyNumberFormat="1" applyFont="1" applyFill="1" applyAlignment="1">
      <alignment horizontal="right"/>
    </xf>
    <xf numFmtId="37" fontId="6" fillId="4" borderId="0" xfId="3" applyNumberFormat="1" applyFont="1" applyFill="1"/>
    <xf numFmtId="9" fontId="13" fillId="2" borderId="0" xfId="3" applyNumberFormat="1" applyFont="1" applyFill="1"/>
    <xf numFmtId="9" fontId="13" fillId="0" borderId="0" xfId="3" applyNumberFormat="1" applyFont="1"/>
    <xf numFmtId="37" fontId="13" fillId="0" borderId="0" xfId="3" applyNumberFormat="1" applyFont="1"/>
    <xf numFmtId="37" fontId="13" fillId="2" borderId="0" xfId="3" applyNumberFormat="1" applyFont="1" applyFill="1" applyAlignment="1">
      <alignment horizontal="right"/>
    </xf>
    <xf numFmtId="37" fontId="13" fillId="0" borderId="0" xfId="3" applyNumberFormat="1" applyFont="1" applyAlignment="1">
      <alignment horizontal="right"/>
    </xf>
    <xf numFmtId="9" fontId="6" fillId="2" borderId="0" xfId="3" applyNumberFormat="1" applyFont="1" applyFill="1" applyAlignment="1">
      <alignment horizontal="right"/>
    </xf>
    <xf numFmtId="9" fontId="6" fillId="0" borderId="0" xfId="3" applyNumberFormat="1" applyFont="1" applyAlignment="1">
      <alignment horizontal="right"/>
    </xf>
    <xf numFmtId="37" fontId="7" fillId="2" borderId="0" xfId="3" applyNumberFormat="1" applyFont="1" applyFill="1" applyAlignment="1">
      <alignment horizontal="right"/>
    </xf>
    <xf numFmtId="9" fontId="7" fillId="2" borderId="0" xfId="5" applyFont="1" applyFill="1" applyAlignment="1">
      <alignment horizontal="right"/>
    </xf>
    <xf numFmtId="37" fontId="5" fillId="0" borderId="0" xfId="3" applyNumberFormat="1" applyFont="1"/>
    <xf numFmtId="10" fontId="13" fillId="0" borderId="0" xfId="3" applyNumberFormat="1" applyFont="1"/>
    <xf numFmtId="170" fontId="13" fillId="0" borderId="0" xfId="3" applyNumberFormat="1" applyFont="1"/>
    <xf numFmtId="9" fontId="6" fillId="0" borderId="0" xfId="3" applyNumberFormat="1" applyFont="1"/>
    <xf numFmtId="9" fontId="6" fillId="2" borderId="0" xfId="3" applyNumberFormat="1" applyFont="1" applyFill="1"/>
    <xf numFmtId="9" fontId="7" fillId="2" borderId="0" xfId="5" applyFont="1" applyFill="1"/>
    <xf numFmtId="37" fontId="5" fillId="2" borderId="1" xfId="3" applyNumberFormat="1" applyFont="1" applyFill="1" applyBorder="1" applyAlignment="1">
      <alignment horizontal="right"/>
    </xf>
    <xf numFmtId="167" fontId="5" fillId="0" borderId="0" xfId="5" applyNumberFormat="1" applyFont="1" applyFill="1" applyAlignment="1">
      <alignment horizontal="right"/>
    </xf>
    <xf numFmtId="37" fontId="4" fillId="2" borderId="0" xfId="3" applyNumberFormat="1" applyFont="1" applyFill="1" applyAlignment="1">
      <alignment horizontal="left"/>
    </xf>
    <xf numFmtId="9" fontId="6" fillId="2" borderId="0" xfId="3" applyNumberFormat="1" applyFont="1" applyFill="1" applyAlignment="1">
      <alignment horizontal="left" indent="1"/>
    </xf>
    <xf numFmtId="9" fontId="5" fillId="4" borderId="0" xfId="5" applyFont="1" applyFill="1"/>
    <xf numFmtId="167" fontId="6" fillId="2" borderId="0" xfId="3" applyNumberFormat="1" applyFont="1" applyFill="1"/>
    <xf numFmtId="167" fontId="7" fillId="2" borderId="0" xfId="5" applyNumberFormat="1" applyFont="1" applyFill="1"/>
    <xf numFmtId="9" fontId="6" fillId="3" borderId="0" xfId="3" applyNumberFormat="1" applyFont="1" applyFill="1" applyAlignment="1">
      <alignment horizontal="right"/>
    </xf>
    <xf numFmtId="37" fontId="7" fillId="2" borderId="0" xfId="3" applyNumberFormat="1" applyFont="1" applyFill="1"/>
    <xf numFmtId="37" fontId="7" fillId="0" borderId="0" xfId="3" applyNumberFormat="1" applyFont="1"/>
    <xf numFmtId="9" fontId="7" fillId="4" borderId="0" xfId="5" applyFont="1" applyFill="1" applyAlignment="1">
      <alignment horizontal="right"/>
    </xf>
    <xf numFmtId="168" fontId="5" fillId="4" borderId="0" xfId="3" applyNumberFormat="1" applyFont="1" applyFill="1"/>
    <xf numFmtId="37" fontId="7" fillId="2" borderId="0" xfId="3" applyNumberFormat="1" applyFont="1" applyFill="1" applyAlignment="1">
      <alignment horizontal="left"/>
    </xf>
    <xf numFmtId="9" fontId="6" fillId="2" borderId="0" xfId="2" applyFont="1" applyFill="1"/>
    <xf numFmtId="167" fontId="4" fillId="0" borderId="0" xfId="5" applyNumberFormat="1" applyFont="1" applyFill="1" applyAlignment="1">
      <alignment horizontal="right"/>
    </xf>
    <xf numFmtId="9" fontId="13" fillId="2" borderId="0" xfId="3" applyNumberFormat="1" applyFont="1" applyFill="1" applyAlignment="1">
      <alignment horizontal="right"/>
    </xf>
    <xf numFmtId="167" fontId="6" fillId="2" borderId="0" xfId="3" applyNumberFormat="1" applyFont="1" applyFill="1" applyAlignment="1">
      <alignment horizontal="right"/>
    </xf>
    <xf numFmtId="37" fontId="7" fillId="3" borderId="0" xfId="3" applyNumberFormat="1" applyFont="1" applyFill="1" applyAlignment="1">
      <alignment horizontal="right"/>
    </xf>
    <xf numFmtId="37" fontId="16" fillId="2" borderId="0" xfId="3" applyNumberFormat="1" applyFont="1" applyFill="1" applyAlignment="1">
      <alignment horizontal="left"/>
    </xf>
    <xf numFmtId="37" fontId="7" fillId="2" borderId="0" xfId="3" applyNumberFormat="1" applyFont="1" applyFill="1" applyAlignment="1">
      <alignment horizontal="left" indent="1"/>
    </xf>
    <xf numFmtId="9" fontId="6" fillId="2" borderId="0" xfId="2" applyFont="1" applyFill="1" applyAlignment="1">
      <alignment horizontal="right"/>
    </xf>
    <xf numFmtId="9" fontId="15" fillId="2" borderId="0" xfId="2" applyFont="1" applyFill="1" applyBorder="1" applyAlignment="1">
      <alignment horizontal="right"/>
    </xf>
    <xf numFmtId="9" fontId="6" fillId="2" borderId="0" xfId="2" applyFont="1" applyFill="1" applyBorder="1" applyAlignment="1">
      <alignment horizontal="right"/>
    </xf>
    <xf numFmtId="37" fontId="16" fillId="2" borderId="0" xfId="3" applyNumberFormat="1" applyFont="1" applyFill="1"/>
    <xf numFmtId="9" fontId="15" fillId="2" borderId="0" xfId="2" applyFont="1" applyFill="1" applyAlignment="1">
      <alignment horizontal="right"/>
    </xf>
    <xf numFmtId="37" fontId="5" fillId="2" borderId="2" xfId="3" applyNumberFormat="1" applyFont="1" applyFill="1" applyBorder="1"/>
    <xf numFmtId="37" fontId="5" fillId="2" borderId="2" xfId="3" applyNumberFormat="1" applyFont="1" applyFill="1" applyBorder="1" applyAlignment="1">
      <alignment horizontal="left"/>
    </xf>
    <xf numFmtId="37" fontId="5" fillId="2" borderId="2" xfId="3" applyNumberFormat="1" applyFont="1" applyFill="1" applyBorder="1" applyAlignment="1">
      <alignment horizontal="right"/>
    </xf>
    <xf numFmtId="37" fontId="5" fillId="3" borderId="2" xfId="3" applyNumberFormat="1" applyFont="1" applyFill="1" applyBorder="1" applyAlignment="1">
      <alignment horizontal="right"/>
    </xf>
    <xf numFmtId="164" fontId="5" fillId="2" borderId="0" xfId="1" applyFont="1" applyFill="1" applyAlignment="1">
      <alignment horizontal="right" vertical="center"/>
    </xf>
    <xf numFmtId="166" fontId="5" fillId="2" borderId="0" xfId="1" applyNumberFormat="1" applyFont="1" applyFill="1" applyAlignment="1">
      <alignment horizontal="right" vertical="center"/>
    </xf>
    <xf numFmtId="9" fontId="2" fillId="0" borderId="0" xfId="0" applyNumberFormat="1" applyFont="1"/>
    <xf numFmtId="9" fontId="3" fillId="0" borderId="0" xfId="0" applyNumberFormat="1" applyFont="1"/>
    <xf numFmtId="37" fontId="7" fillId="3" borderId="0" xfId="0" applyNumberFormat="1" applyFont="1" applyFill="1" applyAlignment="1">
      <alignment horizontal="right" vertical="center"/>
    </xf>
    <xf numFmtId="9" fontId="5" fillId="3" borderId="0" xfId="0" applyNumberFormat="1" applyFont="1" applyFill="1" applyAlignment="1">
      <alignment horizontal="right" vertical="center"/>
    </xf>
    <xf numFmtId="37" fontId="2" fillId="0" borderId="0" xfId="0" applyNumberFormat="1" applyFont="1"/>
    <xf numFmtId="37" fontId="3" fillId="2" borderId="0" xfId="0" applyNumberFormat="1" applyFont="1" applyFill="1"/>
    <xf numFmtId="37" fontId="2" fillId="2" borderId="0" xfId="0" applyNumberFormat="1" applyFont="1" applyFill="1"/>
    <xf numFmtId="37" fontId="2" fillId="2" borderId="0" xfId="0" applyNumberFormat="1" applyFont="1" applyFill="1" applyAlignment="1">
      <alignment horizontal="left"/>
    </xf>
    <xf numFmtId="37" fontId="3" fillId="0" borderId="0" xfId="0" applyNumberFormat="1" applyFont="1" applyAlignment="1">
      <alignment wrapText="1"/>
    </xf>
    <xf numFmtId="37" fontId="3" fillId="2" borderId="1" xfId="0" applyNumberFormat="1" applyFont="1" applyFill="1" applyBorder="1" applyAlignment="1">
      <alignment wrapText="1"/>
    </xf>
    <xf numFmtId="37" fontId="3" fillId="2" borderId="1" xfId="0" applyNumberFormat="1" applyFont="1" applyFill="1" applyBorder="1" applyAlignment="1">
      <alignment horizontal="right" wrapText="1"/>
    </xf>
    <xf numFmtId="37" fontId="3" fillId="2" borderId="1" xfId="0" applyNumberFormat="1" applyFont="1" applyFill="1" applyBorder="1" applyAlignment="1">
      <alignment horizontal="left" wrapText="1"/>
    </xf>
    <xf numFmtId="37" fontId="3" fillId="0" borderId="0" xfId="0" quotePrefix="1" applyNumberFormat="1" applyFont="1" applyAlignment="1">
      <alignment horizontal="left" wrapText="1"/>
    </xf>
    <xf numFmtId="37" fontId="2" fillId="0" borderId="0" xfId="0" applyNumberFormat="1" applyFont="1" applyAlignment="1">
      <alignment horizontal="left"/>
    </xf>
    <xf numFmtId="37" fontId="2" fillId="8" borderId="0" xfId="0" applyNumberFormat="1" applyFont="1" applyFill="1"/>
    <xf numFmtId="37" fontId="3" fillId="2" borderId="0" xfId="0" applyNumberFormat="1" applyFont="1" applyFill="1" applyAlignment="1">
      <alignment horizontal="left"/>
    </xf>
    <xf numFmtId="37" fontId="2" fillId="4" borderId="0" xfId="0" applyNumberFormat="1" applyFont="1" applyFill="1"/>
    <xf numFmtId="37" fontId="2" fillId="4" borderId="0" xfId="0" applyNumberFormat="1" applyFont="1" applyFill="1" applyAlignment="1">
      <alignment horizontal="left"/>
    </xf>
    <xf numFmtId="37" fontId="2" fillId="2" borderId="0" xfId="0" applyNumberFormat="1" applyFont="1" applyFill="1" applyAlignment="1">
      <alignment horizontal="right"/>
    </xf>
    <xf numFmtId="37" fontId="2" fillId="2" borderId="0" xfId="1" applyNumberFormat="1" applyFont="1" applyFill="1" applyAlignment="1">
      <alignment horizontal="left"/>
    </xf>
    <xf numFmtId="37" fontId="3" fillId="0" borderId="0" xfId="0" applyNumberFormat="1" applyFont="1"/>
    <xf numFmtId="37" fontId="3" fillId="0" borderId="0" xfId="0" applyNumberFormat="1" applyFont="1" applyAlignment="1">
      <alignment horizontal="right"/>
    </xf>
    <xf numFmtId="37" fontId="2" fillId="0" borderId="0" xfId="0" applyNumberFormat="1" applyFont="1" applyAlignment="1">
      <alignment horizontal="right"/>
    </xf>
    <xf numFmtId="168" fontId="2" fillId="2" borderId="0" xfId="0" applyNumberFormat="1" applyFont="1" applyFill="1"/>
    <xf numFmtId="168" fontId="3" fillId="2" borderId="1" xfId="0" applyNumberFormat="1" applyFont="1" applyFill="1" applyBorder="1" applyAlignment="1">
      <alignment horizontal="right" wrapText="1"/>
    </xf>
    <xf numFmtId="168" fontId="3" fillId="2" borderId="0" xfId="0" applyNumberFormat="1" applyFont="1" applyFill="1"/>
    <xf numFmtId="168" fontId="2" fillId="4" borderId="0" xfId="0" applyNumberFormat="1" applyFont="1" applyFill="1"/>
    <xf numFmtId="168" fontId="2" fillId="0" borderId="0" xfId="0" applyNumberFormat="1" applyFont="1"/>
    <xf numFmtId="168" fontId="3" fillId="0" borderId="0" xfId="0" applyNumberFormat="1" applyFont="1"/>
    <xf numFmtId="37" fontId="3" fillId="0" borderId="0" xfId="0" applyNumberFormat="1" applyFont="1" applyAlignment="1">
      <alignment horizontal="left"/>
    </xf>
    <xf numFmtId="37" fontId="2" fillId="0" borderId="0" xfId="0" applyNumberFormat="1" applyFont="1" applyAlignment="1">
      <alignment horizontal="left" indent="1"/>
    </xf>
    <xf numFmtId="9" fontId="2" fillId="2" borderId="0" xfId="0" applyNumberFormat="1" applyFont="1" applyFill="1" applyAlignment="1">
      <alignment horizontal="left"/>
    </xf>
    <xf numFmtId="9" fontId="3" fillId="2" borderId="1" xfId="0" applyNumberFormat="1" applyFont="1" applyFill="1" applyBorder="1" applyAlignment="1">
      <alignment horizontal="left" wrapText="1"/>
    </xf>
    <xf numFmtId="9" fontId="2" fillId="4" borderId="0" xfId="0" applyNumberFormat="1" applyFont="1" applyFill="1" applyAlignment="1">
      <alignment horizontal="left"/>
    </xf>
    <xf numFmtId="9" fontId="3" fillId="0" borderId="0" xfId="0" applyNumberFormat="1" applyFont="1" applyAlignment="1">
      <alignment horizontal="left"/>
    </xf>
    <xf numFmtId="9" fontId="2" fillId="0" borderId="0" xfId="0" applyNumberFormat="1" applyFont="1" applyAlignment="1">
      <alignment horizontal="left"/>
    </xf>
    <xf numFmtId="37" fontId="5" fillId="2" borderId="0" xfId="0" applyNumberFormat="1" applyFont="1" applyFill="1" applyAlignment="1">
      <alignment horizontal="left" vertical="center"/>
    </xf>
    <xf numFmtId="37" fontId="5" fillId="3" borderId="0" xfId="0" applyNumberFormat="1" applyFont="1" applyFill="1" applyAlignment="1">
      <alignment horizontal="left" vertical="center"/>
    </xf>
    <xf numFmtId="166" fontId="7" fillId="2" borderId="0" xfId="1" applyNumberFormat="1" applyFont="1" applyFill="1" applyAlignment="1">
      <alignment horizontal="right" vertical="center"/>
    </xf>
    <xf numFmtId="37" fontId="4" fillId="2" borderId="1" xfId="3" applyNumberFormat="1" applyFont="1" applyFill="1" applyBorder="1" applyAlignment="1">
      <alignment horizontal="right"/>
    </xf>
    <xf numFmtId="168" fontId="2" fillId="2" borderId="0" xfId="0" applyNumberFormat="1" applyFont="1" applyFill="1" applyAlignment="1">
      <alignment horizontal="right"/>
    </xf>
    <xf numFmtId="37" fontId="2" fillId="2" borderId="0" xfId="0" quotePrefix="1" applyNumberFormat="1" applyFont="1" applyFill="1" applyAlignment="1">
      <alignment horizontal="right"/>
    </xf>
    <xf numFmtId="37" fontId="2" fillId="0" borderId="1" xfId="0" applyNumberFormat="1" applyFont="1" applyBorder="1"/>
    <xf numFmtId="37" fontId="2" fillId="0" borderId="3" xfId="0" applyNumberFormat="1" applyFont="1" applyBorder="1"/>
    <xf numFmtId="9" fontId="2" fillId="0" borderId="3" xfId="0" applyNumberFormat="1" applyFont="1" applyBorder="1" applyAlignment="1">
      <alignment horizontal="left"/>
    </xf>
    <xf numFmtId="37" fontId="2" fillId="0" borderId="4" xfId="0" applyNumberFormat="1" applyFont="1" applyBorder="1"/>
    <xf numFmtId="171" fontId="2" fillId="0" borderId="4" xfId="0" applyNumberFormat="1" applyFont="1" applyBorder="1" applyAlignment="1">
      <alignment horizontal="left"/>
    </xf>
    <xf numFmtId="37" fontId="2" fillId="0" borderId="5" xfId="0" applyNumberFormat="1" applyFont="1" applyBorder="1"/>
    <xf numFmtId="37" fontId="3" fillId="0" borderId="6" xfId="0" applyNumberFormat="1" applyFont="1" applyBorder="1"/>
    <xf numFmtId="37" fontId="2" fillId="0" borderId="7" xfId="0" applyNumberFormat="1" applyFont="1" applyBorder="1"/>
    <xf numFmtId="37" fontId="2" fillId="0" borderId="8" xfId="0" applyNumberFormat="1" applyFont="1" applyBorder="1"/>
    <xf numFmtId="37" fontId="2" fillId="0" borderId="9" xfId="0" applyNumberFormat="1" applyFont="1" applyBorder="1"/>
    <xf numFmtId="37" fontId="3" fillId="0" borderId="8" xfId="0" applyNumberFormat="1" applyFont="1" applyBorder="1"/>
    <xf numFmtId="37" fontId="2" fillId="0" borderId="8" xfId="0" applyNumberFormat="1" applyFont="1" applyBorder="1" applyAlignment="1">
      <alignment horizontal="left" indent="1"/>
    </xf>
    <xf numFmtId="9" fontId="2" fillId="0" borderId="9" xfId="2" applyFont="1" applyBorder="1"/>
    <xf numFmtId="37" fontId="2" fillId="0" borderId="10" xfId="0" applyNumberFormat="1" applyFont="1" applyBorder="1" applyAlignment="1">
      <alignment horizontal="left" indent="1"/>
    </xf>
    <xf numFmtId="9" fontId="2" fillId="0" borderId="11" xfId="2" applyFont="1" applyBorder="1"/>
    <xf numFmtId="37" fontId="2" fillId="0" borderId="6" xfId="0" applyNumberFormat="1" applyFont="1" applyBorder="1" applyAlignment="1">
      <alignment horizontal="left" indent="1"/>
    </xf>
    <xf numFmtId="9" fontId="2" fillId="0" borderId="7" xfId="2" applyFont="1" applyBorder="1"/>
    <xf numFmtId="37" fontId="3" fillId="0" borderId="1" xfId="0" applyNumberFormat="1" applyFont="1" applyBorder="1"/>
    <xf numFmtId="0" fontId="5" fillId="3" borderId="0" xfId="0" applyFont="1" applyFill="1" applyAlignment="1">
      <alignment vertical="center"/>
    </xf>
    <xf numFmtId="37" fontId="5" fillId="2" borderId="0" xfId="0" applyNumberFormat="1" applyFont="1" applyFill="1" applyAlignment="1">
      <alignment horizontal="left" vertical="center" indent="1"/>
    </xf>
    <xf numFmtId="4" fontId="5" fillId="3" borderId="0" xfId="0" applyNumberFormat="1" applyFont="1" applyFill="1" applyAlignment="1">
      <alignment vertical="center"/>
    </xf>
    <xf numFmtId="166" fontId="5" fillId="3" borderId="0" xfId="1" applyNumberFormat="1" applyFont="1" applyFill="1" applyAlignment="1">
      <alignment vertical="center"/>
    </xf>
    <xf numFmtId="166" fontId="5" fillId="0" borderId="0" xfId="1" applyNumberFormat="1" applyFont="1" applyFill="1" applyAlignment="1">
      <alignment vertical="center"/>
    </xf>
    <xf numFmtId="37" fontId="5" fillId="2" borderId="0" xfId="3" quotePrefix="1" applyNumberFormat="1" applyFont="1" applyFill="1" applyAlignment="1">
      <alignment horizontal="left" indent="1"/>
    </xf>
    <xf numFmtId="37" fontId="5" fillId="0" borderId="0" xfId="3" quotePrefix="1" applyNumberFormat="1" applyFont="1" applyAlignment="1">
      <alignment horizontal="left" indent="1"/>
    </xf>
    <xf numFmtId="37" fontId="5" fillId="0" borderId="0" xfId="3" applyNumberFormat="1" applyFont="1" applyAlignment="1">
      <alignment horizontal="left"/>
    </xf>
    <xf numFmtId="168" fontId="18" fillId="0" borderId="0" xfId="7" applyNumberFormat="1"/>
    <xf numFmtId="37" fontId="5" fillId="8" borderId="0" xfId="0" applyNumberFormat="1" applyFont="1" applyFill="1" applyAlignment="1">
      <alignment horizontal="right" vertical="center"/>
    </xf>
    <xf numFmtId="37" fontId="2" fillId="8" borderId="0" xfId="0" applyNumberFormat="1" applyFont="1" applyFill="1" applyAlignment="1">
      <alignment horizontal="left"/>
    </xf>
    <xf numFmtId="37" fontId="7" fillId="2" borderId="0" xfId="3" quotePrefix="1" applyNumberFormat="1" applyFont="1" applyFill="1" applyAlignment="1">
      <alignment horizontal="left" indent="1"/>
    </xf>
    <xf numFmtId="37" fontId="16" fillId="4" borderId="0" xfId="3" applyNumberFormat="1" applyFont="1" applyFill="1"/>
    <xf numFmtId="9" fontId="6" fillId="3" borderId="0" xfId="2" applyFont="1" applyFill="1" applyAlignment="1">
      <alignment horizontal="right"/>
    </xf>
    <xf numFmtId="167" fontId="20" fillId="3" borderId="0" xfId="0" applyNumberFormat="1" applyFont="1" applyFill="1" applyAlignment="1">
      <alignment horizontal="right" vertical="center"/>
    </xf>
    <xf numFmtId="37" fontId="4" fillId="2" borderId="0" xfId="3" quotePrefix="1" applyNumberFormat="1" applyFont="1" applyFill="1"/>
    <xf numFmtId="9" fontId="20" fillId="3" borderId="0" xfId="0" applyNumberFormat="1" applyFont="1" applyFill="1" applyAlignment="1">
      <alignment horizontal="right" vertical="center"/>
    </xf>
    <xf numFmtId="9" fontId="5" fillId="2" borderId="0" xfId="3" applyNumberFormat="1" applyFont="1" applyFill="1"/>
    <xf numFmtId="9" fontId="4" fillId="2" borderId="0" xfId="3" applyNumberFormat="1" applyFont="1" applyFill="1"/>
    <xf numFmtId="37" fontId="5" fillId="4" borderId="0" xfId="3" applyNumberFormat="1" applyFont="1" applyFill="1" applyAlignment="1">
      <alignment horizontal="left"/>
    </xf>
    <xf numFmtId="9" fontId="15" fillId="3" borderId="0" xfId="2" applyFont="1" applyFill="1" applyAlignment="1">
      <alignment horizontal="right"/>
    </xf>
    <xf numFmtId="37" fontId="12" fillId="4" borderId="0" xfId="3" applyNumberFormat="1" applyFont="1" applyFill="1"/>
    <xf numFmtId="37" fontId="16" fillId="0" borderId="0" xfId="3" applyNumberFormat="1" applyFont="1"/>
    <xf numFmtId="166" fontId="5" fillId="3" borderId="0" xfId="1" applyNumberFormat="1" applyFont="1" applyFill="1" applyAlignment="1">
      <alignment horizontal="right" vertical="center"/>
    </xf>
    <xf numFmtId="37" fontId="5" fillId="2" borderId="0" xfId="9" applyNumberFormat="1" applyFont="1" applyFill="1"/>
    <xf numFmtId="37" fontId="5" fillId="2" borderId="0" xfId="9" applyNumberFormat="1" applyFont="1" applyFill="1" applyAlignment="1">
      <alignment horizontal="right"/>
    </xf>
    <xf numFmtId="37" fontId="5" fillId="2" borderId="0" xfId="9" applyNumberFormat="1" applyFont="1" applyFill="1" applyAlignment="1">
      <alignment horizontal="left"/>
    </xf>
    <xf numFmtId="37" fontId="4" fillId="2" borderId="0" xfId="9" applyNumberFormat="1" applyFont="1" applyFill="1" applyAlignment="1">
      <alignment horizontal="right"/>
    </xf>
    <xf numFmtId="37" fontId="17" fillId="2" borderId="0" xfId="9" applyNumberFormat="1" applyFont="1" applyFill="1" applyAlignment="1">
      <alignment horizontal="right"/>
    </xf>
    <xf numFmtId="37" fontId="5" fillId="3" borderId="0" xfId="9" applyNumberFormat="1" applyFont="1" applyFill="1" applyAlignment="1">
      <alignment horizontal="right"/>
    </xf>
    <xf numFmtId="37" fontId="5" fillId="4" borderId="0" xfId="9" applyNumberFormat="1" applyFont="1" applyFill="1" applyAlignment="1">
      <alignment horizontal="right"/>
    </xf>
    <xf numFmtId="37" fontId="5" fillId="2" borderId="0" xfId="0" applyNumberFormat="1" applyFont="1" applyFill="1" applyAlignment="1">
      <alignment horizontal="right"/>
    </xf>
    <xf numFmtId="37" fontId="5" fillId="3" borderId="0" xfId="0" applyNumberFormat="1" applyFont="1" applyFill="1" applyAlignment="1">
      <alignment horizontal="right"/>
    </xf>
    <xf numFmtId="37" fontId="4" fillId="2" borderId="1" xfId="9" applyNumberFormat="1" applyFont="1" applyFill="1" applyBorder="1" applyAlignment="1">
      <alignment horizontal="right"/>
    </xf>
    <xf numFmtId="37" fontId="4" fillId="2" borderId="1" xfId="9" applyNumberFormat="1" applyFont="1" applyFill="1" applyBorder="1" applyAlignment="1">
      <alignment horizontal="left"/>
    </xf>
    <xf numFmtId="37" fontId="4" fillId="2" borderId="0" xfId="9" applyNumberFormat="1" applyFont="1" applyFill="1" applyAlignment="1">
      <alignment horizontal="left"/>
    </xf>
    <xf numFmtId="9" fontId="17" fillId="2" borderId="0" xfId="2" applyFont="1" applyFill="1" applyAlignment="1">
      <alignment horizontal="right" vertical="center"/>
    </xf>
    <xf numFmtId="37" fontId="5" fillId="3" borderId="2" xfId="0" applyNumberFormat="1" applyFont="1" applyFill="1" applyBorder="1" applyAlignment="1">
      <alignment horizontal="right" vertical="center"/>
    </xf>
    <xf numFmtId="37" fontId="5" fillId="9" borderId="0" xfId="0" applyNumberFormat="1" applyFont="1" applyFill="1" applyAlignment="1">
      <alignment horizontal="right" vertical="center"/>
    </xf>
    <xf numFmtId="37" fontId="5" fillId="3" borderId="1" xfId="0" applyNumberFormat="1" applyFont="1" applyFill="1" applyBorder="1" applyAlignment="1">
      <alignment horizontal="right" vertical="center"/>
    </xf>
    <xf numFmtId="9" fontId="17" fillId="3" borderId="0" xfId="0" applyNumberFormat="1" applyFont="1" applyFill="1" applyAlignment="1">
      <alignment vertical="center"/>
    </xf>
    <xf numFmtId="37" fontId="5" fillId="3" borderId="0" xfId="0" applyNumberFormat="1" applyFont="1" applyFill="1" applyAlignment="1">
      <alignment vertical="center"/>
    </xf>
    <xf numFmtId="166" fontId="4" fillId="3" borderId="0" xfId="1" applyNumberFormat="1" applyFont="1" applyFill="1" applyAlignment="1">
      <alignment vertical="center"/>
    </xf>
    <xf numFmtId="37" fontId="4" fillId="3" borderId="1" xfId="0" applyNumberFormat="1" applyFont="1" applyFill="1" applyBorder="1" applyAlignment="1">
      <alignment horizontal="right" vertical="center"/>
    </xf>
    <xf numFmtId="168" fontId="5" fillId="3" borderId="0" xfId="0" applyNumberFormat="1" applyFont="1" applyFill="1" applyAlignment="1">
      <alignment horizontal="right" vertical="center"/>
    </xf>
    <xf numFmtId="37" fontId="17" fillId="3" borderId="0" xfId="0" applyNumberFormat="1" applyFont="1" applyFill="1" applyAlignment="1">
      <alignment horizontal="right" vertical="center"/>
    </xf>
    <xf numFmtId="9" fontId="5" fillId="4" borderId="0" xfId="3" applyNumberFormat="1" applyFont="1" applyFill="1" applyAlignment="1">
      <alignment horizontal="left"/>
    </xf>
    <xf numFmtId="9" fontId="4" fillId="4" borderId="0" xfId="3" applyNumberFormat="1" applyFont="1" applyFill="1" applyAlignment="1">
      <alignment horizontal="left"/>
    </xf>
    <xf numFmtId="37" fontId="25" fillId="6" borderId="0" xfId="0" applyNumberFormat="1" applyFont="1" applyFill="1"/>
    <xf numFmtId="37" fontId="26" fillId="6" borderId="0" xfId="0" applyNumberFormat="1" applyFont="1" applyFill="1"/>
    <xf numFmtId="0" fontId="27" fillId="0" borderId="0" xfId="0" applyFont="1"/>
    <xf numFmtId="166" fontId="0" fillId="0" borderId="0" xfId="1" applyNumberFormat="1" applyFont="1"/>
    <xf numFmtId="0" fontId="27" fillId="0" borderId="0" xfId="0" applyFont="1" applyAlignment="1">
      <alignment horizontal="right"/>
    </xf>
    <xf numFmtId="164" fontId="0" fillId="0" borderId="0" xfId="0" applyNumberFormat="1"/>
    <xf numFmtId="37" fontId="12" fillId="2" borderId="0" xfId="3" applyNumberFormat="1" applyFont="1" applyFill="1" applyAlignment="1">
      <alignment horizontal="right"/>
    </xf>
    <xf numFmtId="37" fontId="16" fillId="0" borderId="0" xfId="3" applyNumberFormat="1" applyFont="1" applyAlignment="1">
      <alignment horizontal="left"/>
    </xf>
    <xf numFmtId="37" fontId="7" fillId="0" borderId="0" xfId="3" applyNumberFormat="1" applyFont="1" applyAlignment="1">
      <alignment horizontal="left"/>
    </xf>
    <xf numFmtId="37" fontId="7" fillId="0" borderId="0" xfId="3" applyNumberFormat="1" applyFont="1" applyAlignment="1">
      <alignment horizontal="right"/>
    </xf>
    <xf numFmtId="9" fontId="5" fillId="8" borderId="0" xfId="0" applyNumberFormat="1" applyFont="1" applyFill="1" applyAlignment="1">
      <alignment vertical="center"/>
    </xf>
    <xf numFmtId="37" fontId="5" fillId="4" borderId="0" xfId="3" quotePrefix="1" applyNumberFormat="1" applyFont="1" applyFill="1"/>
    <xf numFmtId="9" fontId="5" fillId="0" borderId="0" xfId="2" applyFont="1" applyAlignment="1">
      <alignment vertical="center"/>
    </xf>
    <xf numFmtId="37" fontId="2" fillId="2" borderId="0" xfId="0" applyNumberFormat="1" applyFont="1" applyFill="1" applyAlignment="1">
      <alignment horizontal="left" indent="1"/>
    </xf>
    <xf numFmtId="37" fontId="2" fillId="2" borderId="1" xfId="0" applyNumberFormat="1" applyFont="1" applyFill="1" applyBorder="1"/>
    <xf numFmtId="37" fontId="2" fillId="2" borderId="1" xfId="0" applyNumberFormat="1" applyFont="1" applyFill="1" applyBorder="1" applyAlignment="1">
      <alignment horizontal="right"/>
    </xf>
    <xf numFmtId="37" fontId="3" fillId="2" borderId="1" xfId="0" applyNumberFormat="1" applyFont="1" applyFill="1" applyBorder="1" applyAlignment="1">
      <alignment horizontal="right"/>
    </xf>
    <xf numFmtId="37" fontId="2" fillId="4" borderId="0" xfId="0" applyNumberFormat="1" applyFont="1" applyFill="1" applyAlignment="1">
      <alignment horizontal="right"/>
    </xf>
    <xf numFmtId="9" fontId="2" fillId="0" borderId="0" xfId="0" applyNumberFormat="1" applyFont="1" applyAlignment="1">
      <alignment horizontal="right"/>
    </xf>
    <xf numFmtId="37" fontId="2" fillId="0" borderId="3" xfId="0" applyNumberFormat="1" applyFont="1" applyBorder="1" applyAlignment="1">
      <alignment horizontal="right"/>
    </xf>
    <xf numFmtId="172" fontId="5" fillId="2" borderId="0" xfId="0" applyNumberFormat="1" applyFont="1" applyFill="1" applyAlignment="1">
      <alignment vertical="center"/>
    </xf>
    <xf numFmtId="172" fontId="5" fillId="2" borderId="0" xfId="0" applyNumberFormat="1" applyFont="1" applyFill="1" applyAlignment="1">
      <alignment horizontal="right" vertical="center"/>
    </xf>
    <xf numFmtId="172" fontId="5" fillId="2" borderId="0" xfId="1" applyNumberFormat="1" applyFont="1" applyFill="1" applyAlignment="1">
      <alignment horizontal="right" vertical="center"/>
    </xf>
    <xf numFmtId="172" fontId="5" fillId="3" borderId="0" xfId="1" applyNumberFormat="1" applyFont="1" applyFill="1" applyAlignment="1">
      <alignment horizontal="right" vertical="center"/>
    </xf>
    <xf numFmtId="172" fontId="5" fillId="0" borderId="0" xfId="0" applyNumberFormat="1" applyFont="1" applyAlignment="1">
      <alignment vertical="center"/>
    </xf>
    <xf numFmtId="166" fontId="5" fillId="8" borderId="0" xfId="1" applyNumberFormat="1" applyFont="1" applyFill="1" applyAlignment="1">
      <alignment horizontal="right" vertical="center"/>
    </xf>
    <xf numFmtId="37" fontId="2" fillId="2" borderId="0" xfId="0" quotePrefix="1" applyNumberFormat="1" applyFont="1" applyFill="1" applyAlignment="1">
      <alignment horizontal="left"/>
    </xf>
    <xf numFmtId="37" fontId="2" fillId="2" borderId="0" xfId="0" quotePrefix="1" applyNumberFormat="1" applyFont="1" applyFill="1"/>
    <xf numFmtId="168" fontId="3" fillId="4" borderId="0" xfId="0" applyNumberFormat="1" applyFont="1" applyFill="1"/>
    <xf numFmtId="37" fontId="3" fillId="4" borderId="0" xfId="0" applyNumberFormat="1" applyFont="1" applyFill="1" applyAlignment="1">
      <alignment horizontal="left"/>
    </xf>
    <xf numFmtId="37" fontId="3" fillId="4" borderId="0" xfId="0" applyNumberFormat="1" applyFont="1" applyFill="1"/>
    <xf numFmtId="37" fontId="3" fillId="2" borderId="1" xfId="0" applyNumberFormat="1" applyFont="1" applyFill="1" applyBorder="1"/>
    <xf numFmtId="9" fontId="2" fillId="2" borderId="1" xfId="0" applyNumberFormat="1" applyFont="1" applyFill="1" applyBorder="1" applyAlignment="1">
      <alignment horizontal="left"/>
    </xf>
    <xf numFmtId="168" fontId="2" fillId="2" borderId="1" xfId="0" applyNumberFormat="1" applyFont="1" applyFill="1" applyBorder="1"/>
    <xf numFmtId="37" fontId="2" fillId="2" borderId="1" xfId="0" applyNumberFormat="1" applyFont="1" applyFill="1" applyBorder="1" applyAlignment="1">
      <alignment horizontal="left"/>
    </xf>
    <xf numFmtId="168" fontId="3" fillId="2" borderId="0" xfId="0" applyNumberFormat="1" applyFont="1" applyFill="1" applyAlignment="1">
      <alignment horizontal="right"/>
    </xf>
    <xf numFmtId="168" fontId="3" fillId="4" borderId="0" xfId="0" applyNumberFormat="1" applyFont="1" applyFill="1" applyAlignment="1">
      <alignment horizontal="right"/>
    </xf>
    <xf numFmtId="168" fontId="2" fillId="2" borderId="1" xfId="0" applyNumberFormat="1" applyFont="1" applyFill="1" applyBorder="1" applyAlignment="1">
      <alignment horizontal="right"/>
    </xf>
    <xf numFmtId="168" fontId="2" fillId="4" borderId="0" xfId="0" applyNumberFormat="1" applyFont="1" applyFill="1" applyAlignment="1">
      <alignment horizontal="right"/>
    </xf>
    <xf numFmtId="168" fontId="2" fillId="0" borderId="0" xfId="0" applyNumberFormat="1" applyFont="1" applyAlignment="1">
      <alignment horizontal="right"/>
    </xf>
    <xf numFmtId="168" fontId="3" fillId="0" borderId="0" xfId="0" applyNumberFormat="1" applyFont="1" applyAlignment="1">
      <alignment horizontal="right"/>
    </xf>
    <xf numFmtId="37" fontId="3" fillId="2" borderId="0" xfId="0" applyNumberFormat="1" applyFont="1" applyFill="1" applyAlignment="1">
      <alignment horizontal="right"/>
    </xf>
    <xf numFmtId="0" fontId="2" fillId="2" borderId="0" xfId="0" applyFont="1" applyFill="1"/>
    <xf numFmtId="0" fontId="3" fillId="2" borderId="1" xfId="0" applyFont="1" applyFill="1" applyBorder="1" applyAlignment="1">
      <alignment horizontal="right" wrapText="1"/>
    </xf>
    <xf numFmtId="0" fontId="3" fillId="2" borderId="0" xfId="0" applyFont="1" applyFill="1"/>
    <xf numFmtId="0" fontId="3" fillId="4" borderId="0" xfId="0" applyFont="1" applyFill="1"/>
    <xf numFmtId="0" fontId="2" fillId="2" borderId="1" xfId="0" applyFont="1" applyFill="1" applyBorder="1"/>
    <xf numFmtId="0" fontId="2" fillId="4" borderId="0" xfId="0" applyFont="1" applyFill="1"/>
    <xf numFmtId="0" fontId="2" fillId="0" borderId="0" xfId="0" applyFont="1"/>
    <xf numFmtId="0" fontId="3" fillId="0" borderId="0" xfId="0" applyFont="1"/>
    <xf numFmtId="0" fontId="2" fillId="2" borderId="0" xfId="0" applyFont="1" applyFill="1" applyAlignment="1">
      <alignment horizontal="right"/>
    </xf>
    <xf numFmtId="37" fontId="18" fillId="8" borderId="0" xfId="7" applyNumberFormat="1" applyFill="1" applyAlignment="1"/>
    <xf numFmtId="168" fontId="2" fillId="2" borderId="0" xfId="0" applyNumberFormat="1" applyFont="1" applyFill="1" applyAlignment="1">
      <alignment horizontal="left"/>
    </xf>
    <xf numFmtId="168" fontId="3" fillId="2" borderId="1" xfId="0" applyNumberFormat="1" applyFont="1" applyFill="1" applyBorder="1" applyAlignment="1">
      <alignment horizontal="left" wrapText="1"/>
    </xf>
    <xf numFmtId="37" fontId="5" fillId="2" borderId="0" xfId="3" quotePrefix="1" applyNumberFormat="1" applyFont="1" applyFill="1" applyAlignment="1">
      <alignment horizontal="left"/>
    </xf>
    <xf numFmtId="37" fontId="5" fillId="4" borderId="0" xfId="2" applyNumberFormat="1" applyFont="1" applyFill="1"/>
    <xf numFmtId="37" fontId="5" fillId="2" borderId="0" xfId="1" applyNumberFormat="1" applyFont="1" applyFill="1" applyAlignment="1">
      <alignment horizontal="right"/>
    </xf>
    <xf numFmtId="37" fontId="6" fillId="2" borderId="0" xfId="2" applyNumberFormat="1" applyFont="1" applyFill="1" applyAlignment="1">
      <alignment horizontal="right"/>
    </xf>
    <xf numFmtId="37" fontId="17" fillId="3" borderId="0" xfId="1" applyNumberFormat="1" applyFont="1" applyFill="1" applyAlignment="1">
      <alignment horizontal="right"/>
    </xf>
    <xf numFmtId="37" fontId="19" fillId="3" borderId="0" xfId="1" applyNumberFormat="1" applyFont="1" applyFill="1" applyAlignment="1">
      <alignment horizontal="right"/>
    </xf>
    <xf numFmtId="37" fontId="4" fillId="4" borderId="0" xfId="3" applyNumberFormat="1" applyFont="1" applyFill="1" applyAlignment="1">
      <alignment horizontal="right"/>
    </xf>
    <xf numFmtId="37" fontId="19" fillId="4" borderId="0" xfId="1" applyNumberFormat="1" applyFont="1" applyFill="1" applyAlignment="1">
      <alignment horizontal="right"/>
    </xf>
    <xf numFmtId="37" fontId="7" fillId="2" borderId="0" xfId="2" applyNumberFormat="1" applyFont="1" applyFill="1" applyAlignment="1">
      <alignment horizontal="right"/>
    </xf>
    <xf numFmtId="37" fontId="15" fillId="2" borderId="0" xfId="2" applyNumberFormat="1" applyFont="1" applyFill="1" applyAlignment="1">
      <alignment horizontal="right"/>
    </xf>
    <xf numFmtId="37" fontId="16" fillId="0" borderId="0" xfId="2" applyNumberFormat="1" applyFont="1" applyFill="1" applyBorder="1" applyAlignment="1">
      <alignment horizontal="right"/>
    </xf>
    <xf numFmtId="37" fontId="21" fillId="3" borderId="0" xfId="1" applyNumberFormat="1" applyFont="1" applyFill="1" applyAlignment="1">
      <alignment horizontal="right"/>
    </xf>
    <xf numFmtId="37" fontId="21" fillId="3" borderId="0" xfId="1" applyNumberFormat="1" applyFont="1" applyFill="1" applyBorder="1" applyAlignment="1">
      <alignment horizontal="right"/>
    </xf>
    <xf numFmtId="37" fontId="12" fillId="3" borderId="0" xfId="1" applyNumberFormat="1" applyFont="1" applyFill="1" applyAlignment="1">
      <alignment horizontal="right"/>
    </xf>
    <xf numFmtId="37" fontId="12" fillId="3" borderId="0" xfId="1" applyNumberFormat="1" applyFont="1" applyFill="1" applyBorder="1" applyAlignment="1">
      <alignment horizontal="right"/>
    </xf>
    <xf numFmtId="37" fontId="5" fillId="2" borderId="0" xfId="1" applyNumberFormat="1" applyFont="1" applyFill="1" applyBorder="1" applyAlignment="1">
      <alignment horizontal="right" wrapText="1"/>
    </xf>
    <xf numFmtId="37" fontId="5" fillId="3" borderId="0" xfId="1" applyNumberFormat="1" applyFont="1" applyFill="1" applyBorder="1" applyAlignment="1">
      <alignment horizontal="right" wrapText="1"/>
    </xf>
    <xf numFmtId="37" fontId="5" fillId="3" borderId="0" xfId="1" applyNumberFormat="1" applyFont="1" applyFill="1" applyAlignment="1">
      <alignment horizontal="right"/>
    </xf>
    <xf numFmtId="37" fontId="17" fillId="2" borderId="0" xfId="2" applyNumberFormat="1" applyFont="1" applyFill="1" applyAlignment="1">
      <alignment horizontal="right"/>
    </xf>
    <xf numFmtId="37" fontId="17" fillId="3" borderId="0" xfId="2" applyNumberFormat="1" applyFont="1" applyFill="1" applyAlignment="1">
      <alignment horizontal="right"/>
    </xf>
    <xf numFmtId="37" fontId="20" fillId="3" borderId="0" xfId="2" applyNumberFormat="1" applyFont="1" applyFill="1" applyAlignment="1">
      <alignment horizontal="right"/>
    </xf>
    <xf numFmtId="37" fontId="4" fillId="2" borderId="0" xfId="1" applyNumberFormat="1" applyFont="1" applyFill="1" applyAlignment="1">
      <alignment horizontal="right"/>
    </xf>
    <xf numFmtId="37" fontId="4" fillId="3" borderId="0" xfId="1" applyNumberFormat="1" applyFont="1" applyFill="1" applyAlignment="1">
      <alignment horizontal="right"/>
    </xf>
    <xf numFmtId="37" fontId="21" fillId="2" borderId="0" xfId="1" applyNumberFormat="1" applyFont="1" applyFill="1" applyAlignment="1">
      <alignment horizontal="right"/>
    </xf>
    <xf numFmtId="37" fontId="6" fillId="4" borderId="0" xfId="2" applyNumberFormat="1" applyFont="1" applyFill="1" applyAlignment="1">
      <alignment horizontal="right"/>
    </xf>
    <xf numFmtId="37" fontId="5" fillId="2" borderId="0" xfId="1" applyNumberFormat="1" applyFont="1" applyFill="1" applyBorder="1" applyAlignment="1">
      <alignment horizontal="right"/>
    </xf>
    <xf numFmtId="37" fontId="5" fillId="0" borderId="0" xfId="1" applyNumberFormat="1" applyFont="1" applyFill="1" applyAlignment="1">
      <alignment horizontal="right"/>
    </xf>
    <xf numFmtId="37" fontId="4" fillId="4" borderId="0" xfId="9" applyNumberFormat="1" applyFont="1" applyFill="1"/>
    <xf numFmtId="37" fontId="4" fillId="3" borderId="0" xfId="9" applyNumberFormat="1" applyFont="1" applyFill="1"/>
    <xf numFmtId="37" fontId="17" fillId="4" borderId="0" xfId="9" applyNumberFormat="1" applyFont="1" applyFill="1" applyAlignment="1">
      <alignment horizontal="right"/>
    </xf>
    <xf numFmtId="37" fontId="17" fillId="3" borderId="0" xfId="9" applyNumberFormat="1" applyFont="1" applyFill="1" applyAlignment="1">
      <alignment horizontal="right"/>
    </xf>
    <xf numFmtId="37" fontId="4" fillId="2" borderId="1" xfId="1" applyNumberFormat="1" applyFont="1" applyFill="1" applyBorder="1" applyAlignment="1">
      <alignment horizontal="right" wrapText="1"/>
    </xf>
    <xf numFmtId="37" fontId="4" fillId="3" borderId="1" xfId="1" applyNumberFormat="1" applyFont="1" applyFill="1" applyBorder="1" applyAlignment="1">
      <alignment horizontal="right" wrapText="1"/>
    </xf>
    <xf numFmtId="37" fontId="4" fillId="11" borderId="1" xfId="3" applyNumberFormat="1" applyFont="1" applyFill="1" applyBorder="1" applyAlignment="1">
      <alignment horizontal="right"/>
    </xf>
    <xf numFmtId="37" fontId="5" fillId="11" borderId="0" xfId="3" applyNumberFormat="1" applyFont="1" applyFill="1" applyAlignment="1">
      <alignment horizontal="right"/>
    </xf>
    <xf numFmtId="37" fontId="4" fillId="11" borderId="0" xfId="3" applyNumberFormat="1" applyFont="1" applyFill="1" applyAlignment="1">
      <alignment horizontal="right"/>
    </xf>
    <xf numFmtId="9" fontId="7" fillId="2" borderId="0" xfId="3" applyNumberFormat="1" applyFont="1" applyFill="1" applyAlignment="1">
      <alignment horizontal="left" indent="1"/>
    </xf>
    <xf numFmtId="9" fontId="7" fillId="2" borderId="0" xfId="3" applyNumberFormat="1" applyFont="1" applyFill="1" applyAlignment="1">
      <alignment horizontal="left"/>
    </xf>
    <xf numFmtId="9" fontId="7" fillId="3" borderId="0" xfId="2" applyFont="1" applyFill="1" applyAlignment="1">
      <alignment horizontal="right"/>
    </xf>
    <xf numFmtId="9" fontId="16" fillId="2" borderId="0" xfId="3" applyNumberFormat="1" applyFont="1" applyFill="1" applyAlignment="1">
      <alignment horizontal="left"/>
    </xf>
    <xf numFmtId="9" fontId="5" fillId="2" borderId="0" xfId="3" applyNumberFormat="1" applyFont="1" applyFill="1" applyAlignment="1">
      <alignment horizontal="left"/>
    </xf>
    <xf numFmtId="9" fontId="4" fillId="2" borderId="0" xfId="3" applyNumberFormat="1" applyFont="1" applyFill="1" applyAlignment="1">
      <alignment horizontal="left"/>
    </xf>
    <xf numFmtId="37" fontId="7" fillId="4" borderId="0" xfId="3" applyNumberFormat="1" applyFont="1" applyFill="1"/>
    <xf numFmtId="9" fontId="7" fillId="2" borderId="0" xfId="3" applyNumberFormat="1" applyFont="1" applyFill="1" applyAlignment="1">
      <alignment horizontal="right"/>
    </xf>
    <xf numFmtId="9" fontId="7" fillId="2" borderId="0" xfId="2" applyFont="1" applyFill="1" applyAlignment="1">
      <alignment horizontal="right"/>
    </xf>
    <xf numFmtId="9" fontId="16" fillId="2" borderId="0" xfId="3" applyNumberFormat="1" applyFont="1" applyFill="1"/>
    <xf numFmtId="9" fontId="6" fillId="2" borderId="0" xfId="3" applyNumberFormat="1" applyFont="1" applyFill="1" applyAlignment="1">
      <alignment horizontal="left"/>
    </xf>
    <xf numFmtId="9" fontId="15" fillId="3" borderId="0" xfId="2" applyFont="1" applyFill="1" applyBorder="1" applyAlignment="1">
      <alignment horizontal="right"/>
    </xf>
    <xf numFmtId="9" fontId="6" fillId="3" borderId="0" xfId="2" applyFont="1" applyFill="1" applyBorder="1" applyAlignment="1">
      <alignment horizontal="right"/>
    </xf>
    <xf numFmtId="9" fontId="4" fillId="2" borderId="0" xfId="3" applyNumberFormat="1" applyFont="1" applyFill="1" applyAlignment="1">
      <alignment horizontal="right"/>
    </xf>
    <xf numFmtId="9" fontId="4" fillId="3" borderId="0" xfId="3" applyNumberFormat="1" applyFont="1" applyFill="1" applyAlignment="1">
      <alignment horizontal="right"/>
    </xf>
    <xf numFmtId="9" fontId="30" fillId="2" borderId="0" xfId="3" applyNumberFormat="1" applyFont="1" applyFill="1" applyAlignment="1">
      <alignment horizontal="right"/>
    </xf>
    <xf numFmtId="9" fontId="30" fillId="3" borderId="0" xfId="3" applyNumberFormat="1" applyFont="1" applyFill="1" applyAlignment="1">
      <alignment horizontal="right"/>
    </xf>
    <xf numFmtId="9" fontId="5" fillId="2" borderId="0" xfId="1" applyNumberFormat="1" applyFont="1" applyFill="1" applyAlignment="1">
      <alignment horizontal="right"/>
    </xf>
    <xf numFmtId="9" fontId="17" fillId="3" borderId="0" xfId="3" applyNumberFormat="1" applyFont="1" applyFill="1" applyAlignment="1">
      <alignment horizontal="right"/>
    </xf>
    <xf numFmtId="9" fontId="17" fillId="3" borderId="0" xfId="1" applyNumberFormat="1" applyFont="1" applyFill="1" applyAlignment="1">
      <alignment horizontal="right"/>
    </xf>
    <xf numFmtId="9" fontId="19" fillId="3" borderId="0" xfId="1" applyNumberFormat="1" applyFont="1" applyFill="1" applyAlignment="1">
      <alignment horizontal="right"/>
    </xf>
    <xf numFmtId="37" fontId="17" fillId="2" borderId="0" xfId="1" applyNumberFormat="1" applyFont="1" applyFill="1" applyAlignment="1">
      <alignment horizontal="right"/>
    </xf>
    <xf numFmtId="37" fontId="5" fillId="2" borderId="0" xfId="8" applyNumberFormat="1" applyFont="1" applyFill="1" applyAlignment="1">
      <alignment horizontal="right"/>
    </xf>
    <xf numFmtId="37" fontId="7" fillId="2" borderId="0" xfId="9" applyNumberFormat="1" applyFont="1" applyFill="1" applyAlignment="1">
      <alignment horizontal="right"/>
    </xf>
    <xf numFmtId="37" fontId="5" fillId="2" borderId="0" xfId="10" applyNumberFormat="1" applyFont="1" applyFill="1" applyAlignment="1">
      <alignment horizontal="right"/>
    </xf>
    <xf numFmtId="37" fontId="5" fillId="4" borderId="0" xfId="1" applyNumberFormat="1" applyFont="1" applyFill="1" applyAlignment="1">
      <alignment horizontal="right"/>
    </xf>
    <xf numFmtId="37" fontId="4" fillId="2" borderId="1" xfId="1" applyNumberFormat="1" applyFont="1" applyFill="1" applyBorder="1" applyAlignment="1">
      <alignment horizontal="right"/>
    </xf>
    <xf numFmtId="37" fontId="4" fillId="2" borderId="8" xfId="3" applyNumberFormat="1" applyFont="1" applyFill="1" applyBorder="1" applyAlignment="1">
      <alignment horizontal="right"/>
    </xf>
    <xf numFmtId="37" fontId="4" fillId="2" borderId="9" xfId="3" applyNumberFormat="1" applyFont="1" applyFill="1" applyBorder="1" applyAlignment="1">
      <alignment horizontal="right"/>
    </xf>
    <xf numFmtId="37" fontId="5" fillId="2" borderId="9" xfId="3" applyNumberFormat="1" applyFont="1" applyFill="1" applyBorder="1" applyAlignment="1">
      <alignment horizontal="right"/>
    </xf>
    <xf numFmtId="9" fontId="5" fillId="4" borderId="0" xfId="3" applyNumberFormat="1" applyFont="1" applyFill="1"/>
    <xf numFmtId="9" fontId="17" fillId="2" borderId="0" xfId="2" applyFont="1" applyFill="1" applyAlignment="1">
      <alignment horizontal="right"/>
    </xf>
    <xf numFmtId="9" fontId="17" fillId="3" borderId="0" xfId="2" applyFont="1" applyFill="1" applyAlignment="1">
      <alignment horizontal="right"/>
    </xf>
    <xf numFmtId="9" fontId="6" fillId="2" borderId="0" xfId="2" applyFont="1" applyFill="1" applyAlignment="1">
      <alignment horizontal="left"/>
    </xf>
    <xf numFmtId="9" fontId="20" fillId="3" borderId="0" xfId="2" applyFont="1" applyFill="1" applyAlignment="1">
      <alignment horizontal="right"/>
    </xf>
    <xf numFmtId="9" fontId="5" fillId="3" borderId="0" xfId="3" applyNumberFormat="1" applyFont="1" applyFill="1" applyAlignment="1">
      <alignment horizontal="right"/>
    </xf>
    <xf numFmtId="9" fontId="15" fillId="2" borderId="0" xfId="2" applyFont="1" applyFill="1" applyAlignment="1">
      <alignment horizontal="left"/>
    </xf>
    <xf numFmtId="9" fontId="16" fillId="2" borderId="0" xfId="3" applyNumberFormat="1" applyFont="1" applyFill="1" applyAlignment="1">
      <alignment horizontal="left" indent="1"/>
    </xf>
    <xf numFmtId="9" fontId="22" fillId="3" borderId="0" xfId="2" applyFont="1" applyFill="1" applyAlignment="1">
      <alignment horizontal="right"/>
    </xf>
    <xf numFmtId="9" fontId="5" fillId="2" borderId="0" xfId="2" applyFont="1" applyFill="1" applyAlignment="1">
      <alignment horizontal="right"/>
    </xf>
    <xf numFmtId="37" fontId="5" fillId="8" borderId="0" xfId="3" applyNumberFormat="1" applyFont="1" applyFill="1"/>
    <xf numFmtId="173" fontId="7" fillId="2" borderId="0" xfId="9" applyNumberFormat="1" applyFont="1" applyFill="1" applyAlignment="1">
      <alignment horizontal="right"/>
    </xf>
    <xf numFmtId="37" fontId="4" fillId="2" borderId="0" xfId="3" quotePrefix="1" applyNumberFormat="1" applyFont="1" applyFill="1" applyAlignment="1">
      <alignment horizontal="left"/>
    </xf>
    <xf numFmtId="9" fontId="15" fillId="2" borderId="0" xfId="3" applyNumberFormat="1" applyFont="1" applyFill="1" applyAlignment="1">
      <alignment horizontal="left"/>
    </xf>
    <xf numFmtId="9" fontId="15" fillId="2" borderId="0" xfId="3" applyNumberFormat="1" applyFont="1" applyFill="1" applyAlignment="1">
      <alignment horizontal="right"/>
    </xf>
    <xf numFmtId="9" fontId="4" fillId="3" borderId="0" xfId="1" applyNumberFormat="1" applyFont="1" applyFill="1" applyAlignment="1">
      <alignment horizontal="right"/>
    </xf>
    <xf numFmtId="37" fontId="16" fillId="2" borderId="0" xfId="3" quotePrefix="1" applyNumberFormat="1" applyFont="1" applyFill="1" applyAlignment="1">
      <alignment horizontal="left"/>
    </xf>
    <xf numFmtId="9" fontId="7" fillId="2" borderId="0" xfId="3" applyNumberFormat="1" applyFont="1" applyFill="1"/>
    <xf numFmtId="9" fontId="7" fillId="2" borderId="0" xfId="3" quotePrefix="1" applyNumberFormat="1" applyFont="1" applyFill="1" applyAlignment="1">
      <alignment horizontal="left" indent="1"/>
    </xf>
    <xf numFmtId="9" fontId="16" fillId="2" borderId="0" xfId="3" quotePrefix="1" applyNumberFormat="1" applyFont="1" applyFill="1" applyAlignment="1">
      <alignment horizontal="left"/>
    </xf>
    <xf numFmtId="37" fontId="16" fillId="2" borderId="1" xfId="3" applyNumberFormat="1" applyFont="1" applyFill="1" applyBorder="1" applyAlignment="1">
      <alignment horizontal="left"/>
    </xf>
    <xf numFmtId="9" fontId="7" fillId="2" borderId="0" xfId="0" applyNumberFormat="1" applyFont="1" applyFill="1" applyAlignment="1">
      <alignment horizontal="right" vertical="center"/>
    </xf>
    <xf numFmtId="10" fontId="2" fillId="0" borderId="0" xfId="0" applyNumberFormat="1" applyFont="1"/>
    <xf numFmtId="37" fontId="5" fillId="2" borderId="0" xfId="0" applyNumberFormat="1" applyFont="1" applyFill="1" applyAlignment="1">
      <alignment horizontal="left" indent="1"/>
    </xf>
    <xf numFmtId="37" fontId="32" fillId="10" borderId="13" xfId="0" applyNumberFormat="1" applyFont="1" applyFill="1" applyBorder="1" applyAlignment="1">
      <alignment vertical="center"/>
    </xf>
    <xf numFmtId="37" fontId="26" fillId="4" borderId="0" xfId="1" applyNumberFormat="1" applyFont="1" applyFill="1" applyAlignment="1">
      <alignment horizontal="right" vertical="center"/>
    </xf>
    <xf numFmtId="37" fontId="31" fillId="10" borderId="14" xfId="0" applyNumberFormat="1" applyFont="1" applyFill="1" applyBorder="1" applyAlignment="1">
      <alignment vertical="center"/>
    </xf>
    <xf numFmtId="37" fontId="32" fillId="10" borderId="17" xfId="0" applyNumberFormat="1" applyFont="1" applyFill="1" applyBorder="1" applyAlignment="1">
      <alignment vertical="center"/>
    </xf>
    <xf numFmtId="37" fontId="32" fillId="0" borderId="18" xfId="0" applyNumberFormat="1" applyFont="1" applyBorder="1" applyAlignment="1">
      <alignment horizontal="right" vertical="center"/>
    </xf>
    <xf numFmtId="37" fontId="32" fillId="0" borderId="19" xfId="0" applyNumberFormat="1" applyFont="1" applyBorder="1" applyAlignment="1">
      <alignment horizontal="right" vertical="center"/>
    </xf>
    <xf numFmtId="37" fontId="32" fillId="0" borderId="28" xfId="0" applyNumberFormat="1" applyFont="1" applyBorder="1" applyAlignment="1">
      <alignment horizontal="right" vertical="center"/>
    </xf>
    <xf numFmtId="37" fontId="32" fillId="0" borderId="29" xfId="0" applyNumberFormat="1" applyFont="1" applyBorder="1" applyAlignment="1">
      <alignment horizontal="right" vertical="center"/>
    </xf>
    <xf numFmtId="37" fontId="31" fillId="10" borderId="20" xfId="0" applyNumberFormat="1" applyFont="1" applyFill="1" applyBorder="1" applyAlignment="1">
      <alignment vertical="center"/>
    </xf>
    <xf numFmtId="37" fontId="26" fillId="0" borderId="21" xfId="0" applyNumberFormat="1" applyFont="1" applyBorder="1" applyAlignment="1">
      <alignment vertical="center"/>
    </xf>
    <xf numFmtId="37" fontId="26" fillId="0" borderId="22" xfId="0" applyNumberFormat="1" applyFont="1" applyBorder="1" applyAlignment="1">
      <alignment vertical="center"/>
    </xf>
    <xf numFmtId="9" fontId="26" fillId="0" borderId="26" xfId="0" applyNumberFormat="1" applyFont="1" applyBorder="1" applyAlignment="1">
      <alignment vertical="center"/>
    </xf>
    <xf numFmtId="37" fontId="31" fillId="0" borderId="21" xfId="0" applyNumberFormat="1" applyFont="1" applyBorder="1" applyAlignment="1">
      <alignment vertical="center"/>
    </xf>
    <xf numFmtId="37" fontId="31" fillId="0" borderId="22" xfId="0" applyNumberFormat="1" applyFont="1" applyBorder="1" applyAlignment="1">
      <alignment vertical="center"/>
    </xf>
    <xf numFmtId="37" fontId="31" fillId="10" borderId="23" xfId="0" quotePrefix="1" applyNumberFormat="1" applyFont="1" applyFill="1" applyBorder="1" applyAlignment="1">
      <alignment vertical="center"/>
    </xf>
    <xf numFmtId="37" fontId="31" fillId="0" borderId="24" xfId="0" applyNumberFormat="1" applyFont="1" applyBorder="1" applyAlignment="1">
      <alignment vertical="center"/>
    </xf>
    <xf numFmtId="37" fontId="31" fillId="0" borderId="25" xfId="0" applyNumberFormat="1" applyFont="1" applyBorder="1" applyAlignment="1">
      <alignment vertical="center"/>
    </xf>
    <xf numFmtId="37" fontId="31" fillId="0" borderId="15" xfId="0" applyNumberFormat="1" applyFont="1" applyBorder="1" applyAlignment="1">
      <alignment vertical="center"/>
    </xf>
    <xf numFmtId="37" fontId="31" fillId="0" borderId="16" xfId="0" applyNumberFormat="1" applyFont="1" applyBorder="1" applyAlignment="1">
      <alignment vertical="center"/>
    </xf>
    <xf numFmtId="37" fontId="26" fillId="0" borderId="24" xfId="0" applyNumberFormat="1" applyFont="1" applyBorder="1" applyAlignment="1">
      <alignment vertical="center"/>
    </xf>
    <xf numFmtId="37" fontId="26" fillId="0" borderId="25" xfId="0" applyNumberFormat="1" applyFont="1" applyBorder="1" applyAlignment="1">
      <alignment vertical="center"/>
    </xf>
    <xf numFmtId="37" fontId="26" fillId="4" borderId="0" xfId="0" applyNumberFormat="1" applyFont="1" applyFill="1"/>
    <xf numFmtId="37" fontId="32" fillId="0" borderId="18" xfId="0" applyNumberFormat="1" applyFont="1" applyBorder="1" applyAlignment="1">
      <alignment horizontal="centerContinuous" vertical="center"/>
    </xf>
    <xf numFmtId="37" fontId="32" fillId="0" borderId="19" xfId="0" applyNumberFormat="1" applyFont="1" applyBorder="1" applyAlignment="1">
      <alignment horizontal="centerContinuous" vertical="center"/>
    </xf>
    <xf numFmtId="37" fontId="31" fillId="0" borderId="21" xfId="0" applyNumberFormat="1" applyFont="1" applyBorder="1" applyAlignment="1">
      <alignment horizontal="center" vertical="center"/>
    </xf>
    <xf numFmtId="37" fontId="31" fillId="0" borderId="22" xfId="0" applyNumberFormat="1" applyFont="1" applyBorder="1" applyAlignment="1">
      <alignment horizontal="center" vertical="center"/>
    </xf>
    <xf numFmtId="37" fontId="31" fillId="10" borderId="12" xfId="0" quotePrefix="1" applyNumberFormat="1" applyFont="1" applyFill="1" applyBorder="1" applyAlignment="1">
      <alignment vertical="center"/>
    </xf>
    <xf numFmtId="168" fontId="26" fillId="0" borderId="24" xfId="0" applyNumberFormat="1" applyFont="1" applyBorder="1" applyAlignment="1">
      <alignment vertical="center"/>
    </xf>
    <xf numFmtId="9" fontId="33" fillId="0" borderId="24" xfId="0" applyNumberFormat="1" applyFont="1" applyBorder="1" applyAlignment="1">
      <alignment vertical="center"/>
    </xf>
    <xf numFmtId="9" fontId="33" fillId="0" borderId="25" xfId="0" applyNumberFormat="1" applyFont="1" applyBorder="1" applyAlignment="1">
      <alignment vertical="center"/>
    </xf>
    <xf numFmtId="37" fontId="31" fillId="10" borderId="12" xfId="0" applyNumberFormat="1" applyFont="1" applyFill="1" applyBorder="1" applyAlignment="1">
      <alignment vertical="center"/>
    </xf>
    <xf numFmtId="37" fontId="31" fillId="0" borderId="24" xfId="1" applyNumberFormat="1" applyFont="1" applyFill="1" applyBorder="1" applyAlignment="1">
      <alignment vertical="center"/>
    </xf>
    <xf numFmtId="37" fontId="31" fillId="0" borderId="25" xfId="1" applyNumberFormat="1" applyFont="1" applyFill="1" applyBorder="1" applyAlignment="1">
      <alignment vertical="center"/>
    </xf>
    <xf numFmtId="37" fontId="33" fillId="10" borderId="12" xfId="0" applyNumberFormat="1" applyFont="1" applyFill="1" applyBorder="1" applyAlignment="1">
      <alignment vertical="center"/>
    </xf>
    <xf numFmtId="9" fontId="33" fillId="0" borderId="24" xfId="1" applyNumberFormat="1" applyFont="1" applyFill="1" applyBorder="1" applyAlignment="1">
      <alignment vertical="center"/>
    </xf>
    <xf numFmtId="9" fontId="33" fillId="0" borderId="25" xfId="1" applyNumberFormat="1" applyFont="1" applyFill="1" applyBorder="1" applyAlignment="1">
      <alignment vertical="center"/>
    </xf>
    <xf numFmtId="37" fontId="32" fillId="0" borderId="13" xfId="0" applyNumberFormat="1" applyFont="1" applyBorder="1" applyAlignment="1">
      <alignment vertical="center"/>
    </xf>
    <xf numFmtId="37" fontId="32" fillId="0" borderId="13" xfId="1" applyNumberFormat="1" applyFont="1" applyFill="1" applyBorder="1" applyAlignment="1">
      <alignment vertical="center"/>
    </xf>
    <xf numFmtId="37" fontId="31" fillId="0" borderId="14" xfId="1" applyNumberFormat="1" applyFont="1" applyFill="1" applyBorder="1" applyAlignment="1">
      <alignment horizontal="right" vertical="center"/>
    </xf>
    <xf numFmtId="37" fontId="31" fillId="10" borderId="12" xfId="1" applyNumberFormat="1" applyFont="1" applyFill="1" applyBorder="1" applyAlignment="1">
      <alignment vertical="center"/>
    </xf>
    <xf numFmtId="37" fontId="26" fillId="0" borderId="12" xfId="1" applyNumberFormat="1" applyFont="1" applyFill="1" applyBorder="1" applyAlignment="1">
      <alignment horizontal="right" vertical="center"/>
    </xf>
    <xf numFmtId="37" fontId="26" fillId="4" borderId="0" xfId="1" applyNumberFormat="1" applyFont="1" applyFill="1" applyAlignment="1">
      <alignment horizontal="left" vertical="center"/>
    </xf>
    <xf numFmtId="9" fontId="26" fillId="4" borderId="0" xfId="2" applyFont="1" applyFill="1" applyAlignment="1">
      <alignment horizontal="right" vertical="center"/>
    </xf>
    <xf numFmtId="37" fontId="31" fillId="4" borderId="0" xfId="1" applyNumberFormat="1" applyFont="1" applyFill="1" applyAlignment="1">
      <alignment horizontal="left" vertical="center"/>
    </xf>
    <xf numFmtId="37" fontId="31" fillId="4" borderId="0" xfId="1" applyNumberFormat="1" applyFont="1" applyFill="1" applyAlignment="1">
      <alignment horizontal="right" vertical="center"/>
    </xf>
    <xf numFmtId="37" fontId="25" fillId="6" borderId="0" xfId="0" applyNumberFormat="1" applyFont="1" applyFill="1" applyAlignment="1">
      <alignment horizontal="left"/>
    </xf>
    <xf numFmtId="37" fontId="32" fillId="10" borderId="18" xfId="0" applyNumberFormat="1" applyFont="1" applyFill="1" applyBorder="1" applyAlignment="1">
      <alignment horizontal="left" vertical="center"/>
    </xf>
    <xf numFmtId="37" fontId="31" fillId="10" borderId="21" xfId="0" applyNumberFormat="1" applyFont="1" applyFill="1" applyBorder="1" applyAlignment="1">
      <alignment horizontal="left" vertical="center"/>
    </xf>
    <xf numFmtId="37" fontId="31" fillId="10" borderId="24" xfId="0" quotePrefix="1" applyNumberFormat="1" applyFont="1" applyFill="1" applyBorder="1" applyAlignment="1">
      <alignment horizontal="left" vertical="center"/>
    </xf>
    <xf numFmtId="37" fontId="26" fillId="6" borderId="0" xfId="0" applyNumberFormat="1" applyFont="1" applyFill="1" applyAlignment="1">
      <alignment horizontal="left"/>
    </xf>
    <xf numFmtId="37" fontId="32" fillId="0" borderId="17" xfId="0" applyNumberFormat="1" applyFont="1" applyBorder="1" applyAlignment="1">
      <alignment horizontal="left" vertical="center"/>
    </xf>
    <xf numFmtId="37" fontId="26" fillId="0" borderId="20" xfId="0" applyNumberFormat="1" applyFont="1" applyBorder="1" applyAlignment="1">
      <alignment horizontal="left" vertical="center"/>
    </xf>
    <xf numFmtId="37" fontId="31" fillId="0" borderId="23" xfId="0" applyNumberFormat="1" applyFont="1" applyBorder="1" applyAlignment="1">
      <alignment horizontal="left" vertical="center"/>
    </xf>
    <xf numFmtId="37" fontId="26" fillId="0" borderId="23" xfId="0" applyNumberFormat="1" applyFont="1" applyBorder="1" applyAlignment="1">
      <alignment horizontal="left" vertical="center"/>
    </xf>
    <xf numFmtId="37" fontId="31" fillId="0" borderId="20" xfId="0" applyNumberFormat="1" applyFont="1" applyBorder="1" applyAlignment="1">
      <alignment horizontal="left" vertical="center"/>
    </xf>
    <xf numFmtId="37" fontId="33" fillId="0" borderId="23" xfId="0" applyNumberFormat="1" applyFont="1" applyBorder="1" applyAlignment="1">
      <alignment horizontal="left" vertical="center"/>
    </xf>
    <xf numFmtId="37" fontId="32" fillId="0" borderId="13" xfId="0" applyNumberFormat="1" applyFont="1" applyBorder="1" applyAlignment="1">
      <alignment horizontal="left" vertical="center"/>
    </xf>
    <xf numFmtId="37" fontId="31" fillId="0" borderId="14" xfId="1" applyNumberFormat="1" applyFont="1" applyFill="1" applyBorder="1" applyAlignment="1">
      <alignment horizontal="left" vertical="center"/>
    </xf>
    <xf numFmtId="37" fontId="26" fillId="0" borderId="12" xfId="1" applyNumberFormat="1" applyFont="1" applyFill="1" applyBorder="1" applyAlignment="1">
      <alignment horizontal="left" vertical="center"/>
    </xf>
    <xf numFmtId="167" fontId="26" fillId="0" borderId="23" xfId="0" applyNumberFormat="1" applyFont="1" applyBorder="1" applyAlignment="1">
      <alignment horizontal="right" vertical="center"/>
    </xf>
    <xf numFmtId="37" fontId="32" fillId="0" borderId="13" xfId="0" applyNumberFormat="1" applyFont="1" applyBorder="1" applyAlignment="1">
      <alignment horizontal="right" vertical="center"/>
    </xf>
    <xf numFmtId="37" fontId="31" fillId="0" borderId="14" xfId="0" applyNumberFormat="1" applyFont="1" applyBorder="1" applyAlignment="1">
      <alignment horizontal="right" vertical="center"/>
    </xf>
    <xf numFmtId="37" fontId="3" fillId="2" borderId="0" xfId="0" applyNumberFormat="1" applyFont="1" applyFill="1" applyAlignment="1">
      <alignment horizontal="left" indent="1"/>
    </xf>
    <xf numFmtId="9" fontId="33" fillId="8" borderId="25" xfId="0" applyNumberFormat="1" applyFont="1" applyFill="1" applyBorder="1" applyAlignment="1">
      <alignment vertical="center"/>
    </xf>
    <xf numFmtId="9" fontId="33" fillId="8" borderId="24" xfId="0" applyNumberFormat="1" applyFont="1" applyFill="1" applyBorder="1" applyAlignment="1">
      <alignment vertical="center"/>
    </xf>
    <xf numFmtId="9" fontId="5" fillId="8" borderId="0" xfId="0" applyNumberFormat="1" applyFont="1" applyFill="1" applyAlignment="1">
      <alignment horizontal="right" vertical="center"/>
    </xf>
    <xf numFmtId="37" fontId="0" fillId="0" borderId="0" xfId="0" applyNumberFormat="1"/>
    <xf numFmtId="171" fontId="2" fillId="0" borderId="0" xfId="0" applyNumberFormat="1" applyFont="1" applyAlignment="1">
      <alignment horizontal="left" vertical="center"/>
    </xf>
    <xf numFmtId="172" fontId="5" fillId="4" borderId="0" xfId="1" applyNumberFormat="1" applyFont="1" applyFill="1"/>
    <xf numFmtId="166" fontId="5" fillId="4" borderId="0" xfId="1" applyNumberFormat="1" applyFont="1" applyFill="1"/>
    <xf numFmtId="37" fontId="34" fillId="0" borderId="12" xfId="0" applyNumberFormat="1" applyFont="1" applyBorder="1" applyAlignment="1">
      <alignment vertical="center"/>
    </xf>
    <xf numFmtId="37" fontId="35" fillId="0" borderId="12" xfId="0" applyNumberFormat="1" applyFont="1" applyBorder="1" applyAlignment="1">
      <alignment vertical="center"/>
    </xf>
    <xf numFmtId="37" fontId="35" fillId="10" borderId="12" xfId="0" applyNumberFormat="1" applyFont="1" applyFill="1" applyBorder="1" applyAlignment="1">
      <alignment vertical="center"/>
    </xf>
    <xf numFmtId="37" fontId="34" fillId="10" borderId="12" xfId="0" applyNumberFormat="1" applyFont="1" applyFill="1" applyBorder="1" applyAlignment="1">
      <alignment horizontal="left" vertical="center" indent="1"/>
    </xf>
    <xf numFmtId="37" fontId="35" fillId="10" borderId="12" xfId="0" applyNumberFormat="1" applyFont="1" applyFill="1" applyBorder="1" applyAlignment="1">
      <alignment horizontal="left" vertical="center" indent="1"/>
    </xf>
    <xf numFmtId="37" fontId="36" fillId="6" borderId="12" xfId="0" applyNumberFormat="1" applyFont="1" applyFill="1" applyBorder="1" applyAlignment="1">
      <alignment vertical="center"/>
    </xf>
    <xf numFmtId="37" fontId="36" fillId="6" borderId="12" xfId="0" applyNumberFormat="1" applyFont="1" applyFill="1" applyBorder="1" applyAlignment="1">
      <alignment horizontal="right" vertical="center"/>
    </xf>
    <xf numFmtId="9" fontId="2" fillId="0" borderId="0" xfId="2" applyFont="1" applyAlignment="1">
      <alignment horizontal="right"/>
    </xf>
    <xf numFmtId="37" fontId="5" fillId="2" borderId="2" xfId="3" applyNumberFormat="1" applyFont="1" applyFill="1" applyBorder="1" applyAlignment="1">
      <alignment horizontal="left" indent="1"/>
    </xf>
    <xf numFmtId="37" fontId="4" fillId="2" borderId="2" xfId="3" applyNumberFormat="1" applyFont="1" applyFill="1" applyBorder="1" applyAlignment="1">
      <alignment horizontal="right"/>
    </xf>
    <xf numFmtId="166" fontId="5" fillId="2" borderId="2" xfId="1" applyNumberFormat="1" applyFont="1" applyFill="1" applyBorder="1" applyAlignment="1">
      <alignment horizontal="right"/>
    </xf>
    <xf numFmtId="166" fontId="17" fillId="3" borderId="2" xfId="1" applyNumberFormat="1" applyFont="1" applyFill="1" applyBorder="1" applyAlignment="1">
      <alignment horizontal="right"/>
    </xf>
    <xf numFmtId="166" fontId="5" fillId="2" borderId="0" xfId="1" applyNumberFormat="1" applyFont="1" applyFill="1" applyAlignment="1">
      <alignment horizontal="right"/>
    </xf>
    <xf numFmtId="166" fontId="17" fillId="3" borderId="0" xfId="1" applyNumberFormat="1" applyFont="1" applyFill="1" applyAlignment="1">
      <alignment horizontal="right"/>
    </xf>
    <xf numFmtId="166" fontId="4" fillId="2" borderId="0" xfId="1" applyNumberFormat="1" applyFont="1" applyFill="1" applyAlignment="1">
      <alignment horizontal="right"/>
    </xf>
    <xf numFmtId="166" fontId="19" fillId="3" borderId="0" xfId="1" applyNumberFormat="1" applyFont="1" applyFill="1" applyAlignment="1">
      <alignment horizontal="right"/>
    </xf>
    <xf numFmtId="166" fontId="4" fillId="4" borderId="0" xfId="1" applyNumberFormat="1" applyFont="1" applyFill="1"/>
    <xf numFmtId="37" fontId="10" fillId="6" borderId="0" xfId="3" applyNumberFormat="1" applyFont="1" applyFill="1"/>
    <xf numFmtId="37" fontId="4" fillId="3" borderId="30" xfId="3" applyNumberFormat="1" applyFont="1" applyFill="1" applyBorder="1"/>
    <xf numFmtId="37" fontId="4" fillId="3" borderId="31" xfId="3" applyNumberFormat="1" applyFont="1" applyFill="1" applyBorder="1" applyAlignment="1">
      <alignment horizontal="right"/>
    </xf>
    <xf numFmtId="37" fontId="5" fillId="0" borderId="32" xfId="3" applyNumberFormat="1" applyFont="1" applyBorder="1"/>
    <xf numFmtId="37" fontId="5" fillId="0" borderId="33" xfId="3" applyNumberFormat="1" applyFont="1" applyBorder="1"/>
    <xf numFmtId="37" fontId="5" fillId="3" borderId="32" xfId="3" applyNumberFormat="1" applyFont="1" applyFill="1" applyBorder="1"/>
    <xf numFmtId="37" fontId="5" fillId="3" borderId="33" xfId="3" applyNumberFormat="1" applyFont="1" applyFill="1" applyBorder="1"/>
    <xf numFmtId="37" fontId="4" fillId="0" borderId="32" xfId="3" applyNumberFormat="1" applyFont="1" applyBorder="1" applyAlignment="1">
      <alignment horizontal="centerContinuous"/>
    </xf>
    <xf numFmtId="37" fontId="4" fillId="3" borderId="32" xfId="3" applyNumberFormat="1" applyFont="1" applyFill="1" applyBorder="1" applyAlignment="1">
      <alignment horizontal="centerContinuous"/>
    </xf>
    <xf numFmtId="37" fontId="5" fillId="3" borderId="33" xfId="3" applyNumberFormat="1" applyFont="1" applyFill="1" applyBorder="1" applyAlignment="1">
      <alignment horizontal="centerContinuous"/>
    </xf>
    <xf numFmtId="37" fontId="4" fillId="3" borderId="32" xfId="3" applyNumberFormat="1" applyFont="1" applyFill="1" applyBorder="1"/>
    <xf numFmtId="9" fontId="4" fillId="3" borderId="33" xfId="2" applyFont="1" applyFill="1" applyBorder="1"/>
    <xf numFmtId="37" fontId="4" fillId="3" borderId="33" xfId="3" applyNumberFormat="1" applyFont="1" applyFill="1" applyBorder="1" applyAlignment="1">
      <alignment horizontal="centerContinuous"/>
    </xf>
    <xf numFmtId="37" fontId="5" fillId="0" borderId="33" xfId="3" applyNumberFormat="1" applyFont="1" applyBorder="1" applyAlignment="1">
      <alignment horizontal="centerContinuous"/>
    </xf>
    <xf numFmtId="37" fontId="4" fillId="0" borderId="34" xfId="3" applyNumberFormat="1" applyFont="1" applyBorder="1"/>
    <xf numFmtId="9" fontId="4" fillId="0" borderId="35" xfId="2" applyFont="1" applyFill="1" applyBorder="1"/>
    <xf numFmtId="37" fontId="10" fillId="7" borderId="0" xfId="3" applyNumberFormat="1" applyFont="1" applyFill="1"/>
    <xf numFmtId="37" fontId="11" fillId="7" borderId="0" xfId="3" applyNumberFormat="1" applyFont="1" applyFill="1"/>
    <xf numFmtId="37" fontId="4" fillId="2" borderId="32" xfId="3" applyNumberFormat="1" applyFont="1" applyFill="1" applyBorder="1" applyAlignment="1">
      <alignment horizontal="centerContinuous"/>
    </xf>
    <xf numFmtId="37" fontId="5" fillId="2" borderId="33" xfId="3" applyNumberFormat="1" applyFont="1" applyFill="1" applyBorder="1" applyAlignment="1">
      <alignment horizontal="centerContinuous"/>
    </xf>
    <xf numFmtId="37" fontId="5" fillId="2" borderId="32" xfId="3" applyNumberFormat="1" applyFont="1" applyFill="1" applyBorder="1"/>
    <xf numFmtId="37" fontId="4" fillId="2" borderId="30" xfId="3" applyNumberFormat="1" applyFont="1" applyFill="1" applyBorder="1"/>
    <xf numFmtId="37" fontId="4" fillId="2" borderId="31" xfId="3" applyNumberFormat="1" applyFont="1" applyFill="1" applyBorder="1" applyAlignment="1">
      <alignment horizontal="right"/>
    </xf>
    <xf numFmtId="37" fontId="5" fillId="3" borderId="32" xfId="3" applyNumberFormat="1" applyFont="1" applyFill="1" applyBorder="1" applyAlignment="1">
      <alignment horizontal="centerContinuous"/>
    </xf>
    <xf numFmtId="37" fontId="4" fillId="2" borderId="32" xfId="3" applyNumberFormat="1" applyFont="1" applyFill="1" applyBorder="1"/>
    <xf numFmtId="37" fontId="5" fillId="2" borderId="33" xfId="3" applyNumberFormat="1" applyFont="1" applyFill="1" applyBorder="1" applyAlignment="1">
      <alignment horizontal="right"/>
    </xf>
    <xf numFmtId="37" fontId="5" fillId="3" borderId="33" xfId="3" applyNumberFormat="1" applyFont="1" applyFill="1" applyBorder="1" applyAlignment="1">
      <alignment horizontal="right"/>
    </xf>
    <xf numFmtId="37" fontId="5" fillId="3" borderId="32" xfId="3" applyNumberFormat="1" applyFont="1" applyFill="1" applyBorder="1" applyAlignment="1">
      <alignment horizontal="left"/>
    </xf>
    <xf numFmtId="37" fontId="5" fillId="2" borderId="32" xfId="3" applyNumberFormat="1" applyFont="1" applyFill="1" applyBorder="1" applyAlignment="1">
      <alignment horizontal="left"/>
    </xf>
    <xf numFmtId="37" fontId="4" fillId="3" borderId="32" xfId="3" applyNumberFormat="1" applyFont="1" applyFill="1" applyBorder="1" applyAlignment="1">
      <alignment horizontal="left"/>
    </xf>
    <xf numFmtId="9" fontId="4" fillId="3" borderId="33" xfId="2" applyFont="1" applyFill="1" applyBorder="1" applyAlignment="1">
      <alignment horizontal="right"/>
    </xf>
    <xf numFmtId="9" fontId="4" fillId="2" borderId="33" xfId="2" applyFont="1" applyFill="1" applyBorder="1" applyAlignment="1">
      <alignment horizontal="right"/>
    </xf>
    <xf numFmtId="37" fontId="5" fillId="0" borderId="0" xfId="3" applyNumberFormat="1" applyFont="1" applyAlignment="1">
      <alignment horizontal="left" indent="1"/>
    </xf>
    <xf numFmtId="37" fontId="4" fillId="0" borderId="0" xfId="3" applyNumberFormat="1" applyFont="1"/>
    <xf numFmtId="37" fontId="10" fillId="6" borderId="1" xfId="3" applyNumberFormat="1" applyFont="1" applyFill="1" applyBorder="1" applyAlignment="1">
      <alignment horizontal="right" wrapText="1"/>
    </xf>
    <xf numFmtId="37" fontId="27" fillId="0" borderId="0" xfId="0" applyNumberFormat="1" applyFont="1"/>
    <xf numFmtId="166" fontId="0" fillId="0" borderId="0" xfId="1" applyNumberFormat="1" applyFont="1" applyFill="1"/>
    <xf numFmtId="166" fontId="27" fillId="0" borderId="0" xfId="1" applyNumberFormat="1" applyFont="1" applyFill="1"/>
    <xf numFmtId="0" fontId="37" fillId="6" borderId="0" xfId="0" applyFont="1" applyFill="1"/>
    <xf numFmtId="0" fontId="34" fillId="0" borderId="14" xfId="0" applyFont="1" applyBorder="1" applyAlignment="1">
      <alignment vertical="center"/>
    </xf>
    <xf numFmtId="0" fontId="34" fillId="0" borderId="12" xfId="0" applyFont="1" applyBorder="1" applyAlignment="1">
      <alignment vertical="center"/>
    </xf>
    <xf numFmtId="0" fontId="38" fillId="0" borderId="13" xfId="0" applyFont="1" applyBorder="1" applyAlignment="1">
      <alignment vertical="center"/>
    </xf>
    <xf numFmtId="0" fontId="38" fillId="10" borderId="13" xfId="0" applyFont="1" applyFill="1" applyBorder="1" applyAlignment="1">
      <alignment vertical="center"/>
    </xf>
    <xf numFmtId="0" fontId="34" fillId="10" borderId="14" xfId="0" applyFont="1" applyFill="1" applyBorder="1" applyAlignment="1">
      <alignment vertical="center"/>
    </xf>
    <xf numFmtId="0" fontId="34" fillId="10" borderId="12" xfId="0" applyFont="1" applyFill="1" applyBorder="1" applyAlignment="1">
      <alignment vertical="center"/>
    </xf>
    <xf numFmtId="0" fontId="34" fillId="10" borderId="12" xfId="0" applyFont="1" applyFill="1" applyBorder="1" applyAlignment="1">
      <alignment horizontal="left" vertical="center"/>
    </xf>
    <xf numFmtId="37" fontId="34" fillId="0" borderId="14" xfId="3" applyNumberFormat="1" applyFont="1" applyBorder="1" applyAlignment="1">
      <alignment vertical="center"/>
    </xf>
    <xf numFmtId="37" fontId="35" fillId="0" borderId="12" xfId="3" applyNumberFormat="1" applyFont="1" applyBorder="1" applyAlignment="1">
      <alignment vertical="center"/>
    </xf>
    <xf numFmtId="37" fontId="34" fillId="0" borderId="12" xfId="3" applyNumberFormat="1" applyFont="1" applyBorder="1" applyAlignment="1">
      <alignment vertical="center"/>
    </xf>
    <xf numFmtId="37" fontId="38" fillId="10" borderId="13" xfId="3" applyNumberFormat="1" applyFont="1" applyFill="1" applyBorder="1" applyAlignment="1">
      <alignment vertical="center"/>
    </xf>
    <xf numFmtId="37" fontId="35" fillId="10" borderId="14" xfId="3" applyNumberFormat="1" applyFont="1" applyFill="1" applyBorder="1" applyAlignment="1">
      <alignment vertical="center"/>
    </xf>
    <xf numFmtId="37" fontId="35" fillId="10" borderId="12" xfId="3" applyNumberFormat="1" applyFont="1" applyFill="1" applyBorder="1" applyAlignment="1">
      <alignment vertical="center"/>
    </xf>
    <xf numFmtId="37" fontId="38" fillId="0" borderId="13" xfId="3" applyNumberFormat="1" applyFont="1" applyBorder="1" applyAlignment="1">
      <alignment horizontal="right" vertical="center"/>
    </xf>
    <xf numFmtId="37" fontId="38" fillId="0" borderId="13" xfId="3" applyNumberFormat="1" applyFont="1" applyBorder="1" applyAlignment="1">
      <alignment horizontal="centerContinuous" vertical="center"/>
    </xf>
    <xf numFmtId="37" fontId="38" fillId="0" borderId="37" xfId="3" applyNumberFormat="1" applyFont="1" applyBorder="1" applyAlignment="1">
      <alignment horizontal="centerContinuous" vertical="center"/>
    </xf>
    <xf numFmtId="37" fontId="38" fillId="0" borderId="37" xfId="3" applyNumberFormat="1" applyFont="1" applyBorder="1" applyAlignment="1">
      <alignment horizontal="right" vertical="center"/>
    </xf>
    <xf numFmtId="37" fontId="34" fillId="0" borderId="38" xfId="3" applyNumberFormat="1" applyFont="1" applyBorder="1" applyAlignment="1">
      <alignment vertical="center"/>
    </xf>
    <xf numFmtId="37" fontId="34" fillId="0" borderId="36" xfId="3" applyNumberFormat="1" applyFont="1" applyBorder="1" applyAlignment="1">
      <alignment vertical="center"/>
    </xf>
    <xf numFmtId="37" fontId="35" fillId="0" borderId="36" xfId="3" applyNumberFormat="1" applyFont="1" applyBorder="1" applyAlignment="1">
      <alignment vertical="center"/>
    </xf>
    <xf numFmtId="37" fontId="38" fillId="0" borderId="29" xfId="3" applyNumberFormat="1" applyFont="1" applyBorder="1" applyAlignment="1">
      <alignment horizontal="centerContinuous" vertical="center"/>
    </xf>
    <xf numFmtId="37" fontId="38" fillId="0" borderId="29" xfId="3" applyNumberFormat="1" applyFont="1" applyBorder="1" applyAlignment="1">
      <alignment horizontal="right" vertical="center"/>
    </xf>
    <xf numFmtId="37" fontId="34" fillId="0" borderId="26" xfId="3" applyNumberFormat="1" applyFont="1" applyBorder="1" applyAlignment="1">
      <alignment vertical="center"/>
    </xf>
    <xf numFmtId="37" fontId="34" fillId="0" borderId="16" xfId="3" applyNumberFormat="1" applyFont="1" applyBorder="1" applyAlignment="1">
      <alignment vertical="center"/>
    </xf>
    <xf numFmtId="37" fontId="35" fillId="0" borderId="16" xfId="3" applyNumberFormat="1" applyFont="1" applyBorder="1" applyAlignment="1">
      <alignment vertical="center"/>
    </xf>
    <xf numFmtId="37" fontId="34" fillId="10" borderId="14" xfId="3" applyNumberFormat="1" applyFont="1" applyFill="1" applyBorder="1" applyAlignment="1">
      <alignment horizontal="left" vertical="center" indent="1"/>
    </xf>
    <xf numFmtId="37" fontId="34" fillId="10" borderId="12" xfId="3" applyNumberFormat="1" applyFont="1" applyFill="1" applyBorder="1" applyAlignment="1">
      <alignment horizontal="left" vertical="center" indent="1"/>
    </xf>
    <xf numFmtId="166" fontId="27" fillId="0" borderId="0" xfId="0" applyNumberFormat="1" applyFont="1"/>
    <xf numFmtId="0" fontId="0" fillId="0" borderId="0" xfId="0" applyAlignment="1">
      <alignment horizontal="left" indent="1"/>
    </xf>
    <xf numFmtId="166" fontId="27" fillId="0" borderId="0" xfId="1" applyNumberFormat="1" applyFont="1"/>
    <xf numFmtId="9" fontId="0" fillId="0" borderId="0" xfId="2" applyFont="1"/>
    <xf numFmtId="37" fontId="34" fillId="0" borderId="14" xfId="0" applyNumberFormat="1" applyFont="1" applyBorder="1" applyAlignment="1">
      <alignment vertical="center"/>
    </xf>
    <xf numFmtId="37" fontId="38" fillId="10" borderId="13" xfId="0" applyNumberFormat="1" applyFont="1" applyFill="1" applyBorder="1" applyAlignment="1">
      <alignment vertical="center"/>
    </xf>
    <xf numFmtId="37" fontId="35" fillId="10" borderId="14" xfId="0" applyNumberFormat="1" applyFont="1" applyFill="1" applyBorder="1" applyAlignment="1">
      <alignment vertical="center"/>
    </xf>
    <xf numFmtId="37" fontId="38" fillId="0" borderId="13" xfId="0" applyNumberFormat="1" applyFont="1" applyBorder="1" applyAlignment="1">
      <alignment horizontal="right" vertical="center"/>
    </xf>
    <xf numFmtId="172" fontId="0" fillId="0" borderId="0" xfId="1" applyNumberFormat="1" applyFont="1"/>
    <xf numFmtId="9" fontId="3" fillId="4" borderId="0" xfId="2" applyFont="1" applyFill="1"/>
    <xf numFmtId="9" fontId="5" fillId="4" borderId="0" xfId="2" applyFont="1" applyFill="1"/>
    <xf numFmtId="9" fontId="0" fillId="0" borderId="0" xfId="2" applyFont="1" applyFill="1"/>
    <xf numFmtId="9" fontId="27" fillId="0" borderId="0" xfId="2" applyFont="1"/>
    <xf numFmtId="9" fontId="5" fillId="0" borderId="0" xfId="2" applyFont="1" applyAlignment="1">
      <alignment horizontal="right" vertical="center"/>
    </xf>
    <xf numFmtId="9" fontId="3" fillId="2" borderId="0" xfId="2" applyFont="1" applyFill="1" applyAlignment="1">
      <alignment horizontal="right"/>
    </xf>
    <xf numFmtId="37" fontId="4" fillId="3" borderId="1" xfId="3" applyNumberFormat="1" applyFont="1" applyFill="1" applyBorder="1" applyAlignment="1">
      <alignment wrapText="1"/>
    </xf>
    <xf numFmtId="9" fontId="5" fillId="3" borderId="0" xfId="1" applyNumberFormat="1" applyFont="1" applyFill="1" applyAlignment="1">
      <alignment horizontal="right"/>
    </xf>
    <xf numFmtId="173" fontId="17" fillId="8" borderId="0" xfId="0" applyNumberFormat="1" applyFont="1" applyFill="1" applyAlignment="1">
      <alignment horizontal="right"/>
    </xf>
    <xf numFmtId="173" fontId="4" fillId="3" borderId="1" xfId="10" applyNumberFormat="1" applyFont="1" applyFill="1" applyBorder="1"/>
    <xf numFmtId="37" fontId="5" fillId="2" borderId="1" xfId="9" applyNumberFormat="1" applyFont="1" applyFill="1" applyBorder="1" applyAlignment="1">
      <alignment horizontal="left"/>
    </xf>
    <xf numFmtId="37" fontId="5" fillId="2" borderId="1" xfId="9" applyNumberFormat="1" applyFont="1" applyFill="1" applyBorder="1" applyAlignment="1">
      <alignment horizontal="right"/>
    </xf>
    <xf numFmtId="173" fontId="4" fillId="4" borderId="0" xfId="10" applyNumberFormat="1" applyFont="1" applyFill="1"/>
    <xf numFmtId="9" fontId="17" fillId="4" borderId="0" xfId="9" applyNumberFormat="1" applyFont="1" applyFill="1" applyAlignment="1">
      <alignment horizontal="right"/>
    </xf>
    <xf numFmtId="0" fontId="5" fillId="0" borderId="0" xfId="0" applyFont="1" applyAlignment="1">
      <alignment horizontal="right" vertical="center"/>
    </xf>
    <xf numFmtId="37" fontId="31" fillId="3" borderId="0" xfId="1" applyNumberFormat="1" applyFont="1" applyFill="1" applyAlignment="1">
      <alignment vertical="center"/>
    </xf>
    <xf numFmtId="37" fontId="31" fillId="3" borderId="0" xfId="1" applyNumberFormat="1" applyFont="1" applyFill="1" applyAlignment="1">
      <alignment horizontal="right" vertical="center"/>
    </xf>
    <xf numFmtId="37" fontId="26" fillId="3" borderId="0" xfId="1" applyNumberFormat="1" applyFont="1" applyFill="1" applyAlignment="1">
      <alignment vertical="center"/>
    </xf>
    <xf numFmtId="9" fontId="26" fillId="3" borderId="0" xfId="2" applyFont="1" applyFill="1" applyAlignment="1">
      <alignment horizontal="right" vertical="center"/>
    </xf>
    <xf numFmtId="37" fontId="26" fillId="3" borderId="0" xfId="1" applyNumberFormat="1" applyFont="1" applyFill="1" applyAlignment="1">
      <alignment horizontal="right" vertical="center"/>
    </xf>
    <xf numFmtId="37" fontId="26" fillId="3" borderId="0" xfId="1" applyNumberFormat="1" applyFont="1" applyFill="1" applyAlignment="1">
      <alignment horizontal="left" vertical="center"/>
    </xf>
    <xf numFmtId="9" fontId="26" fillId="3" borderId="0" xfId="2" applyFont="1" applyFill="1" applyAlignment="1">
      <alignment horizontal="right" vertical="top"/>
    </xf>
    <xf numFmtId="164" fontId="4" fillId="4" borderId="0" xfId="1" applyFont="1" applyFill="1"/>
    <xf numFmtId="0" fontId="40" fillId="7" borderId="0" xfId="0" applyFont="1" applyFill="1" applyAlignment="1">
      <alignment horizontal="left" vertical="center"/>
    </xf>
    <xf numFmtId="0" fontId="40" fillId="3" borderId="1" xfId="0" applyFont="1" applyFill="1" applyBorder="1" applyAlignment="1">
      <alignment vertical="center" readingOrder="1"/>
    </xf>
    <xf numFmtId="0" fontId="40" fillId="3" borderId="0" xfId="0" applyFont="1" applyFill="1" applyAlignment="1">
      <alignment horizontal="left" vertical="center"/>
    </xf>
    <xf numFmtId="0" fontId="43" fillId="3" borderId="0" xfId="0" applyFont="1" applyFill="1" applyAlignment="1">
      <alignment vertical="center" readingOrder="1"/>
    </xf>
    <xf numFmtId="0" fontId="45" fillId="7" borderId="0" xfId="0" applyFont="1" applyFill="1" applyAlignment="1">
      <alignment horizontal="right" vertical="center" readingOrder="1"/>
    </xf>
    <xf numFmtId="37" fontId="40" fillId="3" borderId="0" xfId="0" applyNumberFormat="1" applyFont="1" applyFill="1" applyAlignment="1">
      <alignment horizontal="right" vertical="center"/>
    </xf>
    <xf numFmtId="37" fontId="40" fillId="3" borderId="1" xfId="0" applyNumberFormat="1" applyFont="1" applyFill="1" applyBorder="1" applyAlignment="1">
      <alignment vertical="center" readingOrder="1"/>
    </xf>
    <xf numFmtId="37" fontId="40" fillId="3" borderId="0" xfId="0" applyNumberFormat="1" applyFont="1" applyFill="1" applyAlignment="1">
      <alignment horizontal="left" vertical="center"/>
    </xf>
    <xf numFmtId="37" fontId="44" fillId="3" borderId="0" xfId="0" applyNumberFormat="1" applyFont="1" applyFill="1" applyAlignment="1">
      <alignment horizontal="right" vertical="center"/>
    </xf>
    <xf numFmtId="37" fontId="44" fillId="3" borderId="0" xfId="0" applyNumberFormat="1" applyFont="1" applyFill="1" applyAlignment="1">
      <alignment horizontal="left" vertical="center"/>
    </xf>
    <xf numFmtId="37" fontId="44" fillId="3" borderId="1" xfId="0" applyNumberFormat="1" applyFont="1" applyFill="1" applyBorder="1" applyAlignment="1">
      <alignment vertical="center" readingOrder="1"/>
    </xf>
    <xf numFmtId="0" fontId="25" fillId="7" borderId="0" xfId="0" applyFont="1" applyFill="1" applyAlignment="1">
      <alignment horizontal="left" vertical="center"/>
    </xf>
    <xf numFmtId="37" fontId="44" fillId="3" borderId="1" xfId="0" applyNumberFormat="1" applyFont="1" applyFill="1" applyBorder="1" applyAlignment="1">
      <alignment horizontal="right" vertical="center" readingOrder="1"/>
    </xf>
    <xf numFmtId="9" fontId="40" fillId="3" borderId="0" xfId="0" applyNumberFormat="1" applyFont="1" applyFill="1" applyAlignment="1">
      <alignment horizontal="right" vertical="center"/>
    </xf>
    <xf numFmtId="37" fontId="40" fillId="3" borderId="0" xfId="0" quotePrefix="1" applyNumberFormat="1" applyFont="1" applyFill="1" applyAlignment="1">
      <alignment horizontal="right" vertical="center"/>
    </xf>
    <xf numFmtId="9" fontId="44" fillId="3" borderId="0" xfId="0" applyNumberFormat="1" applyFont="1" applyFill="1" applyAlignment="1">
      <alignment horizontal="right" vertical="center"/>
    </xf>
    <xf numFmtId="37" fontId="46" fillId="12" borderId="0" xfId="14" applyNumberFormat="1" applyFont="1" applyFill="1" applyAlignment="1">
      <alignment horizontal="left" vertical="center"/>
    </xf>
    <xf numFmtId="37" fontId="46" fillId="12" borderId="0" xfId="14" applyNumberFormat="1" applyFont="1" applyFill="1" applyAlignment="1">
      <alignment horizontal="right" vertical="center"/>
    </xf>
    <xf numFmtId="37" fontId="46" fillId="13" borderId="39" xfId="14" applyNumberFormat="1" applyFont="1" applyFill="1" applyBorder="1" applyAlignment="1">
      <alignment vertical="center"/>
    </xf>
    <xf numFmtId="37" fontId="46" fillId="13" borderId="40" xfId="14" applyNumberFormat="1" applyFont="1" applyFill="1" applyBorder="1" applyAlignment="1">
      <alignment horizontal="right" vertical="center"/>
    </xf>
    <xf numFmtId="37" fontId="44" fillId="14" borderId="12" xfId="15" applyNumberFormat="1" applyFont="1" applyFill="1" applyBorder="1" applyAlignment="1">
      <alignment horizontal="left" vertical="center"/>
    </xf>
    <xf numFmtId="37" fontId="44" fillId="14" borderId="12" xfId="15" applyNumberFormat="1" applyFont="1" applyFill="1" applyBorder="1" applyAlignment="1">
      <alignment horizontal="right" vertical="center"/>
    </xf>
    <xf numFmtId="37" fontId="44" fillId="15" borderId="12" xfId="15" applyNumberFormat="1" applyFont="1" applyFill="1" applyBorder="1" applyAlignment="1">
      <alignment horizontal="left" vertical="center"/>
    </xf>
    <xf numFmtId="37" fontId="44" fillId="15" borderId="12" xfId="16" applyNumberFormat="1" applyFont="1" applyFill="1" applyBorder="1" applyAlignment="1">
      <alignment horizontal="right" vertical="center"/>
    </xf>
    <xf numFmtId="37" fontId="40" fillId="14" borderId="12" xfId="15" applyNumberFormat="1" applyFont="1" applyFill="1" applyBorder="1" applyAlignment="1">
      <alignment horizontal="left" vertical="center"/>
    </xf>
    <xf numFmtId="37" fontId="49" fillId="14" borderId="12" xfId="16" applyNumberFormat="1" applyFont="1" applyFill="1" applyBorder="1" applyAlignment="1">
      <alignment horizontal="right" vertical="center"/>
    </xf>
    <xf numFmtId="37" fontId="40" fillId="15" borderId="12" xfId="15" applyNumberFormat="1" applyFont="1" applyFill="1" applyBorder="1" applyAlignment="1">
      <alignment horizontal="left" vertical="center"/>
    </xf>
    <xf numFmtId="37" fontId="40" fillId="15" borderId="12" xfId="15" applyNumberFormat="1" applyFont="1" applyFill="1" applyBorder="1" applyAlignment="1">
      <alignment horizontal="right" vertical="center"/>
    </xf>
    <xf numFmtId="37" fontId="40" fillId="14" borderId="12" xfId="15" applyNumberFormat="1" applyFont="1" applyFill="1" applyBorder="1" applyAlignment="1">
      <alignment horizontal="right" vertical="center"/>
    </xf>
    <xf numFmtId="37" fontId="40" fillId="15" borderId="12" xfId="16" applyNumberFormat="1" applyFont="1" applyFill="1" applyBorder="1" applyAlignment="1">
      <alignment horizontal="right" vertical="center"/>
    </xf>
    <xf numFmtId="37" fontId="40" fillId="14" borderId="12" xfId="16" applyNumberFormat="1" applyFont="1" applyFill="1" applyBorder="1" applyAlignment="1">
      <alignment horizontal="right" vertical="center"/>
    </xf>
    <xf numFmtId="168" fontId="44" fillId="14" borderId="12" xfId="15" applyNumberFormat="1" applyFont="1" applyFill="1" applyBorder="1" applyAlignment="1">
      <alignment horizontal="left" vertical="center"/>
    </xf>
    <xf numFmtId="168" fontId="44" fillId="14" borderId="12" xfId="16" applyNumberFormat="1" applyFont="1" applyFill="1" applyBorder="1" applyAlignment="1">
      <alignment horizontal="right" vertical="center"/>
    </xf>
    <xf numFmtId="37" fontId="44" fillId="2" borderId="0" xfId="15" applyNumberFormat="1" applyFont="1" applyFill="1" applyAlignment="1">
      <alignment horizontal="left" vertical="center"/>
    </xf>
    <xf numFmtId="37" fontId="44" fillId="2" borderId="0" xfId="15" applyNumberFormat="1" applyFont="1" applyFill="1" applyAlignment="1">
      <alignment horizontal="right" vertical="center"/>
    </xf>
    <xf numFmtId="9" fontId="44" fillId="2" borderId="0" xfId="15" applyNumberFormat="1" applyFont="1" applyFill="1" applyAlignment="1">
      <alignment horizontal="right" vertical="center"/>
    </xf>
    <xf numFmtId="0" fontId="26" fillId="0" borderId="0" xfId="17" applyFont="1"/>
    <xf numFmtId="0" fontId="26" fillId="0" borderId="0" xfId="17" applyFont="1" applyAlignment="1">
      <alignment horizontal="right"/>
    </xf>
    <xf numFmtId="37" fontId="26" fillId="0" borderId="0" xfId="17" applyNumberFormat="1" applyFont="1" applyAlignment="1">
      <alignment horizontal="right"/>
    </xf>
    <xf numFmtId="9" fontId="26" fillId="0" borderId="0" xfId="17" applyNumberFormat="1" applyFont="1"/>
    <xf numFmtId="0" fontId="46" fillId="12" borderId="0" xfId="14" applyNumberFormat="1" applyFont="1" applyFill="1" applyAlignment="1">
      <alignment horizontal="left" vertical="center"/>
    </xf>
    <xf numFmtId="0" fontId="46" fillId="12" borderId="0" xfId="14" applyNumberFormat="1" applyFont="1" applyFill="1" applyAlignment="1">
      <alignment horizontal="right" vertical="center"/>
    </xf>
    <xf numFmtId="0" fontId="46" fillId="13" borderId="39" xfId="14" applyNumberFormat="1" applyFont="1" applyFill="1" applyBorder="1" applyAlignment="1">
      <alignment vertical="center"/>
    </xf>
    <xf numFmtId="0" fontId="44" fillId="2" borderId="41" xfId="15" applyFont="1" applyFill="1" applyBorder="1" applyAlignment="1">
      <alignment horizontal="left" vertical="center"/>
    </xf>
    <xf numFmtId="167" fontId="40" fillId="2" borderId="41" xfId="18" applyNumberFormat="1" applyFont="1" applyFill="1" applyBorder="1" applyAlignment="1">
      <alignment horizontal="right" vertical="center"/>
    </xf>
    <xf numFmtId="0" fontId="40" fillId="14" borderId="12" xfId="15" applyFont="1" applyFill="1" applyBorder="1" applyAlignment="1">
      <alignment horizontal="left" vertical="center"/>
    </xf>
    <xf numFmtId="167" fontId="40" fillId="14" borderId="12" xfId="18" applyNumberFormat="1" applyFont="1" applyFill="1" applyBorder="1" applyAlignment="1">
      <alignment horizontal="right" vertical="center"/>
    </xf>
    <xf numFmtId="0" fontId="40" fillId="15" borderId="12" xfId="15" applyFont="1" applyFill="1" applyBorder="1" applyAlignment="1">
      <alignment horizontal="left" vertical="center"/>
    </xf>
    <xf numFmtId="167" fontId="40" fillId="15" borderId="12" xfId="18" applyNumberFormat="1" applyFont="1" applyFill="1" applyBorder="1" applyAlignment="1">
      <alignment horizontal="right" vertical="center"/>
    </xf>
    <xf numFmtId="0" fontId="44" fillId="2" borderId="0" xfId="15" applyFont="1" applyFill="1" applyAlignment="1">
      <alignment horizontal="left" vertical="center"/>
    </xf>
    <xf numFmtId="0" fontId="44" fillId="2" borderId="0" xfId="15" applyFont="1" applyFill="1" applyAlignment="1">
      <alignment horizontal="right" vertical="center"/>
    </xf>
    <xf numFmtId="9" fontId="40" fillId="14" borderId="12" xfId="18" applyFont="1" applyFill="1" applyBorder="1" applyAlignment="1">
      <alignment horizontal="right" vertical="center"/>
    </xf>
    <xf numFmtId="9" fontId="40" fillId="15" borderId="12" xfId="18" applyFont="1" applyFill="1" applyBorder="1" applyAlignment="1">
      <alignment horizontal="right" vertical="center"/>
    </xf>
    <xf numFmtId="37" fontId="40" fillId="2" borderId="0" xfId="16" applyNumberFormat="1" applyFont="1" applyFill="1" applyAlignment="1">
      <alignment horizontal="right" vertical="center"/>
    </xf>
    <xf numFmtId="165" fontId="40" fillId="2" borderId="0" xfId="19" applyFont="1" applyFill="1" applyAlignment="1">
      <alignment horizontal="right" vertical="center"/>
    </xf>
    <xf numFmtId="168" fontId="40" fillId="14" borderId="12" xfId="15" applyNumberFormat="1" applyFont="1" applyFill="1" applyBorder="1" applyAlignment="1">
      <alignment horizontal="right" vertical="center"/>
    </xf>
    <xf numFmtId="168" fontId="40" fillId="15" borderId="12" xfId="15" applyNumberFormat="1" applyFont="1" applyFill="1" applyBorder="1" applyAlignment="1">
      <alignment horizontal="right" vertical="center"/>
    </xf>
    <xf numFmtId="37" fontId="40" fillId="2" borderId="0" xfId="15" applyNumberFormat="1" applyFont="1" applyFill="1" applyAlignment="1">
      <alignment horizontal="right" vertical="center"/>
    </xf>
    <xf numFmtId="168" fontId="40" fillId="14" borderId="12" xfId="16" applyNumberFormat="1" applyFont="1" applyFill="1" applyBorder="1" applyAlignment="1">
      <alignment horizontal="right" vertical="center"/>
    </xf>
    <xf numFmtId="168" fontId="40" fillId="15" borderId="12" xfId="16" applyNumberFormat="1" applyFont="1" applyFill="1" applyBorder="1" applyAlignment="1">
      <alignment horizontal="right" vertical="center"/>
    </xf>
    <xf numFmtId="166" fontId="40" fillId="15" borderId="12" xfId="1" applyNumberFormat="1" applyFont="1" applyFill="1" applyBorder="1" applyAlignment="1">
      <alignment horizontal="right" vertical="center"/>
    </xf>
    <xf numFmtId="167" fontId="40" fillId="15" borderId="12" xfId="15" applyNumberFormat="1" applyFont="1" applyFill="1" applyBorder="1" applyAlignment="1">
      <alignment horizontal="right" vertical="center"/>
    </xf>
    <xf numFmtId="167" fontId="40" fillId="14" borderId="12" xfId="15" applyNumberFormat="1" applyFont="1" applyFill="1" applyBorder="1" applyAlignment="1">
      <alignment horizontal="right" vertical="center"/>
    </xf>
    <xf numFmtId="0" fontId="40" fillId="4" borderId="12" xfId="15" applyFont="1" applyFill="1" applyBorder="1" applyAlignment="1">
      <alignment horizontal="left" vertical="center"/>
    </xf>
    <xf numFmtId="10" fontId="40" fillId="4" borderId="12" xfId="16" applyNumberFormat="1" applyFont="1" applyFill="1" applyBorder="1" applyAlignment="1">
      <alignment horizontal="right" vertical="center"/>
    </xf>
    <xf numFmtId="37" fontId="40" fillId="0" borderId="12" xfId="15" applyNumberFormat="1" applyFont="1" applyBorder="1" applyAlignment="1">
      <alignment horizontal="left" vertical="center"/>
    </xf>
    <xf numFmtId="37" fontId="40" fillId="0" borderId="12" xfId="16" applyNumberFormat="1" applyFont="1" applyFill="1" applyBorder="1" applyAlignment="1">
      <alignment horizontal="right" vertical="center"/>
    </xf>
    <xf numFmtId="37" fontId="0" fillId="8" borderId="0" xfId="0" applyNumberFormat="1" applyFill="1"/>
    <xf numFmtId="37" fontId="46" fillId="13" borderId="22" xfId="14" applyNumberFormat="1" applyFont="1" applyFill="1" applyBorder="1" applyAlignment="1">
      <alignment horizontal="right" vertical="center"/>
    </xf>
    <xf numFmtId="37" fontId="46" fillId="13" borderId="14" xfId="14" applyNumberFormat="1" applyFont="1" applyFill="1" applyBorder="1" applyAlignment="1">
      <alignment horizontal="right" vertical="center"/>
    </xf>
    <xf numFmtId="174" fontId="31" fillId="0" borderId="4" xfId="21" applyFont="1" applyBorder="1"/>
    <xf numFmtId="37" fontId="31" fillId="0" borderId="5" xfId="21" applyNumberFormat="1" applyFont="1" applyBorder="1"/>
    <xf numFmtId="174" fontId="25" fillId="6" borderId="0" xfId="21" applyFont="1" applyFill="1"/>
    <xf numFmtId="174" fontId="51" fillId="6" borderId="0" xfId="21" applyFont="1" applyFill="1"/>
    <xf numFmtId="0" fontId="52" fillId="16" borderId="42" xfId="0" applyFont="1" applyFill="1" applyBorder="1" applyAlignment="1">
      <alignment horizontal="left" vertical="center" wrapText="1" readingOrder="1"/>
    </xf>
    <xf numFmtId="0" fontId="52" fillId="16" borderId="43" xfId="0" applyFont="1" applyFill="1" applyBorder="1" applyAlignment="1">
      <alignment horizontal="right" vertical="center" wrapText="1" readingOrder="1"/>
    </xf>
    <xf numFmtId="0" fontId="52" fillId="16" borderId="44" xfId="0" applyFont="1" applyFill="1" applyBorder="1" applyAlignment="1">
      <alignment horizontal="right" vertical="center" wrapText="1" readingOrder="1"/>
    </xf>
    <xf numFmtId="0" fontId="53" fillId="6" borderId="45" xfId="0" applyFont="1" applyFill="1" applyBorder="1" applyAlignment="1">
      <alignment horizontal="left" vertical="center" wrapText="1" readingOrder="1"/>
    </xf>
    <xf numFmtId="0" fontId="0" fillId="6" borderId="46" xfId="0" applyFill="1" applyBorder="1" applyAlignment="1">
      <alignment vertical="center" wrapText="1" readingOrder="1"/>
    </xf>
    <xf numFmtId="0" fontId="54" fillId="3" borderId="0" xfId="0" applyFont="1" applyFill="1" applyAlignment="1">
      <alignment horizontal="left" vertical="center" wrapText="1" readingOrder="1"/>
    </xf>
    <xf numFmtId="167" fontId="55" fillId="3" borderId="0" xfId="0" applyNumberFormat="1" applyFont="1" applyFill="1" applyAlignment="1">
      <alignment horizontal="right" vertical="center" wrapText="1" readingOrder="1"/>
    </xf>
    <xf numFmtId="174" fontId="25" fillId="7" borderId="0" xfId="21" applyFont="1" applyFill="1" applyAlignment="1">
      <alignment horizontal="left"/>
    </xf>
    <xf numFmtId="174" fontId="25" fillId="7" borderId="0" xfId="21" applyFont="1" applyFill="1" applyAlignment="1">
      <alignment horizontal="right"/>
    </xf>
    <xf numFmtId="174" fontId="25" fillId="7" borderId="0" xfId="21" applyFont="1" applyFill="1" applyAlignment="1">
      <alignment horizontal="right" wrapText="1"/>
    </xf>
    <xf numFmtId="167" fontId="54" fillId="3" borderId="0" xfId="0" applyNumberFormat="1" applyFont="1" applyFill="1" applyAlignment="1">
      <alignment horizontal="right" vertical="center" wrapText="1" readingOrder="1"/>
    </xf>
    <xf numFmtId="174" fontId="40" fillId="3" borderId="0" xfId="21" applyFont="1" applyFill="1" applyAlignment="1">
      <alignment horizontal="left"/>
    </xf>
    <xf numFmtId="175" fontId="44" fillId="3" borderId="0" xfId="21" applyNumberFormat="1" applyFont="1" applyFill="1"/>
    <xf numFmtId="3" fontId="44" fillId="3" borderId="0" xfId="21" applyNumberFormat="1" applyFont="1" applyFill="1"/>
    <xf numFmtId="37" fontId="44" fillId="3" borderId="0" xfId="21" applyNumberFormat="1" applyFont="1" applyFill="1"/>
    <xf numFmtId="175" fontId="44" fillId="3" borderId="47" xfId="21" applyNumberFormat="1" applyFont="1" applyFill="1" applyBorder="1"/>
    <xf numFmtId="37" fontId="44" fillId="3" borderId="47" xfId="21" applyNumberFormat="1" applyFont="1" applyFill="1" applyBorder="1"/>
    <xf numFmtId="174" fontId="40" fillId="0" borderId="0" xfId="21" applyFont="1"/>
    <xf numFmtId="175" fontId="40" fillId="0" borderId="0" xfId="21" applyNumberFormat="1" applyFont="1"/>
    <xf numFmtId="166" fontId="40" fillId="0" borderId="0" xfId="1" applyNumberFormat="1" applyFont="1"/>
    <xf numFmtId="168" fontId="54" fillId="3" borderId="0" xfId="0" applyNumberFormat="1" applyFont="1" applyFill="1" applyAlignment="1">
      <alignment horizontal="right" vertical="center" wrapText="1" readingOrder="1"/>
    </xf>
    <xf numFmtId="174" fontId="44" fillId="0" borderId="0" xfId="21" applyFont="1" applyAlignment="1">
      <alignment horizontal="left"/>
    </xf>
    <xf numFmtId="174" fontId="44" fillId="0" borderId="0" xfId="21" applyFont="1"/>
    <xf numFmtId="166" fontId="44" fillId="0" borderId="0" xfId="1" applyNumberFormat="1" applyFont="1"/>
    <xf numFmtId="1" fontId="44" fillId="0" borderId="0" xfId="21" applyNumberFormat="1" applyFont="1"/>
    <xf numFmtId="37" fontId="54" fillId="3" borderId="0" xfId="0" applyNumberFormat="1" applyFont="1" applyFill="1" applyAlignment="1">
      <alignment horizontal="right" vertical="center" wrapText="1" readingOrder="1"/>
    </xf>
    <xf numFmtId="174" fontId="25" fillId="7" borderId="0" xfId="21" applyFont="1" applyFill="1"/>
    <xf numFmtId="164" fontId="40" fillId="0" borderId="0" xfId="1" applyFont="1"/>
    <xf numFmtId="9" fontId="54" fillId="3" borderId="0" xfId="0" applyNumberFormat="1" applyFont="1" applyFill="1" applyAlignment="1">
      <alignment horizontal="right" vertical="center" wrapText="1" readingOrder="1"/>
    </xf>
    <xf numFmtId="174" fontId="26" fillId="3" borderId="0" xfId="21" applyFont="1" applyFill="1"/>
    <xf numFmtId="37" fontId="26" fillId="3" borderId="0" xfId="21" applyNumberFormat="1" applyFont="1" applyFill="1"/>
    <xf numFmtId="9" fontId="26" fillId="0" borderId="0" xfId="2" applyFont="1"/>
    <xf numFmtId="174" fontId="26" fillId="0" borderId="0" xfId="21" applyFont="1"/>
    <xf numFmtId="0" fontId="54" fillId="3" borderId="47" xfId="0" applyFont="1" applyFill="1" applyBorder="1" applyAlignment="1">
      <alignment horizontal="left" vertical="center" wrapText="1" readingOrder="1"/>
    </xf>
    <xf numFmtId="168" fontId="54" fillId="3" borderId="47" xfId="0" applyNumberFormat="1" applyFont="1" applyFill="1" applyBorder="1" applyAlignment="1">
      <alignment horizontal="right" vertical="center" wrapText="1" readingOrder="1"/>
    </xf>
    <xf numFmtId="3" fontId="26" fillId="3" borderId="0" xfId="21" applyNumberFormat="1" applyFont="1" applyFill="1"/>
    <xf numFmtId="0" fontId="1" fillId="0" borderId="0" xfId="17"/>
    <xf numFmtId="174" fontId="31" fillId="3" borderId="0" xfId="21" applyFont="1" applyFill="1"/>
    <xf numFmtId="3" fontId="31" fillId="3" borderId="0" xfId="21" applyNumberFormat="1" applyFont="1" applyFill="1"/>
    <xf numFmtId="174" fontId="31" fillId="3" borderId="47" xfId="21" applyFont="1" applyFill="1" applyBorder="1"/>
    <xf numFmtId="9" fontId="31" fillId="3" borderId="47" xfId="2" applyFont="1" applyFill="1" applyBorder="1"/>
    <xf numFmtId="167" fontId="54" fillId="3" borderId="47" xfId="0" applyNumberFormat="1" applyFont="1" applyFill="1" applyBorder="1" applyAlignment="1">
      <alignment horizontal="right" vertical="center" wrapText="1" readingOrder="1"/>
    </xf>
    <xf numFmtId="0" fontId="56" fillId="3" borderId="0" xfId="0" applyFont="1" applyFill="1" applyAlignment="1">
      <alignment horizontal="left" vertical="center" wrapText="1" readingOrder="1"/>
    </xf>
    <xf numFmtId="174" fontId="57" fillId="0" borderId="0" xfId="21" applyFont="1"/>
    <xf numFmtId="176" fontId="54" fillId="3" borderId="0" xfId="19" quotePrefix="1" applyNumberFormat="1" applyFont="1" applyFill="1" applyBorder="1" applyAlignment="1">
      <alignment horizontal="right" vertical="center" wrapText="1" readingOrder="1"/>
    </xf>
    <xf numFmtId="176" fontId="54" fillId="3" borderId="0" xfId="19" applyNumberFormat="1" applyFont="1" applyFill="1" applyBorder="1" applyAlignment="1">
      <alignment horizontal="right" vertical="center" wrapText="1" readingOrder="1"/>
    </xf>
    <xf numFmtId="176" fontId="54" fillId="3" borderId="47" xfId="19" applyNumberFormat="1" applyFont="1" applyFill="1" applyBorder="1" applyAlignment="1">
      <alignment horizontal="right" vertical="center" wrapText="1" readingOrder="1"/>
    </xf>
    <xf numFmtId="176" fontId="56" fillId="3" borderId="0" xfId="19" applyNumberFormat="1" applyFont="1" applyFill="1" applyBorder="1" applyAlignment="1">
      <alignment horizontal="right" vertical="center" wrapText="1" readingOrder="1"/>
    </xf>
    <xf numFmtId="174" fontId="26" fillId="6" borderId="0" xfId="21" applyFont="1" applyFill="1"/>
    <xf numFmtId="174" fontId="25" fillId="7" borderId="2" xfId="21" applyFont="1" applyFill="1" applyBorder="1" applyAlignment="1">
      <alignment horizontal="right"/>
    </xf>
    <xf numFmtId="174" fontId="25" fillId="7" borderId="7" xfId="21" applyFont="1" applyFill="1" applyBorder="1" applyAlignment="1">
      <alignment horizontal="right"/>
    </xf>
    <xf numFmtId="174" fontId="26" fillId="0" borderId="6" xfId="21" applyFont="1" applyBorder="1"/>
    <xf numFmtId="37" fontId="26" fillId="0" borderId="6" xfId="21" applyNumberFormat="1" applyFont="1" applyBorder="1" applyAlignment="1">
      <alignment horizontal="right"/>
    </xf>
    <xf numFmtId="37" fontId="26" fillId="0" borderId="2" xfId="21" applyNumberFormat="1" applyFont="1" applyBorder="1" applyAlignment="1">
      <alignment horizontal="right"/>
    </xf>
    <xf numFmtId="9" fontId="26" fillId="0" borderId="7" xfId="2" applyFont="1" applyBorder="1" applyAlignment="1">
      <alignment horizontal="right" indent="1"/>
    </xf>
    <xf numFmtId="174" fontId="26" fillId="0" borderId="8" xfId="21" applyFont="1" applyBorder="1"/>
    <xf numFmtId="9" fontId="26" fillId="0" borderId="8" xfId="21" applyNumberFormat="1" applyFont="1" applyBorder="1" applyAlignment="1">
      <alignment horizontal="right"/>
    </xf>
    <xf numFmtId="9" fontId="26" fillId="0" borderId="0" xfId="21" applyNumberFormat="1" applyFont="1" applyAlignment="1">
      <alignment horizontal="right"/>
    </xf>
    <xf numFmtId="9" fontId="26" fillId="0" borderId="9" xfId="2" applyFont="1" applyBorder="1" applyAlignment="1">
      <alignment horizontal="right" indent="1"/>
    </xf>
    <xf numFmtId="37" fontId="26" fillId="0" borderId="8" xfId="21" applyNumberFormat="1" applyFont="1" applyBorder="1" applyAlignment="1">
      <alignment horizontal="right"/>
    </xf>
    <xf numFmtId="37" fontId="26" fillId="0" borderId="0" xfId="21" applyNumberFormat="1" applyFont="1" applyAlignment="1">
      <alignment horizontal="right"/>
    </xf>
    <xf numFmtId="168" fontId="26" fillId="0" borderId="10" xfId="21" applyNumberFormat="1" applyFont="1" applyBorder="1" applyAlignment="1">
      <alignment horizontal="right"/>
    </xf>
    <xf numFmtId="168" fontId="26" fillId="0" borderId="1" xfId="21" applyNumberFormat="1" applyFont="1" applyBorder="1" applyAlignment="1">
      <alignment horizontal="right"/>
    </xf>
    <xf numFmtId="9" fontId="26" fillId="0" borderId="11" xfId="2" applyFont="1" applyBorder="1" applyAlignment="1">
      <alignment horizontal="right" indent="1"/>
    </xf>
    <xf numFmtId="174" fontId="26" fillId="0" borderId="10" xfId="21" applyFont="1" applyBorder="1"/>
    <xf numFmtId="168" fontId="26" fillId="0" borderId="48" xfId="21" applyNumberFormat="1" applyFont="1" applyBorder="1"/>
    <xf numFmtId="174" fontId="40" fillId="3" borderId="47" xfId="21" applyFont="1" applyFill="1" applyBorder="1" applyAlignment="1">
      <alignment horizontal="left"/>
    </xf>
    <xf numFmtId="168" fontId="0" fillId="0" borderId="0" xfId="0" applyNumberFormat="1"/>
    <xf numFmtId="3" fontId="58" fillId="0" borderId="0" xfId="22" applyFont="1"/>
    <xf numFmtId="177" fontId="14" fillId="0" borderId="0" xfId="23" applyNumberFormat="1"/>
    <xf numFmtId="0" fontId="14" fillId="0" borderId="0" xfId="23"/>
    <xf numFmtId="0" fontId="14" fillId="0" borderId="0" xfId="23" applyAlignment="1">
      <alignment horizontal="center"/>
    </xf>
    <xf numFmtId="0" fontId="27" fillId="0" borderId="0" xfId="23" applyFont="1"/>
    <xf numFmtId="178" fontId="14" fillId="0" borderId="0" xfId="23" applyNumberFormat="1" applyAlignment="1">
      <alignment horizontal="center"/>
    </xf>
    <xf numFmtId="3" fontId="27" fillId="3" borderId="0" xfId="22" applyFont="1" applyFill="1"/>
    <xf numFmtId="177" fontId="14" fillId="3" borderId="0" xfId="23" applyNumberFormat="1" applyFill="1"/>
    <xf numFmtId="0" fontId="14" fillId="3" borderId="0" xfId="23" applyFill="1" applyAlignment="1">
      <alignment horizontal="center"/>
    </xf>
    <xf numFmtId="0" fontId="14" fillId="3" borderId="0" xfId="23" applyFill="1"/>
    <xf numFmtId="3" fontId="58" fillId="3" borderId="0" xfId="22" applyFont="1" applyFill="1"/>
    <xf numFmtId="0" fontId="27" fillId="3" borderId="0" xfId="23" applyFont="1" applyFill="1"/>
    <xf numFmtId="0" fontId="27" fillId="3" borderId="0" xfId="23" applyFont="1" applyFill="1" applyAlignment="1">
      <alignment horizontal="center"/>
    </xf>
    <xf numFmtId="0" fontId="59" fillId="17" borderId="6" xfId="24" applyBorder="1"/>
    <xf numFmtId="0" fontId="14" fillId="0" borderId="2" xfId="23" applyBorder="1"/>
    <xf numFmtId="0" fontId="14" fillId="0" borderId="7" xfId="23" applyBorder="1"/>
    <xf numFmtId="4" fontId="60" fillId="0" borderId="0" xfId="25" applyNumberFormat="1" applyFont="1" applyAlignment="1" applyProtection="1">
      <alignment horizontal="left"/>
      <protection locked="0"/>
    </xf>
    <xf numFmtId="0" fontId="59" fillId="17" borderId="8" xfId="24" applyBorder="1"/>
    <xf numFmtId="0" fontId="14" fillId="0" borderId="9" xfId="23" applyBorder="1"/>
    <xf numFmtId="3" fontId="61" fillId="0" borderId="0" xfId="22" applyFont="1"/>
    <xf numFmtId="0" fontId="62" fillId="0" borderId="0" xfId="23" applyFont="1" applyAlignment="1">
      <alignment horizontal="center"/>
    </xf>
    <xf numFmtId="0" fontId="27" fillId="17" borderId="8" xfId="24" applyFont="1" applyBorder="1"/>
    <xf numFmtId="0" fontId="27" fillId="8" borderId="9" xfId="23" applyFont="1" applyFill="1" applyBorder="1"/>
    <xf numFmtId="4" fontId="63" fillId="0" borderId="0" xfId="25" applyNumberFormat="1" applyFont="1" applyAlignment="1" applyProtection="1">
      <alignment horizontal="left"/>
      <protection locked="0"/>
    </xf>
    <xf numFmtId="0" fontId="62" fillId="8" borderId="9" xfId="23" applyFont="1" applyFill="1" applyBorder="1"/>
    <xf numFmtId="3" fontId="14" fillId="18" borderId="9" xfId="23" applyNumberFormat="1" applyFill="1" applyBorder="1"/>
    <xf numFmtId="15" fontId="14" fillId="0" borderId="9" xfId="23" applyNumberFormat="1" applyBorder="1"/>
    <xf numFmtId="3" fontId="62" fillId="8" borderId="9" xfId="23" applyNumberFormat="1" applyFont="1" applyFill="1" applyBorder="1"/>
    <xf numFmtId="3" fontId="14" fillId="0" borderId="9" xfId="23" applyNumberFormat="1" applyBorder="1"/>
    <xf numFmtId="15" fontId="62" fillId="8" borderId="9" xfId="23" applyNumberFormat="1" applyFont="1" applyFill="1" applyBorder="1"/>
    <xf numFmtId="0" fontId="59" fillId="17" borderId="10" xfId="24" applyBorder="1"/>
    <xf numFmtId="0" fontId="14" fillId="0" borderId="1" xfId="23" applyBorder="1"/>
    <xf numFmtId="0" fontId="14" fillId="0" borderId="11" xfId="23" applyBorder="1"/>
    <xf numFmtId="0" fontId="27" fillId="17" borderId="0" xfId="26" applyFont="1"/>
    <xf numFmtId="177" fontId="1" fillId="0" borderId="0" xfId="27" applyNumberFormat="1"/>
    <xf numFmtId="180" fontId="1" fillId="0" borderId="0" xfId="28" applyAlignment="1">
      <alignment horizontal="center"/>
    </xf>
    <xf numFmtId="0" fontId="64" fillId="0" borderId="0" xfId="23" applyFont="1"/>
    <xf numFmtId="3" fontId="14" fillId="0" borderId="0" xfId="23" applyNumberFormat="1"/>
    <xf numFmtId="3" fontId="61" fillId="3" borderId="0" xfId="22" applyFont="1" applyFill="1"/>
    <xf numFmtId="177" fontId="62" fillId="3" borderId="0" xfId="23" applyNumberFormat="1" applyFont="1" applyFill="1"/>
    <xf numFmtId="0" fontId="62" fillId="3" borderId="0" xfId="23" applyFont="1" applyFill="1"/>
    <xf numFmtId="0" fontId="62" fillId="3" borderId="0" xfId="23" applyFont="1" applyFill="1" applyAlignment="1">
      <alignment horizontal="center"/>
    </xf>
    <xf numFmtId="0" fontId="65" fillId="3" borderId="0" xfId="23" applyFont="1" applyFill="1"/>
    <xf numFmtId="3" fontId="62" fillId="3" borderId="0" xfId="23" applyNumberFormat="1" applyFont="1" applyFill="1"/>
    <xf numFmtId="0" fontId="62" fillId="0" borderId="0" xfId="23" applyFont="1"/>
    <xf numFmtId="3" fontId="61" fillId="19" borderId="0" xfId="22" applyFont="1" applyFill="1"/>
    <xf numFmtId="3" fontId="66" fillId="0" borderId="0" xfId="22" applyFont="1"/>
    <xf numFmtId="3" fontId="58" fillId="19" borderId="0" xfId="22" applyFont="1" applyFill="1"/>
    <xf numFmtId="0" fontId="67" fillId="0" borderId="0" xfId="23" applyFont="1"/>
    <xf numFmtId="3" fontId="68" fillId="19" borderId="0" xfId="22" applyFont="1" applyFill="1"/>
    <xf numFmtId="177" fontId="3" fillId="3" borderId="0" xfId="23" applyNumberFormat="1" applyFont="1" applyFill="1"/>
    <xf numFmtId="0" fontId="3" fillId="0" borderId="0" xfId="23" applyFont="1"/>
    <xf numFmtId="166" fontId="62" fillId="3" borderId="0" xfId="29" applyNumberFormat="1" applyFont="1" applyFill="1"/>
    <xf numFmtId="0" fontId="65" fillId="0" borderId="0" xfId="23" applyFont="1"/>
    <xf numFmtId="166" fontId="62" fillId="8" borderId="0" xfId="29" applyNumberFormat="1" applyFont="1" applyFill="1"/>
    <xf numFmtId="3" fontId="62" fillId="3" borderId="0" xfId="22" applyFont="1" applyFill="1"/>
    <xf numFmtId="177" fontId="1" fillId="8" borderId="0" xfId="28" applyNumberFormat="1" applyFill="1"/>
    <xf numFmtId="3" fontId="62" fillId="3" borderId="0" xfId="22" applyFont="1" applyFill="1" applyAlignment="1">
      <alignment horizontal="center"/>
    </xf>
    <xf numFmtId="3" fontId="65" fillId="3" borderId="0" xfId="22" applyFont="1" applyFill="1"/>
    <xf numFmtId="3" fontId="70" fillId="8" borderId="0" xfId="22" applyFont="1" applyFill="1"/>
    <xf numFmtId="3" fontId="62" fillId="0" borderId="0" xfId="22" applyFont="1"/>
    <xf numFmtId="0" fontId="1" fillId="0" borderId="0" xfId="23" applyFont="1"/>
    <xf numFmtId="3" fontId="14" fillId="3" borderId="0" xfId="23" applyNumberFormat="1" applyFill="1"/>
    <xf numFmtId="0" fontId="2" fillId="0" borderId="0" xfId="23" applyFont="1"/>
    <xf numFmtId="0" fontId="64" fillId="3" borderId="0" xfId="23" applyFont="1" applyFill="1"/>
    <xf numFmtId="0" fontId="71" fillId="0" borderId="0" xfId="23" applyFont="1"/>
    <xf numFmtId="181" fontId="14" fillId="3" borderId="0" xfId="23" applyNumberFormat="1" applyFill="1"/>
    <xf numFmtId="176" fontId="14" fillId="3" borderId="0" xfId="23" applyNumberFormat="1" applyFill="1"/>
    <xf numFmtId="3" fontId="14" fillId="0" borderId="0" xfId="22"/>
    <xf numFmtId="3" fontId="14" fillId="19" borderId="0" xfId="22" applyFill="1"/>
    <xf numFmtId="1" fontId="14" fillId="3" borderId="0" xfId="23" applyNumberFormat="1" applyFill="1"/>
    <xf numFmtId="3" fontId="66" fillId="3" borderId="0" xfId="22" applyFont="1" applyFill="1"/>
    <xf numFmtId="3" fontId="66" fillId="19" borderId="0" xfId="22" applyFont="1" applyFill="1"/>
    <xf numFmtId="2" fontId="14" fillId="3" borderId="0" xfId="23" applyNumberFormat="1" applyFill="1"/>
    <xf numFmtId="0" fontId="64" fillId="8" borderId="0" xfId="23" applyFont="1" applyFill="1"/>
    <xf numFmtId="0" fontId="14" fillId="8" borderId="0" xfId="23" applyFill="1"/>
    <xf numFmtId="181" fontId="14" fillId="8" borderId="0" xfId="23" applyNumberFormat="1" applyFill="1"/>
    <xf numFmtId="176" fontId="14" fillId="8" borderId="0" xfId="23" applyNumberFormat="1" applyFill="1"/>
    <xf numFmtId="181" fontId="14" fillId="0" borderId="0" xfId="23" applyNumberFormat="1"/>
    <xf numFmtId="0" fontId="72" fillId="8" borderId="12" xfId="30" applyFont="1" applyFill="1" applyBorder="1" applyAlignment="1">
      <alignment horizontal="left" vertical="center"/>
    </xf>
    <xf numFmtId="3" fontId="14" fillId="8" borderId="0" xfId="23" applyNumberFormat="1" applyFill="1"/>
    <xf numFmtId="0" fontId="73" fillId="8" borderId="12" xfId="30" applyFont="1" applyFill="1" applyBorder="1" applyAlignment="1">
      <alignment horizontal="left" vertical="center"/>
    </xf>
    <xf numFmtId="3" fontId="64" fillId="8" borderId="0" xfId="22" applyFont="1" applyFill="1"/>
    <xf numFmtId="182" fontId="14" fillId="0" borderId="0" xfId="23" applyNumberFormat="1"/>
    <xf numFmtId="9" fontId="17" fillId="3" borderId="0" xfId="2" applyFont="1" applyFill="1" applyAlignment="1">
      <alignment horizontal="right" vertical="center"/>
    </xf>
    <xf numFmtId="9" fontId="40" fillId="15" borderId="12" xfId="20" applyFont="1" applyFill="1" applyBorder="1" applyAlignment="1">
      <alignment horizontal="right" vertical="center"/>
    </xf>
    <xf numFmtId="9" fontId="40" fillId="14" borderId="12" xfId="20" applyFont="1" applyFill="1" applyBorder="1" applyAlignment="1">
      <alignment horizontal="right" vertical="center"/>
    </xf>
    <xf numFmtId="0" fontId="74" fillId="0" borderId="0" xfId="0" applyFont="1" applyAlignment="1">
      <alignment horizontal="left"/>
    </xf>
    <xf numFmtId="37" fontId="5" fillId="8" borderId="0" xfId="3" applyNumberFormat="1" applyFont="1" applyFill="1" applyAlignment="1">
      <alignment horizontal="left" indent="1"/>
    </xf>
    <xf numFmtId="9" fontId="5" fillId="3" borderId="0" xfId="2" applyFont="1" applyFill="1" applyAlignment="1">
      <alignment horizontal="right"/>
    </xf>
    <xf numFmtId="37" fontId="75" fillId="4" borderId="0" xfId="1" applyNumberFormat="1" applyFont="1" applyFill="1" applyAlignment="1">
      <alignment horizontal="right" vertical="center"/>
    </xf>
    <xf numFmtId="37" fontId="34" fillId="0" borderId="14" xfId="21" applyNumberFormat="1" applyFont="1" applyBorder="1" applyAlignment="1">
      <alignment vertical="center"/>
    </xf>
    <xf numFmtId="9" fontId="34" fillId="0" borderId="14" xfId="2" applyFont="1" applyFill="1" applyBorder="1" applyAlignment="1">
      <alignment vertical="center"/>
    </xf>
    <xf numFmtId="9" fontId="34" fillId="0" borderId="14" xfId="21" applyNumberFormat="1" applyFont="1" applyBorder="1" applyAlignment="1">
      <alignment vertical="center"/>
    </xf>
    <xf numFmtId="1" fontId="34" fillId="0" borderId="14" xfId="21" applyNumberFormat="1" applyFont="1" applyBorder="1" applyAlignment="1">
      <alignment vertical="center"/>
    </xf>
    <xf numFmtId="37" fontId="34" fillId="0" borderId="12" xfId="21" applyNumberFormat="1" applyFont="1" applyBorder="1" applyAlignment="1">
      <alignment vertical="center"/>
    </xf>
    <xf numFmtId="9" fontId="34" fillId="0" borderId="12" xfId="2" applyFont="1" applyFill="1" applyBorder="1" applyAlignment="1">
      <alignment vertical="center"/>
    </xf>
    <xf numFmtId="9" fontId="34" fillId="0" borderId="12" xfId="21" applyNumberFormat="1" applyFont="1" applyBorder="1" applyAlignment="1">
      <alignment vertical="center"/>
    </xf>
    <xf numFmtId="1" fontId="34" fillId="0" borderId="12" xfId="21" applyNumberFormat="1" applyFont="1" applyBorder="1" applyAlignment="1">
      <alignment vertical="center"/>
    </xf>
    <xf numFmtId="174" fontId="38" fillId="10" borderId="13" xfId="21" applyFont="1" applyFill="1" applyBorder="1" applyAlignment="1">
      <alignment vertical="center"/>
    </xf>
    <xf numFmtId="174" fontId="35" fillId="10" borderId="14" xfId="21" applyFont="1" applyFill="1" applyBorder="1" applyAlignment="1">
      <alignment vertical="center"/>
    </xf>
    <xf numFmtId="174" fontId="35" fillId="10" borderId="12" xfId="21" applyFont="1" applyFill="1" applyBorder="1" applyAlignment="1">
      <alignment vertical="center"/>
    </xf>
    <xf numFmtId="37" fontId="10" fillId="20" borderId="0" xfId="3" applyNumberFormat="1" applyFont="1" applyFill="1"/>
    <xf numFmtId="166" fontId="0" fillId="8" borderId="0" xfId="1" applyNumberFormat="1" applyFont="1" applyFill="1"/>
    <xf numFmtId="37" fontId="34" fillId="0" borderId="14" xfId="0" applyNumberFormat="1" applyFont="1" applyBorder="1" applyAlignment="1">
      <alignment horizontal="right" vertical="center"/>
    </xf>
    <xf numFmtId="37" fontId="34" fillId="0" borderId="12" xfId="0" applyNumberFormat="1" applyFont="1" applyBorder="1" applyAlignment="1">
      <alignment horizontal="right" vertical="center"/>
    </xf>
    <xf numFmtId="9" fontId="34" fillId="0" borderId="12" xfId="0" applyNumberFormat="1" applyFont="1" applyBorder="1" applyAlignment="1">
      <alignment horizontal="right" vertical="center"/>
    </xf>
    <xf numFmtId="167" fontId="34" fillId="0" borderId="12" xfId="0" applyNumberFormat="1" applyFont="1" applyBorder="1" applyAlignment="1">
      <alignment horizontal="right" vertical="center"/>
    </xf>
    <xf numFmtId="168" fontId="34" fillId="0" borderId="12" xfId="0" applyNumberFormat="1" applyFont="1" applyBorder="1" applyAlignment="1">
      <alignment horizontal="right" vertical="center"/>
    </xf>
    <xf numFmtId="9" fontId="35" fillId="10" borderId="12" xfId="0" applyNumberFormat="1" applyFont="1" applyFill="1" applyBorder="1" applyAlignment="1">
      <alignment vertical="center"/>
    </xf>
    <xf numFmtId="37" fontId="44" fillId="0" borderId="12" xfId="15" applyNumberFormat="1" applyFont="1" applyBorder="1" applyAlignment="1">
      <alignment horizontal="left" vertical="center"/>
    </xf>
    <xf numFmtId="37" fontId="44" fillId="0" borderId="12" xfId="16" applyNumberFormat="1" applyFont="1" applyFill="1" applyBorder="1" applyAlignment="1">
      <alignment horizontal="right" vertical="center"/>
    </xf>
    <xf numFmtId="37" fontId="44" fillId="14" borderId="12" xfId="16" applyNumberFormat="1" applyFont="1" applyFill="1" applyBorder="1" applyAlignment="1">
      <alignment horizontal="right" vertical="center"/>
    </xf>
    <xf numFmtId="9" fontId="55" fillId="3" borderId="0" xfId="0" applyNumberFormat="1" applyFont="1" applyFill="1" applyAlignment="1">
      <alignment horizontal="right" vertical="center" wrapText="1" readingOrder="1"/>
    </xf>
    <xf numFmtId="37" fontId="4" fillId="4" borderId="0" xfId="3" applyNumberFormat="1" applyFont="1" applyFill="1" applyAlignment="1">
      <alignment horizontal="left" wrapText="1"/>
    </xf>
    <xf numFmtId="9" fontId="22" fillId="2" borderId="0" xfId="2" applyFont="1" applyFill="1" applyBorder="1" applyAlignment="1">
      <alignment horizontal="right"/>
    </xf>
    <xf numFmtId="37" fontId="17" fillId="2" borderId="0" xfId="3" applyNumberFormat="1" applyFont="1" applyFill="1" applyAlignment="1">
      <alignment horizontal="right"/>
    </xf>
    <xf numFmtId="37" fontId="11" fillId="0" borderId="0" xfId="3" applyNumberFormat="1" applyFont="1"/>
    <xf numFmtId="37" fontId="4" fillId="0" borderId="0" xfId="3" applyNumberFormat="1" applyFont="1" applyAlignment="1">
      <alignment horizontal="left"/>
    </xf>
    <xf numFmtId="37" fontId="5" fillId="3" borderId="1" xfId="3" applyNumberFormat="1" applyFont="1" applyFill="1" applyBorder="1"/>
    <xf numFmtId="168" fontId="5" fillId="3" borderId="0" xfId="3" applyNumberFormat="1" applyFont="1" applyFill="1"/>
    <xf numFmtId="9" fontId="7" fillId="3" borderId="0" xfId="5" applyFont="1" applyFill="1" applyAlignment="1">
      <alignment horizontal="right"/>
    </xf>
    <xf numFmtId="9" fontId="7" fillId="3" borderId="0" xfId="5" applyFont="1" applyFill="1"/>
    <xf numFmtId="167" fontId="7" fillId="3" borderId="0" xfId="5" applyNumberFormat="1" applyFont="1" applyFill="1"/>
    <xf numFmtId="9" fontId="15" fillId="2" borderId="0" xfId="2" applyFont="1" applyFill="1" applyBorder="1"/>
    <xf numFmtId="168" fontId="36" fillId="6" borderId="49" xfId="0" applyNumberFormat="1" applyFont="1" applyFill="1" applyBorder="1" applyAlignment="1">
      <alignment horizontal="left" vertical="center"/>
    </xf>
    <xf numFmtId="168" fontId="36" fillId="6" borderId="49" xfId="0" applyNumberFormat="1" applyFont="1" applyFill="1" applyBorder="1" applyAlignment="1">
      <alignment horizontal="right" vertical="center"/>
    </xf>
    <xf numFmtId="168" fontId="35" fillId="3" borderId="50" xfId="0" applyNumberFormat="1" applyFont="1" applyFill="1" applyBorder="1" applyAlignment="1">
      <alignment vertical="center"/>
    </xf>
    <xf numFmtId="168" fontId="34" fillId="4" borderId="41" xfId="0" applyNumberFormat="1" applyFont="1" applyFill="1" applyBorder="1" applyAlignment="1">
      <alignment vertical="center"/>
    </xf>
    <xf numFmtId="37" fontId="34" fillId="4" borderId="41" xfId="0" applyNumberFormat="1" applyFont="1" applyFill="1" applyBorder="1" applyAlignment="1">
      <alignment vertical="center"/>
    </xf>
    <xf numFmtId="168" fontId="34" fillId="3" borderId="12" xfId="0" applyNumberFormat="1" applyFont="1" applyFill="1" applyBorder="1" applyAlignment="1">
      <alignment vertical="center"/>
    </xf>
    <xf numFmtId="37" fontId="34" fillId="3" borderId="12" xfId="0" applyNumberFormat="1" applyFont="1" applyFill="1" applyBorder="1" applyAlignment="1">
      <alignment vertical="center"/>
    </xf>
    <xf numFmtId="168" fontId="34" fillId="4" borderId="12" xfId="0" applyNumberFormat="1" applyFont="1" applyFill="1" applyBorder="1" applyAlignment="1">
      <alignment vertical="center"/>
    </xf>
    <xf numFmtId="37" fontId="34" fillId="4" borderId="12" xfId="0" applyNumberFormat="1" applyFont="1" applyFill="1" applyBorder="1" applyAlignment="1">
      <alignment vertical="center"/>
    </xf>
    <xf numFmtId="168" fontId="35" fillId="3" borderId="12" xfId="0" applyNumberFormat="1" applyFont="1" applyFill="1" applyBorder="1" applyAlignment="1">
      <alignment vertical="center"/>
    </xf>
    <xf numFmtId="37" fontId="35" fillId="3" borderId="12" xfId="0" applyNumberFormat="1" applyFont="1" applyFill="1" applyBorder="1" applyAlignment="1">
      <alignment vertical="center"/>
    </xf>
    <xf numFmtId="37" fontId="19" fillId="8" borderId="0" xfId="3" applyNumberFormat="1" applyFont="1" applyFill="1"/>
    <xf numFmtId="37" fontId="4" fillId="8" borderId="0" xfId="3" applyNumberFormat="1" applyFont="1" applyFill="1"/>
    <xf numFmtId="37" fontId="4" fillId="2" borderId="0" xfId="3" applyNumberFormat="1" applyFont="1" applyFill="1" applyAlignment="1">
      <alignment horizontal="right" wrapText="1"/>
    </xf>
    <xf numFmtId="9" fontId="76" fillId="4" borderId="41" xfId="0" applyNumberFormat="1" applyFont="1" applyFill="1" applyBorder="1" applyAlignment="1">
      <alignment vertical="center"/>
    </xf>
    <xf numFmtId="9" fontId="76" fillId="3" borderId="12" xfId="0" applyNumberFormat="1" applyFont="1" applyFill="1" applyBorder="1" applyAlignment="1">
      <alignment vertical="center"/>
    </xf>
    <xf numFmtId="9" fontId="76" fillId="4" borderId="12" xfId="0" applyNumberFormat="1" applyFont="1" applyFill="1" applyBorder="1" applyAlignment="1">
      <alignment vertical="center"/>
    </xf>
    <xf numFmtId="9" fontId="77" fillId="3" borderId="12" xfId="0" applyNumberFormat="1" applyFont="1" applyFill="1" applyBorder="1" applyAlignment="1">
      <alignment vertical="center"/>
    </xf>
    <xf numFmtId="0" fontId="25" fillId="6" borderId="47" xfId="0" applyFont="1" applyFill="1" applyBorder="1" applyAlignment="1">
      <alignment horizontal="right" vertical="center" wrapText="1"/>
    </xf>
    <xf numFmtId="37" fontId="43" fillId="0" borderId="51" xfId="0" applyNumberFormat="1" applyFont="1" applyBorder="1" applyAlignment="1">
      <alignment horizontal="right" vertical="center" wrapText="1"/>
    </xf>
    <xf numFmtId="9" fontId="43" fillId="0" borderId="51" xfId="0" applyNumberFormat="1" applyFont="1" applyBorder="1" applyAlignment="1">
      <alignment horizontal="right" vertical="center" wrapText="1"/>
    </xf>
    <xf numFmtId="167" fontId="33" fillId="3" borderId="51" xfId="0" applyNumberFormat="1" applyFont="1" applyFill="1" applyBorder="1" applyAlignment="1">
      <alignment horizontal="right" vertical="center" wrapText="1"/>
    </xf>
    <xf numFmtId="9" fontId="33" fillId="3" borderId="51" xfId="0" applyNumberFormat="1" applyFont="1" applyFill="1" applyBorder="1" applyAlignment="1">
      <alignment horizontal="right" vertical="center" wrapText="1"/>
    </xf>
    <xf numFmtId="168" fontId="41" fillId="3" borderId="52" xfId="0" applyNumberFormat="1" applyFont="1" applyFill="1" applyBorder="1" applyAlignment="1">
      <alignment horizontal="right" vertical="center" wrapText="1"/>
    </xf>
    <xf numFmtId="9" fontId="41" fillId="3" borderId="52" xfId="0" applyNumberFormat="1" applyFont="1" applyFill="1" applyBorder="1" applyAlignment="1">
      <alignment horizontal="right" vertical="center" wrapText="1"/>
    </xf>
    <xf numFmtId="37" fontId="43" fillId="0" borderId="0" xfId="0" applyNumberFormat="1" applyFont="1" applyAlignment="1">
      <alignment horizontal="right" vertical="center" wrapText="1"/>
    </xf>
    <xf numFmtId="9" fontId="43" fillId="0" borderId="0" xfId="0" applyNumberFormat="1" applyFont="1" applyAlignment="1">
      <alignment horizontal="right" vertical="center" wrapText="1"/>
    </xf>
    <xf numFmtId="168" fontId="41" fillId="3" borderId="47" xfId="0" applyNumberFormat="1" applyFont="1" applyFill="1" applyBorder="1" applyAlignment="1">
      <alignment horizontal="right" vertical="center" wrapText="1"/>
    </xf>
    <xf numFmtId="9" fontId="41" fillId="3" borderId="47" xfId="0" applyNumberFormat="1" applyFont="1" applyFill="1" applyBorder="1" applyAlignment="1">
      <alignment horizontal="right" vertical="center" wrapText="1"/>
    </xf>
    <xf numFmtId="168" fontId="25" fillId="6" borderId="47" xfId="0" applyNumberFormat="1" applyFont="1" applyFill="1" applyBorder="1" applyAlignment="1">
      <alignment horizontal="right" vertical="center" wrapText="1"/>
    </xf>
    <xf numFmtId="37" fontId="43" fillId="3" borderId="54" xfId="0" applyNumberFormat="1" applyFont="1" applyFill="1" applyBorder="1" applyAlignment="1">
      <alignment horizontal="right" vertical="center" wrapText="1"/>
    </xf>
    <xf numFmtId="9" fontId="43" fillId="3" borderId="54" xfId="0" applyNumberFormat="1" applyFont="1" applyFill="1" applyBorder="1" applyAlignment="1">
      <alignment horizontal="right" vertical="center" wrapText="1"/>
    </xf>
    <xf numFmtId="0" fontId="43" fillId="3" borderId="51" xfId="0" applyFont="1" applyFill="1" applyBorder="1" applyAlignment="1">
      <alignment horizontal="left" vertical="center" wrapText="1"/>
    </xf>
    <xf numFmtId="37" fontId="43" fillId="3" borderId="51" xfId="0" applyNumberFormat="1" applyFont="1" applyFill="1" applyBorder="1" applyAlignment="1">
      <alignment horizontal="right" vertical="center" wrapText="1"/>
    </xf>
    <xf numFmtId="9" fontId="43" fillId="3" borderId="51" xfId="0" applyNumberFormat="1" applyFont="1" applyFill="1" applyBorder="1" applyAlignment="1">
      <alignment horizontal="right" vertical="center" wrapText="1"/>
    </xf>
    <xf numFmtId="168" fontId="41" fillId="0" borderId="53" xfId="0" applyNumberFormat="1" applyFont="1" applyBorder="1" applyAlignment="1">
      <alignment horizontal="right" vertical="center" wrapText="1"/>
    </xf>
    <xf numFmtId="9" fontId="41" fillId="0" borderId="53" xfId="0" applyNumberFormat="1" applyFont="1" applyBorder="1" applyAlignment="1">
      <alignment horizontal="right" vertical="center" wrapText="1"/>
    </xf>
    <xf numFmtId="37" fontId="43" fillId="3" borderId="55" xfId="0" applyNumberFormat="1" applyFont="1" applyFill="1" applyBorder="1" applyAlignment="1">
      <alignment horizontal="right" vertical="center" wrapText="1"/>
    </xf>
    <xf numFmtId="9" fontId="43" fillId="3" borderId="55" xfId="0" applyNumberFormat="1" applyFont="1" applyFill="1" applyBorder="1" applyAlignment="1">
      <alignment horizontal="right" vertical="center" wrapText="1"/>
    </xf>
    <xf numFmtId="9" fontId="43" fillId="3" borderId="35" xfId="0" applyNumberFormat="1" applyFont="1" applyFill="1" applyBorder="1" applyAlignment="1">
      <alignment horizontal="right" vertical="center" wrapText="1"/>
    </xf>
    <xf numFmtId="0" fontId="43" fillId="0" borderId="53" xfId="0" applyFont="1" applyBorder="1" applyAlignment="1">
      <alignment horizontal="left" vertical="center" wrapText="1"/>
    </xf>
    <xf numFmtId="0" fontId="43" fillId="0" borderId="53" xfId="0" applyFont="1" applyBorder="1" applyAlignment="1">
      <alignment horizontal="left" vertical="center" wrapText="1" indent="1"/>
    </xf>
    <xf numFmtId="0" fontId="43" fillId="3" borderId="55" xfId="0" applyFont="1" applyFill="1" applyBorder="1" applyAlignment="1">
      <alignment horizontal="left" vertical="center" wrapText="1" indent="1"/>
    </xf>
    <xf numFmtId="0" fontId="41" fillId="3" borderId="55" xfId="0" applyFont="1" applyFill="1" applyBorder="1" applyAlignment="1">
      <alignment horizontal="left" vertical="center" wrapText="1"/>
    </xf>
    <xf numFmtId="37" fontId="41" fillId="0" borderId="53" xfId="0" applyNumberFormat="1" applyFont="1" applyBorder="1" applyAlignment="1">
      <alignment horizontal="right" vertical="center" wrapText="1"/>
    </xf>
    <xf numFmtId="0" fontId="33" fillId="3" borderId="51" xfId="0" applyFont="1" applyFill="1" applyBorder="1" applyAlignment="1">
      <alignment horizontal="left" vertical="center" wrapText="1" indent="1"/>
    </xf>
    <xf numFmtId="0" fontId="43" fillId="0" borderId="51" xfId="0" applyFont="1" applyBorder="1" applyAlignment="1">
      <alignment horizontal="left" vertical="center" wrapText="1" indent="1"/>
    </xf>
    <xf numFmtId="0" fontId="41" fillId="3" borderId="52" xfId="0" applyFont="1" applyFill="1" applyBorder="1" applyAlignment="1">
      <alignment horizontal="left" vertical="center" wrapText="1" indent="1"/>
    </xf>
    <xf numFmtId="168" fontId="43" fillId="0" borderId="53" xfId="0" applyNumberFormat="1" applyFont="1" applyBorder="1" applyAlignment="1">
      <alignment horizontal="right" vertical="center" wrapText="1"/>
    </xf>
    <xf numFmtId="9" fontId="43" fillId="0" borderId="53" xfId="0" applyNumberFormat="1" applyFont="1" applyBorder="1" applyAlignment="1">
      <alignment horizontal="right" vertical="center" wrapText="1"/>
    </xf>
    <xf numFmtId="37" fontId="43" fillId="0" borderId="53" xfId="0" applyNumberFormat="1" applyFont="1" applyBorder="1" applyAlignment="1">
      <alignment horizontal="right" vertical="center" wrapText="1"/>
    </xf>
    <xf numFmtId="9" fontId="43" fillId="0" borderId="53" xfId="2" applyFont="1" applyFill="1" applyBorder="1" applyAlignment="1">
      <alignment horizontal="right" vertical="center" wrapText="1"/>
    </xf>
    <xf numFmtId="9" fontId="43" fillId="3" borderId="55" xfId="2" applyFont="1" applyFill="1" applyBorder="1" applyAlignment="1">
      <alignment horizontal="right" vertical="center" wrapText="1"/>
    </xf>
    <xf numFmtId="164" fontId="5" fillId="2" borderId="0" xfId="1" applyFont="1" applyFill="1" applyAlignment="1">
      <alignment horizontal="right"/>
    </xf>
    <xf numFmtId="9" fontId="35" fillId="3" borderId="12" xfId="2" applyFont="1" applyFill="1" applyBorder="1" applyAlignment="1">
      <alignment vertical="center"/>
    </xf>
    <xf numFmtId="9" fontId="77" fillId="3" borderId="12" xfId="2" applyFont="1" applyFill="1" applyBorder="1" applyAlignment="1">
      <alignment vertical="center"/>
    </xf>
    <xf numFmtId="9" fontId="16" fillId="2" borderId="0" xfId="2" applyFont="1" applyFill="1" applyAlignment="1">
      <alignment horizontal="right"/>
    </xf>
    <xf numFmtId="9" fontId="16" fillId="3" borderId="0" xfId="2" applyFont="1" applyFill="1" applyAlignment="1">
      <alignment horizontal="right"/>
    </xf>
    <xf numFmtId="37" fontId="6" fillId="4" borderId="0" xfId="3" quotePrefix="1" applyNumberFormat="1" applyFont="1" applyFill="1"/>
    <xf numFmtId="37" fontId="4" fillId="4" borderId="0" xfId="3" quotePrefix="1" applyNumberFormat="1" applyFont="1" applyFill="1"/>
    <xf numFmtId="168" fontId="5" fillId="2" borderId="0" xfId="1" applyNumberFormat="1" applyFont="1" applyFill="1" applyAlignment="1">
      <alignment horizontal="right"/>
    </xf>
    <xf numFmtId="0" fontId="41" fillId="0" borderId="0" xfId="0" applyFont="1" applyAlignment="1">
      <alignment horizontal="left" vertical="center" wrapText="1" indent="1"/>
    </xf>
    <xf numFmtId="168" fontId="41" fillId="0" borderId="0" xfId="0" applyNumberFormat="1" applyFont="1" applyAlignment="1">
      <alignment horizontal="right" vertical="center" wrapText="1"/>
    </xf>
    <xf numFmtId="9" fontId="41" fillId="0" borderId="0" xfId="0" applyNumberFormat="1" applyFont="1" applyAlignment="1">
      <alignment horizontal="right" vertical="center" wrapText="1"/>
    </xf>
    <xf numFmtId="9" fontId="20" fillId="2" borderId="0" xfId="2" applyFont="1" applyFill="1" applyAlignment="1">
      <alignment horizontal="right"/>
    </xf>
    <xf numFmtId="168" fontId="17" fillId="2" borderId="0" xfId="3" applyNumberFormat="1" applyFont="1" applyFill="1" applyAlignment="1">
      <alignment horizontal="right"/>
    </xf>
    <xf numFmtId="164" fontId="5" fillId="0" borderId="0" xfId="1" applyFont="1" applyAlignment="1">
      <alignment vertical="center"/>
    </xf>
    <xf numFmtId="166" fontId="5" fillId="0" borderId="0" xfId="1" applyNumberFormat="1" applyFont="1" applyAlignment="1">
      <alignment vertical="center"/>
    </xf>
    <xf numFmtId="37" fontId="36" fillId="6" borderId="49" xfId="0" applyNumberFormat="1" applyFont="1" applyFill="1" applyBorder="1" applyAlignment="1">
      <alignment horizontal="centerContinuous" vertical="center"/>
    </xf>
    <xf numFmtId="37" fontId="25" fillId="6" borderId="57" xfId="31" applyNumberFormat="1" applyFont="1" applyFill="1" applyBorder="1" applyAlignment="1">
      <alignment horizontal="centerContinuous" vertical="center"/>
    </xf>
    <xf numFmtId="37" fontId="25" fillId="6" borderId="56" xfId="0" applyNumberFormat="1" applyFont="1" applyFill="1" applyBorder="1" applyAlignment="1">
      <alignment horizontal="left" vertical="center" wrapText="1"/>
    </xf>
    <xf numFmtId="0" fontId="25" fillId="6" borderId="56" xfId="0" applyFont="1" applyFill="1" applyBorder="1" applyAlignment="1">
      <alignment horizontal="right" vertical="center" wrapText="1"/>
    </xf>
    <xf numFmtId="37" fontId="25" fillId="6" borderId="56" xfId="0" applyNumberFormat="1" applyFont="1" applyFill="1" applyBorder="1" applyAlignment="1">
      <alignment horizontal="right" vertical="center" wrapText="1"/>
    </xf>
    <xf numFmtId="172" fontId="5" fillId="0" borderId="0" xfId="1" applyNumberFormat="1" applyFont="1" applyFill="1" applyAlignment="1">
      <alignment horizontal="right"/>
    </xf>
    <xf numFmtId="9" fontId="5" fillId="0" borderId="0" xfId="2" applyFont="1" applyAlignment="1">
      <alignment horizontal="right"/>
    </xf>
    <xf numFmtId="164" fontId="5" fillId="0" borderId="0" xfId="1" applyFont="1" applyFill="1" applyAlignment="1">
      <alignment horizontal="right"/>
    </xf>
    <xf numFmtId="9" fontId="4" fillId="3" borderId="0" xfId="2" applyFont="1" applyFill="1" applyAlignment="1">
      <alignment horizontal="right"/>
    </xf>
    <xf numFmtId="0" fontId="0" fillId="0" borderId="0" xfId="0" applyAlignment="1">
      <alignment horizontal="right"/>
    </xf>
    <xf numFmtId="0" fontId="79" fillId="0" borderId="58" xfId="0" applyFont="1" applyBorder="1" applyAlignment="1">
      <alignment vertical="center"/>
    </xf>
    <xf numFmtId="0" fontId="79" fillId="0" borderId="59" xfId="0" applyFont="1" applyBorder="1" applyAlignment="1">
      <alignment horizontal="center" vertical="center"/>
    </xf>
    <xf numFmtId="0" fontId="79" fillId="0" borderId="60" xfId="0" applyFont="1" applyBorder="1" applyAlignment="1">
      <alignment horizontal="center" vertical="center"/>
    </xf>
    <xf numFmtId="0" fontId="79" fillId="0" borderId="61" xfId="0" applyFont="1" applyBorder="1" applyAlignment="1">
      <alignment horizontal="center" vertical="center"/>
    </xf>
    <xf numFmtId="0" fontId="0" fillId="0" borderId="60" xfId="0" applyBorder="1" applyAlignment="1">
      <alignment vertical="center"/>
    </xf>
    <xf numFmtId="0" fontId="79" fillId="0" borderId="60" xfId="0" applyFont="1" applyBorder="1" applyAlignment="1">
      <alignment vertical="center"/>
    </xf>
    <xf numFmtId="0" fontId="79" fillId="0" borderId="61" xfId="0" applyFont="1" applyBorder="1" applyAlignment="1">
      <alignment horizontal="right" vertical="center"/>
    </xf>
    <xf numFmtId="0" fontId="80" fillId="0" borderId="60" xfId="0" applyFont="1" applyBorder="1" applyAlignment="1">
      <alignment horizontal="left" vertical="center" indent="1"/>
    </xf>
    <xf numFmtId="0" fontId="81" fillId="0" borderId="60" xfId="0" applyFont="1" applyBorder="1" applyAlignment="1">
      <alignment vertical="center"/>
    </xf>
    <xf numFmtId="0" fontId="81" fillId="0" borderId="61" xfId="0" applyFont="1" applyBorder="1" applyAlignment="1">
      <alignment horizontal="right" vertical="center"/>
    </xf>
    <xf numFmtId="0" fontId="81" fillId="0" borderId="60" xfId="0" applyFont="1" applyBorder="1" applyAlignment="1">
      <alignment horizontal="left" vertical="center" indent="1"/>
    </xf>
    <xf numFmtId="0" fontId="81" fillId="0" borderId="61" xfId="0" applyFont="1" applyBorder="1" applyAlignment="1">
      <alignment horizontal="center" vertical="center"/>
    </xf>
    <xf numFmtId="0" fontId="0" fillId="0" borderId="61" xfId="0" applyBorder="1" applyAlignment="1">
      <alignment vertical="center"/>
    </xf>
    <xf numFmtId="37" fontId="79" fillId="0" borderId="61" xfId="0" applyNumberFormat="1" applyFont="1" applyBorder="1" applyAlignment="1">
      <alignment horizontal="right" vertical="center"/>
    </xf>
    <xf numFmtId="37" fontId="81" fillId="0" borderId="61" xfId="0" applyNumberFormat="1" applyFont="1" applyBorder="1" applyAlignment="1">
      <alignment horizontal="right" vertical="center"/>
    </xf>
    <xf numFmtId="166" fontId="79" fillId="0" borderId="61" xfId="1" applyNumberFormat="1" applyFont="1" applyBorder="1" applyAlignment="1">
      <alignment horizontal="right" vertical="center"/>
    </xf>
    <xf numFmtId="166" fontId="81" fillId="0" borderId="61" xfId="1" applyNumberFormat="1" applyFont="1" applyBorder="1" applyAlignment="1">
      <alignment horizontal="right" vertical="center"/>
    </xf>
    <xf numFmtId="0" fontId="79" fillId="0" borderId="59" xfId="0" applyFont="1" applyBorder="1" applyAlignment="1">
      <alignment horizontal="right" vertical="center"/>
    </xf>
    <xf numFmtId="9" fontId="82" fillId="0" borderId="61" xfId="2" applyFont="1" applyBorder="1" applyAlignment="1">
      <alignment horizontal="right" vertical="center"/>
    </xf>
    <xf numFmtId="9" fontId="83" fillId="0" borderId="61" xfId="2" applyFont="1" applyBorder="1" applyAlignment="1">
      <alignment horizontal="right" vertical="center"/>
    </xf>
    <xf numFmtId="37" fontId="80" fillId="0" borderId="61" xfId="0" applyNumberFormat="1" applyFont="1" applyBorder="1" applyAlignment="1">
      <alignment horizontal="right" vertical="center"/>
    </xf>
    <xf numFmtId="37" fontId="81" fillId="0" borderId="61" xfId="0" applyNumberFormat="1" applyFont="1" applyBorder="1" applyAlignment="1">
      <alignment horizontal="center" vertical="center"/>
    </xf>
    <xf numFmtId="37" fontId="79" fillId="0" borderId="61" xfId="0" applyNumberFormat="1" applyFont="1" applyBorder="1" applyAlignment="1">
      <alignment horizontal="center" vertical="center"/>
    </xf>
    <xf numFmtId="37" fontId="81" fillId="8" borderId="61" xfId="0" applyNumberFormat="1" applyFont="1" applyFill="1" applyBorder="1" applyAlignment="1">
      <alignment horizontal="center" vertical="center"/>
    </xf>
    <xf numFmtId="176" fontId="26" fillId="0" borderId="0" xfId="17" applyNumberFormat="1" applyFont="1"/>
    <xf numFmtId="172" fontId="5" fillId="2" borderId="0" xfId="1" applyNumberFormat="1" applyFont="1" applyFill="1" applyAlignment="1">
      <alignment horizontal="right"/>
    </xf>
    <xf numFmtId="10" fontId="5" fillId="0" borderId="0" xfId="0" applyNumberFormat="1" applyFont="1" applyAlignment="1">
      <alignment vertical="center"/>
    </xf>
    <xf numFmtId="37" fontId="17" fillId="8" borderId="0" xfId="0" applyNumberFormat="1" applyFont="1" applyFill="1" applyAlignment="1">
      <alignment horizontal="right" vertical="center"/>
    </xf>
    <xf numFmtId="174" fontId="38" fillId="0" borderId="13" xfId="21" applyFont="1" applyBorder="1" applyAlignment="1">
      <alignment horizontal="right" vertical="center" wrapText="1"/>
    </xf>
    <xf numFmtId="37" fontId="5" fillId="3" borderId="0" xfId="9" applyNumberFormat="1" applyFont="1" applyFill="1" applyAlignment="1">
      <alignment horizontal="left"/>
    </xf>
    <xf numFmtId="37" fontId="4" fillId="8" borderId="2" xfId="3" applyNumberFormat="1" applyFont="1" applyFill="1" applyBorder="1"/>
    <xf numFmtId="166" fontId="5" fillId="8" borderId="0" xfId="1" applyNumberFormat="1" applyFont="1" applyFill="1" applyAlignment="1">
      <alignment vertical="center"/>
    </xf>
    <xf numFmtId="183" fontId="4" fillId="2" borderId="0" xfId="0" applyNumberFormat="1" applyFont="1" applyFill="1" applyAlignment="1">
      <alignment horizontal="right" vertical="center"/>
    </xf>
    <xf numFmtId="166" fontId="0" fillId="0" borderId="0" xfId="0" applyNumberFormat="1"/>
    <xf numFmtId="9" fontId="6" fillId="3" borderId="0" xfId="2" applyFont="1" applyFill="1"/>
    <xf numFmtId="9" fontId="15" fillId="3" borderId="0" xfId="2" applyFont="1" applyFill="1"/>
    <xf numFmtId="37" fontId="16" fillId="2" borderId="0" xfId="3" applyNumberFormat="1" applyFont="1" applyFill="1" applyAlignment="1">
      <alignment horizontal="right"/>
    </xf>
    <xf numFmtId="9" fontId="4" fillId="2" borderId="0" xfId="2" applyFont="1" applyFill="1" applyAlignment="1">
      <alignment horizontal="right"/>
    </xf>
    <xf numFmtId="166" fontId="7" fillId="3" borderId="0" xfId="1" applyNumberFormat="1" applyFont="1" applyFill="1" applyAlignment="1">
      <alignment horizontal="right" vertical="center"/>
    </xf>
    <xf numFmtId="9" fontId="5" fillId="2" borderId="0" xfId="2" applyFont="1" applyFill="1" applyAlignment="1">
      <alignment horizontal="right" vertical="center"/>
    </xf>
    <xf numFmtId="37" fontId="21" fillId="2" borderId="0" xfId="0" applyNumberFormat="1" applyFont="1" applyFill="1"/>
    <xf numFmtId="9" fontId="5" fillId="3" borderId="0" xfId="2" applyFont="1" applyFill="1" applyAlignment="1">
      <alignment horizontal="right" vertical="center"/>
    </xf>
    <xf numFmtId="9" fontId="19" fillId="0" borderId="0" xfId="0" applyNumberFormat="1" applyFont="1" applyAlignment="1">
      <alignment vertical="center"/>
    </xf>
    <xf numFmtId="0" fontId="84" fillId="0" borderId="62" xfId="0" applyFont="1" applyBorder="1" applyAlignment="1">
      <alignment horizontal="left" vertical="center" wrapText="1" readingOrder="1"/>
    </xf>
    <xf numFmtId="0" fontId="84" fillId="0" borderId="62" xfId="0" applyFont="1" applyBorder="1" applyAlignment="1">
      <alignment horizontal="right" vertical="center" wrapText="1" readingOrder="1"/>
    </xf>
    <xf numFmtId="0" fontId="85" fillId="21" borderId="63" xfId="0" applyFont="1" applyFill="1" applyBorder="1" applyAlignment="1">
      <alignment horizontal="left" vertical="center" wrapText="1" readingOrder="1"/>
    </xf>
    <xf numFmtId="0" fontId="86" fillId="0" borderId="46" xfId="0" applyFont="1" applyBorder="1" applyAlignment="1">
      <alignment horizontal="left" vertical="center" wrapText="1" readingOrder="1"/>
    </xf>
    <xf numFmtId="0" fontId="86" fillId="0" borderId="46" xfId="0" applyFont="1" applyBorder="1" applyAlignment="1">
      <alignment horizontal="right" vertical="center" wrapText="1" readingOrder="1"/>
    </xf>
    <xf numFmtId="1" fontId="86" fillId="0" borderId="46" xfId="0" applyNumberFormat="1" applyFont="1" applyBorder="1" applyAlignment="1">
      <alignment horizontal="right" vertical="center" wrapText="1" readingOrder="1"/>
    </xf>
    <xf numFmtId="1" fontId="85" fillId="0" borderId="46" xfId="0" applyNumberFormat="1" applyFont="1" applyBorder="1" applyAlignment="1">
      <alignment horizontal="right" vertical="center" wrapText="1" readingOrder="1"/>
    </xf>
    <xf numFmtId="0" fontId="87" fillId="0" borderId="46" xfId="0" applyFont="1" applyBorder="1" applyAlignment="1">
      <alignment horizontal="right" vertical="center" wrapText="1" readingOrder="1"/>
    </xf>
    <xf numFmtId="0" fontId="88" fillId="0" borderId="46" xfId="0" applyFont="1" applyBorder="1" applyAlignment="1">
      <alignment horizontal="left" vertical="center" wrapText="1" readingOrder="1"/>
    </xf>
    <xf numFmtId="0" fontId="91" fillId="0" borderId="46" xfId="0" applyFont="1" applyBorder="1" applyAlignment="1">
      <alignment horizontal="left" vertical="center" wrapText="1" readingOrder="1"/>
    </xf>
    <xf numFmtId="0" fontId="92" fillId="0" borderId="46" xfId="0" applyFont="1" applyBorder="1" applyAlignment="1">
      <alignment horizontal="left" vertical="center" wrapText="1" readingOrder="1"/>
    </xf>
    <xf numFmtId="37" fontId="85" fillId="21" borderId="63" xfId="0" applyNumberFormat="1" applyFont="1" applyFill="1" applyBorder="1" applyAlignment="1">
      <alignment horizontal="left" vertical="center" wrapText="1" readingOrder="1"/>
    </xf>
    <xf numFmtId="37" fontId="86" fillId="0" borderId="46" xfId="0" applyNumberFormat="1" applyFont="1" applyBorder="1" applyAlignment="1">
      <alignment horizontal="right" vertical="center" wrapText="1" readingOrder="1"/>
    </xf>
    <xf numFmtId="9" fontId="90" fillId="0" borderId="46" xfId="0" applyNumberFormat="1" applyFont="1" applyBorder="1" applyAlignment="1">
      <alignment horizontal="right" vertical="center" wrapText="1" readingOrder="1"/>
    </xf>
    <xf numFmtId="9" fontId="89" fillId="0" borderId="46" xfId="0" applyNumberFormat="1" applyFont="1" applyBorder="1" applyAlignment="1">
      <alignment horizontal="right" vertical="center" wrapText="1" readingOrder="1"/>
    </xf>
    <xf numFmtId="37" fontId="88" fillId="0" borderId="46" xfId="0" applyNumberFormat="1" applyFont="1" applyBorder="1" applyAlignment="1">
      <alignment horizontal="right" vertical="center" wrapText="1" readingOrder="1"/>
    </xf>
    <xf numFmtId="0" fontId="90" fillId="0" borderId="46" xfId="0" applyFont="1" applyBorder="1" applyAlignment="1">
      <alignment horizontal="right" vertical="center" wrapText="1" readingOrder="1"/>
    </xf>
    <xf numFmtId="184" fontId="0" fillId="0" borderId="0" xfId="0" applyNumberFormat="1"/>
    <xf numFmtId="9" fontId="0" fillId="0" borderId="0" xfId="0" applyNumberFormat="1"/>
    <xf numFmtId="183" fontId="5" fillId="4" borderId="0" xfId="3" applyNumberFormat="1" applyFont="1" applyFill="1"/>
    <xf numFmtId="167" fontId="5" fillId="4" borderId="0" xfId="3" applyNumberFormat="1" applyFont="1" applyFill="1"/>
    <xf numFmtId="0" fontId="93" fillId="0" borderId="64" xfId="0" applyFont="1" applyBorder="1" applyAlignment="1">
      <alignment vertical="center"/>
    </xf>
    <xf numFmtId="0" fontId="93" fillId="0" borderId="64" xfId="0" applyFont="1" applyBorder="1" applyAlignment="1">
      <alignment horizontal="center" vertical="center"/>
    </xf>
    <xf numFmtId="0" fontId="94" fillId="0" borderId="0" xfId="0" applyFont="1" applyAlignment="1">
      <alignment vertical="center"/>
    </xf>
    <xf numFmtId="3" fontId="94" fillId="0" borderId="0" xfId="0" applyNumberFormat="1" applyFont="1" applyAlignment="1">
      <alignment horizontal="center" vertical="center"/>
    </xf>
    <xf numFmtId="0" fontId="93" fillId="0" borderId="0" xfId="0" applyFont="1" applyAlignment="1">
      <alignment vertical="center"/>
    </xf>
    <xf numFmtId="3" fontId="93" fillId="0" borderId="0" xfId="0" applyNumberFormat="1" applyFont="1" applyAlignment="1">
      <alignment horizontal="center" vertical="center"/>
    </xf>
    <xf numFmtId="3" fontId="4" fillId="0" borderId="0" xfId="0" applyNumberFormat="1" applyFont="1" applyAlignment="1">
      <alignment horizontal="center" vertical="center"/>
    </xf>
    <xf numFmtId="0" fontId="93" fillId="0" borderId="0" xfId="0" applyFont="1" applyAlignment="1">
      <alignment horizontal="center" vertical="center"/>
    </xf>
    <xf numFmtId="2" fontId="94" fillId="0" borderId="0" xfId="0" applyNumberFormat="1" applyFont="1" applyAlignment="1">
      <alignment horizontal="center" vertical="center"/>
    </xf>
    <xf numFmtId="183" fontId="4" fillId="2" borderId="0" xfId="3" applyNumberFormat="1" applyFont="1" applyFill="1" applyAlignment="1">
      <alignment horizontal="right"/>
    </xf>
    <xf numFmtId="9" fontId="94" fillId="0" borderId="0" xfId="0" applyNumberFormat="1" applyFont="1" applyAlignment="1">
      <alignment horizontal="center" vertical="center"/>
    </xf>
    <xf numFmtId="37" fontId="94" fillId="0" borderId="0" xfId="0" applyNumberFormat="1" applyFont="1" applyAlignment="1">
      <alignment horizontal="center" vertical="center"/>
    </xf>
    <xf numFmtId="0" fontId="0" fillId="0" borderId="0" xfId="0" applyAlignment="1">
      <alignment horizontal="center"/>
    </xf>
    <xf numFmtId="9" fontId="5" fillId="0" borderId="0" xfId="0" applyNumberFormat="1" applyFont="1" applyAlignment="1">
      <alignment horizontal="center" vertical="center"/>
    </xf>
    <xf numFmtId="0" fontId="93" fillId="0" borderId="64" xfId="0" applyFont="1" applyBorder="1" applyAlignment="1">
      <alignment horizontal="right" vertical="center"/>
    </xf>
    <xf numFmtId="3" fontId="94" fillId="0" borderId="0" xfId="0" applyNumberFormat="1" applyFont="1" applyAlignment="1">
      <alignment horizontal="right" vertical="center"/>
    </xf>
    <xf numFmtId="0" fontId="94" fillId="0" borderId="0" xfId="0" applyFont="1" applyAlignment="1">
      <alignment horizontal="right" vertical="center"/>
    </xf>
    <xf numFmtId="10" fontId="94" fillId="0" borderId="0" xfId="0" applyNumberFormat="1" applyFont="1" applyAlignment="1">
      <alignment horizontal="right" vertical="center"/>
    </xf>
    <xf numFmtId="37" fontId="94" fillId="0" borderId="0" xfId="0" applyNumberFormat="1" applyFont="1" applyAlignment="1">
      <alignment horizontal="right" vertical="center"/>
    </xf>
    <xf numFmtId="10" fontId="94"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xf numFmtId="0" fontId="95" fillId="0" borderId="0" xfId="0" applyFont="1" applyAlignment="1">
      <alignment horizontal="justify" vertical="center"/>
    </xf>
    <xf numFmtId="0" fontId="4" fillId="0" borderId="64" xfId="0" applyFont="1" applyBorder="1" applyAlignment="1">
      <alignment horizontal="left" vertical="center" wrapText="1"/>
    </xf>
    <xf numFmtId="0" fontId="4" fillId="0" borderId="64" xfId="0" applyFont="1" applyBorder="1" applyAlignment="1">
      <alignment horizontal="center" vertical="center" wrapText="1"/>
    </xf>
    <xf numFmtId="0" fontId="5" fillId="0" borderId="0" xfId="0" applyFont="1" applyAlignment="1">
      <alignment horizontal="left" vertical="center" wrapText="1"/>
    </xf>
    <xf numFmtId="3" fontId="5" fillId="0" borderId="0" xfId="0" applyNumberFormat="1" applyFont="1" applyAlignment="1">
      <alignment horizontal="center" vertical="center" wrapText="1"/>
    </xf>
    <xf numFmtId="0" fontId="4" fillId="0" borderId="0" xfId="0" applyFont="1" applyAlignment="1">
      <alignment horizontal="left" vertical="center" wrapText="1"/>
    </xf>
    <xf numFmtId="3" fontId="4" fillId="0" borderId="0" xfId="0" applyNumberFormat="1" applyFont="1" applyAlignment="1">
      <alignment horizontal="center" vertical="center" wrapText="1"/>
    </xf>
    <xf numFmtId="183" fontId="40" fillId="14" borderId="12" xfId="15" applyNumberFormat="1" applyFont="1" applyFill="1" applyBorder="1" applyAlignment="1">
      <alignment horizontal="right" vertical="center"/>
    </xf>
    <xf numFmtId="172" fontId="40" fillId="15" borderId="12" xfId="1" applyNumberFormat="1" applyFont="1" applyFill="1" applyBorder="1" applyAlignment="1">
      <alignment horizontal="right" vertical="center"/>
    </xf>
    <xf numFmtId="9" fontId="4" fillId="4" borderId="0" xfId="3" applyNumberFormat="1" applyFont="1" applyFill="1"/>
    <xf numFmtId="164" fontId="5" fillId="0" borderId="0" xfId="1" applyFont="1"/>
    <xf numFmtId="9" fontId="19" fillId="2" borderId="0" xfId="2" applyFont="1" applyFill="1" applyAlignment="1">
      <alignment horizontal="right"/>
    </xf>
    <xf numFmtId="37" fontId="7" fillId="8" borderId="0" xfId="3" applyNumberFormat="1" applyFont="1" applyFill="1"/>
    <xf numFmtId="168" fontId="76" fillId="8" borderId="0" xfId="0" applyNumberFormat="1" applyFont="1" applyFill="1" applyAlignment="1">
      <alignment horizontal="right" vertical="center"/>
    </xf>
    <xf numFmtId="168" fontId="76" fillId="0" borderId="0" xfId="0" applyNumberFormat="1" applyFont="1" applyAlignment="1">
      <alignment horizontal="right" vertical="center"/>
    </xf>
    <xf numFmtId="37" fontId="21" fillId="2" borderId="0" xfId="3" applyNumberFormat="1" applyFont="1" applyFill="1" applyAlignment="1">
      <alignment horizontal="right"/>
    </xf>
    <xf numFmtId="9" fontId="16" fillId="0" borderId="0" xfId="2" applyFont="1" applyFill="1" applyBorder="1" applyAlignment="1">
      <alignment horizontal="right"/>
    </xf>
    <xf numFmtId="167" fontId="5" fillId="2" borderId="0" xfId="2" applyNumberFormat="1" applyFont="1" applyFill="1" applyAlignment="1">
      <alignment horizontal="right" vertical="center"/>
    </xf>
    <xf numFmtId="39" fontId="5" fillId="4" borderId="0" xfId="3" applyNumberFormat="1" applyFont="1" applyFill="1"/>
    <xf numFmtId="9" fontId="2" fillId="0" borderId="0" xfId="2" applyFont="1"/>
    <xf numFmtId="166" fontId="34" fillId="0" borderId="12" xfId="1" applyNumberFormat="1" applyFont="1" applyFill="1" applyBorder="1" applyAlignment="1">
      <alignment vertical="center"/>
    </xf>
    <xf numFmtId="185" fontId="0" fillId="0" borderId="0" xfId="0" applyNumberFormat="1"/>
    <xf numFmtId="37" fontId="38" fillId="9" borderId="13" xfId="0" applyNumberFormat="1" applyFont="1" applyFill="1" applyBorder="1" applyAlignment="1">
      <alignment horizontal="right" vertical="center"/>
    </xf>
    <xf numFmtId="37" fontId="34" fillId="9" borderId="14" xfId="0" applyNumberFormat="1" applyFont="1" applyFill="1" applyBorder="1" applyAlignment="1">
      <alignment vertical="center"/>
    </xf>
    <xf numFmtId="186" fontId="0" fillId="0" borderId="0" xfId="0" applyNumberFormat="1"/>
    <xf numFmtId="166" fontId="26" fillId="0" borderId="9" xfId="1" applyNumberFormat="1" applyFont="1" applyBorder="1" applyAlignment="1">
      <alignment horizontal="right" indent="1"/>
    </xf>
    <xf numFmtId="37" fontId="5" fillId="8" borderId="0" xfId="1" applyNumberFormat="1" applyFont="1" applyFill="1" applyAlignment="1">
      <alignment horizontal="right"/>
    </xf>
    <xf numFmtId="0" fontId="88" fillId="21" borderId="63" xfId="0" applyFont="1" applyFill="1" applyBorder="1" applyAlignment="1">
      <alignment horizontal="left" vertical="center" readingOrder="1"/>
    </xf>
    <xf numFmtId="176" fontId="54" fillId="3" borderId="0" xfId="1" applyNumberFormat="1" applyFont="1" applyFill="1" applyAlignment="1">
      <alignment horizontal="right" vertical="center" wrapText="1" readingOrder="1"/>
    </xf>
    <xf numFmtId="1" fontId="54" fillId="3" borderId="0" xfId="1" applyNumberFormat="1" applyFont="1" applyFill="1" applyAlignment="1">
      <alignment horizontal="right" vertical="center" wrapText="1" readingOrder="1"/>
    </xf>
    <xf numFmtId="176" fontId="54" fillId="3" borderId="47" xfId="1" applyNumberFormat="1" applyFont="1" applyFill="1" applyBorder="1" applyAlignment="1">
      <alignment horizontal="right" vertical="center" wrapText="1" readingOrder="1"/>
    </xf>
    <xf numFmtId="9" fontId="44" fillId="14" borderId="0" xfId="16" applyNumberFormat="1" applyFont="1" applyFill="1" applyBorder="1" applyAlignment="1">
      <alignment horizontal="right" vertical="center"/>
    </xf>
    <xf numFmtId="9" fontId="26" fillId="4" borderId="0" xfId="1" applyNumberFormat="1" applyFont="1" applyFill="1" applyAlignment="1">
      <alignment horizontal="right" vertical="center"/>
    </xf>
    <xf numFmtId="0" fontId="5" fillId="2" borderId="0" xfId="0" applyFont="1" applyFill="1" applyAlignment="1">
      <alignment vertical="center"/>
    </xf>
    <xf numFmtId="9" fontId="5" fillId="3" borderId="0" xfId="0" applyNumberFormat="1" applyFont="1" applyFill="1" applyAlignment="1">
      <alignment vertical="center"/>
    </xf>
    <xf numFmtId="0" fontId="4" fillId="3" borderId="0" xfId="0" applyFont="1" applyFill="1" applyAlignment="1">
      <alignment vertical="center"/>
    </xf>
    <xf numFmtId="0" fontId="4" fillId="3" borderId="0" xfId="0" applyFont="1" applyFill="1" applyAlignment="1">
      <alignment horizontal="right" vertical="center"/>
    </xf>
    <xf numFmtId="9" fontId="17" fillId="3" borderId="0" xfId="2" applyFont="1" applyFill="1" applyAlignment="1">
      <alignment vertical="center"/>
    </xf>
    <xf numFmtId="9" fontId="15" fillId="18" borderId="0" xfId="2" applyFont="1" applyFill="1" applyAlignment="1">
      <alignment horizontal="right"/>
    </xf>
    <xf numFmtId="0" fontId="5" fillId="18" borderId="0" xfId="0" applyFont="1" applyFill="1" applyAlignment="1">
      <alignment vertical="center"/>
    </xf>
    <xf numFmtId="37" fontId="5" fillId="18" borderId="0" xfId="0" applyNumberFormat="1" applyFont="1" applyFill="1" applyAlignment="1">
      <alignment vertical="center"/>
    </xf>
    <xf numFmtId="37" fontId="4" fillId="18" borderId="0" xfId="0" applyNumberFormat="1" applyFont="1" applyFill="1" applyAlignment="1">
      <alignment vertical="center"/>
    </xf>
    <xf numFmtId="0" fontId="4" fillId="18" borderId="0" xfId="0" applyFont="1" applyFill="1" applyAlignment="1">
      <alignment vertical="center"/>
    </xf>
    <xf numFmtId="37" fontId="78" fillId="8" borderId="0" xfId="1" applyNumberFormat="1" applyFont="1" applyFill="1" applyAlignment="1">
      <alignment horizontal="left" vertical="center"/>
    </xf>
    <xf numFmtId="9" fontId="5" fillId="2" borderId="1" xfId="3" applyNumberFormat="1" applyFont="1" applyFill="1" applyBorder="1" applyAlignment="1">
      <alignment horizontal="right"/>
    </xf>
    <xf numFmtId="9" fontId="96" fillId="2" borderId="1" xfId="3" applyNumberFormat="1" applyFont="1" applyFill="1" applyBorder="1" applyAlignment="1">
      <alignment horizontal="right"/>
    </xf>
    <xf numFmtId="9" fontId="5" fillId="2" borderId="0" xfId="2" applyFont="1" applyFill="1"/>
    <xf numFmtId="37" fontId="5" fillId="8" borderId="0" xfId="3" applyNumberFormat="1" applyFont="1" applyFill="1" applyAlignment="1">
      <alignment horizontal="right"/>
    </xf>
    <xf numFmtId="9" fontId="40" fillId="14" borderId="12" xfId="15" applyNumberFormat="1" applyFont="1" applyFill="1" applyBorder="1" applyAlignment="1">
      <alignment horizontal="right" vertical="center"/>
    </xf>
    <xf numFmtId="9" fontId="22" fillId="2" borderId="0" xfId="2" applyFont="1" applyFill="1" applyAlignment="1">
      <alignment horizontal="right"/>
    </xf>
    <xf numFmtId="39" fontId="4" fillId="2" borderId="0" xfId="1" applyNumberFormat="1" applyFont="1" applyFill="1" applyAlignment="1">
      <alignment horizontal="right"/>
    </xf>
    <xf numFmtId="39" fontId="4" fillId="2" borderId="0" xfId="0" applyNumberFormat="1" applyFont="1" applyFill="1" applyAlignment="1">
      <alignment horizontal="right" vertical="center"/>
    </xf>
    <xf numFmtId="3" fontId="5" fillId="0" borderId="0" xfId="0" applyNumberFormat="1" applyFont="1" applyAlignment="1">
      <alignment vertical="center"/>
    </xf>
    <xf numFmtId="9" fontId="5" fillId="0" borderId="0" xfId="1" applyNumberFormat="1" applyFont="1" applyAlignment="1">
      <alignment horizontal="right"/>
    </xf>
    <xf numFmtId="0" fontId="4" fillId="2" borderId="2" xfId="0" applyFont="1" applyFill="1" applyBorder="1" applyAlignment="1">
      <alignment vertical="center"/>
    </xf>
    <xf numFmtId="0" fontId="5" fillId="2" borderId="2" xfId="0" applyFont="1" applyFill="1" applyBorder="1" applyAlignment="1">
      <alignment vertical="center"/>
    </xf>
    <xf numFmtId="9" fontId="7" fillId="2" borderId="0" xfId="2" applyFont="1" applyFill="1" applyAlignment="1">
      <alignment horizontal="right" vertical="center"/>
    </xf>
    <xf numFmtId="168" fontId="5" fillId="8" borderId="0" xfId="3" applyNumberFormat="1" applyFont="1" applyFill="1"/>
    <xf numFmtId="0" fontId="5" fillId="22" borderId="0" xfId="0" applyFont="1" applyFill="1" applyAlignment="1">
      <alignment vertical="center"/>
    </xf>
    <xf numFmtId="37" fontId="5" fillId="22" borderId="0" xfId="0" applyNumberFormat="1" applyFont="1" applyFill="1" applyAlignment="1">
      <alignment vertical="center"/>
    </xf>
    <xf numFmtId="0" fontId="4" fillId="22" borderId="1" xfId="0" applyFont="1" applyFill="1" applyBorder="1" applyAlignment="1">
      <alignment vertical="center"/>
    </xf>
    <xf numFmtId="0" fontId="4" fillId="22" borderId="1" xfId="0" applyFont="1" applyFill="1" applyBorder="1" applyAlignment="1">
      <alignment horizontal="right" vertical="center"/>
    </xf>
    <xf numFmtId="9" fontId="7" fillId="22" borderId="0" xfId="0" applyNumberFormat="1" applyFont="1" applyFill="1" applyAlignment="1">
      <alignment vertical="center"/>
    </xf>
    <xf numFmtId="0" fontId="16" fillId="22" borderId="1" xfId="0" applyFont="1" applyFill="1" applyBorder="1" applyAlignment="1">
      <alignment vertical="center"/>
    </xf>
    <xf numFmtId="0" fontId="16" fillId="22" borderId="1" xfId="0" applyFont="1" applyFill="1" applyBorder="1" applyAlignment="1">
      <alignment horizontal="right" vertical="center"/>
    </xf>
    <xf numFmtId="0" fontId="7" fillId="22" borderId="0" xfId="0" applyFont="1" applyFill="1" applyAlignment="1">
      <alignment vertical="center"/>
    </xf>
    <xf numFmtId="167" fontId="17" fillId="3" borderId="0" xfId="2" applyNumberFormat="1" applyFont="1" applyFill="1"/>
    <xf numFmtId="37" fontId="26" fillId="0" borderId="0" xfId="1" applyNumberFormat="1" applyFont="1" applyFill="1" applyAlignment="1">
      <alignment horizontal="right" vertical="center"/>
    </xf>
    <xf numFmtId="3" fontId="26" fillId="0" borderId="24" xfId="0" applyNumberFormat="1" applyFont="1" applyBorder="1" applyAlignment="1">
      <alignment vertical="center"/>
    </xf>
    <xf numFmtId="3" fontId="31" fillId="0" borderId="24" xfId="0" applyNumberFormat="1" applyFont="1" applyBorder="1" applyAlignment="1">
      <alignment vertical="center"/>
    </xf>
    <xf numFmtId="3" fontId="26" fillId="18" borderId="24" xfId="0" applyNumberFormat="1" applyFont="1" applyFill="1" applyBorder="1" applyAlignment="1">
      <alignment vertical="center"/>
    </xf>
    <xf numFmtId="176" fontId="0" fillId="0" borderId="0" xfId="0" applyNumberFormat="1"/>
    <xf numFmtId="37" fontId="62" fillId="3" borderId="0" xfId="23" applyNumberFormat="1" applyFont="1" applyFill="1"/>
    <xf numFmtId="37" fontId="14" fillId="0" borderId="0" xfId="23" applyNumberFormat="1"/>
    <xf numFmtId="37" fontId="62" fillId="0" borderId="0" xfId="23" applyNumberFormat="1" applyFont="1"/>
    <xf numFmtId="37" fontId="14" fillId="3" borderId="0" xfId="23" applyNumberFormat="1" applyFill="1"/>
    <xf numFmtId="3" fontId="62" fillId="0" borderId="0" xfId="23" applyNumberFormat="1" applyFont="1"/>
    <xf numFmtId="167" fontId="40" fillId="4" borderId="12" xfId="16" applyNumberFormat="1" applyFont="1" applyFill="1" applyBorder="1" applyAlignment="1">
      <alignment horizontal="right" vertical="center"/>
    </xf>
    <xf numFmtId="181" fontId="26" fillId="0" borderId="24" xfId="0" applyNumberFormat="1" applyFont="1" applyBorder="1" applyAlignment="1">
      <alignment vertical="center"/>
    </xf>
    <xf numFmtId="0" fontId="0" fillId="8" borderId="0" xfId="0" applyFill="1"/>
    <xf numFmtId="9" fontId="27" fillId="0" borderId="0" xfId="0" applyNumberFormat="1" applyFont="1"/>
    <xf numFmtId="168" fontId="5" fillId="11" borderId="0" xfId="3" applyNumberFormat="1" applyFont="1" applyFill="1"/>
    <xf numFmtId="168" fontId="4" fillId="2" borderId="0" xfId="1" applyNumberFormat="1" applyFont="1" applyFill="1" applyAlignment="1"/>
    <xf numFmtId="168" fontId="4" fillId="3" borderId="0" xfId="1" applyNumberFormat="1" applyFont="1" applyFill="1" applyAlignment="1"/>
    <xf numFmtId="168" fontId="4" fillId="11" borderId="0" xfId="3" applyNumberFormat="1" applyFont="1" applyFill="1"/>
    <xf numFmtId="168" fontId="7" fillId="2" borderId="0" xfId="2" applyNumberFormat="1" applyFont="1" applyFill="1" applyAlignment="1"/>
    <xf numFmtId="168" fontId="7" fillId="3" borderId="0" xfId="2" applyNumberFormat="1" applyFont="1" applyFill="1" applyAlignment="1"/>
    <xf numFmtId="9" fontId="7" fillId="3" borderId="0" xfId="2" applyFont="1" applyFill="1" applyAlignment="1"/>
    <xf numFmtId="37" fontId="4" fillId="8" borderId="0" xfId="3" applyNumberFormat="1" applyFont="1" applyFill="1" applyAlignment="1">
      <alignment horizontal="right"/>
    </xf>
    <xf numFmtId="9" fontId="5" fillId="0" borderId="0" xfId="2" applyFont="1"/>
    <xf numFmtId="0" fontId="5" fillId="0" borderId="0" xfId="0" applyFont="1" applyAlignment="1">
      <alignment wrapText="1"/>
    </xf>
    <xf numFmtId="0" fontId="4" fillId="0" borderId="48" xfId="0" applyFont="1" applyBorder="1" applyAlignment="1">
      <alignment horizontal="left" vertical="top"/>
    </xf>
    <xf numFmtId="0" fontId="4" fillId="0" borderId="48" xfId="0" applyFont="1" applyBorder="1" applyAlignment="1">
      <alignment horizontal="right" vertical="top"/>
    </xf>
    <xf numFmtId="0" fontId="5" fillId="0" borderId="48" xfId="0" applyFont="1" applyBorder="1" applyAlignment="1">
      <alignment vertical="center" wrapText="1"/>
    </xf>
    <xf numFmtId="0" fontId="5" fillId="0" borderId="48" xfId="0" applyFont="1" applyBorder="1" applyAlignment="1">
      <alignment wrapText="1"/>
    </xf>
    <xf numFmtId="0" fontId="97" fillId="0" borderId="58" xfId="0" applyFont="1" applyBorder="1" applyAlignment="1">
      <alignment vertical="center"/>
    </xf>
    <xf numFmtId="0" fontId="5" fillId="0" borderId="48" xfId="0" applyFont="1" applyBorder="1"/>
    <xf numFmtId="9" fontId="5" fillId="0" borderId="48" xfId="0" applyNumberFormat="1" applyFont="1" applyBorder="1"/>
    <xf numFmtId="37" fontId="5" fillId="0" borderId="48" xfId="0" applyNumberFormat="1" applyFont="1" applyBorder="1"/>
    <xf numFmtId="176" fontId="5" fillId="0" borderId="48" xfId="0" applyNumberFormat="1" applyFont="1" applyBorder="1"/>
    <xf numFmtId="0" fontId="5" fillId="0" borderId="48" xfId="0" applyFont="1" applyBorder="1" applyAlignment="1">
      <alignment horizontal="center" vertical="center" wrapText="1"/>
    </xf>
    <xf numFmtId="0" fontId="94" fillId="0" borderId="60" xfId="0" applyFont="1" applyBorder="1" applyAlignment="1">
      <alignment vertical="center"/>
    </xf>
    <xf numFmtId="0" fontId="94" fillId="0" borderId="61" xfId="0" applyFont="1" applyBorder="1" applyAlignment="1">
      <alignment vertical="center"/>
    </xf>
    <xf numFmtId="3" fontId="94" fillId="0" borderId="61" xfId="0" applyNumberFormat="1" applyFont="1" applyBorder="1" applyAlignment="1">
      <alignment horizontal="right" vertical="center"/>
    </xf>
    <xf numFmtId="0" fontId="98" fillId="0" borderId="60" xfId="0" applyFont="1" applyBorder="1" applyAlignment="1">
      <alignment horizontal="left" vertical="center" indent="1"/>
    </xf>
    <xf numFmtId="9" fontId="98" fillId="0" borderId="61" xfId="0" applyNumberFormat="1" applyFont="1" applyBorder="1" applyAlignment="1">
      <alignment horizontal="right" vertical="center"/>
    </xf>
    <xf numFmtId="1" fontId="5" fillId="0" borderId="48" xfId="0" applyNumberFormat="1" applyFont="1" applyBorder="1"/>
    <xf numFmtId="0" fontId="4" fillId="0" borderId="48" xfId="0" applyFont="1" applyBorder="1" applyAlignment="1">
      <alignment vertical="center" wrapText="1"/>
    </xf>
    <xf numFmtId="9" fontId="94" fillId="0" borderId="61" xfId="0" applyNumberFormat="1" applyFont="1" applyBorder="1" applyAlignment="1">
      <alignment horizontal="right" vertical="center"/>
    </xf>
    <xf numFmtId="37" fontId="94" fillId="0" borderId="61" xfId="0" applyNumberFormat="1" applyFont="1" applyBorder="1" applyAlignment="1">
      <alignment horizontal="right" vertical="center"/>
    </xf>
    <xf numFmtId="0" fontId="4" fillId="0" borderId="48" xfId="0" applyFont="1" applyBorder="1"/>
    <xf numFmtId="37" fontId="4" fillId="0" borderId="48" xfId="0" applyNumberFormat="1" applyFont="1" applyBorder="1"/>
    <xf numFmtId="9" fontId="4" fillId="0" borderId="48" xfId="0" applyNumberFormat="1" applyFont="1" applyBorder="1"/>
    <xf numFmtId="0" fontId="94" fillId="0" borderId="60" xfId="0" applyFont="1" applyBorder="1" applyAlignment="1">
      <alignment horizontal="left" vertical="center" indent="1"/>
    </xf>
    <xf numFmtId="176" fontId="94" fillId="0" borderId="61" xfId="0" applyNumberFormat="1" applyFont="1" applyBorder="1" applyAlignment="1">
      <alignment vertical="center"/>
    </xf>
    <xf numFmtId="0" fontId="5" fillId="0" borderId="58" xfId="0" applyFont="1" applyBorder="1" applyAlignment="1">
      <alignment vertical="center" wrapText="1"/>
    </xf>
    <xf numFmtId="0" fontId="4" fillId="0" borderId="59" xfId="0" applyFont="1" applyBorder="1" applyAlignment="1">
      <alignment horizontal="right" vertical="center" wrapText="1"/>
    </xf>
    <xf numFmtId="3" fontId="4" fillId="0" borderId="61" xfId="0" applyNumberFormat="1" applyFont="1" applyBorder="1" applyAlignment="1">
      <alignment horizontal="right" vertical="center"/>
    </xf>
    <xf numFmtId="0" fontId="4" fillId="0" borderId="60" xfId="0" applyFont="1" applyBorder="1" applyAlignment="1">
      <alignment vertical="center"/>
    </xf>
    <xf numFmtId="0" fontId="13" fillId="0" borderId="60" xfId="0" applyFont="1" applyBorder="1" applyAlignment="1">
      <alignment vertical="center"/>
    </xf>
    <xf numFmtId="9" fontId="13" fillId="0" borderId="61" xfId="0" applyNumberFormat="1" applyFont="1" applyBorder="1" applyAlignment="1">
      <alignment horizontal="right" vertical="center"/>
    </xf>
    <xf numFmtId="0" fontId="5" fillId="0" borderId="60" xfId="0" applyFont="1" applyBorder="1" applyAlignment="1">
      <alignment vertical="center"/>
    </xf>
    <xf numFmtId="0" fontId="5" fillId="0" borderId="61" xfId="0" applyFont="1" applyBorder="1" applyAlignment="1">
      <alignment vertical="center"/>
    </xf>
    <xf numFmtId="0" fontId="30" fillId="0" borderId="60" xfId="0" applyFont="1" applyBorder="1" applyAlignment="1">
      <alignment horizontal="left" vertical="center" indent="1"/>
    </xf>
    <xf numFmtId="1" fontId="30" fillId="0" borderId="61" xfId="0" applyNumberFormat="1" applyFont="1" applyBorder="1" applyAlignment="1">
      <alignment horizontal="right" vertical="center"/>
    </xf>
    <xf numFmtId="9" fontId="30" fillId="0" borderId="61" xfId="0" applyNumberFormat="1" applyFont="1" applyBorder="1" applyAlignment="1">
      <alignment horizontal="right" vertical="center"/>
    </xf>
    <xf numFmtId="3" fontId="5" fillId="0" borderId="61" xfId="0" applyNumberFormat="1" applyFont="1" applyBorder="1" applyAlignment="1">
      <alignment horizontal="right" vertical="center"/>
    </xf>
    <xf numFmtId="0" fontId="13" fillId="0" borderId="60" xfId="0" applyFont="1" applyBorder="1" applyAlignment="1">
      <alignment horizontal="left" vertical="center" indent="1"/>
    </xf>
    <xf numFmtId="10" fontId="13" fillId="0" borderId="61" xfId="0" applyNumberFormat="1" applyFont="1" applyBorder="1" applyAlignment="1">
      <alignment horizontal="right" vertical="center"/>
    </xf>
    <xf numFmtId="1" fontId="5" fillId="0" borderId="61" xfId="0" applyNumberFormat="1" applyFont="1" applyBorder="1" applyAlignment="1">
      <alignment horizontal="right" vertical="center"/>
    </xf>
    <xf numFmtId="37" fontId="5" fillId="0" borderId="61" xfId="0" applyNumberFormat="1" applyFont="1" applyBorder="1" applyAlignment="1">
      <alignment horizontal="right" vertical="center"/>
    </xf>
    <xf numFmtId="10" fontId="5" fillId="0" borderId="61" xfId="0" applyNumberFormat="1" applyFont="1" applyBorder="1" applyAlignment="1">
      <alignment horizontal="right" vertical="center"/>
    </xf>
    <xf numFmtId="172" fontId="5" fillId="0" borderId="61" xfId="1" applyNumberFormat="1" applyFont="1" applyBorder="1" applyAlignment="1">
      <alignment horizontal="right" vertical="center"/>
    </xf>
    <xf numFmtId="0" fontId="93" fillId="0" borderId="58" xfId="0" applyFont="1" applyBorder="1" applyAlignment="1">
      <alignment vertical="center"/>
    </xf>
    <xf numFmtId="0" fontId="93" fillId="0" borderId="59" xfId="0" applyFont="1" applyBorder="1" applyAlignment="1">
      <alignment horizontal="right" vertical="center"/>
    </xf>
    <xf numFmtId="0" fontId="93" fillId="0" borderId="60" xfId="0" applyFont="1" applyBorder="1" applyAlignment="1">
      <alignment vertical="center"/>
    </xf>
    <xf numFmtId="3" fontId="93" fillId="0" borderId="61" xfId="0" applyNumberFormat="1" applyFont="1" applyBorder="1" applyAlignment="1">
      <alignment horizontal="right" vertical="center"/>
    </xf>
    <xf numFmtId="3" fontId="5" fillId="0" borderId="0" xfId="0" applyNumberFormat="1" applyFont="1"/>
    <xf numFmtId="0" fontId="93" fillId="0" borderId="59" xfId="0" applyFont="1" applyBorder="1" applyAlignment="1">
      <alignment horizontal="center" vertical="center"/>
    </xf>
    <xf numFmtId="0" fontId="94" fillId="0" borderId="60" xfId="0" applyFont="1" applyBorder="1" applyAlignment="1">
      <alignment horizontal="center" vertical="center"/>
    </xf>
    <xf numFmtId="9" fontId="5" fillId="0" borderId="0" xfId="0" applyNumberFormat="1" applyFont="1"/>
    <xf numFmtId="166" fontId="5" fillId="0" borderId="0" xfId="1" applyNumberFormat="1" applyFont="1"/>
    <xf numFmtId="166" fontId="4" fillId="0" borderId="0" xfId="0" applyNumberFormat="1" applyFont="1"/>
    <xf numFmtId="166" fontId="34" fillId="0" borderId="14" xfId="1" applyNumberFormat="1" applyFont="1" applyFill="1" applyBorder="1" applyAlignment="1">
      <alignment vertical="center"/>
    </xf>
    <xf numFmtId="0" fontId="35" fillId="10" borderId="12" xfId="0" applyFont="1" applyFill="1" applyBorder="1" applyAlignment="1">
      <alignment vertical="center"/>
    </xf>
    <xf numFmtId="37" fontId="38" fillId="0" borderId="13" xfId="3" applyNumberFormat="1" applyFont="1" applyBorder="1" applyAlignment="1">
      <alignment horizontal="right" vertical="center" wrapText="1"/>
    </xf>
    <xf numFmtId="0" fontId="34" fillId="10" borderId="12" xfId="0" applyFont="1" applyFill="1" applyBorder="1" applyAlignment="1">
      <alignment horizontal="left" vertical="center" indent="1"/>
    </xf>
    <xf numFmtId="9" fontId="76" fillId="0" borderId="12" xfId="0" applyNumberFormat="1" applyFont="1" applyBorder="1" applyAlignment="1">
      <alignment vertical="center"/>
    </xf>
    <xf numFmtId="0" fontId="76" fillId="0" borderId="12" xfId="0" applyFont="1" applyBorder="1" applyAlignment="1">
      <alignment vertical="center"/>
    </xf>
    <xf numFmtId="9" fontId="76" fillId="0" borderId="12" xfId="2" applyFont="1" applyFill="1" applyBorder="1" applyAlignment="1">
      <alignment vertical="center"/>
    </xf>
    <xf numFmtId="0" fontId="77" fillId="10" borderId="12" xfId="0" applyFont="1" applyFill="1" applyBorder="1" applyAlignment="1">
      <alignment vertical="center"/>
    </xf>
    <xf numFmtId="37" fontId="76" fillId="10" borderId="12" xfId="3" applyNumberFormat="1" applyFont="1" applyFill="1" applyBorder="1" applyAlignment="1">
      <alignment horizontal="left" vertical="center" indent="1"/>
    </xf>
    <xf numFmtId="0" fontId="76" fillId="10" borderId="12" xfId="0" applyFont="1" applyFill="1" applyBorder="1" applyAlignment="1">
      <alignment horizontal="left" vertical="center" indent="1"/>
    </xf>
    <xf numFmtId="166" fontId="35" fillId="0" borderId="12" xfId="1" applyNumberFormat="1" applyFont="1" applyFill="1" applyBorder="1" applyAlignment="1">
      <alignment vertical="center"/>
    </xf>
    <xf numFmtId="9" fontId="77" fillId="0" borderId="12" xfId="0" applyNumberFormat="1" applyFont="1" applyBorder="1" applyAlignment="1">
      <alignment vertical="center"/>
    </xf>
    <xf numFmtId="0" fontId="4" fillId="0" borderId="0" xfId="0" applyFont="1" applyAlignment="1">
      <alignment horizontal="right" vertical="top"/>
    </xf>
    <xf numFmtId="0" fontId="5" fillId="0" borderId="58" xfId="0" applyFont="1" applyBorder="1" applyAlignment="1">
      <alignment horizontal="center" vertical="center"/>
    </xf>
    <xf numFmtId="0" fontId="4" fillId="0" borderId="61" xfId="0" applyFont="1" applyBorder="1" applyAlignment="1">
      <alignment horizontal="center" vertical="center"/>
    </xf>
    <xf numFmtId="0" fontId="94" fillId="0" borderId="61" xfId="0" applyFont="1" applyBorder="1" applyAlignment="1">
      <alignment horizontal="center" vertical="center"/>
    </xf>
    <xf numFmtId="3" fontId="94" fillId="0" borderId="61" xfId="0" applyNumberFormat="1" applyFont="1" applyBorder="1" applyAlignment="1">
      <alignment horizontal="center" vertical="center"/>
    </xf>
    <xf numFmtId="9" fontId="94" fillId="0" borderId="61" xfId="0" applyNumberFormat="1" applyFont="1" applyBorder="1" applyAlignment="1">
      <alignment horizontal="center" vertical="center"/>
    </xf>
    <xf numFmtId="0" fontId="99" fillId="0" borderId="61" xfId="0" applyFont="1" applyBorder="1" applyAlignment="1">
      <alignment horizontal="center" vertical="center"/>
    </xf>
    <xf numFmtId="0" fontId="100" fillId="0" borderId="60" xfId="0" applyFont="1" applyBorder="1" applyAlignment="1">
      <alignment vertical="center"/>
    </xf>
    <xf numFmtId="1" fontId="94" fillId="0" borderId="61" xfId="0" applyNumberFormat="1" applyFont="1" applyBorder="1" applyAlignment="1">
      <alignment horizontal="center" vertical="center"/>
    </xf>
    <xf numFmtId="9" fontId="94" fillId="0" borderId="61" xfId="2" applyFont="1" applyBorder="1" applyAlignment="1">
      <alignment horizontal="center" vertical="center"/>
    </xf>
    <xf numFmtId="39" fontId="5" fillId="8" borderId="0" xfId="9" applyNumberFormat="1" applyFont="1" applyFill="1" applyAlignment="1">
      <alignment horizontal="right"/>
    </xf>
    <xf numFmtId="9" fontId="7" fillId="8" borderId="0" xfId="2" applyFont="1" applyFill="1" applyAlignment="1">
      <alignment horizontal="right"/>
    </xf>
    <xf numFmtId="37" fontId="4" fillId="3" borderId="0" xfId="0" applyNumberFormat="1" applyFont="1" applyFill="1" applyAlignment="1">
      <alignment horizontal="left" vertical="center"/>
    </xf>
    <xf numFmtId="187" fontId="34" fillId="0" borderId="12" xfId="0" applyNumberFormat="1" applyFont="1" applyBorder="1" applyAlignment="1">
      <alignment vertical="center"/>
    </xf>
    <xf numFmtId="187" fontId="34" fillId="9" borderId="12" xfId="0" applyNumberFormat="1" applyFont="1" applyFill="1" applyBorder="1" applyAlignment="1">
      <alignment vertical="center"/>
    </xf>
    <xf numFmtId="187" fontId="35" fillId="0" borderId="12" xfId="0" applyNumberFormat="1" applyFont="1" applyBorder="1" applyAlignment="1">
      <alignment vertical="center"/>
    </xf>
    <xf numFmtId="187" fontId="35" fillId="9" borderId="12" xfId="0" applyNumberFormat="1" applyFont="1" applyFill="1" applyBorder="1" applyAlignment="1">
      <alignment vertical="center"/>
    </xf>
    <xf numFmtId="187" fontId="34" fillId="0" borderId="12" xfId="1" applyNumberFormat="1" applyFont="1" applyFill="1" applyBorder="1" applyAlignment="1">
      <alignment vertical="center"/>
    </xf>
    <xf numFmtId="43" fontId="0" fillId="0" borderId="0" xfId="0" applyNumberFormat="1"/>
    <xf numFmtId="37" fontId="0" fillId="0" borderId="0" xfId="0" applyNumberFormat="1" applyAlignment="1">
      <alignment horizontal="left" indent="1"/>
    </xf>
    <xf numFmtId="9" fontId="6" fillId="8" borderId="0" xfId="2" applyFont="1" applyFill="1" applyAlignment="1">
      <alignment horizontal="right"/>
    </xf>
    <xf numFmtId="166" fontId="5" fillId="0" borderId="0" xfId="0" applyNumberFormat="1" applyFont="1" applyAlignment="1">
      <alignment vertical="center"/>
    </xf>
    <xf numFmtId="168" fontId="17" fillId="3" borderId="0" xfId="0" applyNumberFormat="1" applyFont="1" applyFill="1" applyAlignment="1">
      <alignment horizontal="right" vertical="center"/>
    </xf>
    <xf numFmtId="9" fontId="0" fillId="0" borderId="0" xfId="1" applyNumberFormat="1" applyFont="1"/>
    <xf numFmtId="4" fontId="5" fillId="0" borderId="0" xfId="5" applyNumberFormat="1" applyFont="1" applyFill="1" applyAlignment="1">
      <alignment horizontal="right"/>
    </xf>
    <xf numFmtId="4" fontId="5" fillId="0" borderId="0" xfId="0" applyNumberFormat="1" applyFont="1" applyAlignment="1">
      <alignment vertical="center"/>
    </xf>
    <xf numFmtId="4" fontId="5" fillId="0" borderId="0" xfId="3" applyNumberFormat="1" applyFont="1" applyAlignment="1">
      <alignment horizontal="right"/>
    </xf>
    <xf numFmtId="4" fontId="13" fillId="0" borderId="0" xfId="3" applyNumberFormat="1" applyFont="1"/>
    <xf numFmtId="10" fontId="5" fillId="4" borderId="0" xfId="3" applyNumberFormat="1" applyFont="1" applyFill="1"/>
    <xf numFmtId="166" fontId="16" fillId="3" borderId="0" xfId="1" applyNumberFormat="1" applyFont="1" applyFill="1" applyAlignment="1">
      <alignment horizontal="right"/>
    </xf>
    <xf numFmtId="9" fontId="12" fillId="3" borderId="0" xfId="2" applyFont="1" applyFill="1" applyAlignment="1">
      <alignment horizontal="left"/>
    </xf>
    <xf numFmtId="9" fontId="12" fillId="3" borderId="0" xfId="2" applyFont="1" applyFill="1" applyAlignment="1">
      <alignment horizontal="right"/>
    </xf>
    <xf numFmtId="9" fontId="21" fillId="3" borderId="0" xfId="2" applyFont="1" applyFill="1" applyAlignment="1">
      <alignment horizontal="left" indent="1"/>
    </xf>
    <xf numFmtId="166" fontId="12" fillId="3" borderId="0" xfId="1" applyNumberFormat="1" applyFont="1" applyFill="1" applyAlignment="1">
      <alignment horizontal="right"/>
    </xf>
    <xf numFmtId="166" fontId="21" fillId="3" borderId="0" xfId="1" applyNumberFormat="1" applyFont="1" applyFill="1" applyAlignment="1">
      <alignment horizontal="right"/>
    </xf>
    <xf numFmtId="0" fontId="101" fillId="0" borderId="0" xfId="0" applyFont="1" applyAlignment="1">
      <alignment vertical="center" wrapText="1"/>
    </xf>
    <xf numFmtId="0" fontId="102" fillId="0" borderId="62" xfId="0" applyFont="1" applyBorder="1" applyAlignment="1">
      <alignment horizontal="left" vertical="center" wrapText="1" readingOrder="1"/>
    </xf>
    <xf numFmtId="0" fontId="102" fillId="0" borderId="62" xfId="0" applyFont="1" applyBorder="1" applyAlignment="1">
      <alignment horizontal="right" vertical="center" wrapText="1" readingOrder="1"/>
    </xf>
    <xf numFmtId="0" fontId="103" fillId="0" borderId="68" xfId="0" applyFont="1" applyBorder="1" applyAlignment="1">
      <alignment horizontal="left" vertical="center" wrapText="1" readingOrder="1"/>
    </xf>
    <xf numFmtId="3" fontId="103" fillId="0" borderId="68" xfId="0" applyNumberFormat="1" applyFont="1" applyBorder="1" applyAlignment="1">
      <alignment horizontal="right" vertical="center" wrapText="1" readingOrder="1"/>
    </xf>
    <xf numFmtId="9" fontId="104" fillId="23" borderId="68" xfId="0" applyNumberFormat="1" applyFont="1" applyFill="1" applyBorder="1" applyAlignment="1">
      <alignment horizontal="right" vertical="center" wrapText="1" readingOrder="1"/>
    </xf>
    <xf numFmtId="3" fontId="104" fillId="0" borderId="68" xfId="0" applyNumberFormat="1" applyFont="1" applyBorder="1" applyAlignment="1">
      <alignment horizontal="right" vertical="center" wrapText="1" readingOrder="1"/>
    </xf>
    <xf numFmtId="0" fontId="104" fillId="0" borderId="69" xfId="0" applyFont="1" applyBorder="1" applyAlignment="1">
      <alignment horizontal="left" vertical="center" wrapText="1" readingOrder="1"/>
    </xf>
    <xf numFmtId="3" fontId="104" fillId="0" borderId="69" xfId="0" applyNumberFormat="1" applyFont="1" applyBorder="1" applyAlignment="1">
      <alignment horizontal="right" vertical="center" wrapText="1" readingOrder="1"/>
    </xf>
    <xf numFmtId="9" fontId="104" fillId="23" borderId="69" xfId="0" applyNumberFormat="1" applyFont="1" applyFill="1" applyBorder="1" applyAlignment="1">
      <alignment horizontal="right" vertical="center" wrapText="1" readingOrder="1"/>
    </xf>
    <xf numFmtId="0" fontId="103" fillId="0" borderId="69" xfId="0" applyFont="1" applyBorder="1" applyAlignment="1">
      <alignment horizontal="left" vertical="center" wrapText="1" readingOrder="1"/>
    </xf>
    <xf numFmtId="3" fontId="103" fillId="0" borderId="69" xfId="0" applyNumberFormat="1" applyFont="1" applyBorder="1" applyAlignment="1">
      <alignment horizontal="right" vertical="center" wrapText="1" readingOrder="1"/>
    </xf>
    <xf numFmtId="9" fontId="103" fillId="23" borderId="69" xfId="0" applyNumberFormat="1" applyFont="1" applyFill="1" applyBorder="1" applyAlignment="1">
      <alignment horizontal="right" vertical="center" wrapText="1" readingOrder="1"/>
    </xf>
    <xf numFmtId="10" fontId="105" fillId="0" borderId="69" xfId="0" applyNumberFormat="1" applyFont="1" applyBorder="1" applyAlignment="1">
      <alignment horizontal="right" vertical="center" wrapText="1" readingOrder="1"/>
    </xf>
    <xf numFmtId="0" fontId="105" fillId="23" borderId="69" xfId="0" applyFont="1" applyFill="1" applyBorder="1" applyAlignment="1">
      <alignment horizontal="right" vertical="center" wrapText="1" readingOrder="1"/>
    </xf>
    <xf numFmtId="9" fontId="105" fillId="23" borderId="69" xfId="0" applyNumberFormat="1" applyFont="1" applyFill="1" applyBorder="1" applyAlignment="1">
      <alignment horizontal="right" vertical="center" wrapText="1" readingOrder="1"/>
    </xf>
    <xf numFmtId="0" fontId="104" fillId="23" borderId="69" xfId="0" applyFont="1" applyFill="1" applyBorder="1" applyAlignment="1">
      <alignment horizontal="right" vertical="center" wrapText="1" readingOrder="1"/>
    </xf>
    <xf numFmtId="181" fontId="104" fillId="0" borderId="69" xfId="0" applyNumberFormat="1" applyFont="1" applyBorder="1" applyAlignment="1">
      <alignment horizontal="right" vertical="center" wrapText="1" readingOrder="1"/>
    </xf>
    <xf numFmtId="0" fontId="84" fillId="0" borderId="62" xfId="0" applyFont="1" applyBorder="1" applyAlignment="1">
      <alignment horizontal="center" vertical="center" wrapText="1" readingOrder="1"/>
    </xf>
    <xf numFmtId="0" fontId="85" fillId="21" borderId="63" xfId="0" applyFont="1" applyFill="1" applyBorder="1" applyAlignment="1">
      <alignment horizontal="center" vertical="center" wrapText="1" readingOrder="1"/>
    </xf>
    <xf numFmtId="9" fontId="86" fillId="0" borderId="46" xfId="0" applyNumberFormat="1" applyFont="1" applyBorder="1" applyAlignment="1">
      <alignment horizontal="center" vertical="center" wrapText="1" readingOrder="1"/>
    </xf>
    <xf numFmtId="9" fontId="85" fillId="0" borderId="46" xfId="0" applyNumberFormat="1" applyFont="1" applyBorder="1" applyAlignment="1">
      <alignment horizontal="center" vertical="center" wrapText="1" readingOrder="1"/>
    </xf>
    <xf numFmtId="0" fontId="84" fillId="0" borderId="70" xfId="0" applyFont="1" applyBorder="1" applyAlignment="1">
      <alignment horizontal="left" vertical="center" wrapText="1" readingOrder="1"/>
    </xf>
    <xf numFmtId="0" fontId="84" fillId="0" borderId="71" xfId="0" applyFont="1" applyBorder="1" applyAlignment="1">
      <alignment horizontal="right" vertical="center" wrapText="1" readingOrder="1"/>
    </xf>
    <xf numFmtId="0" fontId="84" fillId="0" borderId="72" xfId="0" applyFont="1" applyBorder="1" applyAlignment="1">
      <alignment horizontal="center" vertical="center" wrapText="1" readingOrder="1"/>
    </xf>
    <xf numFmtId="0" fontId="85" fillId="21" borderId="73" xfId="0" applyFont="1" applyFill="1" applyBorder="1" applyAlignment="1">
      <alignment horizontal="left" vertical="center" wrapText="1" readingOrder="1"/>
    </xf>
    <xf numFmtId="0" fontId="85" fillId="21" borderId="74" xfId="0" applyFont="1" applyFill="1" applyBorder="1" applyAlignment="1">
      <alignment horizontal="center" vertical="center" wrapText="1" readingOrder="1"/>
    </xf>
    <xf numFmtId="37" fontId="86" fillId="0" borderId="75" xfId="0" applyNumberFormat="1" applyFont="1" applyBorder="1" applyAlignment="1">
      <alignment horizontal="left" vertical="center" wrapText="1" readingOrder="1"/>
    </xf>
    <xf numFmtId="9" fontId="86" fillId="0" borderId="76" xfId="0" applyNumberFormat="1" applyFont="1" applyBorder="1" applyAlignment="1">
      <alignment horizontal="center" vertical="center" wrapText="1" readingOrder="1"/>
    </xf>
    <xf numFmtId="0" fontId="85" fillId="0" borderId="75" xfId="0" applyFont="1" applyBorder="1" applyAlignment="1">
      <alignment horizontal="left" vertical="center" wrapText="1" readingOrder="1"/>
    </xf>
    <xf numFmtId="9" fontId="85" fillId="0" borderId="76" xfId="0" applyNumberFormat="1" applyFont="1" applyBorder="1" applyAlignment="1">
      <alignment horizontal="center" vertical="center" wrapText="1" readingOrder="1"/>
    </xf>
    <xf numFmtId="37" fontId="5" fillId="4" borderId="77" xfId="3" applyNumberFormat="1" applyFont="1" applyFill="1" applyBorder="1"/>
    <xf numFmtId="37" fontId="5" fillId="4" borderId="78" xfId="3" applyNumberFormat="1" applyFont="1" applyFill="1" applyBorder="1"/>
    <xf numFmtId="37" fontId="90" fillId="0" borderId="75" xfId="0" applyNumberFormat="1" applyFont="1" applyBorder="1" applyAlignment="1">
      <alignment horizontal="left" vertical="center" wrapText="1" readingOrder="1"/>
    </xf>
    <xf numFmtId="9" fontId="90" fillId="0" borderId="76" xfId="0" applyNumberFormat="1" applyFont="1" applyBorder="1" applyAlignment="1">
      <alignment horizontal="right" vertical="center" wrapText="1" readingOrder="1"/>
    </xf>
    <xf numFmtId="37" fontId="87" fillId="0" borderId="79" xfId="0" applyNumberFormat="1" applyFont="1" applyBorder="1" applyAlignment="1">
      <alignment horizontal="left" vertical="center" wrapText="1" readingOrder="1"/>
    </xf>
    <xf numFmtId="1" fontId="85" fillId="0" borderId="80" xfId="0" applyNumberFormat="1" applyFont="1" applyBorder="1" applyAlignment="1">
      <alignment horizontal="right" vertical="center" wrapText="1" readingOrder="1"/>
    </xf>
    <xf numFmtId="9" fontId="87" fillId="0" borderId="80" xfId="0" applyNumberFormat="1" applyFont="1" applyBorder="1" applyAlignment="1">
      <alignment horizontal="right" vertical="center" wrapText="1" readingOrder="1"/>
    </xf>
    <xf numFmtId="9" fontId="87" fillId="0" borderId="81" xfId="0" applyNumberFormat="1" applyFont="1" applyBorder="1" applyAlignment="1">
      <alignment horizontal="right" vertical="center" wrapText="1" readingOrder="1"/>
    </xf>
    <xf numFmtId="10" fontId="14" fillId="0" borderId="0" xfId="23" applyNumberFormat="1"/>
    <xf numFmtId="0" fontId="4" fillId="2" borderId="0" xfId="0" applyFont="1" applyFill="1" applyAlignment="1">
      <alignment vertical="center"/>
    </xf>
    <xf numFmtId="9" fontId="4" fillId="2" borderId="0" xfId="0" applyNumberFormat="1" applyFont="1" applyFill="1" applyAlignment="1">
      <alignment vertical="center"/>
    </xf>
    <xf numFmtId="9" fontId="5" fillId="2" borderId="0" xfId="0" applyNumberFormat="1" applyFont="1" applyFill="1" applyAlignment="1">
      <alignment vertical="center"/>
    </xf>
    <xf numFmtId="0" fontId="5" fillId="2" borderId="0" xfId="0" applyFont="1" applyFill="1" applyAlignment="1">
      <alignment horizontal="left" vertical="center" indent="1"/>
    </xf>
    <xf numFmtId="3" fontId="5" fillId="2" borderId="0" xfId="0" applyNumberFormat="1" applyFont="1" applyFill="1" applyAlignment="1">
      <alignment vertical="center"/>
    </xf>
    <xf numFmtId="3" fontId="4" fillId="2" borderId="0" xfId="0" applyNumberFormat="1" applyFont="1" applyFill="1" applyAlignment="1">
      <alignment vertical="center"/>
    </xf>
    <xf numFmtId="4" fontId="4" fillId="2" borderId="0" xfId="0" applyNumberFormat="1" applyFont="1" applyFill="1" applyAlignment="1">
      <alignment vertical="center"/>
    </xf>
    <xf numFmtId="3" fontId="4" fillId="2" borderId="2" xfId="0" applyNumberFormat="1" applyFont="1" applyFill="1" applyBorder="1" applyAlignment="1">
      <alignment vertical="center"/>
    </xf>
    <xf numFmtId="0" fontId="5" fillId="8" borderId="0" xfId="0" applyFont="1" applyFill="1" applyAlignment="1">
      <alignment vertical="center"/>
    </xf>
    <xf numFmtId="3" fontId="4" fillId="8" borderId="0" xfId="0" applyNumberFormat="1" applyFont="1" applyFill="1" applyAlignment="1">
      <alignment vertical="center"/>
    </xf>
    <xf numFmtId="0" fontId="16" fillId="8" borderId="0" xfId="0" applyFont="1" applyFill="1" applyAlignment="1">
      <alignment vertical="center"/>
    </xf>
    <xf numFmtId="37" fontId="4" fillId="8" borderId="0" xfId="0" applyNumberFormat="1" applyFont="1" applyFill="1" applyAlignment="1">
      <alignment vertical="center"/>
    </xf>
    <xf numFmtId="9" fontId="4" fillId="8" borderId="0" xfId="2" applyFont="1" applyFill="1" applyAlignment="1">
      <alignment horizontal="right" vertical="center"/>
    </xf>
    <xf numFmtId="181" fontId="5" fillId="2" borderId="0" xfId="2" applyNumberFormat="1" applyFont="1" applyFill="1" applyAlignment="1">
      <alignment horizontal="right" vertical="center"/>
    </xf>
    <xf numFmtId="3" fontId="5" fillId="2" borderId="0" xfId="2" applyNumberFormat="1" applyFont="1" applyFill="1" applyAlignment="1">
      <alignment horizontal="right" vertical="center"/>
    </xf>
    <xf numFmtId="3" fontId="4" fillId="8" borderId="0" xfId="2" applyNumberFormat="1" applyFont="1" applyFill="1" applyAlignment="1">
      <alignment horizontal="right" vertical="center"/>
    </xf>
    <xf numFmtId="37" fontId="17" fillId="2" borderId="0" xfId="0" applyNumberFormat="1" applyFont="1" applyFill="1" applyAlignment="1">
      <alignment vertical="center"/>
    </xf>
    <xf numFmtId="3" fontId="17" fillId="2" borderId="0" xfId="2" applyNumberFormat="1" applyFont="1" applyFill="1" applyAlignment="1">
      <alignment horizontal="right" vertical="center"/>
    </xf>
    <xf numFmtId="3" fontId="4" fillId="2" borderId="0" xfId="2" applyNumberFormat="1" applyFont="1" applyFill="1" applyAlignment="1">
      <alignment horizontal="right" vertical="center"/>
    </xf>
    <xf numFmtId="9" fontId="5" fillId="2" borderId="0" xfId="2" applyFont="1" applyFill="1" applyAlignment="1">
      <alignment vertical="center"/>
    </xf>
    <xf numFmtId="0" fontId="102" fillId="0" borderId="0" xfId="0" applyFont="1" applyAlignment="1">
      <alignment vertical="center" wrapText="1" readingOrder="1"/>
    </xf>
    <xf numFmtId="37" fontId="10" fillId="6" borderId="1" xfId="0" applyNumberFormat="1" applyFont="1" applyFill="1" applyBorder="1" applyAlignment="1">
      <alignment horizontal="right" vertical="center"/>
    </xf>
    <xf numFmtId="0" fontId="86" fillId="0" borderId="69" xfId="0" applyFont="1" applyBorder="1" applyAlignment="1">
      <alignment horizontal="left" vertical="center" readingOrder="1"/>
    </xf>
    <xf numFmtId="0" fontId="85" fillId="0" borderId="69" xfId="0" applyFont="1" applyBorder="1" applyAlignment="1">
      <alignment horizontal="left" vertical="center" wrapText="1" readingOrder="1"/>
    </xf>
    <xf numFmtId="0" fontId="4" fillId="8" borderId="0" xfId="0" applyFont="1" applyFill="1" applyAlignment="1">
      <alignment vertical="center"/>
    </xf>
    <xf numFmtId="0" fontId="104" fillId="0" borderId="82" xfId="0" applyFont="1" applyBorder="1" applyAlignment="1">
      <alignment horizontal="left" vertical="center" readingOrder="1"/>
    </xf>
    <xf numFmtId="3" fontId="104" fillId="0" borderId="82" xfId="0" applyNumberFormat="1" applyFont="1" applyBorder="1" applyAlignment="1">
      <alignment horizontal="right" vertical="center" wrapText="1" readingOrder="1"/>
    </xf>
    <xf numFmtId="9" fontId="104" fillId="23" borderId="82" xfId="0" applyNumberFormat="1" applyFont="1" applyFill="1" applyBorder="1" applyAlignment="1">
      <alignment horizontal="right" vertical="center" wrapText="1" readingOrder="1"/>
    </xf>
    <xf numFmtId="0" fontId="86" fillId="0" borderId="68" xfId="0" applyFont="1" applyBorder="1" applyAlignment="1">
      <alignment horizontal="left" vertical="center" wrapText="1" readingOrder="1"/>
    </xf>
    <xf numFmtId="0" fontId="86" fillId="0" borderId="82" xfId="0" applyFont="1" applyBorder="1" applyAlignment="1">
      <alignment horizontal="left" vertical="center" readingOrder="1"/>
    </xf>
    <xf numFmtId="0" fontId="84" fillId="0" borderId="0" xfId="0" applyFont="1" applyAlignment="1">
      <alignment vertical="center" wrapText="1" readingOrder="1"/>
    </xf>
    <xf numFmtId="9" fontId="104" fillId="0" borderId="69" xfId="0" applyNumberFormat="1" applyFont="1" applyBorder="1" applyAlignment="1">
      <alignment horizontal="right" vertical="center" wrapText="1" readingOrder="1"/>
    </xf>
    <xf numFmtId="9" fontId="104" fillId="0" borderId="82" xfId="0" applyNumberFormat="1" applyFont="1" applyBorder="1" applyAlignment="1">
      <alignment horizontal="right" vertical="center" wrapText="1" readingOrder="1"/>
    </xf>
    <xf numFmtId="0" fontId="7" fillId="8" borderId="0" xfId="0" applyFont="1" applyFill="1" applyAlignment="1">
      <alignment vertical="center"/>
    </xf>
    <xf numFmtId="1" fontId="4" fillId="8" borderId="0" xfId="0" applyNumberFormat="1" applyFont="1" applyFill="1" applyAlignment="1">
      <alignment vertical="center"/>
    </xf>
    <xf numFmtId="3" fontId="86" fillId="0" borderId="68" xfId="0" applyNumberFormat="1" applyFont="1" applyBorder="1" applyAlignment="1">
      <alignment horizontal="right" vertical="center" wrapText="1" readingOrder="1"/>
    </xf>
    <xf numFmtId="3" fontId="85" fillId="0" borderId="69" xfId="0" applyNumberFormat="1" applyFont="1" applyBorder="1" applyAlignment="1">
      <alignment horizontal="right" vertical="center" wrapText="1" readingOrder="1"/>
    </xf>
    <xf numFmtId="9" fontId="85" fillId="23" borderId="69" xfId="0" applyNumberFormat="1" applyFont="1" applyFill="1" applyBorder="1" applyAlignment="1">
      <alignment horizontal="right" vertical="center" wrapText="1" readingOrder="1"/>
    </xf>
    <xf numFmtId="0" fontId="86" fillId="0" borderId="69" xfId="0" applyFont="1" applyBorder="1" applyAlignment="1">
      <alignment horizontal="left" vertical="center" wrapText="1" readingOrder="1"/>
    </xf>
    <xf numFmtId="3" fontId="86" fillId="0" borderId="69" xfId="0" applyNumberFormat="1" applyFont="1" applyBorder="1" applyAlignment="1">
      <alignment horizontal="right" vertical="center" wrapText="1" readingOrder="1"/>
    </xf>
    <xf numFmtId="9" fontId="86" fillId="23" borderId="69" xfId="0" applyNumberFormat="1" applyFont="1" applyFill="1" applyBorder="1" applyAlignment="1">
      <alignment horizontal="right" vertical="center" wrapText="1" readingOrder="1"/>
    </xf>
    <xf numFmtId="0" fontId="90" fillId="0" borderId="69" xfId="0" applyFont="1" applyBorder="1" applyAlignment="1">
      <alignment horizontal="left" vertical="center" wrapText="1" readingOrder="1"/>
    </xf>
    <xf numFmtId="3" fontId="90" fillId="0" borderId="69" xfId="0" applyNumberFormat="1" applyFont="1" applyBorder="1" applyAlignment="1">
      <alignment horizontal="right" vertical="center" wrapText="1" readingOrder="1"/>
    </xf>
    <xf numFmtId="9" fontId="90" fillId="23" borderId="69" xfId="0" applyNumberFormat="1" applyFont="1" applyFill="1" applyBorder="1" applyAlignment="1">
      <alignment horizontal="right" vertical="center" wrapText="1" readingOrder="1"/>
    </xf>
    <xf numFmtId="0" fontId="90" fillId="0" borderId="68" xfId="0" applyFont="1" applyBorder="1" applyAlignment="1">
      <alignment horizontal="left" vertical="center" wrapText="1" readingOrder="1"/>
    </xf>
    <xf numFmtId="9" fontId="90" fillId="0" borderId="68" xfId="0" applyNumberFormat="1" applyFont="1" applyBorder="1" applyAlignment="1">
      <alignment horizontal="right" vertical="center" wrapText="1" readingOrder="1"/>
    </xf>
    <xf numFmtId="9" fontId="90" fillId="23" borderId="68" xfId="0" applyNumberFormat="1" applyFont="1" applyFill="1" applyBorder="1" applyAlignment="1">
      <alignment horizontal="right" vertical="center" wrapText="1" readingOrder="1"/>
    </xf>
    <xf numFmtId="0" fontId="86" fillId="0" borderId="82" xfId="0" applyFont="1" applyBorder="1" applyAlignment="1">
      <alignment horizontal="left" vertical="center" wrapText="1" readingOrder="1"/>
    </xf>
    <xf numFmtId="0" fontId="84" fillId="0" borderId="1" xfId="0" applyFont="1" applyBorder="1" applyAlignment="1">
      <alignment horizontal="left" vertical="center" wrapText="1" readingOrder="1"/>
    </xf>
    <xf numFmtId="0" fontId="102" fillId="0" borderId="1" xfId="0" applyFont="1" applyBorder="1" applyAlignment="1">
      <alignment horizontal="right" vertical="center" wrapText="1" readingOrder="1"/>
    </xf>
    <xf numFmtId="167" fontId="105" fillId="0" borderId="69" xfId="0" applyNumberFormat="1" applyFont="1" applyBorder="1" applyAlignment="1">
      <alignment horizontal="right" vertical="center" wrapText="1" readingOrder="1"/>
    </xf>
    <xf numFmtId="167" fontId="105" fillId="23" borderId="69" xfId="0" applyNumberFormat="1" applyFont="1" applyFill="1" applyBorder="1" applyAlignment="1">
      <alignment horizontal="right" vertical="center" wrapText="1" readingOrder="1"/>
    </xf>
    <xf numFmtId="17" fontId="2" fillId="2" borderId="0" xfId="0" applyNumberFormat="1" applyFont="1" applyFill="1"/>
    <xf numFmtId="9" fontId="19" fillId="4" borderId="0" xfId="1" applyNumberFormat="1" applyFont="1" applyFill="1" applyAlignment="1">
      <alignment horizontal="right"/>
    </xf>
    <xf numFmtId="9" fontId="5" fillId="4" borderId="0" xfId="1" applyNumberFormat="1" applyFont="1" applyFill="1"/>
    <xf numFmtId="167" fontId="0" fillId="0" borderId="0" xfId="2" applyNumberFormat="1" applyFont="1"/>
    <xf numFmtId="167" fontId="15" fillId="2" borderId="0" xfId="2" applyNumberFormat="1" applyFont="1" applyFill="1" applyAlignment="1">
      <alignment horizontal="right"/>
    </xf>
    <xf numFmtId="4" fontId="7" fillId="3" borderId="0" xfId="3" applyNumberFormat="1" applyFont="1" applyFill="1" applyAlignment="1">
      <alignment horizontal="right"/>
    </xf>
    <xf numFmtId="172" fontId="5" fillId="8" borderId="0" xfId="1" applyNumberFormat="1" applyFont="1" applyFill="1"/>
    <xf numFmtId="168" fontId="0" fillId="0" borderId="0" xfId="1" applyNumberFormat="1" applyFont="1"/>
    <xf numFmtId="9" fontId="106" fillId="0" borderId="0" xfId="0" applyNumberFormat="1" applyFont="1" applyAlignment="1">
      <alignment horizontal="left"/>
    </xf>
    <xf numFmtId="9" fontId="18" fillId="0" borderId="0" xfId="7" applyNumberFormat="1" applyAlignment="1">
      <alignment horizontal="left"/>
    </xf>
    <xf numFmtId="166" fontId="2" fillId="0" borderId="0" xfId="1" applyNumberFormat="1" applyFont="1" applyAlignment="1">
      <alignment horizontal="right"/>
    </xf>
    <xf numFmtId="17" fontId="2" fillId="2" borderId="0" xfId="0" applyNumberFormat="1" applyFont="1" applyFill="1" applyAlignment="1">
      <alignment horizontal="right"/>
    </xf>
    <xf numFmtId="9" fontId="27" fillId="0" borderId="0" xfId="1" applyNumberFormat="1" applyFont="1"/>
    <xf numFmtId="3" fontId="34" fillId="0" borderId="14" xfId="0" applyNumberFormat="1" applyFont="1" applyBorder="1" applyAlignment="1">
      <alignment vertical="center"/>
    </xf>
    <xf numFmtId="3" fontId="34" fillId="0" borderId="12" xfId="0" applyNumberFormat="1" applyFont="1" applyBorder="1" applyAlignment="1">
      <alignment vertical="center"/>
    </xf>
    <xf numFmtId="39" fontId="17" fillId="3" borderId="0" xfId="1" applyNumberFormat="1" applyFont="1" applyFill="1" applyAlignment="1">
      <alignment horizontal="right"/>
    </xf>
    <xf numFmtId="37" fontId="4" fillId="8" borderId="1" xfId="3" applyNumberFormat="1" applyFont="1" applyFill="1" applyBorder="1" applyAlignment="1">
      <alignment horizontal="right" wrapText="1"/>
    </xf>
    <xf numFmtId="168" fontId="4" fillId="8" borderId="0" xfId="1" applyNumberFormat="1" applyFont="1" applyFill="1" applyAlignment="1"/>
    <xf numFmtId="168" fontId="7" fillId="8" borderId="0" xfId="2" applyNumberFormat="1" applyFont="1" applyFill="1" applyAlignment="1"/>
    <xf numFmtId="9" fontId="7" fillId="8" borderId="0" xfId="2" applyFont="1" applyFill="1" applyAlignment="1"/>
    <xf numFmtId="166" fontId="5" fillId="4" borderId="0" xfId="3" applyNumberFormat="1" applyFont="1" applyFill="1"/>
    <xf numFmtId="0" fontId="102" fillId="0" borderId="0" xfId="0" applyFont="1" applyAlignment="1">
      <alignment horizontal="left" vertical="center" wrapText="1" readingOrder="1"/>
    </xf>
    <xf numFmtId="0" fontId="84" fillId="0" borderId="0" xfId="0" applyFont="1" applyAlignment="1">
      <alignment horizontal="left" vertical="center" wrapText="1" readingOrder="1"/>
    </xf>
    <xf numFmtId="168" fontId="26" fillId="0" borderId="3" xfId="21" applyNumberFormat="1" applyFont="1" applyBorder="1" applyAlignment="1">
      <alignment horizontal="center"/>
    </xf>
    <xf numFmtId="0" fontId="0" fillId="0" borderId="5" xfId="0" applyBorder="1" applyAlignment="1">
      <alignment horizontal="center"/>
    </xf>
    <xf numFmtId="174" fontId="25" fillId="6" borderId="3" xfId="21" applyFont="1" applyFill="1" applyBorder="1" applyAlignment="1">
      <alignment horizontal="center" wrapText="1"/>
    </xf>
    <xf numFmtId="0" fontId="37" fillId="6" borderId="3" xfId="0" applyFont="1" applyFill="1" applyBorder="1" applyAlignment="1">
      <alignment horizontal="center" wrapText="1"/>
    </xf>
    <xf numFmtId="0" fontId="37" fillId="6" borderId="5" xfId="0" applyFont="1" applyFill="1" applyBorder="1" applyAlignment="1">
      <alignment horizontal="center" wrapText="1"/>
    </xf>
    <xf numFmtId="171" fontId="2" fillId="0" borderId="4" xfId="0" applyNumberFormat="1" applyFont="1" applyBorder="1" applyAlignment="1">
      <alignment horizontal="left" vertical="center"/>
    </xf>
    <xf numFmtId="0" fontId="0" fillId="0" borderId="4" xfId="0" applyBorder="1" applyAlignment="1">
      <alignment horizontal="left" vertical="center"/>
    </xf>
    <xf numFmtId="37" fontId="25" fillId="6" borderId="27" xfId="0" applyNumberFormat="1" applyFont="1" applyFill="1" applyBorder="1" applyAlignment="1">
      <alignment horizontal="center"/>
    </xf>
    <xf numFmtId="37" fontId="25" fillId="6" borderId="26" xfId="0" applyNumberFormat="1" applyFont="1" applyFill="1" applyBorder="1" applyAlignment="1">
      <alignment horizontal="center"/>
    </xf>
    <xf numFmtId="0" fontId="39" fillId="6" borderId="0" xfId="0" applyFont="1" applyFill="1" applyAlignment="1">
      <alignment horizontal="left" vertical="center" readingOrder="1"/>
    </xf>
    <xf numFmtId="0" fontId="4" fillId="0" borderId="66" xfId="0" applyFont="1" applyBorder="1" applyAlignment="1">
      <alignment horizontal="center" vertical="center"/>
    </xf>
    <xf numFmtId="0" fontId="4" fillId="0" borderId="65" xfId="0" applyFont="1" applyBorder="1" applyAlignment="1">
      <alignment horizontal="center" vertical="center"/>
    </xf>
    <xf numFmtId="0" fontId="4" fillId="0" borderId="59" xfId="0" applyFont="1" applyBorder="1" applyAlignment="1">
      <alignment horizontal="center" vertical="center"/>
    </xf>
    <xf numFmtId="0" fontId="93" fillId="0" borderId="67" xfId="0" applyFont="1" applyBorder="1" applyAlignment="1">
      <alignment horizontal="center" vertical="center" wrapText="1"/>
    </xf>
    <xf numFmtId="0" fontId="93" fillId="0" borderId="60" xfId="0" applyFont="1" applyBorder="1" applyAlignment="1">
      <alignment horizontal="center" vertical="center" wrapText="1"/>
    </xf>
  </cellXfs>
  <cellStyles count="32">
    <cellStyle name="20% - Accent6 2 3" xfId="24" xr:uid="{079D0742-9B42-48FC-BEAE-8682E56C217B}"/>
    <cellStyle name="40% - Accent6 2 3" xfId="26" xr:uid="{29C6F3AB-803F-45A5-9782-855985DC853D}"/>
    <cellStyle name="Comma" xfId="1" builtinId="3"/>
    <cellStyle name="Comma 11 3 2" xfId="19" xr:uid="{00C615DC-51F6-4B12-8B96-62F91D76EDA0}"/>
    <cellStyle name="Comma 12" xfId="13" xr:uid="{E2914D5A-6376-4033-9F37-9C40233D7F4F}"/>
    <cellStyle name="Comma 12 2 4" xfId="29" xr:uid="{1A375B28-76E8-4B73-AFFC-FB426E5BBADD}"/>
    <cellStyle name="Comma 7 4 2" xfId="16" xr:uid="{AFC7DC52-7D6D-4145-A1EB-76F971F912A1}"/>
    <cellStyle name="Hyperlink" xfId="7" builtinId="8"/>
    <cellStyle name="Normal" xfId="0" builtinId="0"/>
    <cellStyle name="Normal 10 2" xfId="4" xr:uid="{0E6E582D-CE16-42FA-820D-E62E22B645A9}"/>
    <cellStyle name="Normal 18" xfId="6" xr:uid="{5D6E2559-3639-4F8E-A7EC-9D05F210CCC5}"/>
    <cellStyle name="Normal 18 2" xfId="31" xr:uid="{56C925AA-ACB1-47BB-8122-5ADC6C8F0913}"/>
    <cellStyle name="Normal 2" xfId="3" xr:uid="{312E9D01-83DD-40BC-8711-8725BE0B0BBB}"/>
    <cellStyle name="Normal 2 2 2 3" xfId="8" xr:uid="{223C3D64-405A-4435-B241-4199407CBF53}"/>
    <cellStyle name="Normal 2 2 3 2" xfId="22" xr:uid="{CDB2ADE7-BA95-4E37-A57C-E15CCF614170}"/>
    <cellStyle name="Normal 2 2 3 3" xfId="23" xr:uid="{2E742730-60D9-4881-AA8F-D1F25ECF9106}"/>
    <cellStyle name="Normal 2 4 2 3 3" xfId="14" xr:uid="{33E32869-97E6-40B4-8275-F3F0B00D10DC}"/>
    <cellStyle name="Normal 2 4 3 2" xfId="21" xr:uid="{AD49C6E3-1278-4C6B-BD06-E1C0C7CCCC78}"/>
    <cellStyle name="Normal 2 4 3 2 2" xfId="17" xr:uid="{19554D7B-18EE-4BCA-B23B-D7AB987BB77F}"/>
    <cellStyle name="Normal 21" xfId="10" xr:uid="{46CCBE74-7CAA-4A97-8B61-6D75B5E0AFAD}"/>
    <cellStyle name="Normal 21 2" xfId="9" xr:uid="{7494710A-0126-4379-8B9F-CD36EC1D3352}"/>
    <cellStyle name="Normal 22 2 3 2 2" xfId="30" xr:uid="{DCBF8C58-CB7E-4EB9-ABD2-153C869C3E24}"/>
    <cellStyle name="Normal 22 2 3 3" xfId="15" xr:uid="{4FF99F48-CC60-45C3-BCC0-8F299EBBD873}"/>
    <cellStyle name="Normal 5 2 3 2" xfId="25" xr:uid="{1104E9B9-5DC9-46EA-8490-5A1C732A695C}"/>
    <cellStyle name="Normal 65 4 2" xfId="27" xr:uid="{EBE77490-C59E-42A0-A727-150BF8D46EBA}"/>
    <cellStyle name="Normal 65 5" xfId="28" xr:uid="{A9DBD1B9-C6E8-4683-B284-057D7120B785}"/>
    <cellStyle name="Percent" xfId="2" builtinId="5"/>
    <cellStyle name="Percent 16" xfId="20" xr:uid="{A061AC2A-E4E2-4743-8DBB-B53597D7AA96}"/>
    <cellStyle name="Percent 2" xfId="5" xr:uid="{453009D7-55D4-44B7-99A9-B0B5D4BC45D7}"/>
    <cellStyle name="Percent 2 2" xfId="11" xr:uid="{89DA36B1-263D-4B1A-A3B2-57E90637C6C0}"/>
    <cellStyle name="Percent 2 4" xfId="12" xr:uid="{0009A633-A577-4EBF-B1C0-524240E5BAE8}"/>
    <cellStyle name="Percent 6 4 2" xfId="18" xr:uid="{3E5D0CB0-5380-46A2-8AA4-B6E6A42BD98D}"/>
  </cellStyles>
  <dxfs count="88">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microsoft.com/office/2017/06/relationships/richStyles" Target="richData/rich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styles" Target="styles.xml"/><Relationship Id="rId40" Type="http://schemas.microsoft.com/office/2017/06/relationships/rdRichValue" Target="richData/rdrichvalue.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microsoft.com/office/2017/06/relationships/rdSupportingPropertyBagStructure" Target="richData/rdsupportingpropertybag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sharedStrings" Target="sharedStrings.xml"/><Relationship Id="rId20" Type="http://schemas.openxmlformats.org/officeDocument/2006/relationships/worksheet" Target="worksheets/sheet20.xml"/><Relationship Id="rId41" Type="http://schemas.microsoft.com/office/2017/06/relationships/rdRichValueStructure" Target="richData/rdrichvaluestructure.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Key!$C$65</c:f>
              <c:strCache>
                <c:ptCount val="1"/>
                <c:pt idx="0">
                  <c:v>MT</c:v>
                </c:pt>
              </c:strCache>
            </c:strRef>
          </c:tx>
          <c:dLbls>
            <c:spPr>
              <a:noFill/>
              <a:ln>
                <a:noFill/>
              </a:ln>
              <a:effectLst/>
            </c:sp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Key!$B$66:$B$71</c:f>
              <c:strCache>
                <c:ptCount val="6"/>
                <c:pt idx="0">
                  <c:v>Maharashtra</c:v>
                </c:pt>
                <c:pt idx="1">
                  <c:v>Orissa</c:v>
                </c:pt>
                <c:pt idx="2">
                  <c:v>Karnataka</c:v>
                </c:pt>
                <c:pt idx="3">
                  <c:v>Tamil Nadu</c:v>
                </c:pt>
                <c:pt idx="4">
                  <c:v>Overseas</c:v>
                </c:pt>
                <c:pt idx="5">
                  <c:v>Goa</c:v>
                </c:pt>
              </c:strCache>
            </c:strRef>
          </c:cat>
          <c:val>
            <c:numRef>
              <c:f>Key!$C$66:$C$71</c:f>
              <c:numCache>
                <c:formatCode>#,##0_);\(#,##0\)</c:formatCode>
                <c:ptCount val="6"/>
                <c:pt idx="0">
                  <c:v>172.5</c:v>
                </c:pt>
                <c:pt idx="1">
                  <c:v>100</c:v>
                </c:pt>
                <c:pt idx="2">
                  <c:v>44.12</c:v>
                </c:pt>
                <c:pt idx="3">
                  <c:v>19.96</c:v>
                </c:pt>
                <c:pt idx="4">
                  <c:v>32</c:v>
                </c:pt>
                <c:pt idx="5">
                  <c:v>15</c:v>
                </c:pt>
              </c:numCache>
            </c:numRef>
          </c:val>
          <c:extLst>
            <c:ext xmlns:c16="http://schemas.microsoft.com/office/drawing/2014/chart" uri="{C3380CC4-5D6E-409C-BE32-E72D297353CC}">
              <c16:uniqueId val="{00000000-E10D-4C15-B8DB-BA9C66985CFE}"/>
            </c:ext>
          </c:extLst>
        </c:ser>
        <c:dLbls>
          <c:dLblPos val="outEnd"/>
          <c:showLegendKey val="0"/>
          <c:showVal val="1"/>
          <c:showCatName val="0"/>
          <c:showSerName val="0"/>
          <c:showPercent val="0"/>
          <c:showBubbleSize val="0"/>
          <c:showLeaderLines val="1"/>
        </c:dLbls>
        <c:firstSliceAng val="0"/>
      </c:pieChart>
    </c:plotArea>
    <c:legend>
      <c:legendPos val="b"/>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Assumptions!$W$180</c:f>
              <c:strCache>
                <c:ptCount val="1"/>
                <c:pt idx="0">
                  <c:v>Iron 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Assumptions!$X$179:$Z$179</c:f>
              <c:strCache>
                <c:ptCount val="3"/>
                <c:pt idx="0">
                  <c:v>FY22</c:v>
                </c:pt>
                <c:pt idx="1">
                  <c:v>FY23</c:v>
                </c:pt>
                <c:pt idx="2">
                  <c:v>FY24</c:v>
                </c:pt>
              </c:strCache>
            </c:strRef>
          </c:cat>
          <c:val>
            <c:numRef>
              <c:f>Assumptions!$X$180:$Z$180</c:f>
              <c:numCache>
                <c:formatCode>0%</c:formatCode>
                <c:ptCount val="3"/>
                <c:pt idx="0">
                  <c:v>0.31837986122317247</c:v>
                </c:pt>
                <c:pt idx="1">
                  <c:v>0.32220187439405362</c:v>
                </c:pt>
                <c:pt idx="2">
                  <c:v>0.45253402397298237</c:v>
                </c:pt>
              </c:numCache>
            </c:numRef>
          </c:val>
          <c:extLst>
            <c:ext xmlns:c16="http://schemas.microsoft.com/office/drawing/2014/chart" uri="{C3380CC4-5D6E-409C-BE32-E72D297353CC}">
              <c16:uniqueId val="{00000000-7853-467A-A407-04DDA6BFEFD6}"/>
            </c:ext>
          </c:extLst>
        </c:ser>
        <c:ser>
          <c:idx val="1"/>
          <c:order val="1"/>
          <c:tx>
            <c:strRef>
              <c:f>Assumptions!$W$181</c:f>
              <c:strCache>
                <c:ptCount val="1"/>
                <c:pt idx="0">
                  <c:v>Thermal Coal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Assumptions!$X$179:$Z$179</c:f>
              <c:strCache>
                <c:ptCount val="3"/>
                <c:pt idx="0">
                  <c:v>FY22</c:v>
                </c:pt>
                <c:pt idx="1">
                  <c:v>FY23</c:v>
                </c:pt>
                <c:pt idx="2">
                  <c:v>FY24</c:v>
                </c:pt>
              </c:strCache>
            </c:strRef>
          </c:cat>
          <c:val>
            <c:numRef>
              <c:f>Assumptions!$X$181:$Z$181</c:f>
              <c:numCache>
                <c:formatCode>0%</c:formatCode>
                <c:ptCount val="3"/>
                <c:pt idx="0">
                  <c:v>8.4072938518638035E-2</c:v>
                </c:pt>
                <c:pt idx="1">
                  <c:v>0.28999245933426693</c:v>
                </c:pt>
                <c:pt idx="2">
                  <c:v>0.33302886348761218</c:v>
                </c:pt>
              </c:numCache>
            </c:numRef>
          </c:val>
          <c:extLst>
            <c:ext xmlns:c16="http://schemas.microsoft.com/office/drawing/2014/chart" uri="{C3380CC4-5D6E-409C-BE32-E72D297353CC}">
              <c16:uniqueId val="{00000001-7853-467A-A407-04DDA6BFEFD6}"/>
            </c:ext>
          </c:extLst>
        </c:ser>
        <c:ser>
          <c:idx val="2"/>
          <c:order val="2"/>
          <c:tx>
            <c:strRef>
              <c:f>Assumptions!$W$182</c:f>
              <c:strCache>
                <c:ptCount val="1"/>
                <c:pt idx="0">
                  <c:v>Non-Thermal Coal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Assumptions!$X$179:$Z$179</c:f>
              <c:strCache>
                <c:ptCount val="3"/>
                <c:pt idx="0">
                  <c:v>FY22</c:v>
                </c:pt>
                <c:pt idx="1">
                  <c:v>FY23</c:v>
                </c:pt>
                <c:pt idx="2">
                  <c:v>FY24</c:v>
                </c:pt>
              </c:strCache>
            </c:strRef>
          </c:cat>
          <c:val>
            <c:numRef>
              <c:f>Assumptions!$X$182:$Z$182</c:f>
              <c:numCache>
                <c:formatCode>0%</c:formatCode>
                <c:ptCount val="3"/>
                <c:pt idx="0">
                  <c:v>0.44860416330482489</c:v>
                </c:pt>
                <c:pt idx="1">
                  <c:v>0.25390498761176339</c:v>
                </c:pt>
                <c:pt idx="2">
                  <c:v>0.11241468845470361</c:v>
                </c:pt>
              </c:numCache>
            </c:numRef>
          </c:val>
          <c:extLst>
            <c:ext xmlns:c16="http://schemas.microsoft.com/office/drawing/2014/chart" uri="{C3380CC4-5D6E-409C-BE32-E72D297353CC}">
              <c16:uniqueId val="{00000002-7853-467A-A407-04DDA6BFEFD6}"/>
            </c:ext>
          </c:extLst>
        </c:ser>
        <c:ser>
          <c:idx val="3"/>
          <c:order val="3"/>
          <c:tx>
            <c:strRef>
              <c:f>Assumptions!$W$183</c:f>
              <c:strCache>
                <c:ptCount val="1"/>
                <c:pt idx="0">
                  <c:v>Liquid and Gas</c:v>
                </c:pt>
              </c:strCache>
            </c:strRef>
          </c:tx>
          <c:spPr>
            <a:solidFill>
              <a:schemeClr val="accent4"/>
            </a:solidFill>
            <a:ln>
              <a:noFill/>
            </a:ln>
            <a:effectLst/>
          </c:spPr>
          <c:invertIfNegative val="0"/>
          <c:dLbls>
            <c:delete val="1"/>
          </c:dLbls>
          <c:cat>
            <c:strRef>
              <c:f>Assumptions!$X$179:$Z$179</c:f>
              <c:strCache>
                <c:ptCount val="3"/>
                <c:pt idx="0">
                  <c:v>FY22</c:v>
                </c:pt>
                <c:pt idx="1">
                  <c:v>FY23</c:v>
                </c:pt>
                <c:pt idx="2">
                  <c:v>FY24</c:v>
                </c:pt>
              </c:strCache>
            </c:strRef>
          </c:cat>
          <c:val>
            <c:numRef>
              <c:f>Assumptions!$X$183:$Z$183</c:f>
              <c:numCache>
                <c:formatCode>0%</c:formatCode>
                <c:ptCount val="3"/>
                <c:pt idx="0">
                  <c:v>4.3569469097950618E-3</c:v>
                </c:pt>
                <c:pt idx="1">
                  <c:v>5.7093611978886131E-3</c:v>
                </c:pt>
                <c:pt idx="2">
                  <c:v>1.5353384318372729E-2</c:v>
                </c:pt>
              </c:numCache>
            </c:numRef>
          </c:val>
          <c:extLst>
            <c:ext xmlns:c16="http://schemas.microsoft.com/office/drawing/2014/chart" uri="{C3380CC4-5D6E-409C-BE32-E72D297353CC}">
              <c16:uniqueId val="{00000003-7853-467A-A407-04DDA6BFEFD6}"/>
            </c:ext>
          </c:extLst>
        </c:ser>
        <c:ser>
          <c:idx val="4"/>
          <c:order val="4"/>
          <c:tx>
            <c:strRef>
              <c:f>Assumptions!$W$184</c:f>
              <c:strCache>
                <c:ptCount val="1"/>
                <c:pt idx="0">
                  <c:v>Container</c:v>
                </c:pt>
              </c:strCache>
            </c:strRef>
          </c:tx>
          <c:spPr>
            <a:solidFill>
              <a:schemeClr val="accent5"/>
            </a:solidFill>
            <a:ln>
              <a:noFill/>
            </a:ln>
            <a:effectLst/>
          </c:spPr>
          <c:invertIfNegative val="0"/>
          <c:dLbls>
            <c:delete val="1"/>
          </c:dLbls>
          <c:cat>
            <c:strRef>
              <c:f>Assumptions!$X$179:$Z$179</c:f>
              <c:strCache>
                <c:ptCount val="3"/>
                <c:pt idx="0">
                  <c:v>FY22</c:v>
                </c:pt>
                <c:pt idx="1">
                  <c:v>FY23</c:v>
                </c:pt>
                <c:pt idx="2">
                  <c:v>FY24</c:v>
                </c:pt>
              </c:strCache>
            </c:strRef>
          </c:cat>
          <c:val>
            <c:numRef>
              <c:f>Assumptions!$X$184:$Z$184</c:f>
              <c:numCache>
                <c:formatCode>0%</c:formatCode>
                <c:ptCount val="3"/>
                <c:pt idx="0">
                  <c:v>0</c:v>
                </c:pt>
                <c:pt idx="1">
                  <c:v>2.3376063772487337E-2</c:v>
                </c:pt>
                <c:pt idx="2">
                  <c:v>2.4120282561418918E-2</c:v>
                </c:pt>
              </c:numCache>
            </c:numRef>
          </c:val>
          <c:extLst>
            <c:ext xmlns:c16="http://schemas.microsoft.com/office/drawing/2014/chart" uri="{C3380CC4-5D6E-409C-BE32-E72D297353CC}">
              <c16:uniqueId val="{00000004-7853-467A-A407-04DDA6BFEFD6}"/>
            </c:ext>
          </c:extLst>
        </c:ser>
        <c:ser>
          <c:idx val="5"/>
          <c:order val="5"/>
          <c:tx>
            <c:strRef>
              <c:f>Assumptions!$W$185</c:f>
              <c:strCache>
                <c:ptCount val="1"/>
                <c:pt idx="0">
                  <c:v>Other Bulk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Assumptions!$X$179:$Z$179</c:f>
              <c:strCache>
                <c:ptCount val="3"/>
                <c:pt idx="0">
                  <c:v>FY22</c:v>
                </c:pt>
                <c:pt idx="1">
                  <c:v>FY23</c:v>
                </c:pt>
                <c:pt idx="2">
                  <c:v>FY24</c:v>
                </c:pt>
              </c:strCache>
            </c:strRef>
          </c:cat>
          <c:val>
            <c:numRef>
              <c:f>Assumptions!$X$185:$Z$185</c:f>
              <c:numCache>
                <c:formatCode>0%</c:formatCode>
                <c:ptCount val="3"/>
                <c:pt idx="0">
                  <c:v>0.14458609004356948</c:v>
                </c:pt>
                <c:pt idx="1">
                  <c:v>0.10481525368954001</c:v>
                </c:pt>
                <c:pt idx="2">
                  <c:v>6.2548757204910002E-2</c:v>
                </c:pt>
              </c:numCache>
            </c:numRef>
          </c:val>
          <c:extLst>
            <c:ext xmlns:c16="http://schemas.microsoft.com/office/drawing/2014/chart" uri="{C3380CC4-5D6E-409C-BE32-E72D297353CC}">
              <c16:uniqueId val="{00000005-7853-467A-A407-04DDA6BFEFD6}"/>
            </c:ext>
          </c:extLst>
        </c:ser>
        <c:dLbls>
          <c:dLblPos val="ctr"/>
          <c:showLegendKey val="0"/>
          <c:showVal val="1"/>
          <c:showCatName val="0"/>
          <c:showSerName val="0"/>
          <c:showPercent val="0"/>
          <c:showBubbleSize val="0"/>
        </c:dLbls>
        <c:gapWidth val="150"/>
        <c:overlap val="100"/>
        <c:axId val="473838384"/>
        <c:axId val="473832144"/>
      </c:barChart>
      <c:catAx>
        <c:axId val="4738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32144"/>
        <c:crosses val="autoZero"/>
        <c:auto val="1"/>
        <c:lblAlgn val="ctr"/>
        <c:lblOffset val="100"/>
        <c:noMultiLvlLbl val="0"/>
      </c:catAx>
      <c:valAx>
        <c:axId val="473832144"/>
        <c:scaling>
          <c:orientation val="minMax"/>
          <c:max val="1"/>
        </c:scaling>
        <c:delete val="1"/>
        <c:axPos val="l"/>
        <c:numFmt formatCode="0%" sourceLinked="1"/>
        <c:majorTickMark val="none"/>
        <c:minorTickMark val="none"/>
        <c:tickLblPos val="nextTo"/>
        <c:crossAx val="473838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Assumptions!$X$210:$AA$210</c:f>
              <c:strCache>
                <c:ptCount val="4"/>
                <c:pt idx="0">
                  <c:v>FY21</c:v>
                </c:pt>
                <c:pt idx="1">
                  <c:v>FY22</c:v>
                </c:pt>
                <c:pt idx="2">
                  <c:v>FY23</c:v>
                </c:pt>
                <c:pt idx="3">
                  <c:v>FY24</c:v>
                </c:pt>
              </c:strCache>
            </c:strRef>
          </c:cat>
          <c:val>
            <c:numRef>
              <c:f>Assumptions!$X$211:$AA$211</c:f>
              <c:numCache>
                <c:formatCode>#,##0.0;\-#,##0.0</c:formatCode>
                <c:ptCount val="4"/>
                <c:pt idx="0">
                  <c:v>11.3</c:v>
                </c:pt>
                <c:pt idx="1">
                  <c:v>18.645</c:v>
                </c:pt>
                <c:pt idx="2">
                  <c:v>31</c:v>
                </c:pt>
                <c:pt idx="3">
                  <c:v>42.987264977807314</c:v>
                </c:pt>
              </c:numCache>
            </c:numRef>
          </c:val>
          <c:extLst>
            <c:ext xmlns:c16="http://schemas.microsoft.com/office/drawing/2014/chart" uri="{C3380CC4-5D6E-409C-BE32-E72D297353CC}">
              <c16:uniqueId val="{00000000-2FD4-4056-9803-F78051BDB8F7}"/>
            </c:ext>
          </c:extLst>
        </c:ser>
        <c:dLbls>
          <c:dLblPos val="outEnd"/>
          <c:showLegendKey val="0"/>
          <c:showVal val="1"/>
          <c:showCatName val="0"/>
          <c:showSerName val="0"/>
          <c:showPercent val="0"/>
          <c:showBubbleSize val="0"/>
        </c:dLbls>
        <c:gapWidth val="110"/>
        <c:overlap val="-27"/>
        <c:axId val="383237024"/>
        <c:axId val="383249984"/>
      </c:barChart>
      <c:catAx>
        <c:axId val="383237024"/>
        <c:scaling>
          <c:orientation val="minMax"/>
        </c:scaling>
        <c:delete val="0"/>
        <c:axPos val="b"/>
        <c:numFmt formatCode="General" sourceLinked="1"/>
        <c:majorTickMark val="none"/>
        <c:minorTickMark val="none"/>
        <c:tickLblPos val="nextTo"/>
        <c:crossAx val="383249984"/>
        <c:crosses val="autoZero"/>
        <c:auto val="1"/>
        <c:lblAlgn val="ctr"/>
        <c:lblOffset val="100"/>
        <c:noMultiLvlLbl val="0"/>
      </c:catAx>
      <c:valAx>
        <c:axId val="383249984"/>
        <c:scaling>
          <c:orientation val="minMax"/>
        </c:scaling>
        <c:delete val="1"/>
        <c:axPos val="l"/>
        <c:numFmt formatCode="#,##0.0;\-#,##0.0" sourceLinked="1"/>
        <c:majorTickMark val="none"/>
        <c:minorTickMark val="none"/>
        <c:tickLblPos val="nextTo"/>
        <c:crossAx val="383237024"/>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dLbls>
            <c:delete val="1"/>
          </c:dLbls>
          <c:cat>
            <c:strRef>
              <c:f>Assumptions!$X$210:$AA$210</c:f>
              <c:strCache>
                <c:ptCount val="4"/>
                <c:pt idx="0">
                  <c:v>FY21</c:v>
                </c:pt>
                <c:pt idx="1">
                  <c:v>FY22</c:v>
                </c:pt>
                <c:pt idx="2">
                  <c:v>FY23</c:v>
                </c:pt>
                <c:pt idx="3">
                  <c:v>FY24</c:v>
                </c:pt>
              </c:strCache>
            </c:strRef>
          </c:cat>
          <c:val>
            <c:numRef>
              <c:f>Assumptions!$X$212:$AA$212</c:f>
              <c:numCache>
                <c:formatCode>0.0%</c:formatCode>
                <c:ptCount val="4"/>
                <c:pt idx="0">
                  <c:v>0.24813350900307421</c:v>
                </c:pt>
                <c:pt idx="1">
                  <c:v>0.30087138938195895</c:v>
                </c:pt>
                <c:pt idx="2">
                  <c:v>0.33394376817839055</c:v>
                </c:pt>
                <c:pt idx="3">
                  <c:v>0.4</c:v>
                </c:pt>
              </c:numCache>
            </c:numRef>
          </c:val>
          <c:extLst>
            <c:ext xmlns:c16="http://schemas.microsoft.com/office/drawing/2014/chart" uri="{C3380CC4-5D6E-409C-BE32-E72D297353CC}">
              <c16:uniqueId val="{00000000-A751-499B-9E31-C7E25EA468DA}"/>
            </c:ext>
          </c:extLst>
        </c:ser>
        <c:dLbls>
          <c:dLblPos val="outEnd"/>
          <c:showLegendKey val="0"/>
          <c:showVal val="1"/>
          <c:showCatName val="0"/>
          <c:showSerName val="0"/>
          <c:showPercent val="0"/>
          <c:showBubbleSize val="0"/>
        </c:dLbls>
        <c:gapWidth val="110"/>
        <c:overlap val="-27"/>
        <c:axId val="516844160"/>
        <c:axId val="516846560"/>
      </c:barChart>
      <c:catAx>
        <c:axId val="516844160"/>
        <c:scaling>
          <c:orientation val="minMax"/>
        </c:scaling>
        <c:delete val="0"/>
        <c:axPos val="b"/>
        <c:numFmt formatCode="General" sourceLinked="1"/>
        <c:majorTickMark val="none"/>
        <c:minorTickMark val="none"/>
        <c:tickLblPos val="nextTo"/>
        <c:crossAx val="516846560"/>
        <c:crosses val="autoZero"/>
        <c:auto val="1"/>
        <c:lblAlgn val="ctr"/>
        <c:lblOffset val="100"/>
        <c:noMultiLvlLbl val="0"/>
      </c:catAx>
      <c:valAx>
        <c:axId val="516846560"/>
        <c:scaling>
          <c:orientation val="minMax"/>
        </c:scaling>
        <c:delete val="1"/>
        <c:axPos val="l"/>
        <c:numFmt formatCode="0.0%" sourceLinked="1"/>
        <c:majorTickMark val="none"/>
        <c:minorTickMark val="none"/>
        <c:tickLblPos val="nextTo"/>
        <c:crossAx val="516844160"/>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Assumptions!$W$214</c:f>
              <c:strCache>
                <c:ptCount val="1"/>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Assumptions!$X$213:$AA$213</c:f>
              <c:strCache>
                <c:ptCount val="4"/>
                <c:pt idx="0">
                  <c:v>FY21</c:v>
                </c:pt>
                <c:pt idx="1">
                  <c:v>FY22</c:v>
                </c:pt>
                <c:pt idx="2">
                  <c:v>FY23</c:v>
                </c:pt>
                <c:pt idx="3">
                  <c:v>FY24</c:v>
                </c:pt>
              </c:strCache>
            </c:strRef>
          </c:cat>
          <c:val>
            <c:numRef>
              <c:f>Assumptions!$X$214:$AA$214</c:f>
              <c:numCache>
                <c:formatCode>#,##0.0;\-#,##0.0</c:formatCode>
                <c:ptCount val="4"/>
                <c:pt idx="0">
                  <c:v>34.240000000000009</c:v>
                </c:pt>
                <c:pt idx="1">
                  <c:v>43.325000000000003</c:v>
                </c:pt>
                <c:pt idx="2">
                  <c:v>61.830000000000013</c:v>
                </c:pt>
                <c:pt idx="3">
                  <c:v>64.480897466710957</c:v>
                </c:pt>
              </c:numCache>
            </c:numRef>
          </c:val>
          <c:extLst>
            <c:ext xmlns:c16="http://schemas.microsoft.com/office/drawing/2014/chart" uri="{C3380CC4-5D6E-409C-BE32-E72D297353CC}">
              <c16:uniqueId val="{00000000-1E8D-4BBF-83D1-BC3152C704F8}"/>
            </c:ext>
          </c:extLst>
        </c:ser>
        <c:dLbls>
          <c:dLblPos val="outEnd"/>
          <c:showLegendKey val="0"/>
          <c:showVal val="1"/>
          <c:showCatName val="0"/>
          <c:showSerName val="0"/>
          <c:showPercent val="0"/>
          <c:showBubbleSize val="0"/>
        </c:dLbls>
        <c:gapWidth val="110"/>
        <c:overlap val="-27"/>
        <c:axId val="379999152"/>
        <c:axId val="379985712"/>
      </c:barChart>
      <c:catAx>
        <c:axId val="379999152"/>
        <c:scaling>
          <c:orientation val="minMax"/>
        </c:scaling>
        <c:delete val="0"/>
        <c:axPos val="b"/>
        <c:numFmt formatCode="General" sourceLinked="1"/>
        <c:majorTickMark val="none"/>
        <c:minorTickMark val="none"/>
        <c:tickLblPos val="nextTo"/>
        <c:crossAx val="379985712"/>
        <c:crosses val="autoZero"/>
        <c:auto val="1"/>
        <c:lblAlgn val="ctr"/>
        <c:lblOffset val="100"/>
        <c:noMultiLvlLbl val="0"/>
      </c:catAx>
      <c:valAx>
        <c:axId val="379985712"/>
        <c:scaling>
          <c:orientation val="minMax"/>
        </c:scaling>
        <c:delete val="1"/>
        <c:axPos val="l"/>
        <c:numFmt formatCode="#,##0.0;\-#,##0.0" sourceLinked="1"/>
        <c:majorTickMark val="none"/>
        <c:minorTickMark val="none"/>
        <c:tickLblPos val="nextTo"/>
        <c:crossAx val="379999152"/>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Assumptions!$X$210:$AA$210</c:f>
              <c:strCache>
                <c:ptCount val="4"/>
                <c:pt idx="0">
                  <c:v>FY21</c:v>
                </c:pt>
                <c:pt idx="1">
                  <c:v>FY22</c:v>
                </c:pt>
                <c:pt idx="2">
                  <c:v>FY23</c:v>
                </c:pt>
                <c:pt idx="3">
                  <c:v>FY24</c:v>
                </c:pt>
              </c:strCache>
            </c:strRef>
          </c:cat>
          <c:val>
            <c:numRef>
              <c:f>Assumptions!$X$215:$AA$215</c:f>
              <c:numCache>
                <c:formatCode>0.0%</c:formatCode>
                <c:ptCount val="4"/>
                <c:pt idx="0">
                  <c:v>0.75186649099692593</c:v>
                </c:pt>
                <c:pt idx="1">
                  <c:v>0.69912861061804099</c:v>
                </c:pt>
                <c:pt idx="2">
                  <c:v>0.66605623182160945</c:v>
                </c:pt>
                <c:pt idx="3">
                  <c:v>0.6</c:v>
                </c:pt>
              </c:numCache>
            </c:numRef>
          </c:val>
          <c:extLst>
            <c:ext xmlns:c16="http://schemas.microsoft.com/office/drawing/2014/chart" uri="{C3380CC4-5D6E-409C-BE32-E72D297353CC}">
              <c16:uniqueId val="{00000000-9787-43FB-AEE2-C62078C414C6}"/>
            </c:ext>
          </c:extLst>
        </c:ser>
        <c:dLbls>
          <c:dLblPos val="ctr"/>
          <c:showLegendKey val="0"/>
          <c:showVal val="1"/>
          <c:showCatName val="0"/>
          <c:showSerName val="0"/>
          <c:showPercent val="0"/>
          <c:showBubbleSize val="0"/>
        </c:dLbls>
        <c:gapWidth val="110"/>
        <c:overlap val="-27"/>
        <c:axId val="516844160"/>
        <c:axId val="516846560"/>
      </c:barChart>
      <c:catAx>
        <c:axId val="516844160"/>
        <c:scaling>
          <c:orientation val="minMax"/>
        </c:scaling>
        <c:delete val="0"/>
        <c:axPos val="b"/>
        <c:numFmt formatCode="General" sourceLinked="1"/>
        <c:majorTickMark val="none"/>
        <c:minorTickMark val="none"/>
        <c:tickLblPos val="nextTo"/>
        <c:crossAx val="516846560"/>
        <c:crosses val="autoZero"/>
        <c:auto val="1"/>
        <c:lblAlgn val="ctr"/>
        <c:lblOffset val="100"/>
        <c:noMultiLvlLbl val="0"/>
      </c:catAx>
      <c:valAx>
        <c:axId val="516846560"/>
        <c:scaling>
          <c:orientation val="minMax"/>
        </c:scaling>
        <c:delete val="1"/>
        <c:axPos val="l"/>
        <c:numFmt formatCode="0.0%" sourceLinked="1"/>
        <c:majorTickMark val="none"/>
        <c:minorTickMark val="none"/>
        <c:tickLblPos val="nextTo"/>
        <c:crossAx val="516844160"/>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Assumptions!$R$226</c:f>
              <c:strCache>
                <c:ptCount val="1"/>
                <c:pt idx="0">
                  <c:v>Jaigarh</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Assumptions!$S$225:$Z$225</c:f>
              <c:strCache>
                <c:ptCount val="8"/>
                <c:pt idx="0">
                  <c:v>FY20</c:v>
                </c:pt>
                <c:pt idx="1">
                  <c:v>FY21</c:v>
                </c:pt>
                <c:pt idx="2">
                  <c:v>FY22</c:v>
                </c:pt>
                <c:pt idx="3">
                  <c:v>FY23</c:v>
                </c:pt>
                <c:pt idx="4">
                  <c:v>FY24</c:v>
                </c:pt>
                <c:pt idx="5">
                  <c:v>FY25</c:v>
                </c:pt>
                <c:pt idx="6">
                  <c:v>FY26</c:v>
                </c:pt>
                <c:pt idx="7">
                  <c:v>FY27E</c:v>
                </c:pt>
              </c:strCache>
            </c:strRef>
          </c:cat>
          <c:val>
            <c:numRef>
              <c:f>Assumptions!$S$226:$Z$226</c:f>
              <c:numCache>
                <c:formatCode>0%</c:formatCode>
                <c:ptCount val="8"/>
                <c:pt idx="0">
                  <c:v>0.38709848038024292</c:v>
                </c:pt>
                <c:pt idx="1">
                  <c:v>0.3460675787041228</c:v>
                </c:pt>
                <c:pt idx="2">
                  <c:v>0.35106421039677554</c:v>
                </c:pt>
                <c:pt idx="3">
                  <c:v>0.34151982523823665</c:v>
                </c:pt>
                <c:pt idx="4">
                  <c:v>0.3041518495351993</c:v>
                </c:pt>
                <c:pt idx="5">
                  <c:v>0.29798687651302619</c:v>
                </c:pt>
                <c:pt idx="6">
                  <c:v>0.25493700497375998</c:v>
                </c:pt>
                <c:pt idx="7">
                  <c:v>0.243760461902988</c:v>
                </c:pt>
              </c:numCache>
            </c:numRef>
          </c:val>
          <c:extLst>
            <c:ext xmlns:c16="http://schemas.microsoft.com/office/drawing/2014/chart" uri="{C3380CC4-5D6E-409C-BE32-E72D297353CC}">
              <c16:uniqueId val="{00000000-8369-42DF-B068-E5E8D1FBDC99}"/>
            </c:ext>
          </c:extLst>
        </c:ser>
        <c:ser>
          <c:idx val="1"/>
          <c:order val="1"/>
          <c:tx>
            <c:strRef>
              <c:f>Assumptions!$R$227</c:f>
              <c:strCache>
                <c:ptCount val="1"/>
                <c:pt idx="0">
                  <c:v>Dharmatar</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Assumptions!$S$225:$Z$225</c:f>
              <c:strCache>
                <c:ptCount val="8"/>
                <c:pt idx="0">
                  <c:v>FY20</c:v>
                </c:pt>
                <c:pt idx="1">
                  <c:v>FY21</c:v>
                </c:pt>
                <c:pt idx="2">
                  <c:v>FY22</c:v>
                </c:pt>
                <c:pt idx="3">
                  <c:v>FY23</c:v>
                </c:pt>
                <c:pt idx="4">
                  <c:v>FY24</c:v>
                </c:pt>
                <c:pt idx="5">
                  <c:v>FY25</c:v>
                </c:pt>
                <c:pt idx="6">
                  <c:v>FY26</c:v>
                </c:pt>
                <c:pt idx="7">
                  <c:v>FY27E</c:v>
                </c:pt>
              </c:strCache>
            </c:strRef>
          </c:cat>
          <c:val>
            <c:numRef>
              <c:f>Assumptions!$S$227:$Z$227</c:f>
              <c:numCache>
                <c:formatCode>0%</c:formatCode>
                <c:ptCount val="8"/>
                <c:pt idx="0">
                  <c:v>0.10411109803866932</c:v>
                </c:pt>
                <c:pt idx="1">
                  <c:v>8.6730708075577659E-2</c:v>
                </c:pt>
                <c:pt idx="2">
                  <c:v>0.11152092725589696</c:v>
                </c:pt>
                <c:pt idx="3">
                  <c:v>0.12463185623437011</c:v>
                </c:pt>
                <c:pt idx="4">
                  <c:v>0.10506124908813524</c:v>
                </c:pt>
                <c:pt idx="5">
                  <c:v>0.1029388344115813</c:v>
                </c:pt>
                <c:pt idx="6">
                  <c:v>8.904165983507778E-2</c:v>
                </c:pt>
                <c:pt idx="7">
                  <c:v>8.631804961868858E-2</c:v>
                </c:pt>
              </c:numCache>
            </c:numRef>
          </c:val>
          <c:extLst>
            <c:ext xmlns:c16="http://schemas.microsoft.com/office/drawing/2014/chart" uri="{C3380CC4-5D6E-409C-BE32-E72D297353CC}">
              <c16:uniqueId val="{00000001-8369-42DF-B068-E5E8D1FBDC99}"/>
            </c:ext>
          </c:extLst>
        </c:ser>
        <c:ser>
          <c:idx val="2"/>
          <c:order val="2"/>
          <c:tx>
            <c:strRef>
              <c:f>Assumptions!$R$228</c:f>
              <c:strCache>
                <c:ptCount val="1"/>
                <c:pt idx="0">
                  <c:v>South West</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Assumptions!$S$225:$Z$225</c:f>
              <c:strCache>
                <c:ptCount val="8"/>
                <c:pt idx="0">
                  <c:v>FY20</c:v>
                </c:pt>
                <c:pt idx="1">
                  <c:v>FY21</c:v>
                </c:pt>
                <c:pt idx="2">
                  <c:v>FY22</c:v>
                </c:pt>
                <c:pt idx="3">
                  <c:v>FY23</c:v>
                </c:pt>
                <c:pt idx="4">
                  <c:v>FY24</c:v>
                </c:pt>
                <c:pt idx="5">
                  <c:v>FY25</c:v>
                </c:pt>
                <c:pt idx="6">
                  <c:v>FY26</c:v>
                </c:pt>
                <c:pt idx="7">
                  <c:v>FY27E</c:v>
                </c:pt>
              </c:strCache>
            </c:strRef>
          </c:cat>
          <c:val>
            <c:numRef>
              <c:f>Assumptions!$S$228:$Z$228</c:f>
              <c:numCache>
                <c:formatCode>0%</c:formatCode>
                <c:ptCount val="8"/>
                <c:pt idx="0">
                  <c:v>0.1288714208385387</c:v>
                </c:pt>
                <c:pt idx="1">
                  <c:v>0.12751402269980372</c:v>
                </c:pt>
                <c:pt idx="2">
                  <c:v>9.8625750879359736E-2</c:v>
                </c:pt>
                <c:pt idx="3">
                  <c:v>7.9205377979845337E-2</c:v>
                </c:pt>
                <c:pt idx="4">
                  <c:v>6.9947408430273944E-2</c:v>
                </c:pt>
                <c:pt idx="5">
                  <c:v>7.2198594898596494E-2</c:v>
                </c:pt>
                <c:pt idx="6">
                  <c:v>7.8061118818661374E-2</c:v>
                </c:pt>
                <c:pt idx="7">
                  <c:v>7.9410028297506402E-2</c:v>
                </c:pt>
              </c:numCache>
            </c:numRef>
          </c:val>
          <c:extLst>
            <c:ext xmlns:c16="http://schemas.microsoft.com/office/drawing/2014/chart" uri="{C3380CC4-5D6E-409C-BE32-E72D297353CC}">
              <c16:uniqueId val="{00000002-8369-42DF-B068-E5E8D1FBDC99}"/>
            </c:ext>
          </c:extLst>
        </c:ser>
        <c:ser>
          <c:idx val="3"/>
          <c:order val="3"/>
          <c:tx>
            <c:strRef>
              <c:f>Assumptions!$R$229</c:f>
              <c:strCache>
                <c:ptCount val="1"/>
                <c:pt idx="0">
                  <c:v>Ennore Coal</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Assumptions!$S$225:$Z$225</c:f>
              <c:strCache>
                <c:ptCount val="8"/>
                <c:pt idx="0">
                  <c:v>FY20</c:v>
                </c:pt>
                <c:pt idx="1">
                  <c:v>FY21</c:v>
                </c:pt>
                <c:pt idx="2">
                  <c:v>FY22</c:v>
                </c:pt>
                <c:pt idx="3">
                  <c:v>FY23</c:v>
                </c:pt>
                <c:pt idx="4">
                  <c:v>FY24</c:v>
                </c:pt>
                <c:pt idx="5">
                  <c:v>FY25</c:v>
                </c:pt>
                <c:pt idx="6">
                  <c:v>FY26</c:v>
                </c:pt>
                <c:pt idx="7">
                  <c:v>FY27E</c:v>
                </c:pt>
              </c:strCache>
            </c:strRef>
          </c:cat>
          <c:val>
            <c:numRef>
              <c:f>Assumptions!$S$229:$Z$229</c:f>
              <c:numCache>
                <c:formatCode>0%</c:formatCode>
                <c:ptCount val="8"/>
                <c:pt idx="0">
                  <c:v>0.13534492411705545</c:v>
                </c:pt>
                <c:pt idx="1">
                  <c:v>9.3236833819039661E-2</c:v>
                </c:pt>
                <c:pt idx="2">
                  <c:v>0.10028273228429106</c:v>
                </c:pt>
                <c:pt idx="3">
                  <c:v>9.0776303626662905E-2</c:v>
                </c:pt>
                <c:pt idx="4">
                  <c:v>8.4503516351964764E-2</c:v>
                </c:pt>
                <c:pt idx="5">
                  <c:v>9.5933225801639252E-2</c:v>
                </c:pt>
                <c:pt idx="6">
                  <c:v>8.2785596505854153E-2</c:v>
                </c:pt>
                <c:pt idx="7">
                  <c:v>7.892573120958471E-2</c:v>
                </c:pt>
              </c:numCache>
            </c:numRef>
          </c:val>
          <c:extLst>
            <c:ext xmlns:c16="http://schemas.microsoft.com/office/drawing/2014/chart" uri="{C3380CC4-5D6E-409C-BE32-E72D297353CC}">
              <c16:uniqueId val="{00000003-8369-42DF-B068-E5E8D1FBDC99}"/>
            </c:ext>
          </c:extLst>
        </c:ser>
        <c:ser>
          <c:idx val="4"/>
          <c:order val="4"/>
          <c:tx>
            <c:strRef>
              <c:f>Assumptions!$R$230</c:f>
              <c:strCache>
                <c:ptCount val="1"/>
                <c:pt idx="0">
                  <c:v>Paradip Iron Ore</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Assumptions!$S$225:$Z$225</c:f>
              <c:strCache>
                <c:ptCount val="8"/>
                <c:pt idx="0">
                  <c:v>FY20</c:v>
                </c:pt>
                <c:pt idx="1">
                  <c:v>FY21</c:v>
                </c:pt>
                <c:pt idx="2">
                  <c:v>FY22</c:v>
                </c:pt>
                <c:pt idx="3">
                  <c:v>FY23</c:v>
                </c:pt>
                <c:pt idx="4">
                  <c:v>FY24</c:v>
                </c:pt>
                <c:pt idx="5">
                  <c:v>FY25</c:v>
                </c:pt>
                <c:pt idx="6">
                  <c:v>FY26</c:v>
                </c:pt>
                <c:pt idx="7">
                  <c:v>FY27E</c:v>
                </c:pt>
              </c:strCache>
            </c:strRef>
          </c:cat>
          <c:val>
            <c:numRef>
              <c:f>Assumptions!$S$230:$Z$230</c:f>
              <c:numCache>
                <c:formatCode>0%</c:formatCode>
                <c:ptCount val="8"/>
                <c:pt idx="0">
                  <c:v>3.6227649349637424E-2</c:v>
                </c:pt>
                <c:pt idx="1">
                  <c:v>0.13409924583558228</c:v>
                </c:pt>
                <c:pt idx="2">
                  <c:v>9.7659534766082329E-2</c:v>
                </c:pt>
                <c:pt idx="3">
                  <c:v>8.5581212679237822E-2</c:v>
                </c:pt>
                <c:pt idx="4">
                  <c:v>9.2781239939331198E-2</c:v>
                </c:pt>
                <c:pt idx="5">
                  <c:v>8.978165393138092E-2</c:v>
                </c:pt>
                <c:pt idx="6">
                  <c:v>5.1183610316221241E-2</c:v>
                </c:pt>
                <c:pt idx="7">
                  <c:v>6.0624461782511109E-2</c:v>
                </c:pt>
              </c:numCache>
            </c:numRef>
          </c:val>
          <c:extLst>
            <c:ext xmlns:c16="http://schemas.microsoft.com/office/drawing/2014/chart" uri="{C3380CC4-5D6E-409C-BE32-E72D297353CC}">
              <c16:uniqueId val="{00000004-8369-42DF-B068-E5E8D1FBDC99}"/>
            </c:ext>
          </c:extLst>
        </c:ser>
        <c:ser>
          <c:idx val="5"/>
          <c:order val="5"/>
          <c:tx>
            <c:strRef>
              <c:f>Assumptions!$R$231</c:f>
              <c:strCache>
                <c:ptCount val="1"/>
                <c:pt idx="0">
                  <c:v>Others</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Assumptions!$S$225:$Z$225</c:f>
              <c:strCache>
                <c:ptCount val="8"/>
                <c:pt idx="0">
                  <c:v>FY20</c:v>
                </c:pt>
                <c:pt idx="1">
                  <c:v>FY21</c:v>
                </c:pt>
                <c:pt idx="2">
                  <c:v>FY22</c:v>
                </c:pt>
                <c:pt idx="3">
                  <c:v>FY23</c:v>
                </c:pt>
                <c:pt idx="4">
                  <c:v>FY24</c:v>
                </c:pt>
                <c:pt idx="5">
                  <c:v>FY25</c:v>
                </c:pt>
                <c:pt idx="6">
                  <c:v>FY26</c:v>
                </c:pt>
                <c:pt idx="7">
                  <c:v>FY27E</c:v>
                </c:pt>
              </c:strCache>
            </c:strRef>
          </c:cat>
          <c:val>
            <c:numRef>
              <c:f>Assumptions!$S$231:$Z$231</c:f>
              <c:numCache>
                <c:formatCode>0%</c:formatCode>
                <c:ptCount val="8"/>
                <c:pt idx="0">
                  <c:v>0.20834642727585617</c:v>
                </c:pt>
                <c:pt idx="1">
                  <c:v>0.21235161086587384</c:v>
                </c:pt>
                <c:pt idx="2">
                  <c:v>0.2408468444175943</c:v>
                </c:pt>
                <c:pt idx="3">
                  <c:v>0.27828542424164715</c:v>
                </c:pt>
                <c:pt idx="4">
                  <c:v>0.34355473665509562</c:v>
                </c:pt>
                <c:pt idx="5">
                  <c:v>0.34116081444377588</c:v>
                </c:pt>
                <c:pt idx="6">
                  <c:v>0.44399100955042548</c:v>
                </c:pt>
                <c:pt idx="7">
                  <c:v>0.4509612671887212</c:v>
                </c:pt>
              </c:numCache>
            </c:numRef>
          </c:val>
          <c:extLst>
            <c:ext xmlns:c16="http://schemas.microsoft.com/office/drawing/2014/chart" uri="{C3380CC4-5D6E-409C-BE32-E72D297353CC}">
              <c16:uniqueId val="{00000005-8369-42DF-B068-E5E8D1FBDC99}"/>
            </c:ext>
          </c:extLst>
        </c:ser>
        <c:dLbls>
          <c:dLblPos val="ctr"/>
          <c:showLegendKey val="0"/>
          <c:showVal val="1"/>
          <c:showCatName val="0"/>
          <c:showSerName val="0"/>
          <c:showPercent val="0"/>
          <c:showBubbleSize val="0"/>
        </c:dLbls>
        <c:gapWidth val="40"/>
        <c:overlap val="100"/>
        <c:axId val="138794463"/>
        <c:axId val="138822303"/>
      </c:barChart>
      <c:catAx>
        <c:axId val="138794463"/>
        <c:scaling>
          <c:orientation val="minMax"/>
        </c:scaling>
        <c:delete val="0"/>
        <c:axPos val="b"/>
        <c:numFmt formatCode="General" sourceLinked="1"/>
        <c:majorTickMark val="none"/>
        <c:minorTickMark val="none"/>
        <c:tickLblPos val="nextTo"/>
        <c:crossAx val="138822303"/>
        <c:crosses val="autoZero"/>
        <c:auto val="1"/>
        <c:lblAlgn val="ctr"/>
        <c:lblOffset val="100"/>
        <c:noMultiLvlLbl val="0"/>
      </c:catAx>
      <c:valAx>
        <c:axId val="138822303"/>
        <c:scaling>
          <c:orientation val="minMax"/>
        </c:scaling>
        <c:delete val="0"/>
        <c:axPos val="l"/>
        <c:numFmt formatCode="0%" sourceLinked="1"/>
        <c:majorTickMark val="out"/>
        <c:minorTickMark val="none"/>
        <c:tickLblPos val="nextTo"/>
        <c:crossAx val="138794463"/>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Assumptions!$U$113</c:f>
          <c:strCache>
            <c:ptCount val="1"/>
            <c:pt idx="0">
              <c:v>Port Capacity Additions every year, MT</c:v>
            </c:pt>
          </c:strCache>
        </c:strRef>
      </c:tx>
      <c:overlay val="0"/>
      <c:txPr>
        <a:bodyPr/>
        <a:lstStyle/>
        <a:p>
          <a:pPr>
            <a:defRPr sz="1080"/>
          </a:pPr>
          <a:endParaRPr lang="en-US"/>
        </a:p>
      </c:txPr>
    </c:title>
    <c:autoTitleDeleted val="0"/>
    <c:plotArea>
      <c:layout>
        <c:manualLayout>
          <c:layoutTarget val="inner"/>
          <c:xMode val="edge"/>
          <c:yMode val="edge"/>
          <c:x val="1.4818407155943528E-2"/>
          <c:y val="8.6805555555555552E-2"/>
          <c:w val="0.97036318568811297"/>
          <c:h val="0.73892902946790739"/>
        </c:manualLayout>
      </c:layout>
      <c:barChart>
        <c:barDir val="col"/>
        <c:grouping val="stacked"/>
        <c:varyColors val="0"/>
        <c:ser>
          <c:idx val="0"/>
          <c:order val="0"/>
          <c:tx>
            <c:strRef>
              <c:f>Assumptions!$U$114</c:f>
              <c:strCache>
                <c:ptCount val="1"/>
                <c:pt idx="0">
                  <c:v>Expansion of Existing Port/Terminals</c:v>
                </c:pt>
              </c:strCache>
            </c:strRef>
          </c:tx>
          <c:invertIfNegative val="0"/>
          <c:cat>
            <c:strRef>
              <c:f>Assumptions!$V$113:$AA$113</c:f>
              <c:strCache>
                <c:ptCount val="6"/>
                <c:pt idx="0">
                  <c:v>FY21</c:v>
                </c:pt>
                <c:pt idx="1">
                  <c:v>FY22</c:v>
                </c:pt>
                <c:pt idx="2">
                  <c:v>FY23</c:v>
                </c:pt>
                <c:pt idx="3">
                  <c:v>FY24</c:v>
                </c:pt>
                <c:pt idx="4">
                  <c:v>FY25</c:v>
                </c:pt>
                <c:pt idx="5">
                  <c:v>FY26</c:v>
                </c:pt>
              </c:strCache>
            </c:strRef>
          </c:cat>
          <c:val>
            <c:numRef>
              <c:f>Assumptions!$V$114:$AA$114</c:f>
              <c:numCache>
                <c:formatCode>_(* #,##0_);_(* \(#,##0\);_(* "-"??_);_(@_)</c:formatCode>
                <c:ptCount val="6"/>
                <c:pt idx="0">
                  <c:v>24</c:v>
                </c:pt>
                <c:pt idx="1">
                  <c:v>-1.5</c:v>
                </c:pt>
                <c:pt idx="2">
                  <c:v>0</c:v>
                </c:pt>
                <c:pt idx="3">
                  <c:v>1.5999999999999996</c:v>
                </c:pt>
                <c:pt idx="4">
                  <c:v>6.8999999999999995</c:v>
                </c:pt>
                <c:pt idx="5">
                  <c:v>1.4000000000000004</c:v>
                </c:pt>
              </c:numCache>
            </c:numRef>
          </c:val>
          <c:extLst>
            <c:ext xmlns:c16="http://schemas.microsoft.com/office/drawing/2014/chart" uri="{C3380CC4-5D6E-409C-BE32-E72D297353CC}">
              <c16:uniqueId val="{00000000-0CD7-4B74-BF16-021C1DEF5859}"/>
            </c:ext>
          </c:extLst>
        </c:ser>
        <c:ser>
          <c:idx val="1"/>
          <c:order val="1"/>
          <c:tx>
            <c:strRef>
              <c:f>Assumptions!$U$115</c:f>
              <c:strCache>
                <c:ptCount val="1"/>
                <c:pt idx="0">
                  <c:v>Acquisition</c:v>
                </c:pt>
              </c:strCache>
            </c:strRef>
          </c:tx>
          <c:invertIfNegative val="0"/>
          <c:cat>
            <c:strRef>
              <c:f>Assumptions!$V$113:$AA$113</c:f>
              <c:strCache>
                <c:ptCount val="6"/>
                <c:pt idx="0">
                  <c:v>FY21</c:v>
                </c:pt>
                <c:pt idx="1">
                  <c:v>FY22</c:v>
                </c:pt>
                <c:pt idx="2">
                  <c:v>FY23</c:v>
                </c:pt>
                <c:pt idx="3">
                  <c:v>FY24</c:v>
                </c:pt>
                <c:pt idx="4">
                  <c:v>FY25</c:v>
                </c:pt>
                <c:pt idx="5">
                  <c:v>FY26</c:v>
                </c:pt>
              </c:strCache>
            </c:strRef>
          </c:cat>
          <c:val>
            <c:numRef>
              <c:f>Assumptions!$V$115:$AA$115</c:f>
              <c:numCache>
                <c:formatCode>_(* #,##0_);_(* \(#,##0\);_(* "-"??_);_(@_)</c:formatCode>
                <c:ptCount val="6"/>
                <c:pt idx="0">
                  <c:v>2</c:v>
                </c:pt>
                <c:pt idx="1">
                  <c:v>14.7</c:v>
                </c:pt>
                <c:pt idx="2">
                  <c:v>0</c:v>
                </c:pt>
                <c:pt idx="3">
                  <c:v>10</c:v>
                </c:pt>
                <c:pt idx="4">
                  <c:v>0</c:v>
                </c:pt>
                <c:pt idx="5">
                  <c:v>0</c:v>
                </c:pt>
              </c:numCache>
            </c:numRef>
          </c:val>
          <c:extLst>
            <c:ext xmlns:c16="http://schemas.microsoft.com/office/drawing/2014/chart" uri="{C3380CC4-5D6E-409C-BE32-E72D297353CC}">
              <c16:uniqueId val="{00000001-0CD7-4B74-BF16-021C1DEF5859}"/>
            </c:ext>
          </c:extLst>
        </c:ser>
        <c:ser>
          <c:idx val="2"/>
          <c:order val="2"/>
          <c:tx>
            <c:strRef>
              <c:f>Assumptions!$U$116</c:f>
              <c:strCache>
                <c:ptCount val="1"/>
                <c:pt idx="0">
                  <c:v>Terminals won in PPP</c:v>
                </c:pt>
              </c:strCache>
            </c:strRef>
          </c:tx>
          <c:invertIfNegative val="0"/>
          <c:cat>
            <c:strRef>
              <c:f>Assumptions!$V$113:$AA$113</c:f>
              <c:strCache>
                <c:ptCount val="6"/>
                <c:pt idx="0">
                  <c:v>FY21</c:v>
                </c:pt>
                <c:pt idx="1">
                  <c:v>FY22</c:v>
                </c:pt>
                <c:pt idx="2">
                  <c:v>FY23</c:v>
                </c:pt>
                <c:pt idx="3">
                  <c:v>FY24</c:v>
                </c:pt>
                <c:pt idx="4">
                  <c:v>FY25</c:v>
                </c:pt>
                <c:pt idx="5">
                  <c:v>FY26</c:v>
                </c:pt>
              </c:strCache>
            </c:strRef>
          </c:cat>
          <c:val>
            <c:numRef>
              <c:f>Assumptions!$V$116:$AA$116</c:f>
              <c:numCache>
                <c:formatCode>_(* #,##0_);_(* \(#,##0\);_(* "-"??_);_(@_)</c:formatCode>
                <c:ptCount val="6"/>
                <c:pt idx="0">
                  <c:v>0</c:v>
                </c:pt>
                <c:pt idx="1">
                  <c:v>30</c:v>
                </c:pt>
                <c:pt idx="2">
                  <c:v>4.2</c:v>
                </c:pt>
                <c:pt idx="3">
                  <c:v>0</c:v>
                </c:pt>
                <c:pt idx="4">
                  <c:v>0</c:v>
                </c:pt>
                <c:pt idx="5">
                  <c:v>4.5</c:v>
                </c:pt>
              </c:numCache>
            </c:numRef>
          </c:val>
          <c:extLst>
            <c:ext xmlns:c16="http://schemas.microsoft.com/office/drawing/2014/chart" uri="{C3380CC4-5D6E-409C-BE32-E72D297353CC}">
              <c16:uniqueId val="{00000002-0CD7-4B74-BF16-021C1DEF5859}"/>
            </c:ext>
          </c:extLst>
        </c:ser>
        <c:ser>
          <c:idx val="3"/>
          <c:order val="3"/>
          <c:tx>
            <c:strRef>
              <c:f>Assumptions!$U$117</c:f>
              <c:strCache>
                <c:ptCount val="1"/>
                <c:pt idx="0">
                  <c:v>Greenfield</c:v>
                </c:pt>
              </c:strCache>
            </c:strRef>
          </c:tx>
          <c:spPr>
            <a:solidFill>
              <a:srgbClr val="00B050"/>
            </a:solidFill>
          </c:spPr>
          <c:invertIfNegative val="0"/>
          <c:cat>
            <c:strRef>
              <c:f>Assumptions!$V$113:$AA$113</c:f>
              <c:strCache>
                <c:ptCount val="6"/>
                <c:pt idx="0">
                  <c:v>FY21</c:v>
                </c:pt>
                <c:pt idx="1">
                  <c:v>FY22</c:v>
                </c:pt>
                <c:pt idx="2">
                  <c:v>FY23</c:v>
                </c:pt>
                <c:pt idx="3">
                  <c:v>FY24</c:v>
                </c:pt>
                <c:pt idx="4">
                  <c:v>FY25</c:v>
                </c:pt>
                <c:pt idx="5">
                  <c:v>FY26</c:v>
                </c:pt>
              </c:strCache>
            </c:strRef>
          </c:cat>
          <c:val>
            <c:numRef>
              <c:f>Assumptions!$V$117:$AA$117</c:f>
              <c:numCache>
                <c:formatCode>_(* #,##0_);_(* \(#,##0\);_(* "-"??_);_(@_)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0CD7-4B74-BF16-021C1DEF5859}"/>
            </c:ext>
          </c:extLst>
        </c:ser>
        <c:ser>
          <c:idx val="4"/>
          <c:order val="4"/>
          <c:tx>
            <c:strRef>
              <c:f>Assumptions!$U$118</c:f>
              <c:strCache>
                <c:ptCount val="1"/>
              </c:strCache>
            </c:strRef>
          </c:tx>
          <c:spPr>
            <a:noFill/>
          </c:spPr>
          <c:invertIfNegative val="0"/>
          <c:dLbls>
            <c:spPr>
              <a:noFill/>
              <a:ln>
                <a:noFill/>
              </a:ln>
              <a:effectLst/>
            </c:spPr>
            <c:txPr>
              <a:bodyPr lIns="38100" tIns="19050" rIns="38100" bIns="19050">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Assumptions!$V$113:$AA$113</c:f>
              <c:strCache>
                <c:ptCount val="6"/>
                <c:pt idx="0">
                  <c:v>FY21</c:v>
                </c:pt>
                <c:pt idx="1">
                  <c:v>FY22</c:v>
                </c:pt>
                <c:pt idx="2">
                  <c:v>FY23</c:v>
                </c:pt>
                <c:pt idx="3">
                  <c:v>FY24</c:v>
                </c:pt>
                <c:pt idx="4">
                  <c:v>FY25</c:v>
                </c:pt>
                <c:pt idx="5">
                  <c:v>FY26</c:v>
                </c:pt>
              </c:strCache>
            </c:strRef>
          </c:cat>
          <c:val>
            <c:numRef>
              <c:f>Assumptions!$V$118:$AA$118</c:f>
              <c:numCache>
                <c:formatCode>_(* #,##0_);_(* \(#,##0\);_(* "-"??_);_(@_)</c:formatCode>
                <c:ptCount val="6"/>
                <c:pt idx="0">
                  <c:v>26</c:v>
                </c:pt>
                <c:pt idx="1">
                  <c:v>43.2</c:v>
                </c:pt>
                <c:pt idx="2">
                  <c:v>4.2</c:v>
                </c:pt>
                <c:pt idx="3">
                  <c:v>11.6</c:v>
                </c:pt>
                <c:pt idx="4">
                  <c:v>6.8999999999999995</c:v>
                </c:pt>
                <c:pt idx="5">
                  <c:v>5.9</c:v>
                </c:pt>
              </c:numCache>
            </c:numRef>
          </c:val>
          <c:extLst>
            <c:ext xmlns:c16="http://schemas.microsoft.com/office/drawing/2014/chart" uri="{C3380CC4-5D6E-409C-BE32-E72D297353CC}">
              <c16:uniqueId val="{00000004-0CD7-4B74-BF16-021C1DEF5859}"/>
            </c:ext>
          </c:extLst>
        </c:ser>
        <c:dLbls>
          <c:showLegendKey val="0"/>
          <c:showVal val="0"/>
          <c:showCatName val="0"/>
          <c:showSerName val="0"/>
          <c:showPercent val="0"/>
          <c:showBubbleSize val="0"/>
        </c:dLbls>
        <c:gapWidth val="30"/>
        <c:overlap val="100"/>
        <c:axId val="262942223"/>
        <c:axId val="262945583"/>
      </c:barChart>
      <c:catAx>
        <c:axId val="262942223"/>
        <c:scaling>
          <c:orientation val="minMax"/>
        </c:scaling>
        <c:delete val="0"/>
        <c:axPos val="b"/>
        <c:numFmt formatCode="General" sourceLinked="1"/>
        <c:majorTickMark val="none"/>
        <c:minorTickMark val="none"/>
        <c:tickLblPos val="nextTo"/>
        <c:crossAx val="262945583"/>
        <c:crosses val="autoZero"/>
        <c:auto val="1"/>
        <c:lblAlgn val="ctr"/>
        <c:lblOffset val="100"/>
        <c:noMultiLvlLbl val="0"/>
      </c:catAx>
      <c:valAx>
        <c:axId val="262945583"/>
        <c:scaling>
          <c:orientation val="minMax"/>
          <c:max val="100"/>
        </c:scaling>
        <c:delete val="0"/>
        <c:axPos val="l"/>
        <c:numFmt formatCode="_(* #,##0_);_(* \(#,##0\);_(* &quot;-&quot;??_);_(@_)" sourceLinked="1"/>
        <c:majorTickMark val="none"/>
        <c:minorTickMark val="none"/>
        <c:tickLblPos val="none"/>
        <c:spPr>
          <a:ln>
            <a:noFill/>
          </a:ln>
        </c:spPr>
        <c:crossAx val="262942223"/>
        <c:crosses val="autoZero"/>
        <c:crossBetween val="between"/>
      </c:valAx>
    </c:plotArea>
    <c:legend>
      <c:legendPos val="b"/>
      <c:legendEntry>
        <c:idx val="3"/>
        <c:delete val="1"/>
      </c:legendEntry>
      <c:overlay val="0"/>
    </c:legend>
    <c:plotVisOnly val="1"/>
    <c:dispBlanksAs val="gap"/>
    <c:showDLblsOverMax val="0"/>
  </c:chart>
  <c:spPr>
    <a:ln w="3175">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Charts!$B$148</c:f>
          <c:strCache>
            <c:ptCount val="1"/>
            <c:pt idx="0">
              <c:v>Total Capacity, MT</c:v>
            </c:pt>
          </c:strCache>
        </c:strRef>
      </c:tx>
      <c:layout>
        <c:manualLayout>
          <c:xMode val="edge"/>
          <c:yMode val="edge"/>
          <c:x val="0.43848307859435159"/>
          <c:y val="0.12655011434350882"/>
        </c:manualLayout>
      </c:layout>
      <c:overlay val="0"/>
    </c:title>
    <c:autoTitleDeleted val="0"/>
    <c:plotArea>
      <c:layout/>
      <c:barChart>
        <c:barDir val="col"/>
        <c:grouping val="clustered"/>
        <c:varyColors val="0"/>
        <c:ser>
          <c:idx val="0"/>
          <c:order val="0"/>
          <c:tx>
            <c:strRef>
              <c:f>Charts!$B$148</c:f>
              <c:strCache>
                <c:ptCount val="1"/>
                <c:pt idx="0">
                  <c:v>Total Capacity, MT</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Charts!$F$86:$O$86</c15:sqref>
                  </c15:fullRef>
                </c:ext>
              </c:extLst>
              <c:f>Charts!$F$86:$K$86</c:f>
              <c:strCache>
                <c:ptCount val="6"/>
                <c:pt idx="0">
                  <c:v>FY21</c:v>
                </c:pt>
                <c:pt idx="1">
                  <c:v>FY22</c:v>
                </c:pt>
                <c:pt idx="2">
                  <c:v>FY23</c:v>
                </c:pt>
                <c:pt idx="3">
                  <c:v>FY24</c:v>
                </c:pt>
                <c:pt idx="4">
                  <c:v>FY25</c:v>
                </c:pt>
                <c:pt idx="5">
                  <c:v>FY26</c:v>
                </c:pt>
              </c:strCache>
            </c:strRef>
          </c:cat>
          <c:val>
            <c:numRef>
              <c:extLst>
                <c:ext xmlns:c15="http://schemas.microsoft.com/office/drawing/2012/chart" uri="{02D57815-91ED-43cb-92C2-25804820EDAC}">
                  <c15:fullRef>
                    <c15:sqref>Charts!$F$148:$O$148</c15:sqref>
                  </c15:fullRef>
                </c:ext>
              </c:extLst>
              <c:f>Charts!$F$148:$K$148</c:f>
              <c:numCache>
                <c:formatCode>#,##0_);\(#,##0\)</c:formatCode>
                <c:ptCount val="6"/>
                <c:pt idx="0">
                  <c:v>111</c:v>
                </c:pt>
                <c:pt idx="1">
                  <c:v>154.19999999999999</c:v>
                </c:pt>
                <c:pt idx="2">
                  <c:v>158.39999999999998</c:v>
                </c:pt>
                <c:pt idx="3">
                  <c:v>169.99999999999997</c:v>
                </c:pt>
                <c:pt idx="4">
                  <c:v>176.89999999999998</c:v>
                </c:pt>
                <c:pt idx="5">
                  <c:v>182.79999999999998</c:v>
                </c:pt>
              </c:numCache>
            </c:numRef>
          </c:val>
          <c:extLst>
            <c:ext xmlns:c16="http://schemas.microsoft.com/office/drawing/2014/chart" uri="{C3380CC4-5D6E-409C-BE32-E72D297353CC}">
              <c16:uniqueId val="{00000000-38E1-4E55-8828-2E56510F3785}"/>
            </c:ext>
          </c:extLst>
        </c:ser>
        <c:dLbls>
          <c:dLblPos val="outEnd"/>
          <c:showLegendKey val="0"/>
          <c:showVal val="1"/>
          <c:showCatName val="0"/>
          <c:showSerName val="0"/>
          <c:showPercent val="0"/>
          <c:showBubbleSize val="0"/>
        </c:dLbls>
        <c:gapWidth val="30"/>
        <c:axId val="812975023"/>
        <c:axId val="812975503"/>
      </c:barChart>
      <c:catAx>
        <c:axId val="812975023"/>
        <c:scaling>
          <c:orientation val="minMax"/>
        </c:scaling>
        <c:delete val="0"/>
        <c:axPos val="b"/>
        <c:numFmt formatCode="General" sourceLinked="1"/>
        <c:majorTickMark val="none"/>
        <c:minorTickMark val="none"/>
        <c:tickLblPos val="nextTo"/>
        <c:crossAx val="812975503"/>
        <c:crosses val="autoZero"/>
        <c:auto val="1"/>
        <c:lblAlgn val="ctr"/>
        <c:lblOffset val="100"/>
        <c:noMultiLvlLbl val="0"/>
      </c:catAx>
      <c:valAx>
        <c:axId val="812975503"/>
        <c:scaling>
          <c:orientation val="minMax"/>
        </c:scaling>
        <c:delete val="0"/>
        <c:axPos val="l"/>
        <c:numFmt formatCode="#,##0_);\(#,##0\)" sourceLinked="1"/>
        <c:majorTickMark val="none"/>
        <c:minorTickMark val="none"/>
        <c:tickLblPos val="none"/>
        <c:spPr>
          <a:ln>
            <a:noFill/>
          </a:ln>
        </c:spPr>
        <c:crossAx val="812975023"/>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Assumptions!$U$113</c:f>
          <c:strCache>
            <c:ptCount val="1"/>
            <c:pt idx="0">
              <c:v>Port Capacity Additions every year, MT</c:v>
            </c:pt>
          </c:strCache>
        </c:strRef>
      </c:tx>
      <c:layout>
        <c:manualLayout>
          <c:xMode val="edge"/>
          <c:yMode val="edge"/>
          <c:x val="0.37572255600185134"/>
          <c:y val="4.6731440601989027E-2"/>
        </c:manualLayout>
      </c:layout>
      <c:overlay val="0"/>
      <c:spPr>
        <a:solidFill>
          <a:schemeClr val="bg1"/>
        </a:solidFill>
      </c:spPr>
      <c:txPr>
        <a:bodyPr/>
        <a:lstStyle/>
        <a:p>
          <a:pPr>
            <a:defRPr sz="1000"/>
          </a:pPr>
          <a:endParaRPr lang="en-US"/>
        </a:p>
      </c:txPr>
    </c:title>
    <c:autoTitleDeleted val="0"/>
    <c:plotArea>
      <c:layout>
        <c:manualLayout>
          <c:layoutTarget val="inner"/>
          <c:xMode val="edge"/>
          <c:yMode val="edge"/>
          <c:x val="3.8918181987279295E-3"/>
          <c:y val="0.18204371512384482"/>
          <c:w val="0.98128997103758109"/>
          <c:h val="0.51991219762405261"/>
        </c:manualLayout>
      </c:layout>
      <c:barChart>
        <c:barDir val="col"/>
        <c:grouping val="stacked"/>
        <c:varyColors val="0"/>
        <c:ser>
          <c:idx val="0"/>
          <c:order val="0"/>
          <c:tx>
            <c:strRef>
              <c:f>Assumptions!$U$114</c:f>
              <c:strCache>
                <c:ptCount val="1"/>
                <c:pt idx="0">
                  <c:v>Expansion of Existing Port/Terminals</c:v>
                </c:pt>
              </c:strCache>
            </c:strRef>
          </c:tx>
          <c:invertIfNegative val="0"/>
          <c:cat>
            <c:strRef>
              <c:f>Assumptions!$V$113:$AE$113</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Assumptions!$V$114:$AE$114</c:f>
              <c:numCache>
                <c:formatCode>_(* #,##0_);_(* \(#,##0\);_(* "-"??_);_(@_)</c:formatCode>
                <c:ptCount val="10"/>
                <c:pt idx="0">
                  <c:v>24</c:v>
                </c:pt>
                <c:pt idx="1">
                  <c:v>-1.5</c:v>
                </c:pt>
                <c:pt idx="2">
                  <c:v>0</c:v>
                </c:pt>
                <c:pt idx="3">
                  <c:v>1.5999999999999996</c:v>
                </c:pt>
                <c:pt idx="4">
                  <c:v>6.8999999999999995</c:v>
                </c:pt>
                <c:pt idx="5">
                  <c:v>1.4000000000000004</c:v>
                </c:pt>
                <c:pt idx="6">
                  <c:v>7.82</c:v>
                </c:pt>
                <c:pt idx="7">
                  <c:v>36</c:v>
                </c:pt>
                <c:pt idx="8">
                  <c:v>0</c:v>
                </c:pt>
                <c:pt idx="9">
                  <c:v>0</c:v>
                </c:pt>
              </c:numCache>
            </c:numRef>
          </c:val>
          <c:extLst>
            <c:ext xmlns:c16="http://schemas.microsoft.com/office/drawing/2014/chart" uri="{C3380CC4-5D6E-409C-BE32-E72D297353CC}">
              <c16:uniqueId val="{00000000-1F94-4F38-A0E1-7199D24CD126}"/>
            </c:ext>
          </c:extLst>
        </c:ser>
        <c:ser>
          <c:idx val="1"/>
          <c:order val="1"/>
          <c:tx>
            <c:strRef>
              <c:f>Assumptions!$U$115</c:f>
              <c:strCache>
                <c:ptCount val="1"/>
                <c:pt idx="0">
                  <c:v>Acquisition</c:v>
                </c:pt>
              </c:strCache>
            </c:strRef>
          </c:tx>
          <c:invertIfNegative val="0"/>
          <c:cat>
            <c:strRef>
              <c:f>Assumptions!$V$113:$AE$113</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Assumptions!$V$115:$AE$115</c:f>
              <c:numCache>
                <c:formatCode>_(* #,##0_);_(* \(#,##0\);_(* "-"??_);_(@_)</c:formatCode>
                <c:ptCount val="10"/>
                <c:pt idx="0">
                  <c:v>2</c:v>
                </c:pt>
                <c:pt idx="1">
                  <c:v>14.7</c:v>
                </c:pt>
                <c:pt idx="2">
                  <c:v>0</c:v>
                </c:pt>
                <c:pt idx="3">
                  <c:v>10</c:v>
                </c:pt>
                <c:pt idx="4">
                  <c:v>0</c:v>
                </c:pt>
                <c:pt idx="5">
                  <c:v>0</c:v>
                </c:pt>
                <c:pt idx="6">
                  <c:v>0</c:v>
                </c:pt>
                <c:pt idx="7">
                  <c:v>0</c:v>
                </c:pt>
                <c:pt idx="8">
                  <c:v>0</c:v>
                </c:pt>
                <c:pt idx="9">
                  <c:v>0</c:v>
                </c:pt>
              </c:numCache>
            </c:numRef>
          </c:val>
          <c:extLst>
            <c:ext xmlns:c16="http://schemas.microsoft.com/office/drawing/2014/chart" uri="{C3380CC4-5D6E-409C-BE32-E72D297353CC}">
              <c16:uniqueId val="{00000001-1F94-4F38-A0E1-7199D24CD126}"/>
            </c:ext>
          </c:extLst>
        </c:ser>
        <c:ser>
          <c:idx val="2"/>
          <c:order val="2"/>
          <c:tx>
            <c:strRef>
              <c:f>Assumptions!$U$116</c:f>
              <c:strCache>
                <c:ptCount val="1"/>
                <c:pt idx="0">
                  <c:v>Terminals won in PPP</c:v>
                </c:pt>
              </c:strCache>
            </c:strRef>
          </c:tx>
          <c:invertIfNegative val="0"/>
          <c:cat>
            <c:strRef>
              <c:f>Assumptions!$V$113:$AE$113</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Assumptions!$V$116:$AE$116</c:f>
              <c:numCache>
                <c:formatCode>_(* #,##0_);_(* \(#,##0\);_(* "-"??_);_(@_)</c:formatCode>
                <c:ptCount val="10"/>
                <c:pt idx="0">
                  <c:v>0</c:v>
                </c:pt>
                <c:pt idx="1">
                  <c:v>30</c:v>
                </c:pt>
                <c:pt idx="2">
                  <c:v>4.2</c:v>
                </c:pt>
                <c:pt idx="3">
                  <c:v>0</c:v>
                </c:pt>
                <c:pt idx="4">
                  <c:v>0</c:v>
                </c:pt>
                <c:pt idx="5">
                  <c:v>4.5</c:v>
                </c:pt>
                <c:pt idx="6">
                  <c:v>7</c:v>
                </c:pt>
                <c:pt idx="7">
                  <c:v>6.3</c:v>
                </c:pt>
                <c:pt idx="8">
                  <c:v>12</c:v>
                </c:pt>
                <c:pt idx="9">
                  <c:v>0</c:v>
                </c:pt>
              </c:numCache>
            </c:numRef>
          </c:val>
          <c:extLst>
            <c:ext xmlns:c16="http://schemas.microsoft.com/office/drawing/2014/chart" uri="{C3380CC4-5D6E-409C-BE32-E72D297353CC}">
              <c16:uniqueId val="{00000002-1F94-4F38-A0E1-7199D24CD126}"/>
            </c:ext>
          </c:extLst>
        </c:ser>
        <c:ser>
          <c:idx val="3"/>
          <c:order val="3"/>
          <c:tx>
            <c:strRef>
              <c:f>Assumptions!$U$117</c:f>
              <c:strCache>
                <c:ptCount val="1"/>
                <c:pt idx="0">
                  <c:v>Greenfield</c:v>
                </c:pt>
              </c:strCache>
            </c:strRef>
          </c:tx>
          <c:spPr>
            <a:solidFill>
              <a:srgbClr val="00B050"/>
            </a:solidFill>
          </c:spPr>
          <c:invertIfNegative val="0"/>
          <c:cat>
            <c:strRef>
              <c:f>Assumptions!$V$113:$AE$113</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Assumptions!$V$117:$AE$117</c:f>
              <c:numCache>
                <c:formatCode>_(* #,##0_);_(* \(#,##0\);_(* "-"??_);_(@_)</c:formatCode>
                <c:ptCount val="10"/>
                <c:pt idx="0">
                  <c:v>0</c:v>
                </c:pt>
                <c:pt idx="1">
                  <c:v>0</c:v>
                </c:pt>
                <c:pt idx="2">
                  <c:v>0</c:v>
                </c:pt>
                <c:pt idx="3">
                  <c:v>0</c:v>
                </c:pt>
                <c:pt idx="4">
                  <c:v>0</c:v>
                </c:pt>
                <c:pt idx="5">
                  <c:v>0</c:v>
                </c:pt>
                <c:pt idx="6">
                  <c:v>0</c:v>
                </c:pt>
                <c:pt idx="7">
                  <c:v>60</c:v>
                </c:pt>
                <c:pt idx="8">
                  <c:v>30</c:v>
                </c:pt>
                <c:pt idx="9">
                  <c:v>60</c:v>
                </c:pt>
              </c:numCache>
            </c:numRef>
          </c:val>
          <c:extLst>
            <c:ext xmlns:c16="http://schemas.microsoft.com/office/drawing/2014/chart" uri="{C3380CC4-5D6E-409C-BE32-E72D297353CC}">
              <c16:uniqueId val="{00000003-1F94-4F38-A0E1-7199D24CD126}"/>
            </c:ext>
          </c:extLst>
        </c:ser>
        <c:ser>
          <c:idx val="4"/>
          <c:order val="4"/>
          <c:tx>
            <c:strRef>
              <c:f>Assumptions!$U$118</c:f>
              <c:strCache>
                <c:ptCount val="1"/>
              </c:strCache>
            </c:strRef>
          </c:tx>
          <c:spPr>
            <a:noFill/>
          </c:spPr>
          <c:invertIfNegative val="0"/>
          <c:dLbls>
            <c:spPr>
              <a:noFill/>
              <a:ln>
                <a:noFill/>
              </a:ln>
              <a:effectLst/>
            </c:spPr>
            <c:txPr>
              <a:bodyPr lIns="38100" tIns="19050" rIns="38100" bIns="19050">
                <a:spAutoFit/>
              </a:bodyPr>
              <a:lstStyle/>
              <a:p>
                <a:pPr>
                  <a:defRPr sz="900"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Assumptions!$V$113:$AE$113</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Assumptions!$V$118:$AE$118</c:f>
              <c:numCache>
                <c:formatCode>_(* #,##0_);_(* \(#,##0\);_(* "-"??_);_(@_)</c:formatCode>
                <c:ptCount val="10"/>
                <c:pt idx="0">
                  <c:v>26</c:v>
                </c:pt>
                <c:pt idx="1">
                  <c:v>43.2</c:v>
                </c:pt>
                <c:pt idx="2">
                  <c:v>4.2</c:v>
                </c:pt>
                <c:pt idx="3">
                  <c:v>11.6</c:v>
                </c:pt>
                <c:pt idx="4">
                  <c:v>6.8999999999999995</c:v>
                </c:pt>
                <c:pt idx="5">
                  <c:v>5.9</c:v>
                </c:pt>
                <c:pt idx="6">
                  <c:v>14.82</c:v>
                </c:pt>
                <c:pt idx="7">
                  <c:v>102.3</c:v>
                </c:pt>
                <c:pt idx="8">
                  <c:v>42</c:v>
                </c:pt>
                <c:pt idx="9">
                  <c:v>60</c:v>
                </c:pt>
              </c:numCache>
            </c:numRef>
          </c:val>
          <c:extLst>
            <c:ext xmlns:c16="http://schemas.microsoft.com/office/drawing/2014/chart" uri="{C3380CC4-5D6E-409C-BE32-E72D297353CC}">
              <c16:uniqueId val="{00000004-1F94-4F38-A0E1-7199D24CD126}"/>
            </c:ext>
          </c:extLst>
        </c:ser>
        <c:dLbls>
          <c:showLegendKey val="0"/>
          <c:showVal val="0"/>
          <c:showCatName val="0"/>
          <c:showSerName val="0"/>
          <c:showPercent val="0"/>
          <c:showBubbleSize val="0"/>
        </c:dLbls>
        <c:gapWidth val="30"/>
        <c:overlap val="100"/>
        <c:axId val="262942223"/>
        <c:axId val="262945583"/>
      </c:barChart>
      <c:catAx>
        <c:axId val="262942223"/>
        <c:scaling>
          <c:orientation val="minMax"/>
        </c:scaling>
        <c:delete val="0"/>
        <c:axPos val="b"/>
        <c:numFmt formatCode="General" sourceLinked="1"/>
        <c:majorTickMark val="none"/>
        <c:minorTickMark val="none"/>
        <c:tickLblPos val="nextTo"/>
        <c:txPr>
          <a:bodyPr/>
          <a:lstStyle/>
          <a:p>
            <a:pPr>
              <a:defRPr sz="900"/>
            </a:pPr>
            <a:endParaRPr lang="en-US"/>
          </a:p>
        </c:txPr>
        <c:crossAx val="262945583"/>
        <c:crosses val="autoZero"/>
        <c:auto val="1"/>
        <c:lblAlgn val="ctr"/>
        <c:lblOffset val="100"/>
        <c:noMultiLvlLbl val="0"/>
      </c:catAx>
      <c:valAx>
        <c:axId val="262945583"/>
        <c:scaling>
          <c:orientation val="minMax"/>
          <c:max val="110"/>
          <c:min val="0"/>
        </c:scaling>
        <c:delete val="1"/>
        <c:axPos val="l"/>
        <c:numFmt formatCode="_(* #,##0_);_(* \(#,##0\);_(* &quot;-&quot;??_);_(@_)" sourceLinked="1"/>
        <c:majorTickMark val="out"/>
        <c:minorTickMark val="none"/>
        <c:tickLblPos val="nextTo"/>
        <c:crossAx val="262942223"/>
        <c:crosses val="autoZero"/>
        <c:crossBetween val="between"/>
      </c:valAx>
    </c:plotArea>
    <c:legend>
      <c:legendPos val="b"/>
      <c:layout>
        <c:manualLayout>
          <c:xMode val="edge"/>
          <c:yMode val="edge"/>
          <c:x val="2.1632202445885564E-2"/>
          <c:y val="0.85645442728156362"/>
          <c:w val="0.63157297555755665"/>
          <c:h val="0.13602319915988337"/>
        </c:manualLayout>
      </c:layout>
      <c:overlay val="0"/>
      <c:spPr>
        <a:solidFill>
          <a:schemeClr val="bg1"/>
        </a:solidFill>
      </c:spPr>
      <c:txPr>
        <a:bodyPr/>
        <a:lstStyle/>
        <a:p>
          <a:pPr>
            <a:defRPr sz="900"/>
          </a:pPr>
          <a:endParaRPr lang="en-US"/>
        </a:p>
      </c:txPr>
    </c:legend>
    <c:plotVisOnly val="1"/>
    <c:dispBlanksAs val="gap"/>
    <c:showDLblsOverMax val="0"/>
  </c:chart>
  <c:spPr>
    <a:ln w="3175">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Consol!$M$231:$S$231</c:f>
              <c:numCache>
                <c:formatCode>_(* #,##0.0_);_(* \(#,##0.0\);_(* "-"??_);_(@_)</c:formatCode>
                <c:ptCount val="7"/>
                <c:pt idx="0">
                  <c:v>3.5946980494359994E-2</c:v>
                </c:pt>
                <c:pt idx="1">
                  <c:v>0.89160897894950875</c:v>
                </c:pt>
                <c:pt idx="2">
                  <c:v>1.5708771646829742</c:v>
                </c:pt>
                <c:pt idx="3">
                  <c:v>0.91473530150921256</c:v>
                </c:pt>
                <c:pt idx="4">
                  <c:v>1.8337019224366602</c:v>
                </c:pt>
                <c:pt idx="5">
                  <c:v>2.2366778043597755</c:v>
                </c:pt>
                <c:pt idx="6">
                  <c:v>1.9895481896072915</c:v>
                </c:pt>
              </c:numCache>
            </c:numRef>
          </c:val>
          <c:smooth val="0"/>
          <c:extLst>
            <c:ext xmlns:c16="http://schemas.microsoft.com/office/drawing/2014/chart" uri="{C3380CC4-5D6E-409C-BE32-E72D297353CC}">
              <c16:uniqueId val="{00000000-4689-4D5D-82CE-9FC91036C6F8}"/>
            </c:ext>
          </c:extLst>
        </c:ser>
        <c:dLbls>
          <c:dLblPos val="t"/>
          <c:showLegendKey val="0"/>
          <c:showVal val="1"/>
          <c:showCatName val="0"/>
          <c:showSerName val="0"/>
          <c:showPercent val="0"/>
          <c:showBubbleSize val="0"/>
        </c:dLbls>
        <c:smooth val="0"/>
        <c:axId val="1976636383"/>
        <c:axId val="1976636863"/>
      </c:lineChart>
      <c:catAx>
        <c:axId val="1976636383"/>
        <c:scaling>
          <c:orientation val="minMax"/>
        </c:scaling>
        <c:delete val="0"/>
        <c:axPos val="b"/>
        <c:numFmt formatCode="General" sourceLinked="1"/>
        <c:majorTickMark val="none"/>
        <c:minorTickMark val="none"/>
        <c:tickLblPos val="nextTo"/>
        <c:crossAx val="1976636863"/>
        <c:crosses val="autoZero"/>
        <c:auto val="1"/>
        <c:lblAlgn val="ctr"/>
        <c:lblOffset val="100"/>
        <c:noMultiLvlLbl val="0"/>
      </c:catAx>
      <c:valAx>
        <c:axId val="1976636863"/>
        <c:scaling>
          <c:orientation val="minMax"/>
        </c:scaling>
        <c:delete val="0"/>
        <c:axPos val="l"/>
        <c:majorGridlines>
          <c:spPr>
            <a:ln w="3175" cap="flat" cmpd="sng" algn="ctr">
              <a:solidFill>
                <a:srgbClr val="FFFFFF">
                  <a:lumMod val="75000"/>
                </a:srgbClr>
              </a:solidFill>
              <a:prstDash val="dash"/>
              <a:round/>
              <a:headEnd type="none" w="med" len="med"/>
              <a:tailEnd type="none" w="med" len="med"/>
            </a:ln>
          </c:spPr>
        </c:majorGridlines>
        <c:numFmt formatCode="_(* #,##0.0_);_(* \(#,##0.0\);_(* &quot;-&quot;??_);_(@_)" sourceLinked="1"/>
        <c:majorTickMark val="out"/>
        <c:minorTickMark val="none"/>
        <c:tickLblPos val="nextTo"/>
        <c:crossAx val="1976636383"/>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Logistics ROCE (%)</a:t>
            </a:r>
          </a:p>
        </c:rich>
      </c:tx>
      <c:overlay val="0"/>
    </c:title>
    <c:autoTitleDeleted val="0"/>
    <c:plotArea>
      <c:layout/>
      <c:lineChart>
        <c:grouping val="standard"/>
        <c:varyColors val="0"/>
        <c:ser>
          <c:idx val="0"/>
          <c:order val="0"/>
          <c:spPr>
            <a:ln w="28575"/>
            <a:effectLst>
              <a:outerShdw blurRad="50800" dist="38100" dir="2700000" algn="tl" rotWithShape="0">
                <a:prstClr val="black">
                  <a:alpha val="40000"/>
                </a:prstClr>
              </a:outerShdw>
            </a:effectLst>
          </c:spPr>
          <c:marker>
            <c:symbol val="none"/>
          </c:marker>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Logistics!$D$194:$H$194</c:f>
              <c:strCache>
                <c:ptCount val="5"/>
                <c:pt idx="0">
                  <c:v>FY26E</c:v>
                </c:pt>
                <c:pt idx="1">
                  <c:v>FY27E</c:v>
                </c:pt>
                <c:pt idx="2">
                  <c:v>FY28E</c:v>
                </c:pt>
                <c:pt idx="3">
                  <c:v>FY29E</c:v>
                </c:pt>
                <c:pt idx="4">
                  <c:v>FY30E</c:v>
                </c:pt>
              </c:strCache>
            </c:strRef>
          </c:cat>
          <c:val>
            <c:numRef>
              <c:f>Logistics!$D$197:$H$197</c:f>
              <c:numCache>
                <c:formatCode>0%</c:formatCode>
                <c:ptCount val="5"/>
                <c:pt idx="0">
                  <c:v>8.743103986060102E-3</c:v>
                </c:pt>
                <c:pt idx="1">
                  <c:v>3.3526025439008116E-2</c:v>
                </c:pt>
                <c:pt idx="2">
                  <c:v>4.762989741618933E-2</c:v>
                </c:pt>
                <c:pt idx="3">
                  <c:v>7.6143698631433637E-2</c:v>
                </c:pt>
                <c:pt idx="4">
                  <c:v>9.7272903862371529E-2</c:v>
                </c:pt>
              </c:numCache>
            </c:numRef>
          </c:val>
          <c:smooth val="1"/>
          <c:extLst>
            <c:ext xmlns:c16="http://schemas.microsoft.com/office/drawing/2014/chart" uri="{C3380CC4-5D6E-409C-BE32-E72D297353CC}">
              <c16:uniqueId val="{00000000-2F26-4071-A700-2D78332A5924}"/>
            </c:ext>
          </c:extLst>
        </c:ser>
        <c:dLbls>
          <c:dLblPos val="t"/>
          <c:showLegendKey val="0"/>
          <c:showVal val="1"/>
          <c:showCatName val="0"/>
          <c:showSerName val="0"/>
          <c:showPercent val="0"/>
          <c:showBubbleSize val="0"/>
        </c:dLbls>
        <c:smooth val="0"/>
        <c:axId val="895335407"/>
        <c:axId val="895344047"/>
      </c:lineChart>
      <c:catAx>
        <c:axId val="895335407"/>
        <c:scaling>
          <c:orientation val="minMax"/>
        </c:scaling>
        <c:delete val="0"/>
        <c:axPos val="b"/>
        <c:numFmt formatCode="General" sourceLinked="1"/>
        <c:majorTickMark val="none"/>
        <c:minorTickMark val="none"/>
        <c:tickLblPos val="nextTo"/>
        <c:crossAx val="895344047"/>
        <c:crosses val="autoZero"/>
        <c:auto val="1"/>
        <c:lblAlgn val="ctr"/>
        <c:lblOffset val="100"/>
        <c:noMultiLvlLbl val="0"/>
      </c:catAx>
      <c:valAx>
        <c:axId val="895344047"/>
        <c:scaling>
          <c:orientation val="minMax"/>
        </c:scaling>
        <c:delete val="1"/>
        <c:axPos val="l"/>
        <c:numFmt formatCode="0%" sourceLinked="1"/>
        <c:majorTickMark val="out"/>
        <c:minorTickMark val="none"/>
        <c:tickLblPos val="nextTo"/>
        <c:crossAx val="895335407"/>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Charts!$B$2</c:f>
          <c:strCache>
            <c:ptCount val="1"/>
            <c:pt idx="0">
              <c:v>Cargo - Customer Wise, MT</c:v>
            </c:pt>
          </c:strCache>
        </c:strRef>
      </c:tx>
      <c:overlay val="0"/>
      <c:txPr>
        <a:bodyPr/>
        <a:lstStyle/>
        <a:p>
          <a:pPr>
            <a:defRPr sz="1200"/>
          </a:pPr>
          <a:endParaRPr lang="en-US"/>
        </a:p>
      </c:txPr>
    </c:title>
    <c:autoTitleDeleted val="0"/>
    <c:plotArea>
      <c:layout/>
      <c:barChart>
        <c:barDir val="col"/>
        <c:grouping val="stacked"/>
        <c:varyColors val="0"/>
        <c:ser>
          <c:idx val="0"/>
          <c:order val="0"/>
          <c:tx>
            <c:strRef>
              <c:f>Charts!$B$3</c:f>
              <c:strCache>
                <c:ptCount val="1"/>
                <c:pt idx="0">
                  <c:v>JSW Group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Charts!$F$2:$I$2</c:f>
              <c:strCache>
                <c:ptCount val="4"/>
                <c:pt idx="0">
                  <c:v>FY21</c:v>
                </c:pt>
                <c:pt idx="1">
                  <c:v>FY22</c:v>
                </c:pt>
                <c:pt idx="2">
                  <c:v>FY23</c:v>
                </c:pt>
                <c:pt idx="3">
                  <c:v>FY24</c:v>
                </c:pt>
              </c:strCache>
            </c:strRef>
          </c:cat>
          <c:val>
            <c:numRef>
              <c:f>Charts!$F$3:$I$3</c:f>
              <c:numCache>
                <c:formatCode>#,##0_);\(#,##0\)</c:formatCode>
                <c:ptCount val="4"/>
                <c:pt idx="0">
                  <c:v>34.240000000000009</c:v>
                </c:pt>
                <c:pt idx="1">
                  <c:v>43.325000000000003</c:v>
                </c:pt>
                <c:pt idx="2">
                  <c:v>61.830000000000013</c:v>
                </c:pt>
                <c:pt idx="3" formatCode="_(* #,##0_);_(* \(#,##0\);_(* &quot;-&quot;??_);_(@_)">
                  <c:v>64.480897466710957</c:v>
                </c:pt>
              </c:numCache>
            </c:numRef>
          </c:val>
          <c:extLst>
            <c:ext xmlns:c16="http://schemas.microsoft.com/office/drawing/2014/chart" uri="{C3380CC4-5D6E-409C-BE32-E72D297353CC}">
              <c16:uniqueId val="{00000000-F2CE-46B1-8D09-DF1E553F2DFB}"/>
            </c:ext>
          </c:extLst>
        </c:ser>
        <c:ser>
          <c:idx val="1"/>
          <c:order val="1"/>
          <c:tx>
            <c:strRef>
              <c:f>Charts!$B$4</c:f>
              <c:strCache>
                <c:ptCount val="1"/>
                <c:pt idx="0">
                  <c:v>Third Party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Charts!$F$2:$I$2</c:f>
              <c:strCache>
                <c:ptCount val="4"/>
                <c:pt idx="0">
                  <c:v>FY21</c:v>
                </c:pt>
                <c:pt idx="1">
                  <c:v>FY22</c:v>
                </c:pt>
                <c:pt idx="2">
                  <c:v>FY23</c:v>
                </c:pt>
                <c:pt idx="3">
                  <c:v>FY24</c:v>
                </c:pt>
              </c:strCache>
            </c:strRef>
          </c:cat>
          <c:val>
            <c:numRef>
              <c:f>Charts!$F$4:$I$4</c:f>
              <c:numCache>
                <c:formatCode>#,##0_);\(#,##0\)</c:formatCode>
                <c:ptCount val="4"/>
                <c:pt idx="0">
                  <c:v>11.3</c:v>
                </c:pt>
                <c:pt idx="1">
                  <c:v>18.645</c:v>
                </c:pt>
                <c:pt idx="2">
                  <c:v>31</c:v>
                </c:pt>
                <c:pt idx="3" formatCode="_(* #,##0_);_(* \(#,##0\);_(* &quot;-&quot;??_);_(@_)">
                  <c:v>42.987264977807314</c:v>
                </c:pt>
              </c:numCache>
            </c:numRef>
          </c:val>
          <c:extLst>
            <c:ext xmlns:c16="http://schemas.microsoft.com/office/drawing/2014/chart" uri="{C3380CC4-5D6E-409C-BE32-E72D297353CC}">
              <c16:uniqueId val="{00000001-F2CE-46B1-8D09-DF1E553F2DFB}"/>
            </c:ext>
          </c:extLst>
        </c:ser>
        <c:ser>
          <c:idx val="2"/>
          <c:order val="2"/>
          <c:tx>
            <c:strRef>
              <c:f>Charts!$B$5</c:f>
              <c:strCache>
                <c:ptCount val="1"/>
                <c:pt idx="0">
                  <c:v>Total</c:v>
                </c:pt>
              </c:strCache>
            </c:strRef>
          </c:tx>
          <c:spPr>
            <a:noFill/>
            <a:ln w="25400">
              <a:noFill/>
            </a:ln>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Charts!$F$2:$I$2</c:f>
              <c:strCache>
                <c:ptCount val="4"/>
                <c:pt idx="0">
                  <c:v>FY21</c:v>
                </c:pt>
                <c:pt idx="1">
                  <c:v>FY22</c:v>
                </c:pt>
                <c:pt idx="2">
                  <c:v>FY23</c:v>
                </c:pt>
                <c:pt idx="3">
                  <c:v>FY24</c:v>
                </c:pt>
              </c:strCache>
            </c:strRef>
          </c:cat>
          <c:val>
            <c:numRef>
              <c:f>Charts!$F$5:$I$5</c:f>
              <c:numCache>
                <c:formatCode>#,##0_);\(#,##0\)</c:formatCode>
                <c:ptCount val="4"/>
                <c:pt idx="0">
                  <c:v>45.540000000000006</c:v>
                </c:pt>
                <c:pt idx="1">
                  <c:v>61.97</c:v>
                </c:pt>
                <c:pt idx="2">
                  <c:v>92.830000000000013</c:v>
                </c:pt>
                <c:pt idx="3" formatCode="_(* #,##0_);_(* \(#,##0\);_(* &quot;-&quot;??_);_(@_)">
                  <c:v>107.46816244451827</c:v>
                </c:pt>
              </c:numCache>
            </c:numRef>
          </c:val>
          <c:extLst>
            <c:ext xmlns:c16="http://schemas.microsoft.com/office/drawing/2014/chart" uri="{C3380CC4-5D6E-409C-BE32-E72D297353CC}">
              <c16:uniqueId val="{00000002-F2CE-46B1-8D09-DF1E553F2DFB}"/>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crossAx val="327558928"/>
        <c:crosses val="autoZero"/>
        <c:auto val="1"/>
        <c:lblAlgn val="ctr"/>
        <c:lblOffset val="100"/>
        <c:noMultiLvlLbl val="0"/>
      </c:catAx>
      <c:valAx>
        <c:axId val="327558928"/>
        <c:scaling>
          <c:orientation val="minMax"/>
          <c:max val="120"/>
        </c:scaling>
        <c:delete val="0"/>
        <c:axPos val="l"/>
        <c:numFmt formatCode="#,##0_);\(#,##0\)" sourceLinked="1"/>
        <c:majorTickMark val="out"/>
        <c:minorTickMark val="none"/>
        <c:tickLblPos val="nextTo"/>
        <c:crossAx val="327560848"/>
        <c:crosses val="autoZero"/>
        <c:crossBetween val="between"/>
      </c:valAx>
    </c:plotArea>
    <c:legend>
      <c:legendPos val="b"/>
      <c:legendEntry>
        <c:idx val="2"/>
        <c:delete val="1"/>
      </c:legendEntry>
      <c:overlay val="0"/>
    </c:legend>
    <c:plotVisOnly val="1"/>
    <c:dispBlanksAs val="gap"/>
    <c:showDLblsOverMax val="0"/>
  </c:chart>
  <c:spPr>
    <a:ln w="3175">
      <a:no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Charts!$B$7</c:f>
          <c:strCache>
            <c:ptCount val="1"/>
            <c:pt idx="0">
              <c:v>JSW Steel Capacity and Production, MT</c:v>
            </c:pt>
          </c:strCache>
        </c:strRef>
      </c:tx>
      <c:overlay val="0"/>
    </c:title>
    <c:autoTitleDeleted val="0"/>
    <c:plotArea>
      <c:layout/>
      <c:barChart>
        <c:barDir val="col"/>
        <c:grouping val="clustered"/>
        <c:varyColors val="0"/>
        <c:ser>
          <c:idx val="0"/>
          <c:order val="0"/>
          <c:tx>
            <c:strRef>
              <c:f>Charts!$B$8</c:f>
              <c:strCache>
                <c:ptCount val="1"/>
                <c:pt idx="0">
                  <c:v>Capacity</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Charts!$H$7:$O$7</c:f>
              <c:strCache>
                <c:ptCount val="8"/>
                <c:pt idx="0">
                  <c:v>FY23</c:v>
                </c:pt>
                <c:pt idx="1">
                  <c:v>FY24</c:v>
                </c:pt>
                <c:pt idx="2">
                  <c:v>FY25E</c:v>
                </c:pt>
                <c:pt idx="3">
                  <c:v>FY26E</c:v>
                </c:pt>
                <c:pt idx="4">
                  <c:v>FY27E</c:v>
                </c:pt>
                <c:pt idx="5">
                  <c:v>FY28E</c:v>
                </c:pt>
                <c:pt idx="6">
                  <c:v>FY29E</c:v>
                </c:pt>
                <c:pt idx="7">
                  <c:v>FY30E</c:v>
                </c:pt>
              </c:strCache>
            </c:strRef>
          </c:cat>
          <c:val>
            <c:numRef>
              <c:f>Charts!$H$8:$O$8</c:f>
              <c:numCache>
                <c:formatCode>#,##0_);\(#,##0\)</c:formatCode>
                <c:ptCount val="8"/>
                <c:pt idx="0">
                  <c:v>29</c:v>
                </c:pt>
                <c:pt idx="1">
                  <c:v>30</c:v>
                </c:pt>
                <c:pt idx="2">
                  <c:v>35.5</c:v>
                </c:pt>
                <c:pt idx="3">
                  <c:v>35.5</c:v>
                </c:pt>
                <c:pt idx="4">
                  <c:v>37.5</c:v>
                </c:pt>
                <c:pt idx="5">
                  <c:v>44.5</c:v>
                </c:pt>
                <c:pt idx="6">
                  <c:v>44.5</c:v>
                </c:pt>
                <c:pt idx="7">
                  <c:v>51.5</c:v>
                </c:pt>
              </c:numCache>
            </c:numRef>
          </c:val>
          <c:extLst>
            <c:ext xmlns:c16="http://schemas.microsoft.com/office/drawing/2014/chart" uri="{C3380CC4-5D6E-409C-BE32-E72D297353CC}">
              <c16:uniqueId val="{00000000-A6BA-4C9A-BE0E-5CAF80B70EF5}"/>
            </c:ext>
          </c:extLst>
        </c:ser>
        <c:ser>
          <c:idx val="1"/>
          <c:order val="1"/>
          <c:tx>
            <c:strRef>
              <c:f>Charts!$B$9</c:f>
              <c:strCache>
                <c:ptCount val="1"/>
                <c:pt idx="0">
                  <c:v>Production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Charts!$H$7:$O$7</c:f>
              <c:strCache>
                <c:ptCount val="8"/>
                <c:pt idx="0">
                  <c:v>FY23</c:v>
                </c:pt>
                <c:pt idx="1">
                  <c:v>FY24</c:v>
                </c:pt>
                <c:pt idx="2">
                  <c:v>FY25E</c:v>
                </c:pt>
                <c:pt idx="3">
                  <c:v>FY26E</c:v>
                </c:pt>
                <c:pt idx="4">
                  <c:v>FY27E</c:v>
                </c:pt>
                <c:pt idx="5">
                  <c:v>FY28E</c:v>
                </c:pt>
                <c:pt idx="6">
                  <c:v>FY29E</c:v>
                </c:pt>
                <c:pt idx="7">
                  <c:v>FY30E</c:v>
                </c:pt>
              </c:strCache>
            </c:strRef>
          </c:cat>
          <c:val>
            <c:numRef>
              <c:f>Charts!$H$9:$O$9</c:f>
              <c:numCache>
                <c:formatCode>#,##0_);\(#,##0\)</c:formatCode>
                <c:ptCount val="8"/>
                <c:pt idx="0">
                  <c:v>24.2</c:v>
                </c:pt>
                <c:pt idx="1">
                  <c:v>26.1</c:v>
                </c:pt>
                <c:pt idx="2">
                  <c:v>25</c:v>
                </c:pt>
                <c:pt idx="3">
                  <c:v>29.700000000000003</c:v>
                </c:pt>
                <c:pt idx="4">
                  <c:v>31.799999999999997</c:v>
                </c:pt>
                <c:pt idx="5">
                  <c:v>31.9</c:v>
                </c:pt>
                <c:pt idx="6">
                  <c:v>33.799999999999997</c:v>
                </c:pt>
                <c:pt idx="7">
                  <c:v>35.6</c:v>
                </c:pt>
              </c:numCache>
            </c:numRef>
          </c:val>
          <c:extLst>
            <c:ext xmlns:c16="http://schemas.microsoft.com/office/drawing/2014/chart" uri="{C3380CC4-5D6E-409C-BE32-E72D297353CC}">
              <c16:uniqueId val="{00000001-A6BA-4C9A-BE0E-5CAF80B70EF5}"/>
            </c:ext>
          </c:extLst>
        </c:ser>
        <c:dLbls>
          <c:dLblPos val="outEnd"/>
          <c:showLegendKey val="0"/>
          <c:showVal val="1"/>
          <c:showCatName val="0"/>
          <c:showSerName val="0"/>
          <c:showPercent val="0"/>
          <c:showBubbleSize val="0"/>
        </c:dLbls>
        <c:gapWidth val="30"/>
        <c:overlap val="-27"/>
        <c:axId val="13801839"/>
        <c:axId val="13820559"/>
      </c:barChart>
      <c:catAx>
        <c:axId val="13801839"/>
        <c:scaling>
          <c:orientation val="minMax"/>
        </c:scaling>
        <c:delete val="0"/>
        <c:axPos val="b"/>
        <c:numFmt formatCode="General" sourceLinked="1"/>
        <c:majorTickMark val="none"/>
        <c:minorTickMark val="none"/>
        <c:tickLblPos val="nextTo"/>
        <c:crossAx val="13820559"/>
        <c:crosses val="autoZero"/>
        <c:auto val="1"/>
        <c:lblAlgn val="ctr"/>
        <c:lblOffset val="100"/>
        <c:noMultiLvlLbl val="0"/>
      </c:catAx>
      <c:valAx>
        <c:axId val="13820559"/>
        <c:scaling>
          <c:orientation val="minMax"/>
        </c:scaling>
        <c:delete val="1"/>
        <c:axPos val="l"/>
        <c:numFmt formatCode="#,##0_);\(#,##0\)" sourceLinked="1"/>
        <c:majorTickMark val="none"/>
        <c:minorTickMark val="none"/>
        <c:tickLblPos val="nextTo"/>
        <c:crossAx val="13801839"/>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Charts!$B$11</c:f>
          <c:strCache>
            <c:ptCount val="1"/>
            <c:pt idx="0">
              <c:v>Raw Material Requirement for JSW Steel, MT</c:v>
            </c:pt>
          </c:strCache>
        </c:strRef>
      </c:tx>
      <c:overlay val="0"/>
    </c:title>
    <c:autoTitleDeleted val="0"/>
    <c:plotArea>
      <c:layout/>
      <c:barChart>
        <c:barDir val="col"/>
        <c:grouping val="clustered"/>
        <c:varyColors val="0"/>
        <c:ser>
          <c:idx val="0"/>
          <c:order val="0"/>
          <c:tx>
            <c:strRef>
              <c:f>Charts!$B$12</c:f>
              <c:strCache>
                <c:ptCount val="1"/>
                <c:pt idx="0">
                  <c:v>Iron Ore</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Charts!$H$7:$O$7</c:f>
              <c:strCache>
                <c:ptCount val="8"/>
                <c:pt idx="0">
                  <c:v>FY23</c:v>
                </c:pt>
                <c:pt idx="1">
                  <c:v>FY24</c:v>
                </c:pt>
                <c:pt idx="2">
                  <c:v>FY25E</c:v>
                </c:pt>
                <c:pt idx="3">
                  <c:v>FY26E</c:v>
                </c:pt>
                <c:pt idx="4">
                  <c:v>FY27E</c:v>
                </c:pt>
                <c:pt idx="5">
                  <c:v>FY28E</c:v>
                </c:pt>
                <c:pt idx="6">
                  <c:v>FY29E</c:v>
                </c:pt>
                <c:pt idx="7">
                  <c:v>FY30E</c:v>
                </c:pt>
              </c:strCache>
            </c:strRef>
          </c:cat>
          <c:val>
            <c:numRef>
              <c:f>Charts!$H$12:$O$12</c:f>
              <c:numCache>
                <c:formatCode>#,##0_);\(#,##0\)</c:formatCode>
                <c:ptCount val="8"/>
                <c:pt idx="0">
                  <c:v>48.4</c:v>
                </c:pt>
                <c:pt idx="1">
                  <c:v>52.2</c:v>
                </c:pt>
                <c:pt idx="2">
                  <c:v>50</c:v>
                </c:pt>
                <c:pt idx="3">
                  <c:v>59.400000000000006</c:v>
                </c:pt>
                <c:pt idx="4">
                  <c:v>63.599999999999994</c:v>
                </c:pt>
                <c:pt idx="5">
                  <c:v>63.8</c:v>
                </c:pt>
                <c:pt idx="6">
                  <c:v>67.599999999999994</c:v>
                </c:pt>
                <c:pt idx="7">
                  <c:v>71.2</c:v>
                </c:pt>
              </c:numCache>
            </c:numRef>
          </c:val>
          <c:extLst>
            <c:ext xmlns:c16="http://schemas.microsoft.com/office/drawing/2014/chart" uri="{C3380CC4-5D6E-409C-BE32-E72D297353CC}">
              <c16:uniqueId val="{00000000-BE9D-4BAE-BC1D-C531518F03C2}"/>
            </c:ext>
          </c:extLst>
        </c:ser>
        <c:ser>
          <c:idx val="1"/>
          <c:order val="1"/>
          <c:tx>
            <c:strRef>
              <c:f>Charts!$B$13</c:f>
              <c:strCache>
                <c:ptCount val="1"/>
                <c:pt idx="0">
                  <c:v>Coaking Coal</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Charts!$H$7:$O$7</c:f>
              <c:strCache>
                <c:ptCount val="8"/>
                <c:pt idx="0">
                  <c:v>FY23</c:v>
                </c:pt>
                <c:pt idx="1">
                  <c:v>FY24</c:v>
                </c:pt>
                <c:pt idx="2">
                  <c:v>FY25E</c:v>
                </c:pt>
                <c:pt idx="3">
                  <c:v>FY26E</c:v>
                </c:pt>
                <c:pt idx="4">
                  <c:v>FY27E</c:v>
                </c:pt>
                <c:pt idx="5">
                  <c:v>FY28E</c:v>
                </c:pt>
                <c:pt idx="6">
                  <c:v>FY29E</c:v>
                </c:pt>
                <c:pt idx="7">
                  <c:v>FY30E</c:v>
                </c:pt>
              </c:strCache>
            </c:strRef>
          </c:cat>
          <c:val>
            <c:numRef>
              <c:f>Charts!$H$13:$O$13</c:f>
              <c:numCache>
                <c:formatCode>#,##0_);\(#,##0\)</c:formatCode>
                <c:ptCount val="8"/>
                <c:pt idx="0">
                  <c:v>16.939999999999998</c:v>
                </c:pt>
                <c:pt idx="1">
                  <c:v>18.27</c:v>
                </c:pt>
                <c:pt idx="2">
                  <c:v>17.5</c:v>
                </c:pt>
                <c:pt idx="3">
                  <c:v>20.79</c:v>
                </c:pt>
                <c:pt idx="4">
                  <c:v>22.259999999999998</c:v>
                </c:pt>
                <c:pt idx="5">
                  <c:v>22.33</c:v>
                </c:pt>
                <c:pt idx="6">
                  <c:v>23.659999999999997</c:v>
                </c:pt>
                <c:pt idx="7">
                  <c:v>24.919999999999998</c:v>
                </c:pt>
              </c:numCache>
            </c:numRef>
          </c:val>
          <c:extLst>
            <c:ext xmlns:c16="http://schemas.microsoft.com/office/drawing/2014/chart" uri="{C3380CC4-5D6E-409C-BE32-E72D297353CC}">
              <c16:uniqueId val="{00000001-BE9D-4BAE-BC1D-C531518F03C2}"/>
            </c:ext>
          </c:extLst>
        </c:ser>
        <c:ser>
          <c:idx val="2"/>
          <c:order val="2"/>
          <c:tx>
            <c:strRef>
              <c:f>Charts!$B$14</c:f>
              <c:strCache>
                <c:ptCount val="1"/>
                <c:pt idx="0">
                  <c:v>Thermal Coal</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Charts!$H$7:$O$7</c:f>
              <c:strCache>
                <c:ptCount val="8"/>
                <c:pt idx="0">
                  <c:v>FY23</c:v>
                </c:pt>
                <c:pt idx="1">
                  <c:v>FY24</c:v>
                </c:pt>
                <c:pt idx="2">
                  <c:v>FY25E</c:v>
                </c:pt>
                <c:pt idx="3">
                  <c:v>FY26E</c:v>
                </c:pt>
                <c:pt idx="4">
                  <c:v>FY27E</c:v>
                </c:pt>
                <c:pt idx="5">
                  <c:v>FY28E</c:v>
                </c:pt>
                <c:pt idx="6">
                  <c:v>FY29E</c:v>
                </c:pt>
                <c:pt idx="7">
                  <c:v>FY30E</c:v>
                </c:pt>
              </c:strCache>
            </c:strRef>
          </c:cat>
          <c:val>
            <c:numRef>
              <c:f>Charts!$H$14:$O$14</c:f>
              <c:numCache>
                <c:formatCode>#,##0_);\(#,##0\)</c:formatCode>
                <c:ptCount val="8"/>
                <c:pt idx="0">
                  <c:v>19.36</c:v>
                </c:pt>
                <c:pt idx="1">
                  <c:v>20.880000000000003</c:v>
                </c:pt>
                <c:pt idx="2">
                  <c:v>20</c:v>
                </c:pt>
                <c:pt idx="3">
                  <c:v>23.760000000000005</c:v>
                </c:pt>
                <c:pt idx="4">
                  <c:v>25.439999999999998</c:v>
                </c:pt>
                <c:pt idx="5">
                  <c:v>25.52</c:v>
                </c:pt>
                <c:pt idx="6">
                  <c:v>27.04</c:v>
                </c:pt>
                <c:pt idx="7">
                  <c:v>28.480000000000004</c:v>
                </c:pt>
              </c:numCache>
            </c:numRef>
          </c:val>
          <c:extLst>
            <c:ext xmlns:c16="http://schemas.microsoft.com/office/drawing/2014/chart" uri="{C3380CC4-5D6E-409C-BE32-E72D297353CC}">
              <c16:uniqueId val="{00000002-BE9D-4BAE-BC1D-C531518F03C2}"/>
            </c:ext>
          </c:extLst>
        </c:ser>
        <c:dLbls>
          <c:dLblPos val="outEnd"/>
          <c:showLegendKey val="0"/>
          <c:showVal val="1"/>
          <c:showCatName val="0"/>
          <c:showSerName val="0"/>
          <c:showPercent val="0"/>
          <c:showBubbleSize val="0"/>
        </c:dLbls>
        <c:gapWidth val="30"/>
        <c:overlap val="-27"/>
        <c:axId val="13801839"/>
        <c:axId val="13820559"/>
      </c:barChart>
      <c:catAx>
        <c:axId val="13801839"/>
        <c:scaling>
          <c:orientation val="minMax"/>
        </c:scaling>
        <c:delete val="0"/>
        <c:axPos val="b"/>
        <c:numFmt formatCode="General" sourceLinked="1"/>
        <c:majorTickMark val="none"/>
        <c:minorTickMark val="none"/>
        <c:tickLblPos val="nextTo"/>
        <c:crossAx val="13820559"/>
        <c:crosses val="autoZero"/>
        <c:auto val="1"/>
        <c:lblAlgn val="ctr"/>
        <c:lblOffset val="100"/>
        <c:noMultiLvlLbl val="0"/>
      </c:catAx>
      <c:valAx>
        <c:axId val="13820559"/>
        <c:scaling>
          <c:orientation val="minMax"/>
        </c:scaling>
        <c:delete val="1"/>
        <c:axPos val="l"/>
        <c:numFmt formatCode="#,##0_);\(#,##0\)" sourceLinked="1"/>
        <c:majorTickMark val="none"/>
        <c:minorTickMark val="none"/>
        <c:tickLblPos val="nextTo"/>
        <c:crossAx val="13801839"/>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Charts!$B$16</c:f>
          <c:strCache>
            <c:ptCount val="1"/>
            <c:pt idx="0">
              <c:v>Volumes - Portwise, MT</c:v>
            </c:pt>
          </c:strCache>
        </c:strRef>
      </c:tx>
      <c:layout>
        <c:manualLayout>
          <c:xMode val="edge"/>
          <c:yMode val="edge"/>
          <c:x val="0.47099296470285568"/>
          <c:y val="2.0453298235258828E-2"/>
        </c:manualLayout>
      </c:layout>
      <c:overlay val="0"/>
    </c:title>
    <c:autoTitleDeleted val="0"/>
    <c:plotArea>
      <c:layout>
        <c:manualLayout>
          <c:layoutTarget val="inner"/>
          <c:xMode val="edge"/>
          <c:yMode val="edge"/>
          <c:x val="1.2109198795771818E-2"/>
          <c:y val="4.185276282588888E-2"/>
          <c:w val="0.97578160240845635"/>
          <c:h val="0.55765313702461683"/>
        </c:manualLayout>
      </c:layout>
      <c:barChart>
        <c:barDir val="col"/>
        <c:grouping val="stacked"/>
        <c:varyColors val="0"/>
        <c:ser>
          <c:idx val="0"/>
          <c:order val="0"/>
          <c:tx>
            <c:strRef>
              <c:f>Charts!$B$17</c:f>
              <c:strCache>
                <c:ptCount val="1"/>
                <c:pt idx="0">
                  <c:v>Jaigarh</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Charts!$F$17:$O$17</c:f>
              <c:numCache>
                <c:formatCode>_(* #,##0_);_(* \(#,##0\);_(* "-"??_);_(@_)</c:formatCode>
                <c:ptCount val="10"/>
                <c:pt idx="0">
                  <c:v>9.2379999999999995</c:v>
                </c:pt>
                <c:pt idx="1">
                  <c:v>14.019483999999999</c:v>
                </c:pt>
                <c:pt idx="2">
                  <c:v>20.237000000000002</c:v>
                </c:pt>
                <c:pt idx="3">
                  <c:v>21.51</c:v>
                </c:pt>
                <c:pt idx="4">
                  <c:v>19.899999999999999</c:v>
                </c:pt>
                <c:pt idx="5">
                  <c:v>20.27</c:v>
                </c:pt>
                <c:pt idx="6">
                  <c:v>21.0808</c:v>
                </c:pt>
                <c:pt idx="7">
                  <c:v>26.303367999999999</c:v>
                </c:pt>
                <c:pt idx="8">
                  <c:v>28.933704799999997</c:v>
                </c:pt>
                <c:pt idx="9">
                  <c:v>30.380390040000002</c:v>
                </c:pt>
              </c:numCache>
            </c:numRef>
          </c:val>
          <c:extLst>
            <c:ext xmlns:c16="http://schemas.microsoft.com/office/drawing/2014/chart" uri="{C3380CC4-5D6E-409C-BE32-E72D297353CC}">
              <c16:uniqueId val="{00000000-0BDD-4F3E-B38E-EC022FA0B6DE}"/>
            </c:ext>
          </c:extLst>
        </c:ser>
        <c:ser>
          <c:idx val="1"/>
          <c:order val="1"/>
          <c:tx>
            <c:strRef>
              <c:f>Charts!$B$18</c:f>
              <c:strCache>
                <c:ptCount val="1"/>
                <c:pt idx="0">
                  <c:v>Dharmatar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Charts!$F$18:$O$18</c:f>
              <c:numCache>
                <c:formatCode>_(* #,##0_);_(* \(#,##0\);_(* "-"??_);_(@_)</c:formatCode>
                <c:ptCount val="10"/>
                <c:pt idx="0">
                  <c:v>12.9</c:v>
                </c:pt>
                <c:pt idx="1">
                  <c:v>17.209493327000001</c:v>
                </c:pt>
                <c:pt idx="2">
                  <c:v>24.029999999999998</c:v>
                </c:pt>
                <c:pt idx="3">
                  <c:v>25.14</c:v>
                </c:pt>
                <c:pt idx="4">
                  <c:v>23.1</c:v>
                </c:pt>
                <c:pt idx="5">
                  <c:v>24.53</c:v>
                </c:pt>
                <c:pt idx="6">
                  <c:v>25.479959999999998</c:v>
                </c:pt>
                <c:pt idx="7">
                  <c:v>31.648199999999999</c:v>
                </c:pt>
                <c:pt idx="8">
                  <c:v>34.732320000000009</c:v>
                </c:pt>
                <c:pt idx="9">
                  <c:v>35.750079600000007</c:v>
                </c:pt>
              </c:numCache>
            </c:numRef>
          </c:val>
          <c:extLst>
            <c:ext xmlns:c16="http://schemas.microsoft.com/office/drawing/2014/chart" uri="{C3380CC4-5D6E-409C-BE32-E72D297353CC}">
              <c16:uniqueId val="{00000001-0BDD-4F3E-B38E-EC022FA0B6DE}"/>
            </c:ext>
          </c:extLst>
        </c:ser>
        <c:ser>
          <c:idx val="2"/>
          <c:order val="2"/>
          <c:tx>
            <c:strRef>
              <c:f>Charts!$B$19</c:f>
              <c:strCache>
                <c:ptCount val="1"/>
                <c:pt idx="0">
                  <c:v>Paradip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Charts!$F$19:$O$19</c:f>
              <c:numCache>
                <c:formatCode>_(* #,##0_);_(* \(#,##0\);_(* "-"??_);_(@_)</c:formatCode>
                <c:ptCount val="10"/>
                <c:pt idx="0">
                  <c:v>0</c:v>
                </c:pt>
                <c:pt idx="1">
                  <c:v>0.28067500000000001</c:v>
                </c:pt>
                <c:pt idx="2">
                  <c:v>12.034000000000001</c:v>
                </c:pt>
                <c:pt idx="3">
                  <c:v>16.77</c:v>
                </c:pt>
                <c:pt idx="4">
                  <c:v>18.899999999999999</c:v>
                </c:pt>
                <c:pt idx="5">
                  <c:v>19.010000000000002</c:v>
                </c:pt>
                <c:pt idx="6">
                  <c:v>19.390200000000004</c:v>
                </c:pt>
                <c:pt idx="7">
                  <c:v>20.553612000000005</c:v>
                </c:pt>
                <c:pt idx="8">
                  <c:v>21.786828720000006</c:v>
                </c:pt>
                <c:pt idx="9">
                  <c:v>23.094038443200009</c:v>
                </c:pt>
              </c:numCache>
            </c:numRef>
          </c:val>
          <c:extLst>
            <c:ext xmlns:c16="http://schemas.microsoft.com/office/drawing/2014/chart" uri="{C3380CC4-5D6E-409C-BE32-E72D297353CC}">
              <c16:uniqueId val="{00000002-0BDD-4F3E-B38E-EC022FA0B6DE}"/>
            </c:ext>
          </c:extLst>
        </c:ser>
        <c:ser>
          <c:idx val="3"/>
          <c:order val="3"/>
          <c:tx>
            <c:strRef>
              <c:f>Charts!$B$20</c:f>
              <c:strCache>
                <c:ptCount val="1"/>
                <c:pt idx="0">
                  <c:v>Jatadhar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Charts!$F$20:$O$20</c:f>
              <c:numCache>
                <c:formatCode>_(* #,##0_);_(* \(#,##0\);_(* "-"??_);_(@_)</c:formatCode>
                <c:ptCount val="10"/>
                <c:pt idx="0">
                  <c:v>0</c:v>
                </c:pt>
                <c:pt idx="1">
                  <c:v>0</c:v>
                </c:pt>
                <c:pt idx="2">
                  <c:v>0</c:v>
                </c:pt>
                <c:pt idx="3">
                  <c:v>0</c:v>
                </c:pt>
                <c:pt idx="4">
                  <c:v>0</c:v>
                </c:pt>
                <c:pt idx="5">
                  <c:v>0</c:v>
                </c:pt>
                <c:pt idx="6">
                  <c:v>0</c:v>
                </c:pt>
                <c:pt idx="7">
                  <c:v>10.050000000000001</c:v>
                </c:pt>
                <c:pt idx="8">
                  <c:v>16.5</c:v>
                </c:pt>
                <c:pt idx="9">
                  <c:v>21</c:v>
                </c:pt>
              </c:numCache>
            </c:numRef>
          </c:val>
          <c:extLst>
            <c:ext xmlns:c16="http://schemas.microsoft.com/office/drawing/2014/chart" uri="{C3380CC4-5D6E-409C-BE32-E72D297353CC}">
              <c16:uniqueId val="{00000003-0BDD-4F3E-B38E-EC022FA0B6DE}"/>
            </c:ext>
          </c:extLst>
        </c:ser>
        <c:ser>
          <c:idx val="4"/>
          <c:order val="4"/>
          <c:tx>
            <c:strRef>
              <c:f>Charts!$B$21</c:f>
              <c:strCache>
                <c:ptCount val="1"/>
                <c:pt idx="0">
                  <c:v>Potential Domestic Asset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Charts!$F$21:$O$21</c:f>
              <c:numCache>
                <c:formatCode>_(* #,##0_);_(* \(#,##0\);_(* "-"??_);_(@_)</c:formatCode>
                <c:ptCount val="10"/>
                <c:pt idx="0">
                  <c:v>0</c:v>
                </c:pt>
                <c:pt idx="1">
                  <c:v>0</c:v>
                </c:pt>
                <c:pt idx="2">
                  <c:v>0</c:v>
                </c:pt>
                <c:pt idx="3">
                  <c:v>0</c:v>
                </c:pt>
                <c:pt idx="4">
                  <c:v>0</c:v>
                </c:pt>
                <c:pt idx="5">
                  <c:v>0</c:v>
                </c:pt>
                <c:pt idx="6">
                  <c:v>0</c:v>
                </c:pt>
                <c:pt idx="7">
                  <c:v>12</c:v>
                </c:pt>
                <c:pt idx="8">
                  <c:v>18</c:v>
                </c:pt>
                <c:pt idx="9">
                  <c:v>18</c:v>
                </c:pt>
              </c:numCache>
            </c:numRef>
          </c:val>
          <c:extLst>
            <c:ext xmlns:c16="http://schemas.microsoft.com/office/drawing/2014/chart" uri="{C3380CC4-5D6E-409C-BE32-E72D297353CC}">
              <c16:uniqueId val="{00000004-0BDD-4F3E-B38E-EC022FA0B6DE}"/>
            </c:ext>
          </c:extLst>
        </c:ser>
        <c:ser>
          <c:idx val="5"/>
          <c:order val="5"/>
          <c:tx>
            <c:strRef>
              <c:f>Charts!$B$22</c:f>
              <c:strCache>
                <c:ptCount val="1"/>
                <c:pt idx="0">
                  <c:v>Keni</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Charts!$F$22:$O$22</c:f>
              <c:numCache>
                <c:formatCode>_(* #,##0_);_(* \(#,##0\);_(* "-"??_);_(@_)</c:formatCode>
                <c:ptCount val="10"/>
                <c:pt idx="0">
                  <c:v>0</c:v>
                </c:pt>
                <c:pt idx="1">
                  <c:v>0</c:v>
                </c:pt>
                <c:pt idx="2">
                  <c:v>0</c:v>
                </c:pt>
                <c:pt idx="3">
                  <c:v>0</c:v>
                </c:pt>
                <c:pt idx="4">
                  <c:v>0</c:v>
                </c:pt>
                <c:pt idx="5">
                  <c:v>0</c:v>
                </c:pt>
                <c:pt idx="6">
                  <c:v>0</c:v>
                </c:pt>
                <c:pt idx="7">
                  <c:v>0</c:v>
                </c:pt>
                <c:pt idx="8">
                  <c:v>1.5</c:v>
                </c:pt>
                <c:pt idx="9">
                  <c:v>9</c:v>
                </c:pt>
              </c:numCache>
            </c:numRef>
          </c:val>
          <c:extLst>
            <c:ext xmlns:c16="http://schemas.microsoft.com/office/drawing/2014/chart" uri="{C3380CC4-5D6E-409C-BE32-E72D297353CC}">
              <c16:uniqueId val="{00000005-0BDD-4F3E-B38E-EC022FA0B6DE}"/>
            </c:ext>
          </c:extLst>
        </c:ser>
        <c:ser>
          <c:idx val="6"/>
          <c:order val="6"/>
          <c:tx>
            <c:strRef>
              <c:f>Charts!$B$23</c:f>
              <c:strCache>
                <c:ptCount val="1"/>
                <c:pt idx="0">
                  <c:v>Potential Domestic Asset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Charts!$F$23:$O$23</c:f>
              <c:numCache>
                <c:formatCode>_(* #,##0_);_(* \(#,##0\);_(*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6-0BDD-4F3E-B38E-EC022FA0B6DE}"/>
            </c:ext>
          </c:extLst>
        </c:ser>
        <c:ser>
          <c:idx val="7"/>
          <c:order val="7"/>
          <c:tx>
            <c:strRef>
              <c:f>Charts!$B$24</c:f>
              <c:strCache>
                <c:ptCount val="1"/>
                <c:pt idx="0">
                  <c:v>Murbe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Charts!$F$24:$O$24</c:f>
              <c:numCache>
                <c:formatCode>_(* #,##0_);_(* \(#,##0\);_(* "-"??_);_(@_)</c:formatCode>
                <c:ptCount val="10"/>
                <c:pt idx="0">
                  <c:v>0</c:v>
                </c:pt>
                <c:pt idx="1">
                  <c:v>0</c:v>
                </c:pt>
                <c:pt idx="2">
                  <c:v>0</c:v>
                </c:pt>
                <c:pt idx="3">
                  <c:v>0</c:v>
                </c:pt>
                <c:pt idx="4">
                  <c:v>0</c:v>
                </c:pt>
                <c:pt idx="5">
                  <c:v>0</c:v>
                </c:pt>
                <c:pt idx="6">
                  <c:v>0</c:v>
                </c:pt>
                <c:pt idx="7">
                  <c:v>0</c:v>
                </c:pt>
                <c:pt idx="8">
                  <c:v>0</c:v>
                </c:pt>
                <c:pt idx="9">
                  <c:v>8.25</c:v>
                </c:pt>
              </c:numCache>
            </c:numRef>
          </c:val>
          <c:extLst>
            <c:ext xmlns:c16="http://schemas.microsoft.com/office/drawing/2014/chart" uri="{C3380CC4-5D6E-409C-BE32-E72D297353CC}">
              <c16:uniqueId val="{00000007-0BDD-4F3E-B38E-EC022FA0B6DE}"/>
            </c:ext>
          </c:extLst>
        </c:ser>
        <c:ser>
          <c:idx val="8"/>
          <c:order val="8"/>
          <c:tx>
            <c:strRef>
              <c:f>Charts!$B$25</c:f>
              <c:strCache>
                <c:ptCount val="1"/>
                <c:pt idx="0">
                  <c:v>Paradip Iron Ore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Charts!$F$25:$O$25</c:f>
              <c:numCache>
                <c:formatCode>_(* #,##0_);_(* \(#,##0\);_(* "-"??_);_(@_)</c:formatCode>
                <c:ptCount val="10"/>
                <c:pt idx="0">
                  <c:v>8.43</c:v>
                </c:pt>
                <c:pt idx="1">
                  <c:v>7.5161150000000001</c:v>
                </c:pt>
                <c:pt idx="2">
                  <c:v>9.52</c:v>
                </c:pt>
                <c:pt idx="3">
                  <c:v>12.37</c:v>
                </c:pt>
                <c:pt idx="4">
                  <c:v>11.4</c:v>
                </c:pt>
                <c:pt idx="5">
                  <c:v>7.26</c:v>
                </c:pt>
                <c:pt idx="6">
                  <c:v>9.4380000000000006</c:v>
                </c:pt>
                <c:pt idx="7">
                  <c:v>9.5323799999999999</c:v>
                </c:pt>
                <c:pt idx="8">
                  <c:v>9.6277038000000008</c:v>
                </c:pt>
                <c:pt idx="9">
                  <c:v>9.723980838000001</c:v>
                </c:pt>
              </c:numCache>
            </c:numRef>
          </c:val>
          <c:extLst>
            <c:ext xmlns:c16="http://schemas.microsoft.com/office/drawing/2014/chart" uri="{C3380CC4-5D6E-409C-BE32-E72D297353CC}">
              <c16:uniqueId val="{00000008-0BDD-4F3E-B38E-EC022FA0B6DE}"/>
            </c:ext>
          </c:extLst>
        </c:ser>
        <c:ser>
          <c:idx val="9"/>
          <c:order val="9"/>
          <c:tx>
            <c:strRef>
              <c:f>Charts!$B$26</c:f>
              <c:strCache>
                <c:ptCount val="1"/>
                <c:pt idx="0">
                  <c:v>Overseas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Charts!$F$26:$O$26</c:f>
              <c:numCache>
                <c:formatCode>_(* #,##0_);_(* \(#,##0\);_(* "-"??_);_(@_)</c:formatCode>
                <c:ptCount val="10"/>
                <c:pt idx="0">
                  <c:v>0</c:v>
                </c:pt>
                <c:pt idx="1">
                  <c:v>0</c:v>
                </c:pt>
                <c:pt idx="2">
                  <c:v>0</c:v>
                </c:pt>
                <c:pt idx="3">
                  <c:v>0</c:v>
                </c:pt>
                <c:pt idx="4">
                  <c:v>0</c:v>
                </c:pt>
                <c:pt idx="5">
                  <c:v>0</c:v>
                </c:pt>
                <c:pt idx="6">
                  <c:v>0</c:v>
                </c:pt>
                <c:pt idx="7">
                  <c:v>0</c:v>
                </c:pt>
                <c:pt idx="8">
                  <c:v>0</c:v>
                </c:pt>
                <c:pt idx="9">
                  <c:v>10.8</c:v>
                </c:pt>
              </c:numCache>
            </c:numRef>
          </c:val>
          <c:extLst>
            <c:ext xmlns:c16="http://schemas.microsoft.com/office/drawing/2014/chart" uri="{C3380CC4-5D6E-409C-BE32-E72D297353CC}">
              <c16:uniqueId val="{00000009-0BDD-4F3E-B38E-EC022FA0B6DE}"/>
            </c:ext>
          </c:extLst>
        </c:ser>
        <c:ser>
          <c:idx val="10"/>
          <c:order val="10"/>
          <c:tx>
            <c:strRef>
              <c:f>Charts!$B$27</c:f>
              <c:strCache>
                <c:ptCount val="1"/>
                <c:pt idx="0">
                  <c:v>Ennore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Charts!$F$27:$O$27</c:f>
              <c:numCache>
                <c:formatCode>_(* #,##0_);_(* \(#,##0\);_(* "-"??_);_(@_)</c:formatCode>
                <c:ptCount val="10"/>
                <c:pt idx="0">
                  <c:v>3.14</c:v>
                </c:pt>
                <c:pt idx="1">
                  <c:v>8.0324159999999996</c:v>
                </c:pt>
                <c:pt idx="2">
                  <c:v>8.7040000000000006</c:v>
                </c:pt>
                <c:pt idx="3">
                  <c:v>9.31</c:v>
                </c:pt>
                <c:pt idx="4">
                  <c:v>10.199999999999999</c:v>
                </c:pt>
                <c:pt idx="5">
                  <c:v>10.38</c:v>
                </c:pt>
                <c:pt idx="6">
                  <c:v>10.4838</c:v>
                </c:pt>
                <c:pt idx="7">
                  <c:v>10.588638000000001</c:v>
                </c:pt>
                <c:pt idx="8">
                  <c:v>10.694524380000001</c:v>
                </c:pt>
                <c:pt idx="9">
                  <c:v>10.801469623800001</c:v>
                </c:pt>
              </c:numCache>
            </c:numRef>
          </c:val>
          <c:extLst>
            <c:ext xmlns:c16="http://schemas.microsoft.com/office/drawing/2014/chart" uri="{C3380CC4-5D6E-409C-BE32-E72D297353CC}">
              <c16:uniqueId val="{0000000A-0BDD-4F3E-B38E-EC022FA0B6DE}"/>
            </c:ext>
          </c:extLst>
        </c:ser>
        <c:ser>
          <c:idx val="11"/>
          <c:order val="11"/>
          <c:tx>
            <c:strRef>
              <c:f>Charts!$B$28</c:f>
              <c:strCache>
                <c:ptCount val="1"/>
                <c:pt idx="0">
                  <c:v>Goa</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Charts!$F$28:$O$28</c:f>
              <c:numCache>
                <c:formatCode>_(* #,##0_);_(* \(#,##0\);_(* "-"??_);_(@_)</c:formatCode>
                <c:ptCount val="10"/>
                <c:pt idx="0">
                  <c:v>6.83</c:v>
                </c:pt>
                <c:pt idx="1">
                  <c:v>6.9256087389999994</c:v>
                </c:pt>
                <c:pt idx="2">
                  <c:v>7.0679999999999996</c:v>
                </c:pt>
                <c:pt idx="3">
                  <c:v>7.1559999999999997</c:v>
                </c:pt>
                <c:pt idx="4">
                  <c:v>6.4</c:v>
                </c:pt>
                <c:pt idx="5">
                  <c:v>8.5500000000000007</c:v>
                </c:pt>
                <c:pt idx="6">
                  <c:v>9.3918000000000017</c:v>
                </c:pt>
                <c:pt idx="7">
                  <c:v>10.80057</c:v>
                </c:pt>
                <c:pt idx="8">
                  <c:v>11.273464950000001</c:v>
                </c:pt>
                <c:pt idx="9">
                  <c:v>11.767319305500001</c:v>
                </c:pt>
              </c:numCache>
            </c:numRef>
          </c:val>
          <c:extLst>
            <c:ext xmlns:c16="http://schemas.microsoft.com/office/drawing/2014/chart" uri="{C3380CC4-5D6E-409C-BE32-E72D297353CC}">
              <c16:uniqueId val="{0000000B-0BDD-4F3E-B38E-EC022FA0B6DE}"/>
            </c:ext>
          </c:extLst>
        </c:ser>
        <c:ser>
          <c:idx val="12"/>
          <c:order val="12"/>
          <c:tx>
            <c:strRef>
              <c:f>Charts!$B$29</c:f>
              <c:strCache>
                <c:ptCount val="1"/>
                <c:pt idx="0">
                  <c:v>Mangalore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Charts!$F$29:$O$29</c:f>
              <c:numCache>
                <c:formatCode>_(* #,##0_);_(* \(#,##0\);_(* "-"??_);_(@_)</c:formatCode>
                <c:ptCount val="10"/>
                <c:pt idx="0">
                  <c:v>1.02</c:v>
                </c:pt>
                <c:pt idx="1">
                  <c:v>3.7909014610000002</c:v>
                </c:pt>
                <c:pt idx="2">
                  <c:v>4.4539999999999997</c:v>
                </c:pt>
                <c:pt idx="3">
                  <c:v>4.7699999999999996</c:v>
                </c:pt>
                <c:pt idx="4">
                  <c:v>6.3</c:v>
                </c:pt>
                <c:pt idx="5">
                  <c:v>6.27</c:v>
                </c:pt>
                <c:pt idx="6">
                  <c:v>6.5834999999999999</c:v>
                </c:pt>
                <c:pt idx="7">
                  <c:v>6.9126750000000001</c:v>
                </c:pt>
                <c:pt idx="8">
                  <c:v>7.2583087500000003</c:v>
                </c:pt>
                <c:pt idx="9">
                  <c:v>7.6212241875000011</c:v>
                </c:pt>
              </c:numCache>
            </c:numRef>
          </c:val>
          <c:extLst>
            <c:ext xmlns:c16="http://schemas.microsoft.com/office/drawing/2014/chart" uri="{C3380CC4-5D6E-409C-BE32-E72D297353CC}">
              <c16:uniqueId val="{0000000C-0BDD-4F3E-B38E-EC022FA0B6DE}"/>
            </c:ext>
          </c:extLst>
        </c:ser>
        <c:ser>
          <c:idx val="13"/>
          <c:order val="13"/>
          <c:tx>
            <c:strRef>
              <c:f>Charts!$B$30</c:f>
              <c:strCache>
                <c:ptCount val="1"/>
                <c:pt idx="0">
                  <c:v>PNP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Charts!$F$30:$O$30</c:f>
              <c:numCache>
                <c:formatCode>_(* #,##0_);_(* \(#,##0\);_(* "-"??_);_(@_)</c:formatCode>
                <c:ptCount val="10"/>
                <c:pt idx="0">
                  <c:v>0</c:v>
                </c:pt>
                <c:pt idx="1">
                  <c:v>0</c:v>
                </c:pt>
                <c:pt idx="2">
                  <c:v>0</c:v>
                </c:pt>
                <c:pt idx="3">
                  <c:v>1.32</c:v>
                </c:pt>
                <c:pt idx="4">
                  <c:v>5.5</c:v>
                </c:pt>
                <c:pt idx="5">
                  <c:v>5.34</c:v>
                </c:pt>
                <c:pt idx="6">
                  <c:v>6.1387</c:v>
                </c:pt>
                <c:pt idx="7">
                  <c:v>6.2614739999999998</c:v>
                </c:pt>
                <c:pt idx="8">
                  <c:v>6.5745477000000001</c:v>
                </c:pt>
                <c:pt idx="9">
                  <c:v>6.9032750850000006</c:v>
                </c:pt>
              </c:numCache>
            </c:numRef>
          </c:val>
          <c:extLst>
            <c:ext xmlns:c16="http://schemas.microsoft.com/office/drawing/2014/chart" uri="{C3380CC4-5D6E-409C-BE32-E72D297353CC}">
              <c16:uniqueId val="{0000000D-0BDD-4F3E-B38E-EC022FA0B6DE}"/>
            </c:ext>
          </c:extLst>
        </c:ser>
        <c:ser>
          <c:idx val="14"/>
          <c:order val="14"/>
          <c:tx>
            <c:strRef>
              <c:f>Charts!$B$31</c:f>
              <c:strCache>
                <c:ptCount val="1"/>
                <c:pt idx="0">
                  <c:v>Tuticorin Dry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Charts!$F$31:$O$31</c:f>
              <c:numCache>
                <c:formatCode>_(* #,##0_);_(* \(#,##0\);_(* "-"??_);_(@_)</c:formatCode>
                <c:ptCount val="10"/>
                <c:pt idx="0">
                  <c:v>0</c:v>
                </c:pt>
                <c:pt idx="1">
                  <c:v>0</c:v>
                </c:pt>
                <c:pt idx="2">
                  <c:v>0</c:v>
                </c:pt>
                <c:pt idx="3">
                  <c:v>0</c:v>
                </c:pt>
                <c:pt idx="4">
                  <c:v>0.9</c:v>
                </c:pt>
                <c:pt idx="5">
                  <c:v>4.99</c:v>
                </c:pt>
                <c:pt idx="6">
                  <c:v>5.25</c:v>
                </c:pt>
                <c:pt idx="7">
                  <c:v>5.25</c:v>
                </c:pt>
                <c:pt idx="8">
                  <c:v>5.25</c:v>
                </c:pt>
                <c:pt idx="9">
                  <c:v>5.25</c:v>
                </c:pt>
              </c:numCache>
            </c:numRef>
          </c:val>
          <c:extLst>
            <c:ext xmlns:c16="http://schemas.microsoft.com/office/drawing/2014/chart" uri="{C3380CC4-5D6E-409C-BE32-E72D297353CC}">
              <c16:uniqueId val="{0000000E-0BDD-4F3E-B38E-EC022FA0B6DE}"/>
            </c:ext>
          </c:extLst>
        </c:ser>
        <c:ser>
          <c:idx val="15"/>
          <c:order val="15"/>
          <c:tx>
            <c:strRef>
              <c:f>Charts!$B$32</c:f>
              <c:strCache>
                <c:ptCount val="1"/>
                <c:pt idx="0">
                  <c:v>Fujairah Liquid Storage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Charts!$F$32:$O$32</c:f>
              <c:numCache>
                <c:formatCode>_(* #,##0_);_(* \(#,##0\);_(* "-"??_);_(@_)</c:formatCode>
                <c:ptCount val="10"/>
                <c:pt idx="0">
                  <c:v>0</c:v>
                </c:pt>
                <c:pt idx="1">
                  <c:v>0</c:v>
                </c:pt>
                <c:pt idx="2">
                  <c:v>0</c:v>
                </c:pt>
                <c:pt idx="3">
                  <c:v>2</c:v>
                </c:pt>
                <c:pt idx="4">
                  <c:v>7.3</c:v>
                </c:pt>
                <c:pt idx="5">
                  <c:v>5.71</c:v>
                </c:pt>
                <c:pt idx="6">
                  <c:v>2.855</c:v>
                </c:pt>
                <c:pt idx="7">
                  <c:v>4.9962499999999999</c:v>
                </c:pt>
                <c:pt idx="8">
                  <c:v>5.9954999999999998</c:v>
                </c:pt>
                <c:pt idx="9">
                  <c:v>6.2353199999999998</c:v>
                </c:pt>
              </c:numCache>
            </c:numRef>
          </c:val>
          <c:extLst>
            <c:ext xmlns:c16="http://schemas.microsoft.com/office/drawing/2014/chart" uri="{C3380CC4-5D6E-409C-BE32-E72D297353CC}">
              <c16:uniqueId val="{0000000F-0BDD-4F3E-B38E-EC022FA0B6DE}"/>
            </c:ext>
          </c:extLst>
        </c:ser>
        <c:ser>
          <c:idx val="16"/>
          <c:order val="16"/>
          <c:tx>
            <c:strRef>
              <c:f>Charts!$B$33</c:f>
              <c:strCache>
                <c:ptCount val="1"/>
                <c:pt idx="0">
                  <c:v>JNPT Liquid</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Charts!$F$33:$O$33</c:f>
              <c:numCache>
                <c:formatCode>_(* #,##0_);_(* \(#,##0\);_(* "-"??_);_(@_)</c:formatCode>
                <c:ptCount val="10"/>
                <c:pt idx="0">
                  <c:v>0</c:v>
                </c:pt>
                <c:pt idx="1">
                  <c:v>0</c:v>
                </c:pt>
                <c:pt idx="2">
                  <c:v>0</c:v>
                </c:pt>
                <c:pt idx="3">
                  <c:v>0</c:v>
                </c:pt>
                <c:pt idx="4">
                  <c:v>0.2</c:v>
                </c:pt>
                <c:pt idx="5">
                  <c:v>1.3</c:v>
                </c:pt>
                <c:pt idx="6">
                  <c:v>2.9250000000000003</c:v>
                </c:pt>
                <c:pt idx="7">
                  <c:v>3.15</c:v>
                </c:pt>
                <c:pt idx="8">
                  <c:v>3.375</c:v>
                </c:pt>
                <c:pt idx="9">
                  <c:v>3.375</c:v>
                </c:pt>
              </c:numCache>
            </c:numRef>
          </c:val>
          <c:extLst>
            <c:ext xmlns:c16="http://schemas.microsoft.com/office/drawing/2014/chart" uri="{C3380CC4-5D6E-409C-BE32-E72D297353CC}">
              <c16:uniqueId val="{00000010-0BDD-4F3E-B38E-EC022FA0B6DE}"/>
            </c:ext>
          </c:extLst>
        </c:ser>
        <c:ser>
          <c:idx val="17"/>
          <c:order val="17"/>
          <c:tx>
            <c:strRef>
              <c:f>Charts!$B$34</c:f>
              <c:strCache>
                <c:ptCount val="1"/>
                <c:pt idx="0">
                  <c:v>Mangalore 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Charts!$F$34:$O$34</c:f>
              <c:numCache>
                <c:formatCode>_(* #,##0_);_(* \(#,##0\);_(* "-"??_);_(@_)</c:formatCode>
                <c:ptCount val="10"/>
                <c:pt idx="0">
                  <c:v>0</c:v>
                </c:pt>
                <c:pt idx="1">
                  <c:v>0</c:v>
                </c:pt>
                <c:pt idx="2">
                  <c:v>2.1739976832207537</c:v>
                </c:pt>
                <c:pt idx="3">
                  <c:v>2.5821624445182496</c:v>
                </c:pt>
                <c:pt idx="4">
                  <c:v>2.4</c:v>
                </c:pt>
                <c:pt idx="5">
                  <c:v>2.4900000000000002</c:v>
                </c:pt>
                <c:pt idx="6">
                  <c:v>3.1175000000000002</c:v>
                </c:pt>
                <c:pt idx="7">
                  <c:v>3.4292500000000006</c:v>
                </c:pt>
                <c:pt idx="8">
                  <c:v>3.6350050000000009</c:v>
                </c:pt>
                <c:pt idx="9">
                  <c:v>3.8531053000000011</c:v>
                </c:pt>
              </c:numCache>
            </c:numRef>
          </c:val>
          <c:extLst>
            <c:ext xmlns:c16="http://schemas.microsoft.com/office/drawing/2014/chart" uri="{C3380CC4-5D6E-409C-BE32-E72D297353CC}">
              <c16:uniqueId val="{00000011-0BDD-4F3E-B38E-EC022FA0B6DE}"/>
            </c:ext>
          </c:extLst>
        </c:ser>
        <c:ser>
          <c:idx val="18"/>
          <c:order val="18"/>
          <c:tx>
            <c:strRef>
              <c:f>Charts!$B$35</c:f>
              <c:strCache>
                <c:ptCount val="1"/>
                <c:pt idx="0">
                  <c:v>Standalone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Charts!$F$35:$O$35</c:f>
              <c:numCache>
                <c:formatCode>_(* #,##0_);_(* \(#,##0\);_(* "-"??_);_(@_)</c:formatCode>
                <c:ptCount val="10"/>
                <c:pt idx="0">
                  <c:v>3.59</c:v>
                </c:pt>
                <c:pt idx="1">
                  <c:v>3.0277205999999999</c:v>
                </c:pt>
                <c:pt idx="2">
                  <c:v>2.7</c:v>
                </c:pt>
                <c:pt idx="3">
                  <c:v>2.65</c:v>
                </c:pt>
                <c:pt idx="4">
                  <c:v>2.4</c:v>
                </c:pt>
                <c:pt idx="5">
                  <c:v>2.99</c:v>
                </c:pt>
                <c:pt idx="6">
                  <c:v>2.9900000000000007</c:v>
                </c:pt>
                <c:pt idx="7">
                  <c:v>3.0498000000000007</c:v>
                </c:pt>
                <c:pt idx="8">
                  <c:v>3.110796000000001</c:v>
                </c:pt>
                <c:pt idx="9">
                  <c:v>3.1730119200000009</c:v>
                </c:pt>
              </c:numCache>
            </c:numRef>
          </c:val>
          <c:extLst>
            <c:ext xmlns:c16="http://schemas.microsoft.com/office/drawing/2014/chart" uri="{C3380CC4-5D6E-409C-BE32-E72D297353CC}">
              <c16:uniqueId val="{00000012-0BDD-4F3E-B38E-EC022FA0B6DE}"/>
            </c:ext>
          </c:extLst>
        </c:ser>
        <c:ser>
          <c:idx val="19"/>
          <c:order val="19"/>
          <c:tx>
            <c:strRef>
              <c:f>Charts!$B$36</c:f>
              <c:strCache>
                <c:ptCount val="1"/>
                <c:pt idx="0">
                  <c:v>Ennore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Charts!$F$36:$O$36</c:f>
              <c:numCache>
                <c:formatCode>_(* #,##0_);_(* \(#,##0\);_(* "-"??_);_(@_)</c:formatCode>
                <c:ptCount val="10"/>
                <c:pt idx="0">
                  <c:v>0.39</c:v>
                </c:pt>
                <c:pt idx="1">
                  <c:v>1.1602350890099999</c:v>
                </c:pt>
                <c:pt idx="2">
                  <c:v>1.89</c:v>
                </c:pt>
                <c:pt idx="3">
                  <c:v>1.46</c:v>
                </c:pt>
                <c:pt idx="4">
                  <c:v>2.1</c:v>
                </c:pt>
                <c:pt idx="5">
                  <c:v>1.65</c:v>
                </c:pt>
                <c:pt idx="6">
                  <c:v>1.7293500000000004</c:v>
                </c:pt>
                <c:pt idx="7">
                  <c:v>1.8158175000000005</c:v>
                </c:pt>
                <c:pt idx="8">
                  <c:v>1.9066083750000007</c:v>
                </c:pt>
                <c:pt idx="9">
                  <c:v>2.0019387937500008</c:v>
                </c:pt>
              </c:numCache>
            </c:numRef>
          </c:val>
          <c:extLst>
            <c:ext xmlns:c16="http://schemas.microsoft.com/office/drawing/2014/chart" uri="{C3380CC4-5D6E-409C-BE32-E72D297353CC}">
              <c16:uniqueId val="{00000013-0BDD-4F3E-B38E-EC022FA0B6DE}"/>
            </c:ext>
          </c:extLst>
        </c:ser>
        <c:ser>
          <c:idx val="20"/>
          <c:order val="20"/>
          <c:tx>
            <c:strRef>
              <c:f>Charts!$B$39</c:f>
              <c:strCache>
                <c:ptCount val="1"/>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Charts!$F$39:$O$39</c:f>
              <c:numCache>
                <c:formatCode>_(* #,##0_);_(* \(#,##0\);_(* "-"??_);_(@_)</c:formatCode>
                <c:ptCount val="10"/>
                <c:pt idx="0">
                  <c:v>45.537999999999997</c:v>
                </c:pt>
                <c:pt idx="1">
                  <c:v>61.962649216009993</c:v>
                </c:pt>
                <c:pt idx="2">
                  <c:v>92.810997683220748</c:v>
                </c:pt>
                <c:pt idx="3">
                  <c:v>107.03816244451825</c:v>
                </c:pt>
                <c:pt idx="4">
                  <c:v>117.00000000000001</c:v>
                </c:pt>
                <c:pt idx="5">
                  <c:v>120.73999999999998</c:v>
                </c:pt>
                <c:pt idx="6">
                  <c:v>127.95611000000002</c:v>
                </c:pt>
                <c:pt idx="7">
                  <c:v>168.54703450000002</c:v>
                </c:pt>
                <c:pt idx="8">
                  <c:v>196.93431247499998</c:v>
                </c:pt>
                <c:pt idx="9">
                  <c:v>237.39015313675</c:v>
                </c:pt>
              </c:numCache>
            </c:numRef>
          </c:val>
          <c:extLst>
            <c:ext xmlns:c16="http://schemas.microsoft.com/office/drawing/2014/chart" uri="{C3380CC4-5D6E-409C-BE32-E72D297353CC}">
              <c16:uniqueId val="{00000014-0BDD-4F3E-B38E-EC022FA0B6DE}"/>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300"/>
        </c:scaling>
        <c:delete val="0"/>
        <c:axPos val="l"/>
        <c:numFmt formatCode="_(* #,##0_);_(* \(#,##0\);_(* &quot;-&quot;??_);_(@_)" sourceLinked="1"/>
        <c:majorTickMark val="none"/>
        <c:minorTickMark val="none"/>
        <c:tickLblPos val="none"/>
        <c:spPr>
          <a:ln>
            <a:noFill/>
          </a:ln>
        </c:spPr>
        <c:crossAx val="41707423"/>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Charts!$B$2</c:f>
          <c:strCache>
            <c:ptCount val="1"/>
            <c:pt idx="0">
              <c:v>Cargo - Customer Wise, MT</c:v>
            </c:pt>
          </c:strCache>
        </c:strRef>
      </c:tx>
      <c:overlay val="0"/>
      <c:txPr>
        <a:bodyPr/>
        <a:lstStyle/>
        <a:p>
          <a:pPr>
            <a:defRPr sz="1200"/>
          </a:pPr>
          <a:endParaRPr lang="en-US"/>
        </a:p>
      </c:txPr>
    </c:title>
    <c:autoTitleDeleted val="0"/>
    <c:plotArea>
      <c:layout/>
      <c:barChart>
        <c:barDir val="col"/>
        <c:grouping val="stacked"/>
        <c:varyColors val="0"/>
        <c:ser>
          <c:idx val="0"/>
          <c:order val="0"/>
          <c:tx>
            <c:strRef>
              <c:f>Charts!$B$3</c:f>
              <c:strCache>
                <c:ptCount val="1"/>
                <c:pt idx="0">
                  <c:v>JSW Group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Charts!$F$2:$O$2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Charts!$F$3:$O$3</c:f>
              <c:numCache>
                <c:formatCode>#,##0_);\(#,##0\)</c:formatCode>
                <c:ptCount val="10"/>
                <c:pt idx="0">
                  <c:v>34.240000000000009</c:v>
                </c:pt>
                <c:pt idx="1">
                  <c:v>43.325000000000003</c:v>
                </c:pt>
                <c:pt idx="2">
                  <c:v>61.830000000000013</c:v>
                </c:pt>
                <c:pt idx="3" formatCode="_(* #,##0_);_(* \(#,##0\);_(* &quot;-&quot;??_);_(@_)">
                  <c:v>64.480897466710957</c:v>
                </c:pt>
                <c:pt idx="4" formatCode="_(* #,##0_);_(* \(#,##0\);_(* &quot;-&quot;??_);_(@_)">
                  <c:v>59.67</c:v>
                </c:pt>
                <c:pt idx="5" formatCode="_(* #,##0_);_(* \(#,##0\);_(* &quot;-&quot;??_);_(@_)">
                  <c:v>62.381694337141447</c:v>
                </c:pt>
                <c:pt idx="6" formatCode="_(* #,##0_);_(* \(#,##0\);_(* &quot;-&quot;??_);_(@_)">
                  <c:v>66.853620000000021</c:v>
                </c:pt>
                <c:pt idx="7" formatCode="_(* #,##0_);_(* \(#,##0\);_(* &quot;-&quot;??_);_(@_)">
                  <c:v>99.223213646719287</c:v>
                </c:pt>
                <c:pt idx="8" formatCode="_(* #,##0_);_(* \(#,##0\);_(* &quot;-&quot;??_);_(@_)">
                  <c:v>115.16837735749124</c:v>
                </c:pt>
                <c:pt idx="9" formatCode="_(* #,##0_);_(* \(#,##0\);_(* &quot;-&quot;??_);_(@_)">
                  <c:v>121.19395964635179</c:v>
                </c:pt>
              </c:numCache>
            </c:numRef>
          </c:val>
          <c:extLst>
            <c:ext xmlns:c16="http://schemas.microsoft.com/office/drawing/2014/chart" uri="{C3380CC4-5D6E-409C-BE32-E72D297353CC}">
              <c16:uniqueId val="{00000000-35E4-4A56-A932-7505E0D8C35E}"/>
            </c:ext>
          </c:extLst>
        </c:ser>
        <c:ser>
          <c:idx val="1"/>
          <c:order val="1"/>
          <c:tx>
            <c:strRef>
              <c:f>Charts!$B$4</c:f>
              <c:strCache>
                <c:ptCount val="1"/>
                <c:pt idx="0">
                  <c:v>Third Party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Charts!$F$2:$O$2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Charts!$F$4:$O$4</c:f>
              <c:numCache>
                <c:formatCode>#,##0_);\(#,##0\)</c:formatCode>
                <c:ptCount val="10"/>
                <c:pt idx="0">
                  <c:v>11.3</c:v>
                </c:pt>
                <c:pt idx="1">
                  <c:v>18.645</c:v>
                </c:pt>
                <c:pt idx="2">
                  <c:v>31</c:v>
                </c:pt>
                <c:pt idx="3" formatCode="_(* #,##0_);_(* \(#,##0\);_(* &quot;-&quot;??_);_(@_)">
                  <c:v>42.987264977807314</c:v>
                </c:pt>
                <c:pt idx="4" formatCode="_(* #,##0_);_(* \(#,##0\);_(* &quot;-&quot;??_);_(@_)">
                  <c:v>57.33</c:v>
                </c:pt>
                <c:pt idx="5" formatCode="_(* #,##0_);_(* \(#,##0\);_(* &quot;-&quot;??_);_(@_)">
                  <c:v>58.343305662858548</c:v>
                </c:pt>
                <c:pt idx="6" formatCode="_(* #,##0_);_(* \(#,##0\);_(* &quot;-&quot;??_);_(@_)">
                  <c:v>61.102490000000003</c:v>
                </c:pt>
                <c:pt idx="7" formatCode="_(* #,##0_);_(* \(#,##0\);_(* &quot;-&quot;??_);_(@_)">
                  <c:v>69.323820853280736</c:v>
                </c:pt>
                <c:pt idx="8" formatCode="_(* #,##0_);_(* \(#,##0\);_(* &quot;-&quot;??_);_(@_)">
                  <c:v>81.765935117508789</c:v>
                </c:pt>
                <c:pt idx="9" formatCode="_(* #,##0_);_(* \(#,##0\);_(* &quot;-&quot;??_);_(@_)">
                  <c:v>116.19619349039823</c:v>
                </c:pt>
              </c:numCache>
            </c:numRef>
          </c:val>
          <c:extLst>
            <c:ext xmlns:c16="http://schemas.microsoft.com/office/drawing/2014/chart" uri="{C3380CC4-5D6E-409C-BE32-E72D297353CC}">
              <c16:uniqueId val="{00000001-35E4-4A56-A932-7505E0D8C35E}"/>
            </c:ext>
          </c:extLst>
        </c:ser>
        <c:ser>
          <c:idx val="2"/>
          <c:order val="2"/>
          <c:tx>
            <c:strRef>
              <c:f>Charts!$B$5</c:f>
              <c:strCache>
                <c:ptCount val="1"/>
                <c:pt idx="0">
                  <c:v>Total</c:v>
                </c:pt>
              </c:strCache>
            </c:strRef>
          </c:tx>
          <c:spPr>
            <a:noFill/>
            <a:ln w="25400">
              <a:noFill/>
            </a:ln>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Charts!$F$2:$O$2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Charts!$F$5:$O$5</c:f>
              <c:numCache>
                <c:formatCode>#,##0_);\(#,##0\)</c:formatCode>
                <c:ptCount val="10"/>
                <c:pt idx="0">
                  <c:v>45.540000000000006</c:v>
                </c:pt>
                <c:pt idx="1">
                  <c:v>61.97</c:v>
                </c:pt>
                <c:pt idx="2">
                  <c:v>92.830000000000013</c:v>
                </c:pt>
                <c:pt idx="3" formatCode="_(* #,##0_);_(* \(#,##0\);_(* &quot;-&quot;??_);_(@_)">
                  <c:v>107.46816244451827</c:v>
                </c:pt>
                <c:pt idx="4" formatCode="_(* #,##0_);_(* \(#,##0\);_(* &quot;-&quot;??_);_(@_)">
                  <c:v>117</c:v>
                </c:pt>
                <c:pt idx="5" formatCode="_(* #,##0_);_(* \(#,##0\);_(* &quot;-&quot;??_);_(@_)">
                  <c:v>120.72499999999999</c:v>
                </c:pt>
                <c:pt idx="6" formatCode="_(* #,##0_);_(* \(#,##0\);_(* &quot;-&quot;??_);_(@_)">
                  <c:v>127.95611000000002</c:v>
                </c:pt>
                <c:pt idx="7" formatCode="_(* #,##0_);_(* \(#,##0\);_(* &quot;-&quot;??_);_(@_)">
                  <c:v>168.54703450000002</c:v>
                </c:pt>
                <c:pt idx="8" formatCode="_(* #,##0_);_(* \(#,##0\);_(* &quot;-&quot;??_);_(@_)">
                  <c:v>196.93431247500001</c:v>
                </c:pt>
                <c:pt idx="9" formatCode="_(* #,##0_);_(* \(#,##0\);_(* &quot;-&quot;??_);_(@_)">
                  <c:v>237.39015313675003</c:v>
                </c:pt>
              </c:numCache>
            </c:numRef>
          </c:val>
          <c:extLst>
            <c:ext xmlns:c16="http://schemas.microsoft.com/office/drawing/2014/chart" uri="{C3380CC4-5D6E-409C-BE32-E72D297353CC}">
              <c16:uniqueId val="{00000002-35E4-4A56-A932-7505E0D8C35E}"/>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crossAx val="327558928"/>
        <c:crosses val="autoZero"/>
        <c:auto val="1"/>
        <c:lblAlgn val="ctr"/>
        <c:lblOffset val="100"/>
        <c:noMultiLvlLbl val="0"/>
      </c:catAx>
      <c:valAx>
        <c:axId val="327558928"/>
        <c:scaling>
          <c:orientation val="minMax"/>
          <c:max val="300"/>
        </c:scaling>
        <c:delete val="0"/>
        <c:axPos val="l"/>
        <c:numFmt formatCode="#,##0_);\(#,##0\)" sourceLinked="1"/>
        <c:majorTickMark val="out"/>
        <c:minorTickMark val="none"/>
        <c:tickLblPos val="nextTo"/>
        <c:crossAx val="327560848"/>
        <c:crosses val="autoZero"/>
        <c:crossBetween val="between"/>
      </c:valAx>
    </c:plotArea>
    <c:legend>
      <c:legendPos val="b"/>
      <c:legendEntry>
        <c:idx val="2"/>
        <c:delete val="1"/>
      </c:legendEntry>
      <c:overlay val="0"/>
    </c:legend>
    <c:plotVisOnly val="1"/>
    <c:dispBlanksAs val="gap"/>
    <c:showDLblsOverMax val="0"/>
  </c:chart>
  <c:spPr>
    <a:ln w="3175">
      <a:noFill/>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Charts!$B$41</c:f>
          <c:strCache>
            <c:ptCount val="1"/>
            <c:pt idx="0">
              <c:v>Volumes - Cargowise, MT</c:v>
            </c:pt>
          </c:strCache>
        </c:strRef>
      </c:tx>
      <c:layout>
        <c:manualLayout>
          <c:xMode val="edge"/>
          <c:yMode val="edge"/>
          <c:x val="0.36759273713807722"/>
          <c:y val="3.0679947352888242E-2"/>
        </c:manualLayout>
      </c:layout>
      <c:overlay val="0"/>
    </c:title>
    <c:autoTitleDeleted val="0"/>
    <c:plotArea>
      <c:layout>
        <c:manualLayout>
          <c:layoutTarget val="inner"/>
          <c:xMode val="edge"/>
          <c:yMode val="edge"/>
          <c:x val="2.334840264259825E-2"/>
          <c:y val="0.13389260488455362"/>
          <c:w val="0.97578160240845635"/>
          <c:h val="0.55765313702461683"/>
        </c:manualLayout>
      </c:layout>
      <c:barChart>
        <c:barDir val="col"/>
        <c:grouping val="stacked"/>
        <c:varyColors val="0"/>
        <c:ser>
          <c:idx val="0"/>
          <c:order val="0"/>
          <c:tx>
            <c:strRef>
              <c:f>Charts!$B$42</c:f>
              <c:strCache>
                <c:ptCount val="1"/>
                <c:pt idx="0">
                  <c:v>Iron Ore</c:v>
                </c:pt>
              </c:strCache>
            </c:strRef>
          </c:tx>
          <c:invertIfNegative val="0"/>
          <c:cat>
            <c:strRef>
              <c:f>Charts!$F$16:$L$16</c:f>
              <c:strCache>
                <c:ptCount val="7"/>
                <c:pt idx="0">
                  <c:v>FY21</c:v>
                </c:pt>
                <c:pt idx="1">
                  <c:v>FY22</c:v>
                </c:pt>
                <c:pt idx="2">
                  <c:v>FY23</c:v>
                </c:pt>
                <c:pt idx="3">
                  <c:v>FY24</c:v>
                </c:pt>
                <c:pt idx="4">
                  <c:v>FY25</c:v>
                </c:pt>
                <c:pt idx="5">
                  <c:v>FY26</c:v>
                </c:pt>
                <c:pt idx="6">
                  <c:v>FY27E</c:v>
                </c:pt>
              </c:strCache>
            </c:strRef>
          </c:cat>
          <c:val>
            <c:numRef>
              <c:f>Charts!$F$42:$L$42</c:f>
              <c:numCache>
                <c:formatCode>_(* #,##0_);_(* \(#,##0\);_(* "-"??_);_(@_)</c:formatCode>
                <c:ptCount val="7"/>
                <c:pt idx="0">
                  <c:v>11.606666666666667</c:v>
                </c:pt>
                <c:pt idx="1">
                  <c:v>14.159890390666666</c:v>
                </c:pt>
                <c:pt idx="2">
                  <c:v>22.283333333333331</c:v>
                </c:pt>
                <c:pt idx="3">
                  <c:v>40.466333333333324</c:v>
                </c:pt>
                <c:pt idx="4">
                  <c:v>34.298333333333332</c:v>
                </c:pt>
                <c:pt idx="5">
                  <c:v>33.786000000000001</c:v>
                </c:pt>
                <c:pt idx="6">
                  <c:v>36.905440000000006</c:v>
                </c:pt>
              </c:numCache>
            </c:numRef>
          </c:val>
          <c:extLst>
            <c:ext xmlns:c16="http://schemas.microsoft.com/office/drawing/2014/chart" uri="{C3380CC4-5D6E-409C-BE32-E72D297353CC}">
              <c16:uniqueId val="{00000000-D3C9-4112-A3E6-68BE5461315D}"/>
            </c:ext>
          </c:extLst>
        </c:ser>
        <c:ser>
          <c:idx val="1"/>
          <c:order val="1"/>
          <c:tx>
            <c:strRef>
              <c:f>Charts!$B$43</c:f>
              <c:strCache>
                <c:ptCount val="1"/>
                <c:pt idx="0">
                  <c:v>Thermal Coal</c:v>
                </c:pt>
              </c:strCache>
            </c:strRef>
          </c:tx>
          <c:invertIfNegative val="0"/>
          <c:cat>
            <c:strRef>
              <c:f>Charts!$F$16:$L$16</c:f>
              <c:strCache>
                <c:ptCount val="7"/>
                <c:pt idx="0">
                  <c:v>FY21</c:v>
                </c:pt>
                <c:pt idx="1">
                  <c:v>FY22</c:v>
                </c:pt>
                <c:pt idx="2">
                  <c:v>FY23</c:v>
                </c:pt>
                <c:pt idx="3">
                  <c:v>FY24</c:v>
                </c:pt>
                <c:pt idx="4">
                  <c:v>FY25</c:v>
                </c:pt>
                <c:pt idx="5">
                  <c:v>FY26</c:v>
                </c:pt>
                <c:pt idx="6">
                  <c:v>FY27E</c:v>
                </c:pt>
              </c:strCache>
            </c:strRef>
          </c:cat>
          <c:val>
            <c:numRef>
              <c:f>Charts!$F$43:$L$43</c:f>
              <c:numCache>
                <c:formatCode>_(* #,##0_);_(* \(#,##0\);_(* "-"??_);_(@_)</c:formatCode>
                <c:ptCount val="7"/>
                <c:pt idx="0">
                  <c:v>3.88</c:v>
                </c:pt>
                <c:pt idx="1">
                  <c:v>5.21</c:v>
                </c:pt>
                <c:pt idx="2">
                  <c:v>26.92</c:v>
                </c:pt>
                <c:pt idx="3">
                  <c:v>35.790000000000006</c:v>
                </c:pt>
                <c:pt idx="4">
                  <c:v>40.534998999999999</c:v>
                </c:pt>
                <c:pt idx="5">
                  <c:v>40.03</c:v>
                </c:pt>
                <c:pt idx="6">
                  <c:v>41.002300000000005</c:v>
                </c:pt>
              </c:numCache>
            </c:numRef>
          </c:val>
          <c:extLst>
            <c:ext xmlns:c16="http://schemas.microsoft.com/office/drawing/2014/chart" uri="{C3380CC4-5D6E-409C-BE32-E72D297353CC}">
              <c16:uniqueId val="{00000001-D3C9-4112-A3E6-68BE5461315D}"/>
            </c:ext>
          </c:extLst>
        </c:ser>
        <c:ser>
          <c:idx val="2"/>
          <c:order val="2"/>
          <c:tx>
            <c:strRef>
              <c:f>Charts!$B$44</c:f>
              <c:strCache>
                <c:ptCount val="1"/>
                <c:pt idx="0">
                  <c:v>Non-Thermal Coal</c:v>
                </c:pt>
              </c:strCache>
            </c:strRef>
          </c:tx>
          <c:invertIfNegative val="0"/>
          <c:cat>
            <c:strRef>
              <c:f>Charts!$F$16:$L$16</c:f>
              <c:strCache>
                <c:ptCount val="7"/>
                <c:pt idx="0">
                  <c:v>FY21</c:v>
                </c:pt>
                <c:pt idx="1">
                  <c:v>FY22</c:v>
                </c:pt>
                <c:pt idx="2">
                  <c:v>FY23</c:v>
                </c:pt>
                <c:pt idx="3">
                  <c:v>FY24</c:v>
                </c:pt>
                <c:pt idx="4">
                  <c:v>FY25</c:v>
                </c:pt>
                <c:pt idx="5">
                  <c:v>FY26</c:v>
                </c:pt>
                <c:pt idx="6">
                  <c:v>FY27E</c:v>
                </c:pt>
              </c:strCache>
            </c:strRef>
          </c:cat>
          <c:val>
            <c:numRef>
              <c:f>Charts!$F$44:$L$44</c:f>
              <c:numCache>
                <c:formatCode>_(* #,##0_);_(* \(#,##0\);_(* "-"??_);_(@_)</c:formatCode>
                <c:ptCount val="7"/>
                <c:pt idx="0">
                  <c:v>23.713333333333335</c:v>
                </c:pt>
                <c:pt idx="1">
                  <c:v>33.370109609333333</c:v>
                </c:pt>
                <c:pt idx="2">
                  <c:v>31.196666666666665</c:v>
                </c:pt>
                <c:pt idx="3">
                  <c:v>20.247666666666667</c:v>
                </c:pt>
                <c:pt idx="4">
                  <c:v>16.078666666666667</c:v>
                </c:pt>
                <c:pt idx="5">
                  <c:v>19.975000000000001</c:v>
                </c:pt>
                <c:pt idx="6">
                  <c:v>21.092420000000004</c:v>
                </c:pt>
              </c:numCache>
            </c:numRef>
          </c:val>
          <c:extLst>
            <c:ext xmlns:c16="http://schemas.microsoft.com/office/drawing/2014/chart" uri="{C3380CC4-5D6E-409C-BE32-E72D297353CC}">
              <c16:uniqueId val="{00000002-D3C9-4112-A3E6-68BE5461315D}"/>
            </c:ext>
          </c:extLst>
        </c:ser>
        <c:ser>
          <c:idx val="3"/>
          <c:order val="3"/>
          <c:tx>
            <c:strRef>
              <c:f>Charts!$B$45</c:f>
              <c:strCache>
                <c:ptCount val="1"/>
                <c:pt idx="0">
                  <c:v>Liquid and Gas</c:v>
                </c:pt>
              </c:strCache>
            </c:strRef>
          </c:tx>
          <c:invertIfNegative val="0"/>
          <c:cat>
            <c:strRef>
              <c:f>Charts!$F$16:$L$16</c:f>
              <c:strCache>
                <c:ptCount val="7"/>
                <c:pt idx="0">
                  <c:v>FY21</c:v>
                </c:pt>
                <c:pt idx="1">
                  <c:v>FY22</c:v>
                </c:pt>
                <c:pt idx="2">
                  <c:v>FY23</c:v>
                </c:pt>
                <c:pt idx="3">
                  <c:v>FY24</c:v>
                </c:pt>
                <c:pt idx="4">
                  <c:v>FY25</c:v>
                </c:pt>
                <c:pt idx="5">
                  <c:v>FY26</c:v>
                </c:pt>
                <c:pt idx="6">
                  <c:v>FY27E</c:v>
                </c:pt>
              </c:strCache>
            </c:strRef>
          </c:cat>
          <c:val>
            <c:numRef>
              <c:f>Charts!$F$45:$L$45</c:f>
              <c:numCache>
                <c:formatCode>_(* #,##0_);_(* \(#,##0\);_(* "-"??_);_(@_)</c:formatCode>
                <c:ptCount val="7"/>
                <c:pt idx="0">
                  <c:v>0.25</c:v>
                </c:pt>
                <c:pt idx="1">
                  <c:v>0.27</c:v>
                </c:pt>
                <c:pt idx="2">
                  <c:v>0.53</c:v>
                </c:pt>
                <c:pt idx="3">
                  <c:v>1.65</c:v>
                </c:pt>
                <c:pt idx="4">
                  <c:v>7.8703570000000003</c:v>
                </c:pt>
                <c:pt idx="5">
                  <c:v>7.2389999999999999</c:v>
                </c:pt>
                <c:pt idx="6">
                  <c:v>6.01816</c:v>
                </c:pt>
              </c:numCache>
            </c:numRef>
          </c:val>
          <c:extLst>
            <c:ext xmlns:c16="http://schemas.microsoft.com/office/drawing/2014/chart" uri="{C3380CC4-5D6E-409C-BE32-E72D297353CC}">
              <c16:uniqueId val="{00000003-D3C9-4112-A3E6-68BE5461315D}"/>
            </c:ext>
          </c:extLst>
        </c:ser>
        <c:ser>
          <c:idx val="4"/>
          <c:order val="4"/>
          <c:tx>
            <c:strRef>
              <c:f>Charts!$B$46</c:f>
              <c:strCache>
                <c:ptCount val="1"/>
                <c:pt idx="0">
                  <c:v>Container</c:v>
                </c:pt>
              </c:strCache>
            </c:strRef>
          </c:tx>
          <c:invertIfNegative val="0"/>
          <c:cat>
            <c:strRef>
              <c:f>Charts!$F$16:$L$16</c:f>
              <c:strCache>
                <c:ptCount val="7"/>
                <c:pt idx="0">
                  <c:v>FY21</c:v>
                </c:pt>
                <c:pt idx="1">
                  <c:v>FY22</c:v>
                </c:pt>
                <c:pt idx="2">
                  <c:v>FY23</c:v>
                </c:pt>
                <c:pt idx="3">
                  <c:v>FY24</c:v>
                </c:pt>
                <c:pt idx="4">
                  <c:v>FY25</c:v>
                </c:pt>
                <c:pt idx="5">
                  <c:v>FY26</c:v>
                </c:pt>
                <c:pt idx="6">
                  <c:v>FY27E</c:v>
                </c:pt>
              </c:strCache>
            </c:strRef>
          </c:cat>
          <c:val>
            <c:numRef>
              <c:f>Charts!$F$46:$L$46</c:f>
              <c:numCache>
                <c:formatCode>_(* #,##0_);_(* \(#,##0\);_(* "-"??_);_(@_)</c:formatCode>
                <c:ptCount val="7"/>
                <c:pt idx="0">
                  <c:v>0</c:v>
                </c:pt>
                <c:pt idx="1">
                  <c:v>0</c:v>
                </c:pt>
                <c:pt idx="2">
                  <c:v>2.17</c:v>
                </c:pt>
                <c:pt idx="3">
                  <c:v>2.5921624445182494</c:v>
                </c:pt>
                <c:pt idx="4">
                  <c:v>2.4099429999999997</c:v>
                </c:pt>
                <c:pt idx="5">
                  <c:v>2.4940000000000002</c:v>
                </c:pt>
                <c:pt idx="6">
                  <c:v>4.22</c:v>
                </c:pt>
              </c:numCache>
            </c:numRef>
          </c:val>
          <c:extLst>
            <c:ext xmlns:c16="http://schemas.microsoft.com/office/drawing/2014/chart" uri="{C3380CC4-5D6E-409C-BE32-E72D297353CC}">
              <c16:uniqueId val="{00000004-D3C9-4112-A3E6-68BE5461315D}"/>
            </c:ext>
          </c:extLst>
        </c:ser>
        <c:ser>
          <c:idx val="5"/>
          <c:order val="5"/>
          <c:tx>
            <c:strRef>
              <c:f>Charts!$B$47</c:f>
              <c:strCache>
                <c:ptCount val="1"/>
                <c:pt idx="0">
                  <c:v>Other Bulk</c:v>
                </c:pt>
              </c:strCache>
            </c:strRef>
          </c:tx>
          <c:invertIfNegative val="0"/>
          <c:cat>
            <c:strRef>
              <c:f>Charts!$F$16:$L$16</c:f>
              <c:strCache>
                <c:ptCount val="7"/>
                <c:pt idx="0">
                  <c:v>FY21</c:v>
                </c:pt>
                <c:pt idx="1">
                  <c:v>FY22</c:v>
                </c:pt>
                <c:pt idx="2">
                  <c:v>FY23</c:v>
                </c:pt>
                <c:pt idx="3">
                  <c:v>FY24</c:v>
                </c:pt>
                <c:pt idx="4">
                  <c:v>FY25</c:v>
                </c:pt>
                <c:pt idx="5">
                  <c:v>FY26</c:v>
                </c:pt>
                <c:pt idx="6">
                  <c:v>FY27E</c:v>
                </c:pt>
              </c:strCache>
            </c:strRef>
          </c:cat>
          <c:val>
            <c:numRef>
              <c:f>Charts!$F$47:$L$47</c:f>
              <c:numCache>
                <c:formatCode>_(* #,##0_);_(* \(#,##0\);_(* "-"??_);_(@_)</c:formatCode>
                <c:ptCount val="7"/>
                <c:pt idx="0">
                  <c:v>6.09</c:v>
                </c:pt>
                <c:pt idx="1">
                  <c:v>8.9600000000000009</c:v>
                </c:pt>
                <c:pt idx="2">
                  <c:v>9.73</c:v>
                </c:pt>
                <c:pt idx="3">
                  <c:v>6.7220000000000013</c:v>
                </c:pt>
                <c:pt idx="4">
                  <c:v>15.807701000000002</c:v>
                </c:pt>
                <c:pt idx="5">
                  <c:v>17.201000000000001</c:v>
                </c:pt>
                <c:pt idx="6">
                  <c:v>18.717790000000001</c:v>
                </c:pt>
              </c:numCache>
            </c:numRef>
          </c:val>
          <c:extLst>
            <c:ext xmlns:c16="http://schemas.microsoft.com/office/drawing/2014/chart" uri="{C3380CC4-5D6E-409C-BE32-E72D297353CC}">
              <c16:uniqueId val="{00000005-D3C9-4112-A3E6-68BE5461315D}"/>
            </c:ext>
          </c:extLst>
        </c:ser>
        <c:ser>
          <c:idx val="6"/>
          <c:order val="6"/>
          <c:tx>
            <c:strRef>
              <c:f>Charts!$B$48</c:f>
              <c:strCache>
                <c:ptCount val="1"/>
                <c:pt idx="0">
                  <c:v>Total</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Charts!$F$16:$L$16</c:f>
              <c:strCache>
                <c:ptCount val="7"/>
                <c:pt idx="0">
                  <c:v>FY21</c:v>
                </c:pt>
                <c:pt idx="1">
                  <c:v>FY22</c:v>
                </c:pt>
                <c:pt idx="2">
                  <c:v>FY23</c:v>
                </c:pt>
                <c:pt idx="3">
                  <c:v>FY24</c:v>
                </c:pt>
                <c:pt idx="4">
                  <c:v>FY25</c:v>
                </c:pt>
                <c:pt idx="5">
                  <c:v>FY26</c:v>
                </c:pt>
                <c:pt idx="6">
                  <c:v>FY27E</c:v>
                </c:pt>
              </c:strCache>
            </c:strRef>
          </c:cat>
          <c:val>
            <c:numRef>
              <c:f>Charts!$F$48:$L$48</c:f>
              <c:numCache>
                <c:formatCode>_(* #,##0_);_(* \(#,##0\);_(* "-"??_);_(@_)</c:formatCode>
                <c:ptCount val="7"/>
                <c:pt idx="0">
                  <c:v>45.540000000000006</c:v>
                </c:pt>
                <c:pt idx="1">
                  <c:v>61.970000000000006</c:v>
                </c:pt>
                <c:pt idx="2">
                  <c:v>92.830000000000013</c:v>
                </c:pt>
                <c:pt idx="3">
                  <c:v>107.46816244451827</c:v>
                </c:pt>
                <c:pt idx="4">
                  <c:v>117</c:v>
                </c:pt>
                <c:pt idx="5">
                  <c:v>120.72499999999999</c:v>
                </c:pt>
                <c:pt idx="6">
                  <c:v>127.95611</c:v>
                </c:pt>
              </c:numCache>
            </c:numRef>
          </c:val>
          <c:extLst>
            <c:ext xmlns:c16="http://schemas.microsoft.com/office/drawing/2014/chart" uri="{C3380CC4-5D6E-409C-BE32-E72D297353CC}">
              <c16:uniqueId val="{00000006-D3C9-4112-A3E6-68BE5461315D}"/>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300"/>
        </c:scaling>
        <c:delete val="0"/>
        <c:axPos val="l"/>
        <c:numFmt formatCode="_(* #,##0_);_(* \(#,##0\);_(* &quot;-&quot;??_);_(@_)" sourceLinked="1"/>
        <c:majorTickMark val="none"/>
        <c:minorTickMark val="none"/>
        <c:tickLblPos val="none"/>
        <c:spPr>
          <a:ln>
            <a:noFill/>
          </a:ln>
        </c:spPr>
        <c:crossAx val="41707423"/>
        <c:crosses val="autoZero"/>
        <c:crossBetween val="between"/>
      </c:valAx>
    </c:plotArea>
    <c:legend>
      <c:legendPos val="b"/>
      <c:legendEntry>
        <c:idx val="6"/>
        <c:delete val="1"/>
      </c:legendEntry>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Charts!$B$52</c:f>
              <c:strCache>
                <c:ptCount val="1"/>
                <c:pt idx="0">
                  <c:v>Revenue, Rs. bn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Charts!$C$51:$O$51</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Charts!$C$52:$O$52</c:f>
              <c:numCache>
                <c:formatCode>_(* #,##0_);_(* \(#,##0\);_(* "-"??_);_(@_)</c:formatCode>
                <c:ptCount val="13"/>
                <c:pt idx="0">
                  <c:v>9.980935999999998</c:v>
                </c:pt>
                <c:pt idx="1">
                  <c:v>10.802602</c:v>
                </c:pt>
                <c:pt idx="2">
                  <c:v>11.431452999999999</c:v>
                </c:pt>
                <c:pt idx="3">
                  <c:v>16.035705</c:v>
                </c:pt>
                <c:pt idx="4">
                  <c:v>22.730587999999997</c:v>
                </c:pt>
                <c:pt idx="5">
                  <c:v>31.947396000000001</c:v>
                </c:pt>
                <c:pt idx="6">
                  <c:v>37.628899999999994</c:v>
                </c:pt>
                <c:pt idx="7">
                  <c:v>44.761400000000002</c:v>
                </c:pt>
                <c:pt idx="8">
                  <c:v>53.614400000000003</c:v>
                </c:pt>
                <c:pt idx="9">
                  <c:v>72.935367693299725</c:v>
                </c:pt>
                <c:pt idx="10">
                  <c:v>108.67259111019592</c:v>
                </c:pt>
                <c:pt idx="11">
                  <c:v>144.35118628049517</c:v>
                </c:pt>
                <c:pt idx="12">
                  <c:v>188.55073544122337</c:v>
                </c:pt>
              </c:numCache>
            </c:numRef>
          </c:val>
          <c:extLst>
            <c:ext xmlns:c16="http://schemas.microsoft.com/office/drawing/2014/chart" uri="{C3380CC4-5D6E-409C-BE32-E72D297353CC}">
              <c16:uniqueId val="{00000000-DC43-4EA9-8BCD-75B9DF29075A}"/>
            </c:ext>
          </c:extLst>
        </c:ser>
        <c:dLbls>
          <c:dLblPos val="outEnd"/>
          <c:showLegendKey val="0"/>
          <c:showVal val="1"/>
          <c:showCatName val="0"/>
          <c:showSerName val="0"/>
          <c:showPercent val="0"/>
          <c:showBubbleSize val="0"/>
        </c:dLbls>
        <c:gapWidth val="30"/>
        <c:overlap val="-27"/>
        <c:axId val="486333167"/>
        <c:axId val="486332687"/>
      </c:barChart>
      <c:catAx>
        <c:axId val="486333167"/>
        <c:scaling>
          <c:orientation val="minMax"/>
        </c:scaling>
        <c:delete val="0"/>
        <c:axPos val="b"/>
        <c:numFmt formatCode="General" sourceLinked="1"/>
        <c:majorTickMark val="none"/>
        <c:minorTickMark val="none"/>
        <c:tickLblPos val="nextTo"/>
        <c:crossAx val="486332687"/>
        <c:crosses val="autoZero"/>
        <c:auto val="1"/>
        <c:lblAlgn val="ctr"/>
        <c:lblOffset val="100"/>
        <c:noMultiLvlLbl val="0"/>
      </c:catAx>
      <c:valAx>
        <c:axId val="486332687"/>
        <c:scaling>
          <c:orientation val="minMax"/>
        </c:scaling>
        <c:delete val="1"/>
        <c:axPos val="l"/>
        <c:numFmt formatCode="_(* #,##0_);_(* \(#,##0\);_(* &quot;-&quot;??_);_(@_)" sourceLinked="1"/>
        <c:majorTickMark val="none"/>
        <c:minorTickMark val="none"/>
        <c:tickLblPos val="nextTo"/>
        <c:crossAx val="486333167"/>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Charts!$B$55</c:f>
          <c:strCache>
            <c:ptCount val="1"/>
            <c:pt idx="0">
              <c:v>EBITDA, Rs. mn</c:v>
            </c:pt>
          </c:strCache>
        </c:strRef>
      </c:tx>
      <c:overlay val="0"/>
    </c:title>
    <c:autoTitleDeleted val="0"/>
    <c:plotArea>
      <c:layout/>
      <c:barChart>
        <c:barDir val="col"/>
        <c:grouping val="clustered"/>
        <c:varyColors val="0"/>
        <c:ser>
          <c:idx val="0"/>
          <c:order val="0"/>
          <c:tx>
            <c:strRef>
              <c:f>Charts!$B$55</c:f>
              <c:strCache>
                <c:ptCount val="1"/>
                <c:pt idx="0">
                  <c:v>EBITDA, Rs. mn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Charts!$C$51:$O$51</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Charts!$C$55:$O$55</c:f>
              <c:numCache>
                <c:formatCode>_(* #,##0_);_(* \(#,##0\);_(* "-"??_);_(@_)</c:formatCode>
                <c:ptCount val="13"/>
                <c:pt idx="0">
                  <c:v>5.8783559999999984</c:v>
                </c:pt>
                <c:pt idx="1">
                  <c:v>6.1214070000000014</c:v>
                </c:pt>
                <c:pt idx="2">
                  <c:v>6.1919619999999993</c:v>
                </c:pt>
                <c:pt idx="3">
                  <c:v>8.164394999999999</c:v>
                </c:pt>
                <c:pt idx="4">
                  <c:v>11.094307999999996</c:v>
                </c:pt>
                <c:pt idx="5">
                  <c:v>16.201896000000001</c:v>
                </c:pt>
                <c:pt idx="6">
                  <c:v>19.645599999999995</c:v>
                </c:pt>
                <c:pt idx="7">
                  <c:v>22.6218</c:v>
                </c:pt>
                <c:pt idx="8">
                  <c:v>26.037299999999998</c:v>
                </c:pt>
                <c:pt idx="9">
                  <c:v>29.530876404599336</c:v>
                </c:pt>
                <c:pt idx="10">
                  <c:v>47.43942098176813</c:v>
                </c:pt>
                <c:pt idx="11">
                  <c:v>57.966427748387026</c:v>
                </c:pt>
                <c:pt idx="12">
                  <c:v>75.5068141171338</c:v>
                </c:pt>
              </c:numCache>
            </c:numRef>
          </c:val>
          <c:extLst>
            <c:ext xmlns:c16="http://schemas.microsoft.com/office/drawing/2014/chart" uri="{C3380CC4-5D6E-409C-BE32-E72D297353CC}">
              <c16:uniqueId val="{00000000-23D4-49C2-B4DE-D8F5270C2FC8}"/>
            </c:ext>
          </c:extLst>
        </c:ser>
        <c:dLbls>
          <c:dLblPos val="outEnd"/>
          <c:showLegendKey val="0"/>
          <c:showVal val="1"/>
          <c:showCatName val="0"/>
          <c:showSerName val="0"/>
          <c:showPercent val="0"/>
          <c:showBubbleSize val="0"/>
        </c:dLbls>
        <c:gapWidth val="30"/>
        <c:axId val="486333167"/>
        <c:axId val="486332687"/>
      </c:barChart>
      <c:lineChart>
        <c:grouping val="standard"/>
        <c:varyColors val="0"/>
        <c:ser>
          <c:idx val="1"/>
          <c:order val="1"/>
          <c:tx>
            <c:strRef>
              <c:f>Charts!$B$56</c:f>
              <c:strCache>
                <c:ptCount val="1"/>
                <c:pt idx="0">
                  <c:v>Margin, %</c:v>
                </c:pt>
              </c:strCache>
            </c:strRef>
          </c:tx>
          <c:spPr>
            <a:ln w="38100"/>
          </c:spPr>
          <c:marker>
            <c:symbol val="none"/>
          </c:marker>
          <c:dLbls>
            <c:spPr>
              <a:solidFill>
                <a:schemeClr val="accent2"/>
              </a:solid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Charts!$C$51:$O$51</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Charts!$C$56:$O$56</c:f>
              <c:numCache>
                <c:formatCode>0%</c:formatCode>
                <c:ptCount val="13"/>
                <c:pt idx="0">
                  <c:v>0.58895839027522057</c:v>
                </c:pt>
                <c:pt idx="1">
                  <c:v>0.56666042125776739</c:v>
                </c:pt>
                <c:pt idx="2">
                  <c:v>0.54166010217598759</c:v>
                </c:pt>
                <c:pt idx="3">
                  <c:v>0.50913851308688951</c:v>
                </c:pt>
                <c:pt idx="4">
                  <c:v>0.48807835503419433</c:v>
                </c:pt>
                <c:pt idx="5">
                  <c:v>0.50714292958336882</c:v>
                </c:pt>
                <c:pt idx="6">
                  <c:v>0.52208807592036965</c:v>
                </c:pt>
                <c:pt idx="7">
                  <c:v>0.50538633733529337</c:v>
                </c:pt>
                <c:pt idx="8">
                  <c:v>0.48564005192634813</c:v>
                </c:pt>
                <c:pt idx="9">
                  <c:v>0.40489103350763284</c:v>
                </c:pt>
                <c:pt idx="10">
                  <c:v>0.43653528913894879</c:v>
                </c:pt>
                <c:pt idx="11">
                  <c:v>0.40156530224663273</c:v>
                </c:pt>
                <c:pt idx="12">
                  <c:v>0.40045886822155319</c:v>
                </c:pt>
              </c:numCache>
            </c:numRef>
          </c:val>
          <c:smooth val="0"/>
          <c:extLst>
            <c:ext xmlns:c16="http://schemas.microsoft.com/office/drawing/2014/chart" uri="{C3380CC4-5D6E-409C-BE32-E72D297353CC}">
              <c16:uniqueId val="{00000001-23D4-49C2-B4DE-D8F5270C2FC8}"/>
            </c:ext>
          </c:extLst>
        </c:ser>
        <c:dLbls>
          <c:showLegendKey val="0"/>
          <c:showVal val="0"/>
          <c:showCatName val="0"/>
          <c:showSerName val="0"/>
          <c:showPercent val="0"/>
          <c:showBubbleSize val="0"/>
        </c:dLbls>
        <c:marker val="1"/>
        <c:smooth val="0"/>
        <c:axId val="2053972096"/>
        <c:axId val="2053962496"/>
      </c:lineChart>
      <c:catAx>
        <c:axId val="486333167"/>
        <c:scaling>
          <c:orientation val="minMax"/>
        </c:scaling>
        <c:delete val="0"/>
        <c:axPos val="b"/>
        <c:numFmt formatCode="General" sourceLinked="1"/>
        <c:majorTickMark val="none"/>
        <c:minorTickMark val="none"/>
        <c:tickLblPos val="nextTo"/>
        <c:crossAx val="486332687"/>
        <c:crosses val="autoZero"/>
        <c:auto val="1"/>
        <c:lblAlgn val="ctr"/>
        <c:lblOffset val="100"/>
        <c:noMultiLvlLbl val="0"/>
      </c:catAx>
      <c:valAx>
        <c:axId val="486332687"/>
        <c:scaling>
          <c:orientation val="minMax"/>
        </c:scaling>
        <c:delete val="0"/>
        <c:axPos val="l"/>
        <c:numFmt formatCode="_(* #,##0_);_(* \(#,##0\);_(* &quot;-&quot;??_);_(@_)" sourceLinked="1"/>
        <c:majorTickMark val="out"/>
        <c:minorTickMark val="none"/>
        <c:tickLblPos val="nextTo"/>
        <c:crossAx val="486333167"/>
        <c:crosses val="autoZero"/>
        <c:crossBetween val="between"/>
      </c:valAx>
      <c:valAx>
        <c:axId val="2053962496"/>
        <c:scaling>
          <c:orientation val="minMax"/>
          <c:max val="0.70000000000000007"/>
          <c:min val="0.4"/>
        </c:scaling>
        <c:delete val="0"/>
        <c:axPos val="r"/>
        <c:numFmt formatCode="0%" sourceLinked="1"/>
        <c:majorTickMark val="out"/>
        <c:minorTickMark val="none"/>
        <c:tickLblPos val="nextTo"/>
        <c:crossAx val="2053972096"/>
        <c:crosses val="max"/>
        <c:crossBetween val="between"/>
      </c:valAx>
      <c:catAx>
        <c:axId val="2053972096"/>
        <c:scaling>
          <c:orientation val="minMax"/>
        </c:scaling>
        <c:delete val="1"/>
        <c:axPos val="b"/>
        <c:numFmt formatCode="General" sourceLinked="1"/>
        <c:majorTickMark val="out"/>
        <c:minorTickMark val="none"/>
        <c:tickLblPos val="nextTo"/>
        <c:crossAx val="2053962496"/>
        <c:crosses val="autoZero"/>
        <c:auto val="1"/>
        <c:lblAlgn val="ctr"/>
        <c:lblOffset val="100"/>
        <c:noMultiLvlLbl val="0"/>
      </c:cat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930551181102364"/>
          <c:y val="6.0185185185185182E-2"/>
        </c:manualLayout>
      </c:layout>
      <c:overlay val="0"/>
    </c:title>
    <c:autoTitleDeleted val="0"/>
    <c:plotArea>
      <c:layout/>
      <c:lineChart>
        <c:grouping val="standard"/>
        <c:varyColors val="0"/>
        <c:ser>
          <c:idx val="0"/>
          <c:order val="0"/>
          <c:tx>
            <c:strRef>
              <c:f>Charts!$B$62</c:f>
              <c:strCache>
                <c:ptCount val="1"/>
                <c:pt idx="0">
                  <c:v>EBITDA/tonne</c:v>
                </c:pt>
              </c:strCache>
            </c:strRef>
          </c:tx>
          <c:spPr>
            <a:ln w="38100"/>
            <a:effectLst>
              <a:outerShdw blurRad="50800" dist="38100" dir="2700000" algn="tl" rotWithShape="0">
                <a:prstClr val="black">
                  <a:alpha val="40000"/>
                </a:prstClr>
              </a:outerShdw>
            </a:effectLst>
          </c:spPr>
          <c:marker>
            <c:symbol val="none"/>
          </c:marker>
          <c:dLbls>
            <c:spPr>
              <a:noFill/>
              <a:ln>
                <a:noFill/>
              </a:ln>
            </c:spPr>
            <c:txPr>
              <a:bodyPr/>
              <a:lstStyle/>
              <a:p>
                <a:pPr>
                  <a:defRPr>
                    <a:solidFill>
                      <a:sysClr val="windowText" lastClr="000000"/>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Charts!$C$62:$O$62</c:f>
              <c:numCache>
                <c:formatCode>_(* #,##0_);_(* \(#,##0\);_(* "-"??_);_(@_)</c:formatCode>
                <c:ptCount val="13"/>
                <c:pt idx="0">
                  <c:v>183.1548839383081</c:v>
                </c:pt>
                <c:pt idx="1">
                  <c:v>173.06776929601358</c:v>
                </c:pt>
                <c:pt idx="2">
                  <c:v>182.06054037662045</c:v>
                </c:pt>
                <c:pt idx="3">
                  <c:v>179.28751811673766</c:v>
                </c:pt>
                <c:pt idx="4">
                  <c:v>179.04831604800773</c:v>
                </c:pt>
                <c:pt idx="5">
                  <c:v>174.56870849831552</c:v>
                </c:pt>
                <c:pt idx="6">
                  <c:v>183.53827785658245</c:v>
                </c:pt>
                <c:pt idx="7">
                  <c:v>183.5664404977376</c:v>
                </c:pt>
                <c:pt idx="8">
                  <c:v>197.32024429342516</c:v>
                </c:pt>
                <c:pt idx="9">
                  <c:v>200.04312420981171</c:v>
                </c:pt>
                <c:pt idx="10">
                  <c:v>242.57191178905629</c:v>
                </c:pt>
                <c:pt idx="11">
                  <c:v>236.38150439732391</c:v>
                </c:pt>
                <c:pt idx="12">
                  <c:v>249.36234692296708</c:v>
                </c:pt>
              </c:numCache>
            </c:numRef>
          </c:val>
          <c:smooth val="0"/>
          <c:extLst>
            <c:ext xmlns:c16="http://schemas.microsoft.com/office/drawing/2014/chart" uri="{C3380CC4-5D6E-409C-BE32-E72D297353CC}">
              <c16:uniqueId val="{00000000-59C2-4A89-892A-8B1E17208D75}"/>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none"/>
        <c:minorTickMark val="none"/>
        <c:tickLblPos val="nextTo"/>
        <c:crossAx val="591642735"/>
        <c:crosses val="autoZero"/>
        <c:auto val="1"/>
        <c:lblAlgn val="ctr"/>
        <c:lblOffset val="100"/>
        <c:noMultiLvlLbl val="0"/>
      </c:catAx>
      <c:valAx>
        <c:axId val="591642735"/>
        <c:scaling>
          <c:orientation val="minMax"/>
          <c:max val="300"/>
          <c:min val="100"/>
        </c:scaling>
        <c:delete val="0"/>
        <c:axPos val="l"/>
        <c:majorGridlines>
          <c:spPr>
            <a:ln w="3175" cap="flat" cmpd="sng" algn="ctr">
              <a:noFill/>
              <a:prstDash val="dash"/>
              <a:round/>
              <a:headEnd type="none" w="med" len="med"/>
              <a:tailEnd type="none" w="med" len="med"/>
            </a:ln>
          </c:spPr>
        </c:majorGridlines>
        <c:numFmt formatCode="_(* #,##0_);_(* \(#,##0\);_(* &quot;-&quot;??_);_(@_)" sourceLinked="1"/>
        <c:majorTickMark val="out"/>
        <c:minorTickMark val="none"/>
        <c:tickLblPos val="nextTo"/>
        <c:spPr>
          <a:ln>
            <a:solidFill>
              <a:schemeClr val="accent1"/>
            </a:solidFill>
          </a:ln>
        </c:spPr>
        <c:crossAx val="591636495"/>
        <c:crosses val="autoZero"/>
        <c:crossBetween val="between"/>
        <c:majorUnit val="100"/>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Charts!$B$81</c:f>
          <c:strCache>
            <c:ptCount val="1"/>
            <c:pt idx="0">
              <c:v>Consolidated RoCE, %</c:v>
            </c:pt>
          </c:strCache>
        </c:strRef>
      </c:tx>
      <c:layout>
        <c:manualLayout>
          <c:xMode val="edge"/>
          <c:yMode val="edge"/>
          <c:x val="0.4589965366131204"/>
          <c:y val="2.0453298235258828E-2"/>
        </c:manualLayout>
      </c:layout>
      <c:overlay val="0"/>
    </c:title>
    <c:autoTitleDeleted val="0"/>
    <c:plotArea>
      <c:layout/>
      <c:barChart>
        <c:barDir val="col"/>
        <c:grouping val="clustered"/>
        <c:varyColors val="0"/>
        <c:ser>
          <c:idx val="0"/>
          <c:order val="0"/>
          <c:tx>
            <c:strRef>
              <c:f>Charts!$B$82</c:f>
              <c:strCache>
                <c:ptCount val="1"/>
                <c:pt idx="0">
                  <c:v>Return on Capital Employed</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Charts!$C$81:$O$81</c:f>
              <c:strCache>
                <c:ptCount val="13"/>
                <c:pt idx="0">
                  <c:v>FY18</c:v>
                </c:pt>
                <c:pt idx="1">
                  <c:v>FY19</c:v>
                </c:pt>
                <c:pt idx="2">
                  <c:v>FY20</c:v>
                </c:pt>
                <c:pt idx="3">
                  <c:v>FY21</c:v>
                </c:pt>
                <c:pt idx="4">
                  <c:v>FY22</c:v>
                </c:pt>
                <c:pt idx="5">
                  <c:v>FY23</c:v>
                </c:pt>
                <c:pt idx="6">
                  <c:v>FY24</c:v>
                </c:pt>
                <c:pt idx="7">
                  <c:v>FY25E</c:v>
                </c:pt>
                <c:pt idx="8">
                  <c:v>FY26E</c:v>
                </c:pt>
                <c:pt idx="9">
                  <c:v>FY27E</c:v>
                </c:pt>
                <c:pt idx="10">
                  <c:v>FY28E</c:v>
                </c:pt>
                <c:pt idx="11">
                  <c:v>FY29E</c:v>
                </c:pt>
                <c:pt idx="12">
                  <c:v>FY30E</c:v>
                </c:pt>
              </c:strCache>
            </c:strRef>
          </c:cat>
          <c:val>
            <c:numRef>
              <c:f>Charts!$C$82:$O$82</c:f>
              <c:numCache>
                <c:formatCode>0%</c:formatCode>
                <c:ptCount val="13"/>
                <c:pt idx="0">
                  <c:v>7.9825280398223161E-2</c:v>
                </c:pt>
                <c:pt idx="1">
                  <c:v>8.3184228547020858E-2</c:v>
                </c:pt>
                <c:pt idx="2">
                  <c:v>7.0667832483507428E-2</c:v>
                </c:pt>
                <c:pt idx="3">
                  <c:v>5.7397405962590922E-2</c:v>
                </c:pt>
                <c:pt idx="4">
                  <c:v>7.4227294556233336E-2</c:v>
                </c:pt>
                <c:pt idx="5">
                  <c:v>0.14636346684270354</c:v>
                </c:pt>
                <c:pt idx="6">
                  <c:v>0.10780053031319661</c:v>
                </c:pt>
                <c:pt idx="7">
                  <c:v>0.11065758374088255</c:v>
                </c:pt>
                <c:pt idx="8">
                  <c:v>0.10223813388390543</c:v>
                </c:pt>
                <c:pt idx="9">
                  <c:v>6.5187404509055927E-2</c:v>
                </c:pt>
                <c:pt idx="10">
                  <c:v>8.5124082592965736E-2</c:v>
                </c:pt>
                <c:pt idx="11">
                  <c:v>8.7864621734563608E-2</c:v>
                </c:pt>
                <c:pt idx="12">
                  <c:v>9.5771964124638356E-2</c:v>
                </c:pt>
              </c:numCache>
            </c:numRef>
          </c:val>
          <c:extLst>
            <c:ext xmlns:c16="http://schemas.microsoft.com/office/drawing/2014/chart" uri="{C3380CC4-5D6E-409C-BE32-E72D297353CC}">
              <c16:uniqueId val="{00000000-9DEE-4413-86C8-888A5B50283E}"/>
            </c:ext>
          </c:extLst>
        </c:ser>
        <c:ser>
          <c:idx val="1"/>
          <c:order val="1"/>
          <c:tx>
            <c:strRef>
              <c:f>Charts!$B$83</c:f>
              <c:strCache>
                <c:ptCount val="1"/>
                <c:pt idx="0">
                  <c:v>Return on Capital Employed - Without CWIP</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Charts!$C$81:$O$81</c:f>
              <c:strCache>
                <c:ptCount val="13"/>
                <c:pt idx="0">
                  <c:v>FY18</c:v>
                </c:pt>
                <c:pt idx="1">
                  <c:v>FY19</c:v>
                </c:pt>
                <c:pt idx="2">
                  <c:v>FY20</c:v>
                </c:pt>
                <c:pt idx="3">
                  <c:v>FY21</c:v>
                </c:pt>
                <c:pt idx="4">
                  <c:v>FY22</c:v>
                </c:pt>
                <c:pt idx="5">
                  <c:v>FY23</c:v>
                </c:pt>
                <c:pt idx="6">
                  <c:v>FY24</c:v>
                </c:pt>
                <c:pt idx="7">
                  <c:v>FY25E</c:v>
                </c:pt>
                <c:pt idx="8">
                  <c:v>FY26E</c:v>
                </c:pt>
                <c:pt idx="9">
                  <c:v>FY27E</c:v>
                </c:pt>
                <c:pt idx="10">
                  <c:v>FY28E</c:v>
                </c:pt>
                <c:pt idx="11">
                  <c:v>FY29E</c:v>
                </c:pt>
                <c:pt idx="12">
                  <c:v>FY30E</c:v>
                </c:pt>
              </c:strCache>
            </c:strRef>
          </c:cat>
          <c:val>
            <c:numRef>
              <c:f>Charts!$C$83:$O$83</c:f>
              <c:numCache>
                <c:formatCode>0%</c:formatCode>
                <c:ptCount val="13"/>
                <c:pt idx="0">
                  <c:v>9.1922786487255853E-2</c:v>
                </c:pt>
                <c:pt idx="1">
                  <c:v>9.9248100498850689E-2</c:v>
                </c:pt>
                <c:pt idx="2">
                  <c:v>8.0621295117442607E-2</c:v>
                </c:pt>
                <c:pt idx="3">
                  <c:v>5.9619668831810503E-2</c:v>
                </c:pt>
                <c:pt idx="4">
                  <c:v>7.482068480876071E-2</c:v>
                </c:pt>
                <c:pt idx="5">
                  <c:v>0.14710907696241263</c:v>
                </c:pt>
                <c:pt idx="6">
                  <c:v>0.10869624056131245</c:v>
                </c:pt>
                <c:pt idx="7">
                  <c:v>0.12543559035157315</c:v>
                </c:pt>
                <c:pt idx="8">
                  <c:v>0.12270646688110294</c:v>
                </c:pt>
                <c:pt idx="9">
                  <c:v>8.3673651575393637E-2</c:v>
                </c:pt>
                <c:pt idx="10">
                  <c:v>9.5420611096299415E-2</c:v>
                </c:pt>
                <c:pt idx="11">
                  <c:v>0.10260936897422955</c:v>
                </c:pt>
                <c:pt idx="12">
                  <c:v>9.5771964124638356E-2</c:v>
                </c:pt>
              </c:numCache>
            </c:numRef>
          </c:val>
          <c:extLst>
            <c:ext xmlns:c16="http://schemas.microsoft.com/office/drawing/2014/chart" uri="{C3380CC4-5D6E-409C-BE32-E72D297353CC}">
              <c16:uniqueId val="{00000001-9DEE-4413-86C8-888A5B50283E}"/>
            </c:ext>
          </c:extLst>
        </c:ser>
        <c:ser>
          <c:idx val="2"/>
          <c:order val="2"/>
          <c:tx>
            <c:strRef>
              <c:f>Charts!$B$84</c:f>
              <c:strCache>
                <c:ptCount val="1"/>
                <c:pt idx="0">
                  <c:v>Return on Capital Employed - As per Company</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Charts!$C$81:$O$81</c:f>
              <c:strCache>
                <c:ptCount val="13"/>
                <c:pt idx="0">
                  <c:v>FY18</c:v>
                </c:pt>
                <c:pt idx="1">
                  <c:v>FY19</c:v>
                </c:pt>
                <c:pt idx="2">
                  <c:v>FY20</c:v>
                </c:pt>
                <c:pt idx="3">
                  <c:v>FY21</c:v>
                </c:pt>
                <c:pt idx="4">
                  <c:v>FY22</c:v>
                </c:pt>
                <c:pt idx="5">
                  <c:v>FY23</c:v>
                </c:pt>
                <c:pt idx="6">
                  <c:v>FY24</c:v>
                </c:pt>
                <c:pt idx="7">
                  <c:v>FY25E</c:v>
                </c:pt>
                <c:pt idx="8">
                  <c:v>FY26E</c:v>
                </c:pt>
                <c:pt idx="9">
                  <c:v>FY27E</c:v>
                </c:pt>
                <c:pt idx="10">
                  <c:v>FY28E</c:v>
                </c:pt>
                <c:pt idx="11">
                  <c:v>FY29E</c:v>
                </c:pt>
                <c:pt idx="12">
                  <c:v>FY30E</c:v>
                </c:pt>
              </c:strCache>
            </c:strRef>
          </c:cat>
          <c:val>
            <c:numRef>
              <c:f>Charts!$C$84:$O$84</c:f>
              <c:numCache>
                <c:formatCode>0%</c:formatCode>
                <c:ptCount val="13"/>
                <c:pt idx="0">
                  <c:v>0.10863491046238756</c:v>
                </c:pt>
                <c:pt idx="1">
                  <c:v>7.5144996724732946E-2</c:v>
                </c:pt>
                <c:pt idx="2">
                  <c:v>8.1793876496878998E-2</c:v>
                </c:pt>
                <c:pt idx="3">
                  <c:v>8.3045096685314027E-2</c:v>
                </c:pt>
                <c:pt idx="4">
                  <c:v>0.11139137717184154</c:v>
                </c:pt>
                <c:pt idx="5">
                  <c:v>0.18601878704583844</c:v>
                </c:pt>
                <c:pt idx="6">
                  <c:v>0.17932096302520212</c:v>
                </c:pt>
                <c:pt idx="7">
                  <c:v>0.13545737778177816</c:v>
                </c:pt>
                <c:pt idx="8">
                  <c:v>0.12604522426193657</c:v>
                </c:pt>
                <c:pt idx="9">
                  <c:v>9.8012526799168553E-2</c:v>
                </c:pt>
                <c:pt idx="10">
                  <c:v>0.11415886521296159</c:v>
                </c:pt>
                <c:pt idx="11">
                  <c:v>0.10652872956089643</c:v>
                </c:pt>
                <c:pt idx="12">
                  <c:v>0.12219213233853671</c:v>
                </c:pt>
              </c:numCache>
            </c:numRef>
          </c:val>
          <c:extLst>
            <c:ext xmlns:c16="http://schemas.microsoft.com/office/drawing/2014/chart" uri="{C3380CC4-5D6E-409C-BE32-E72D297353CC}">
              <c16:uniqueId val="{00000002-9DEE-4413-86C8-888A5B50283E}"/>
            </c:ext>
          </c:extLst>
        </c:ser>
        <c:dLbls>
          <c:dLblPos val="outEnd"/>
          <c:showLegendKey val="0"/>
          <c:showVal val="1"/>
          <c:showCatName val="0"/>
          <c:showSerName val="0"/>
          <c:showPercent val="0"/>
          <c:showBubbleSize val="0"/>
        </c:dLbls>
        <c:gapWidth val="30"/>
        <c:axId val="787919087"/>
        <c:axId val="787930127"/>
      </c:barChart>
      <c:catAx>
        <c:axId val="787919087"/>
        <c:scaling>
          <c:orientation val="minMax"/>
        </c:scaling>
        <c:delete val="0"/>
        <c:axPos val="b"/>
        <c:numFmt formatCode="General" sourceLinked="1"/>
        <c:majorTickMark val="none"/>
        <c:minorTickMark val="none"/>
        <c:tickLblPos val="nextTo"/>
        <c:crossAx val="787930127"/>
        <c:crosses val="autoZero"/>
        <c:auto val="1"/>
        <c:lblAlgn val="ctr"/>
        <c:lblOffset val="100"/>
        <c:noMultiLvlLbl val="0"/>
      </c:catAx>
      <c:valAx>
        <c:axId val="787930127"/>
        <c:scaling>
          <c:orientation val="minMax"/>
        </c:scaling>
        <c:delete val="1"/>
        <c:axPos val="l"/>
        <c:numFmt formatCode="0%" sourceLinked="1"/>
        <c:majorTickMark val="none"/>
        <c:minorTickMark val="none"/>
        <c:tickLblPos val="nextTo"/>
        <c:crossAx val="787919087"/>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Charts!$B$86</c:f>
          <c:strCache>
            <c:ptCount val="1"/>
            <c:pt idx="0">
              <c:v>Debt Profile</c:v>
            </c:pt>
          </c:strCache>
        </c:strRef>
      </c:tx>
      <c:overlay val="0"/>
    </c:title>
    <c:autoTitleDeleted val="0"/>
    <c:plotArea>
      <c:layout/>
      <c:barChart>
        <c:barDir val="col"/>
        <c:grouping val="clustered"/>
        <c:varyColors val="0"/>
        <c:ser>
          <c:idx val="0"/>
          <c:order val="0"/>
          <c:tx>
            <c:strRef>
              <c:f>Charts!$B$87</c:f>
              <c:strCache>
                <c:ptCount val="1"/>
                <c:pt idx="0">
                  <c:v>Total Debt, Rs. bn</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Charts!$C$86:$O$86</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Charts!$C$87:$O$87</c:f>
              <c:numCache>
                <c:formatCode>_(* #,##0_);_(* \(#,##0\);_(* "-"??_);_(@_)</c:formatCode>
                <c:ptCount val="13"/>
                <c:pt idx="0">
                  <c:v>16.799911000000002</c:v>
                </c:pt>
                <c:pt idx="1">
                  <c:v>20.001206</c:v>
                </c:pt>
                <c:pt idx="2">
                  <c:v>27.167159999999999</c:v>
                </c:pt>
                <c:pt idx="3">
                  <c:v>39.458179999999999</c:v>
                </c:pt>
                <c:pt idx="4">
                  <c:v>44.086940000000006</c:v>
                </c:pt>
                <c:pt idx="5">
                  <c:v>42.436980000000005</c:v>
                </c:pt>
                <c:pt idx="6">
                  <c:v>43.806800000000003</c:v>
                </c:pt>
                <c:pt idx="7">
                  <c:v>46.588299999999997</c:v>
                </c:pt>
                <c:pt idx="8">
                  <c:v>64.098500000000001</c:v>
                </c:pt>
                <c:pt idx="9">
                  <c:v>103.25789123008481</c:v>
                </c:pt>
                <c:pt idx="10">
                  <c:v>133.15867992260425</c:v>
                </c:pt>
                <c:pt idx="11">
                  <c:v>137.06513864899509</c:v>
                </c:pt>
                <c:pt idx="12">
                  <c:v>153.55457116598683</c:v>
                </c:pt>
              </c:numCache>
            </c:numRef>
          </c:val>
          <c:extLst>
            <c:ext xmlns:c16="http://schemas.microsoft.com/office/drawing/2014/chart" uri="{C3380CC4-5D6E-409C-BE32-E72D297353CC}">
              <c16:uniqueId val="{00000000-EAFE-4237-ACAA-B25918601811}"/>
            </c:ext>
          </c:extLst>
        </c:ser>
        <c:dLbls>
          <c:dLblPos val="outEnd"/>
          <c:showLegendKey val="0"/>
          <c:showVal val="1"/>
          <c:showCatName val="0"/>
          <c:showSerName val="0"/>
          <c:showPercent val="0"/>
          <c:showBubbleSize val="0"/>
        </c:dLbls>
        <c:gapWidth val="30"/>
        <c:axId val="812975023"/>
        <c:axId val="812975503"/>
      </c:barChart>
      <c:lineChart>
        <c:grouping val="standard"/>
        <c:varyColors val="0"/>
        <c:ser>
          <c:idx val="1"/>
          <c:order val="1"/>
          <c:tx>
            <c:strRef>
              <c:f>Charts!$B$88</c:f>
              <c:strCache>
                <c:ptCount val="1"/>
                <c:pt idx="0">
                  <c:v>Net Debt/EBITDA</c:v>
                </c:pt>
              </c:strCache>
            </c:strRef>
          </c:tx>
          <c:marker>
            <c:symbol val="none"/>
          </c:marker>
          <c:dLbls>
            <c:spPr>
              <a:solidFill>
                <a:schemeClr val="accent1"/>
              </a:solidFill>
              <a:ln>
                <a:noFill/>
              </a:ln>
            </c:spPr>
            <c:txPr>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Charts!$C$86:$O$86</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Charts!$C$88:$O$88</c:f>
              <c:numCache>
                <c:formatCode>_(* #,##0.0_);_(* \(#,##0.0\);_(* "-"??_);_(@_)</c:formatCode>
                <c:ptCount val="13"/>
                <c:pt idx="0">
                  <c:v>2.2509104586384363</c:v>
                </c:pt>
                <c:pt idx="1">
                  <c:v>2.7258350898739452</c:v>
                </c:pt>
                <c:pt idx="2">
                  <c:v>4.0159618227631251</c:v>
                </c:pt>
                <c:pt idx="3">
                  <c:v>4.5085741196990101</c:v>
                </c:pt>
                <c:pt idx="4">
                  <c:v>3.0380074178578798</c:v>
                </c:pt>
                <c:pt idx="5">
                  <c:v>1.4242555315748233</c:v>
                </c:pt>
                <c:pt idx="6">
                  <c:v>3.5946980494359994E-2</c:v>
                </c:pt>
                <c:pt idx="7">
                  <c:v>0.89160897894950875</c:v>
                </c:pt>
                <c:pt idx="8">
                  <c:v>1.5708771646829742</c:v>
                </c:pt>
                <c:pt idx="9">
                  <c:v>0.91473530150921256</c:v>
                </c:pt>
                <c:pt idx="10">
                  <c:v>1.8337019224366602</c:v>
                </c:pt>
                <c:pt idx="11">
                  <c:v>2.2366778043597755</c:v>
                </c:pt>
                <c:pt idx="12">
                  <c:v>1.9895481896072915</c:v>
                </c:pt>
              </c:numCache>
            </c:numRef>
          </c:val>
          <c:smooth val="0"/>
          <c:extLst>
            <c:ext xmlns:c16="http://schemas.microsoft.com/office/drawing/2014/chart" uri="{C3380CC4-5D6E-409C-BE32-E72D297353CC}">
              <c16:uniqueId val="{00000001-EAFE-4237-ACAA-B25918601811}"/>
            </c:ext>
          </c:extLst>
        </c:ser>
        <c:dLbls>
          <c:showLegendKey val="0"/>
          <c:showVal val="0"/>
          <c:showCatName val="0"/>
          <c:showSerName val="0"/>
          <c:showPercent val="0"/>
          <c:showBubbleSize val="0"/>
        </c:dLbls>
        <c:marker val="1"/>
        <c:smooth val="0"/>
        <c:axId val="812888143"/>
        <c:axId val="812884783"/>
      </c:lineChart>
      <c:catAx>
        <c:axId val="812975023"/>
        <c:scaling>
          <c:orientation val="minMax"/>
        </c:scaling>
        <c:delete val="0"/>
        <c:axPos val="b"/>
        <c:numFmt formatCode="General" sourceLinked="1"/>
        <c:majorTickMark val="none"/>
        <c:minorTickMark val="none"/>
        <c:tickLblPos val="nextTo"/>
        <c:crossAx val="812975503"/>
        <c:crosses val="autoZero"/>
        <c:auto val="1"/>
        <c:lblAlgn val="ctr"/>
        <c:lblOffset val="100"/>
        <c:noMultiLvlLbl val="0"/>
      </c:catAx>
      <c:valAx>
        <c:axId val="812975503"/>
        <c:scaling>
          <c:orientation val="minMax"/>
        </c:scaling>
        <c:delete val="0"/>
        <c:axPos val="l"/>
        <c:numFmt formatCode="_(* #,##0_);_(* \(#,##0\);_(* &quot;-&quot;??_);_(@_)" sourceLinked="1"/>
        <c:majorTickMark val="none"/>
        <c:minorTickMark val="none"/>
        <c:tickLblPos val="nextTo"/>
        <c:spPr>
          <a:ln>
            <a:noFill/>
          </a:ln>
        </c:spPr>
        <c:crossAx val="812975023"/>
        <c:crosses val="autoZero"/>
        <c:crossBetween val="between"/>
      </c:valAx>
      <c:valAx>
        <c:axId val="812884783"/>
        <c:scaling>
          <c:orientation val="minMax"/>
        </c:scaling>
        <c:delete val="0"/>
        <c:axPos val="r"/>
        <c:numFmt formatCode="_(* #,##0.0_);_(* \(#,##0.0\);_(* &quot;-&quot;??_);_(@_)" sourceLinked="1"/>
        <c:majorTickMark val="none"/>
        <c:minorTickMark val="none"/>
        <c:tickLblPos val="none"/>
        <c:spPr>
          <a:ln>
            <a:noFill/>
          </a:ln>
        </c:spPr>
        <c:crossAx val="812888143"/>
        <c:crosses val="max"/>
        <c:crossBetween val="between"/>
      </c:valAx>
      <c:catAx>
        <c:axId val="812888143"/>
        <c:scaling>
          <c:orientation val="minMax"/>
        </c:scaling>
        <c:delete val="1"/>
        <c:axPos val="b"/>
        <c:numFmt formatCode="General" sourceLinked="1"/>
        <c:majorTickMark val="out"/>
        <c:minorTickMark val="none"/>
        <c:tickLblPos val="nextTo"/>
        <c:crossAx val="812884783"/>
        <c:crosses val="autoZero"/>
        <c:auto val="1"/>
        <c:lblAlgn val="ctr"/>
        <c:lblOffset val="100"/>
        <c:noMultiLvlLbl val="0"/>
      </c:cat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Charts!$B$2</c:f>
          <c:strCache>
            <c:ptCount val="1"/>
            <c:pt idx="0">
              <c:v>Cargo - Customer Wise, MT</c:v>
            </c:pt>
          </c:strCache>
        </c:strRef>
      </c:tx>
      <c:overlay val="0"/>
      <c:txPr>
        <a:bodyPr/>
        <a:lstStyle/>
        <a:p>
          <a:pPr>
            <a:defRPr sz="1080"/>
          </a:pPr>
          <a:endParaRPr lang="en-US"/>
        </a:p>
      </c:txPr>
    </c:title>
    <c:autoTitleDeleted val="0"/>
    <c:plotArea>
      <c:layout/>
      <c:barChart>
        <c:barDir val="col"/>
        <c:grouping val="stacked"/>
        <c:varyColors val="0"/>
        <c:ser>
          <c:idx val="0"/>
          <c:order val="0"/>
          <c:tx>
            <c:strRef>
              <c:f>Charts!$B$3</c:f>
              <c:strCache>
                <c:ptCount val="1"/>
                <c:pt idx="0">
                  <c:v>JSW Group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Charts!$U$2:$AD$2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Charts!$U$3:$AD$3</c:f>
              <c:numCache>
                <c:formatCode>0%</c:formatCode>
                <c:ptCount val="10"/>
                <c:pt idx="0">
                  <c:v>0.75186649099692593</c:v>
                </c:pt>
                <c:pt idx="1">
                  <c:v>0.69912861061804099</c:v>
                </c:pt>
                <c:pt idx="2">
                  <c:v>0.66605623182160945</c:v>
                </c:pt>
                <c:pt idx="3">
                  <c:v>0.6</c:v>
                </c:pt>
                <c:pt idx="4">
                  <c:v>0.51</c:v>
                </c:pt>
                <c:pt idx="5">
                  <c:v>0.51672556916248868</c:v>
                </c:pt>
                <c:pt idx="6">
                  <c:v>0.52247305736318495</c:v>
                </c:pt>
                <c:pt idx="7">
                  <c:v>0.58869747510579473</c:v>
                </c:pt>
                <c:pt idx="8">
                  <c:v>0.58480604984523143</c:v>
                </c:pt>
                <c:pt idx="9">
                  <c:v>0.51052648159562575</c:v>
                </c:pt>
              </c:numCache>
            </c:numRef>
          </c:val>
          <c:extLst>
            <c:ext xmlns:c16="http://schemas.microsoft.com/office/drawing/2014/chart" uri="{C3380CC4-5D6E-409C-BE32-E72D297353CC}">
              <c16:uniqueId val="{00000000-3FC9-4F43-9775-CDB7F0709416}"/>
            </c:ext>
          </c:extLst>
        </c:ser>
        <c:ser>
          <c:idx val="1"/>
          <c:order val="1"/>
          <c:tx>
            <c:strRef>
              <c:f>Charts!$B$4</c:f>
              <c:strCache>
                <c:ptCount val="1"/>
                <c:pt idx="0">
                  <c:v>Third Party Cargo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Charts!$U$2:$AD$2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Charts!$U$4:$AD$4</c:f>
              <c:numCache>
                <c:formatCode>0%</c:formatCode>
                <c:ptCount val="10"/>
                <c:pt idx="0">
                  <c:v>0.24813350900307421</c:v>
                </c:pt>
                <c:pt idx="1">
                  <c:v>0.30087138938195901</c:v>
                </c:pt>
                <c:pt idx="2">
                  <c:v>0.33394376817839055</c:v>
                </c:pt>
                <c:pt idx="3">
                  <c:v>0.40000000000000008</c:v>
                </c:pt>
                <c:pt idx="4">
                  <c:v>0.49</c:v>
                </c:pt>
                <c:pt idx="5">
                  <c:v>0.48327443083751132</c:v>
                </c:pt>
                <c:pt idx="6">
                  <c:v>0.477526942636815</c:v>
                </c:pt>
                <c:pt idx="7">
                  <c:v>0.41130252489420527</c:v>
                </c:pt>
                <c:pt idx="8">
                  <c:v>0.41519395015476868</c:v>
                </c:pt>
                <c:pt idx="9">
                  <c:v>0.4894735184043742</c:v>
                </c:pt>
              </c:numCache>
            </c:numRef>
          </c:val>
          <c:extLst>
            <c:ext xmlns:c16="http://schemas.microsoft.com/office/drawing/2014/chart" uri="{C3380CC4-5D6E-409C-BE32-E72D297353CC}">
              <c16:uniqueId val="{00000001-3FC9-4F43-9775-CDB7F0709416}"/>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crossAx val="327558928"/>
        <c:crosses val="autoZero"/>
        <c:auto val="1"/>
        <c:lblAlgn val="ctr"/>
        <c:lblOffset val="100"/>
        <c:noMultiLvlLbl val="0"/>
      </c:catAx>
      <c:valAx>
        <c:axId val="327558928"/>
        <c:scaling>
          <c:orientation val="minMax"/>
          <c:max val="1"/>
        </c:scaling>
        <c:delete val="0"/>
        <c:axPos val="l"/>
        <c:numFmt formatCode="0%" sourceLinked="1"/>
        <c:majorTickMark val="none"/>
        <c:minorTickMark val="none"/>
        <c:tickLblPos val="none"/>
        <c:crossAx val="327560848"/>
        <c:crosses val="autoZero"/>
        <c:crossBetween val="between"/>
      </c:valAx>
    </c:plotArea>
    <c:legend>
      <c:legendPos val="b"/>
      <c:overlay val="0"/>
    </c:legend>
    <c:plotVisOnly val="1"/>
    <c:dispBlanksAs val="gap"/>
    <c:showDLblsOverMax val="0"/>
  </c:chart>
  <c:spPr>
    <a:ln w="3175">
      <a:noFill/>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74643615424166"/>
          <c:y val="0.19493438320209974"/>
          <c:w val="0.97917719994299668"/>
          <c:h val="0.61901303173039335"/>
        </c:manualLayout>
      </c:layout>
      <c:barChart>
        <c:barDir val="col"/>
        <c:grouping val="stacked"/>
        <c:varyColors val="0"/>
        <c:ser>
          <c:idx val="0"/>
          <c:order val="0"/>
          <c:tx>
            <c:strRef>
              <c:f>Charts!$B$103</c:f>
              <c:strCache>
                <c:ptCount val="1"/>
                <c:pt idx="0">
                  <c:v>Jaigarh</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Charts!$F$103:$O$103</c:f>
              <c:numCache>
                <c:formatCode>0%</c:formatCode>
                <c:ptCount val="10"/>
                <c:pt idx="0">
                  <c:v>0.20286354253590408</c:v>
                </c:pt>
                <c:pt idx="1">
                  <c:v>0.22625701414292701</c:v>
                </c:pt>
                <c:pt idx="2">
                  <c:v>0.2180452802487074</c:v>
                </c:pt>
                <c:pt idx="3">
                  <c:v>0.20095636461574545</c:v>
                </c:pt>
                <c:pt idx="4">
                  <c:v>0.17008547008547006</c:v>
                </c:pt>
                <c:pt idx="5">
                  <c:v>0.16788139804538679</c:v>
                </c:pt>
                <c:pt idx="6">
                  <c:v>0.16475024131321275</c:v>
                </c:pt>
                <c:pt idx="7">
                  <c:v>0.15605951227815873</c:v>
                </c:pt>
                <c:pt idx="8">
                  <c:v>0.14692058705449318</c:v>
                </c:pt>
                <c:pt idx="9">
                  <c:v>0.12797662261289836</c:v>
                </c:pt>
              </c:numCache>
            </c:numRef>
          </c:val>
          <c:extLst>
            <c:ext xmlns:c16="http://schemas.microsoft.com/office/drawing/2014/chart" uri="{C3380CC4-5D6E-409C-BE32-E72D297353CC}">
              <c16:uniqueId val="{00000000-9F71-4A2C-B169-4ED57E6DE081}"/>
            </c:ext>
          </c:extLst>
        </c:ser>
        <c:ser>
          <c:idx val="1"/>
          <c:order val="1"/>
          <c:tx>
            <c:strRef>
              <c:f>Charts!$B$104</c:f>
              <c:strCache>
                <c:ptCount val="1"/>
                <c:pt idx="0">
                  <c:v>Dharmatar</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Charts!$F$104:$O$104</c:f>
              <c:numCache>
                <c:formatCode>0%</c:formatCode>
                <c:ptCount val="10"/>
                <c:pt idx="0">
                  <c:v>0.28327989810707543</c:v>
                </c:pt>
                <c:pt idx="1">
                  <c:v>0.27773979235467211</c:v>
                </c:pt>
                <c:pt idx="2">
                  <c:v>0.25891328182914652</c:v>
                </c:pt>
                <c:pt idx="3">
                  <c:v>0.23486950285633848</c:v>
                </c:pt>
                <c:pt idx="4">
                  <c:v>0.19743589743589743</c:v>
                </c:pt>
                <c:pt idx="5">
                  <c:v>0.20316382309093925</c:v>
                </c:pt>
                <c:pt idx="6">
                  <c:v>0.19913046747044744</c:v>
                </c:pt>
                <c:pt idx="7">
                  <c:v>0.1877707317360128</c:v>
                </c:pt>
                <c:pt idx="8">
                  <c:v>0.17636499990020346</c:v>
                </c:pt>
                <c:pt idx="9">
                  <c:v>0.15059630371191496</c:v>
                </c:pt>
              </c:numCache>
            </c:numRef>
          </c:val>
          <c:extLst>
            <c:ext xmlns:c16="http://schemas.microsoft.com/office/drawing/2014/chart" uri="{C3380CC4-5D6E-409C-BE32-E72D297353CC}">
              <c16:uniqueId val="{00000001-9F71-4A2C-B169-4ED57E6DE081}"/>
            </c:ext>
          </c:extLst>
        </c:ser>
        <c:ser>
          <c:idx val="2"/>
          <c:order val="2"/>
          <c:tx>
            <c:strRef>
              <c:f>Charts!$B$105</c:f>
              <c:strCache>
                <c:ptCount val="1"/>
                <c:pt idx="0">
                  <c:v>Paradip Coal</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9F71-4A2C-B169-4ED57E6DE081}"/>
                </c:ext>
              </c:extLst>
            </c:dLbl>
            <c:dLbl>
              <c:idx val="1"/>
              <c:delete val="1"/>
              <c:extLst>
                <c:ext xmlns:c15="http://schemas.microsoft.com/office/drawing/2012/chart" uri="{CE6537A1-D6FC-4f65-9D91-7224C49458BB}"/>
                <c:ext xmlns:c16="http://schemas.microsoft.com/office/drawing/2014/chart" uri="{C3380CC4-5D6E-409C-BE32-E72D297353CC}">
                  <c16:uniqueId val="{00000003-9F71-4A2C-B169-4ED57E6DE081}"/>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Charts!$F$105:$O$105</c:f>
              <c:numCache>
                <c:formatCode>0%</c:formatCode>
                <c:ptCount val="10"/>
                <c:pt idx="0">
                  <c:v>0</c:v>
                </c:pt>
                <c:pt idx="1">
                  <c:v>4.52974499236677E-3</c:v>
                </c:pt>
                <c:pt idx="2">
                  <c:v>0.1296613580329567</c:v>
                </c:pt>
                <c:pt idx="3">
                  <c:v>0.15667309319414463</c:v>
                </c:pt>
                <c:pt idx="4">
                  <c:v>0.16153846153846152</c:v>
                </c:pt>
                <c:pt idx="5">
                  <c:v>0.15744575120092766</c:v>
                </c:pt>
                <c:pt idx="6">
                  <c:v>0.15153789842470203</c:v>
                </c:pt>
                <c:pt idx="7">
                  <c:v>0.12194585363648153</c:v>
                </c:pt>
                <c:pt idx="8">
                  <c:v>0.11062992754381365</c:v>
                </c:pt>
                <c:pt idx="9">
                  <c:v>9.7283051289395947E-2</c:v>
                </c:pt>
              </c:numCache>
            </c:numRef>
          </c:val>
          <c:extLst>
            <c:ext xmlns:c16="http://schemas.microsoft.com/office/drawing/2014/chart" uri="{C3380CC4-5D6E-409C-BE32-E72D297353CC}">
              <c16:uniqueId val="{00000004-9F71-4A2C-B169-4ED57E6DE081}"/>
            </c:ext>
          </c:extLst>
        </c:ser>
        <c:ser>
          <c:idx val="3"/>
          <c:order val="3"/>
          <c:tx>
            <c:strRef>
              <c:f>Charts!$B$106</c:f>
              <c:strCache>
                <c:ptCount val="1"/>
                <c:pt idx="0">
                  <c:v>Jatadhar</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9F71-4A2C-B169-4ED57E6DE081}"/>
                </c:ext>
              </c:extLst>
            </c:dLbl>
            <c:dLbl>
              <c:idx val="1"/>
              <c:delete val="1"/>
              <c:extLst>
                <c:ext xmlns:c15="http://schemas.microsoft.com/office/drawing/2012/chart" uri="{CE6537A1-D6FC-4f65-9D91-7224C49458BB}"/>
                <c:ext xmlns:c16="http://schemas.microsoft.com/office/drawing/2014/chart" uri="{C3380CC4-5D6E-409C-BE32-E72D297353CC}">
                  <c16:uniqueId val="{00000006-9F71-4A2C-B169-4ED57E6DE081}"/>
                </c:ext>
              </c:extLst>
            </c:dLbl>
            <c:dLbl>
              <c:idx val="2"/>
              <c:delete val="1"/>
              <c:extLst>
                <c:ext xmlns:c15="http://schemas.microsoft.com/office/drawing/2012/chart" uri="{CE6537A1-D6FC-4f65-9D91-7224C49458BB}"/>
                <c:ext xmlns:c16="http://schemas.microsoft.com/office/drawing/2014/chart" uri="{C3380CC4-5D6E-409C-BE32-E72D297353CC}">
                  <c16:uniqueId val="{00000007-9F71-4A2C-B169-4ED57E6DE081}"/>
                </c:ext>
              </c:extLst>
            </c:dLbl>
            <c:dLbl>
              <c:idx val="3"/>
              <c:delete val="1"/>
              <c:extLst>
                <c:ext xmlns:c15="http://schemas.microsoft.com/office/drawing/2012/chart" uri="{CE6537A1-D6FC-4f65-9D91-7224C49458BB}"/>
                <c:ext xmlns:c16="http://schemas.microsoft.com/office/drawing/2014/chart" uri="{C3380CC4-5D6E-409C-BE32-E72D297353CC}">
                  <c16:uniqueId val="{00000008-9F71-4A2C-B169-4ED57E6DE081}"/>
                </c:ext>
              </c:extLst>
            </c:dLbl>
            <c:dLbl>
              <c:idx val="4"/>
              <c:delete val="1"/>
              <c:extLst>
                <c:ext xmlns:c15="http://schemas.microsoft.com/office/drawing/2012/chart" uri="{CE6537A1-D6FC-4f65-9D91-7224C49458BB}"/>
                <c:ext xmlns:c16="http://schemas.microsoft.com/office/drawing/2014/chart" uri="{C3380CC4-5D6E-409C-BE32-E72D297353CC}">
                  <c16:uniqueId val="{00000009-9F71-4A2C-B169-4ED57E6DE081}"/>
                </c:ext>
              </c:extLst>
            </c:dLbl>
            <c:dLbl>
              <c:idx val="5"/>
              <c:delete val="1"/>
              <c:extLst>
                <c:ext xmlns:c15="http://schemas.microsoft.com/office/drawing/2012/chart" uri="{CE6537A1-D6FC-4f65-9D91-7224C49458BB}"/>
                <c:ext xmlns:c16="http://schemas.microsoft.com/office/drawing/2014/chart" uri="{C3380CC4-5D6E-409C-BE32-E72D297353CC}">
                  <c16:uniqueId val="{0000000A-9F71-4A2C-B169-4ED57E6DE081}"/>
                </c:ext>
              </c:extLst>
            </c:dLbl>
            <c:dLbl>
              <c:idx val="6"/>
              <c:delete val="1"/>
              <c:extLst>
                <c:ext xmlns:c15="http://schemas.microsoft.com/office/drawing/2012/chart" uri="{CE6537A1-D6FC-4f65-9D91-7224C49458BB}"/>
                <c:ext xmlns:c16="http://schemas.microsoft.com/office/drawing/2014/chart" uri="{C3380CC4-5D6E-409C-BE32-E72D297353CC}">
                  <c16:uniqueId val="{0000000B-9F71-4A2C-B169-4ED57E6DE081}"/>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Charts!$F$106:$O$106</c:f>
              <c:numCache>
                <c:formatCode>0%</c:formatCode>
                <c:ptCount val="10"/>
                <c:pt idx="0">
                  <c:v>0</c:v>
                </c:pt>
                <c:pt idx="1">
                  <c:v>0</c:v>
                </c:pt>
                <c:pt idx="2">
                  <c:v>0</c:v>
                </c:pt>
                <c:pt idx="3">
                  <c:v>0</c:v>
                </c:pt>
                <c:pt idx="4">
                  <c:v>0</c:v>
                </c:pt>
                <c:pt idx="5">
                  <c:v>0</c:v>
                </c:pt>
                <c:pt idx="6">
                  <c:v>0</c:v>
                </c:pt>
                <c:pt idx="7">
                  <c:v>5.962727276581066E-2</c:v>
                </c:pt>
                <c:pt idx="8">
                  <c:v>8.3784282142781025E-2</c:v>
                </c:pt>
                <c:pt idx="9">
                  <c:v>8.8461967451121809E-2</c:v>
                </c:pt>
              </c:numCache>
            </c:numRef>
          </c:val>
          <c:extLst>
            <c:ext xmlns:c16="http://schemas.microsoft.com/office/drawing/2014/chart" uri="{C3380CC4-5D6E-409C-BE32-E72D297353CC}">
              <c16:uniqueId val="{0000000C-9F71-4A2C-B169-4ED57E6DE081}"/>
            </c:ext>
          </c:extLst>
        </c:ser>
        <c:ser>
          <c:idx val="4"/>
          <c:order val="4"/>
          <c:tx>
            <c:strRef>
              <c:f>Charts!$B$107</c:f>
              <c:strCache>
                <c:ptCount val="1"/>
                <c:pt idx="0">
                  <c:v>Slurry Pipeline Phase I</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9F71-4A2C-B169-4ED57E6DE081}"/>
                </c:ext>
              </c:extLst>
            </c:dLbl>
            <c:dLbl>
              <c:idx val="1"/>
              <c:delete val="1"/>
              <c:extLst>
                <c:ext xmlns:c15="http://schemas.microsoft.com/office/drawing/2012/chart" uri="{CE6537A1-D6FC-4f65-9D91-7224C49458BB}"/>
                <c:ext xmlns:c16="http://schemas.microsoft.com/office/drawing/2014/chart" uri="{C3380CC4-5D6E-409C-BE32-E72D297353CC}">
                  <c16:uniqueId val="{0000000E-9F71-4A2C-B169-4ED57E6DE081}"/>
                </c:ext>
              </c:extLst>
            </c:dLbl>
            <c:dLbl>
              <c:idx val="2"/>
              <c:delete val="1"/>
              <c:extLst>
                <c:ext xmlns:c15="http://schemas.microsoft.com/office/drawing/2012/chart" uri="{CE6537A1-D6FC-4f65-9D91-7224C49458BB}"/>
                <c:ext xmlns:c16="http://schemas.microsoft.com/office/drawing/2014/chart" uri="{C3380CC4-5D6E-409C-BE32-E72D297353CC}">
                  <c16:uniqueId val="{0000000F-9F71-4A2C-B169-4ED57E6DE081}"/>
                </c:ext>
              </c:extLst>
            </c:dLbl>
            <c:dLbl>
              <c:idx val="3"/>
              <c:delete val="1"/>
              <c:extLst>
                <c:ext xmlns:c15="http://schemas.microsoft.com/office/drawing/2012/chart" uri="{CE6537A1-D6FC-4f65-9D91-7224C49458BB}"/>
                <c:ext xmlns:c16="http://schemas.microsoft.com/office/drawing/2014/chart" uri="{C3380CC4-5D6E-409C-BE32-E72D297353CC}">
                  <c16:uniqueId val="{00000010-9F71-4A2C-B169-4ED57E6DE081}"/>
                </c:ext>
              </c:extLst>
            </c:dLbl>
            <c:dLbl>
              <c:idx val="4"/>
              <c:delete val="1"/>
              <c:extLst>
                <c:ext xmlns:c15="http://schemas.microsoft.com/office/drawing/2012/chart" uri="{CE6537A1-D6FC-4f65-9D91-7224C49458BB}"/>
                <c:ext xmlns:c16="http://schemas.microsoft.com/office/drawing/2014/chart" uri="{C3380CC4-5D6E-409C-BE32-E72D297353CC}">
                  <c16:uniqueId val="{00000011-9F71-4A2C-B169-4ED57E6DE081}"/>
                </c:ext>
              </c:extLst>
            </c:dLbl>
            <c:dLbl>
              <c:idx val="5"/>
              <c:delete val="1"/>
              <c:extLst>
                <c:ext xmlns:c15="http://schemas.microsoft.com/office/drawing/2012/chart" uri="{CE6537A1-D6FC-4f65-9D91-7224C49458BB}"/>
                <c:ext xmlns:c16="http://schemas.microsoft.com/office/drawing/2014/chart" uri="{C3380CC4-5D6E-409C-BE32-E72D297353CC}">
                  <c16:uniqueId val="{00000012-9F71-4A2C-B169-4ED57E6DE081}"/>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Charts!$F$107:$O$107</c:f>
              <c:numCache>
                <c:formatCode>0%</c:formatCode>
                <c:ptCount val="10"/>
                <c:pt idx="0">
                  <c:v>0</c:v>
                </c:pt>
                <c:pt idx="1">
                  <c:v>0</c:v>
                </c:pt>
                <c:pt idx="2">
                  <c:v>0</c:v>
                </c:pt>
                <c:pt idx="3">
                  <c:v>0</c:v>
                </c:pt>
                <c:pt idx="4">
                  <c:v>0</c:v>
                </c:pt>
                <c:pt idx="5">
                  <c:v>0</c:v>
                </c:pt>
                <c:pt idx="6">
                  <c:v>0</c:v>
                </c:pt>
                <c:pt idx="7">
                  <c:v>7.1196743600967949E-2</c:v>
                </c:pt>
                <c:pt idx="8">
                  <c:v>9.1401035064852032E-2</c:v>
                </c:pt>
                <c:pt idx="9">
                  <c:v>7.5824543529532981E-2</c:v>
                </c:pt>
              </c:numCache>
            </c:numRef>
          </c:val>
          <c:extLst>
            <c:ext xmlns:c16="http://schemas.microsoft.com/office/drawing/2014/chart" uri="{C3380CC4-5D6E-409C-BE32-E72D297353CC}">
              <c16:uniqueId val="{00000013-9F71-4A2C-B169-4ED57E6DE081}"/>
            </c:ext>
          </c:extLst>
        </c:ser>
        <c:ser>
          <c:idx val="5"/>
          <c:order val="5"/>
          <c:tx>
            <c:strRef>
              <c:f>Charts!$B$108</c:f>
              <c:strCache>
                <c:ptCount val="1"/>
                <c:pt idx="0">
                  <c:v>Keni</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4-9F71-4A2C-B169-4ED57E6DE081}"/>
                </c:ext>
              </c:extLst>
            </c:dLbl>
            <c:dLbl>
              <c:idx val="1"/>
              <c:delete val="1"/>
              <c:extLst>
                <c:ext xmlns:c15="http://schemas.microsoft.com/office/drawing/2012/chart" uri="{CE6537A1-D6FC-4f65-9D91-7224C49458BB}"/>
                <c:ext xmlns:c16="http://schemas.microsoft.com/office/drawing/2014/chart" uri="{C3380CC4-5D6E-409C-BE32-E72D297353CC}">
                  <c16:uniqueId val="{00000015-9F71-4A2C-B169-4ED57E6DE081}"/>
                </c:ext>
              </c:extLst>
            </c:dLbl>
            <c:dLbl>
              <c:idx val="2"/>
              <c:delete val="1"/>
              <c:extLst>
                <c:ext xmlns:c15="http://schemas.microsoft.com/office/drawing/2012/chart" uri="{CE6537A1-D6FC-4f65-9D91-7224C49458BB}"/>
                <c:ext xmlns:c16="http://schemas.microsoft.com/office/drawing/2014/chart" uri="{C3380CC4-5D6E-409C-BE32-E72D297353CC}">
                  <c16:uniqueId val="{00000016-9F71-4A2C-B169-4ED57E6DE081}"/>
                </c:ext>
              </c:extLst>
            </c:dLbl>
            <c:dLbl>
              <c:idx val="3"/>
              <c:delete val="1"/>
              <c:extLst>
                <c:ext xmlns:c15="http://schemas.microsoft.com/office/drawing/2012/chart" uri="{CE6537A1-D6FC-4f65-9D91-7224C49458BB}"/>
                <c:ext xmlns:c16="http://schemas.microsoft.com/office/drawing/2014/chart" uri="{C3380CC4-5D6E-409C-BE32-E72D297353CC}">
                  <c16:uniqueId val="{00000017-9F71-4A2C-B169-4ED57E6DE081}"/>
                </c:ext>
              </c:extLst>
            </c:dLbl>
            <c:dLbl>
              <c:idx val="4"/>
              <c:delete val="1"/>
              <c:extLst>
                <c:ext xmlns:c15="http://schemas.microsoft.com/office/drawing/2012/chart" uri="{CE6537A1-D6FC-4f65-9D91-7224C49458BB}"/>
                <c:ext xmlns:c16="http://schemas.microsoft.com/office/drawing/2014/chart" uri="{C3380CC4-5D6E-409C-BE32-E72D297353CC}">
                  <c16:uniqueId val="{00000018-9F71-4A2C-B169-4ED57E6DE081}"/>
                </c:ext>
              </c:extLst>
            </c:dLbl>
            <c:dLbl>
              <c:idx val="5"/>
              <c:delete val="1"/>
              <c:extLst>
                <c:ext xmlns:c15="http://schemas.microsoft.com/office/drawing/2012/chart" uri="{CE6537A1-D6FC-4f65-9D91-7224C49458BB}"/>
                <c:ext xmlns:c16="http://schemas.microsoft.com/office/drawing/2014/chart" uri="{C3380CC4-5D6E-409C-BE32-E72D297353CC}">
                  <c16:uniqueId val="{00000019-9F71-4A2C-B169-4ED57E6DE081}"/>
                </c:ext>
              </c:extLst>
            </c:dLbl>
            <c:dLbl>
              <c:idx val="6"/>
              <c:delete val="1"/>
              <c:extLst>
                <c:ext xmlns:c15="http://schemas.microsoft.com/office/drawing/2012/chart" uri="{CE6537A1-D6FC-4f65-9D91-7224C49458BB}"/>
                <c:ext xmlns:c16="http://schemas.microsoft.com/office/drawing/2014/chart" uri="{C3380CC4-5D6E-409C-BE32-E72D297353CC}">
                  <c16:uniqueId val="{0000001A-9F71-4A2C-B169-4ED57E6DE081}"/>
                </c:ext>
              </c:extLst>
            </c:dLbl>
            <c:dLbl>
              <c:idx val="7"/>
              <c:delete val="1"/>
              <c:extLst>
                <c:ext xmlns:c15="http://schemas.microsoft.com/office/drawing/2012/chart" uri="{CE6537A1-D6FC-4f65-9D91-7224C49458BB}"/>
                <c:ext xmlns:c16="http://schemas.microsoft.com/office/drawing/2014/chart" uri="{C3380CC4-5D6E-409C-BE32-E72D297353CC}">
                  <c16:uniqueId val="{0000001B-9F71-4A2C-B169-4ED57E6DE081}"/>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Charts!$F$108:$O$108</c:f>
              <c:numCache>
                <c:formatCode>0%</c:formatCode>
                <c:ptCount val="10"/>
                <c:pt idx="0">
                  <c:v>0</c:v>
                </c:pt>
                <c:pt idx="1">
                  <c:v>0</c:v>
                </c:pt>
                <c:pt idx="2">
                  <c:v>0</c:v>
                </c:pt>
                <c:pt idx="3">
                  <c:v>0</c:v>
                </c:pt>
                <c:pt idx="4">
                  <c:v>0</c:v>
                </c:pt>
                <c:pt idx="5">
                  <c:v>0</c:v>
                </c:pt>
                <c:pt idx="6">
                  <c:v>0</c:v>
                </c:pt>
                <c:pt idx="7">
                  <c:v>0</c:v>
                </c:pt>
                <c:pt idx="8">
                  <c:v>7.6167529220710021E-3</c:v>
                </c:pt>
                <c:pt idx="9">
                  <c:v>3.7912271764766491E-2</c:v>
                </c:pt>
              </c:numCache>
            </c:numRef>
          </c:val>
          <c:extLst>
            <c:ext xmlns:c16="http://schemas.microsoft.com/office/drawing/2014/chart" uri="{C3380CC4-5D6E-409C-BE32-E72D297353CC}">
              <c16:uniqueId val="{0000001C-9F71-4A2C-B169-4ED57E6DE081}"/>
            </c:ext>
          </c:extLst>
        </c:ser>
        <c:ser>
          <c:idx val="6"/>
          <c:order val="6"/>
          <c:tx>
            <c:strRef>
              <c:f>Charts!$B$109</c:f>
              <c:strCache>
                <c:ptCount val="1"/>
                <c:pt idx="0">
                  <c:v>Slurry Pipeline Phase II</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D-9F71-4A2C-B169-4ED57E6DE081}"/>
                </c:ext>
              </c:extLst>
            </c:dLbl>
            <c:dLbl>
              <c:idx val="1"/>
              <c:delete val="1"/>
              <c:extLst>
                <c:ext xmlns:c15="http://schemas.microsoft.com/office/drawing/2012/chart" uri="{CE6537A1-D6FC-4f65-9D91-7224C49458BB}"/>
                <c:ext xmlns:c16="http://schemas.microsoft.com/office/drawing/2014/chart" uri="{C3380CC4-5D6E-409C-BE32-E72D297353CC}">
                  <c16:uniqueId val="{0000001E-9F71-4A2C-B169-4ED57E6DE081}"/>
                </c:ext>
              </c:extLst>
            </c:dLbl>
            <c:dLbl>
              <c:idx val="2"/>
              <c:delete val="1"/>
              <c:extLst>
                <c:ext xmlns:c15="http://schemas.microsoft.com/office/drawing/2012/chart" uri="{CE6537A1-D6FC-4f65-9D91-7224C49458BB}"/>
                <c:ext xmlns:c16="http://schemas.microsoft.com/office/drawing/2014/chart" uri="{C3380CC4-5D6E-409C-BE32-E72D297353CC}">
                  <c16:uniqueId val="{0000001F-9F71-4A2C-B169-4ED57E6DE081}"/>
                </c:ext>
              </c:extLst>
            </c:dLbl>
            <c:dLbl>
              <c:idx val="3"/>
              <c:delete val="1"/>
              <c:extLst>
                <c:ext xmlns:c15="http://schemas.microsoft.com/office/drawing/2012/chart" uri="{CE6537A1-D6FC-4f65-9D91-7224C49458BB}"/>
                <c:ext xmlns:c16="http://schemas.microsoft.com/office/drawing/2014/chart" uri="{C3380CC4-5D6E-409C-BE32-E72D297353CC}">
                  <c16:uniqueId val="{00000020-9F71-4A2C-B169-4ED57E6DE081}"/>
                </c:ext>
              </c:extLst>
            </c:dLbl>
            <c:dLbl>
              <c:idx val="4"/>
              <c:delete val="1"/>
              <c:extLst>
                <c:ext xmlns:c15="http://schemas.microsoft.com/office/drawing/2012/chart" uri="{CE6537A1-D6FC-4f65-9D91-7224C49458BB}"/>
                <c:ext xmlns:c16="http://schemas.microsoft.com/office/drawing/2014/chart" uri="{C3380CC4-5D6E-409C-BE32-E72D297353CC}">
                  <c16:uniqueId val="{00000021-9F71-4A2C-B169-4ED57E6DE081}"/>
                </c:ext>
              </c:extLst>
            </c:dLbl>
            <c:dLbl>
              <c:idx val="5"/>
              <c:delete val="1"/>
              <c:extLst>
                <c:ext xmlns:c15="http://schemas.microsoft.com/office/drawing/2012/chart" uri="{CE6537A1-D6FC-4f65-9D91-7224C49458BB}"/>
                <c:ext xmlns:c16="http://schemas.microsoft.com/office/drawing/2014/chart" uri="{C3380CC4-5D6E-409C-BE32-E72D297353CC}">
                  <c16:uniqueId val="{00000022-9F71-4A2C-B169-4ED57E6DE081}"/>
                </c:ext>
              </c:extLst>
            </c:dLbl>
            <c:dLbl>
              <c:idx val="6"/>
              <c:delete val="1"/>
              <c:extLst>
                <c:ext xmlns:c15="http://schemas.microsoft.com/office/drawing/2012/chart" uri="{CE6537A1-D6FC-4f65-9D91-7224C49458BB}"/>
                <c:ext xmlns:c16="http://schemas.microsoft.com/office/drawing/2014/chart" uri="{C3380CC4-5D6E-409C-BE32-E72D297353CC}">
                  <c16:uniqueId val="{00000023-9F71-4A2C-B169-4ED57E6DE081}"/>
                </c:ext>
              </c:extLst>
            </c:dLbl>
            <c:dLbl>
              <c:idx val="7"/>
              <c:delete val="1"/>
              <c:extLst>
                <c:ext xmlns:c15="http://schemas.microsoft.com/office/drawing/2012/chart" uri="{CE6537A1-D6FC-4f65-9D91-7224C49458BB}"/>
                <c:ext xmlns:c16="http://schemas.microsoft.com/office/drawing/2014/chart" uri="{C3380CC4-5D6E-409C-BE32-E72D297353CC}">
                  <c16:uniqueId val="{00000024-9F71-4A2C-B169-4ED57E6DE081}"/>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Charts!$F$109:$O$109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25-9F71-4A2C-B169-4ED57E6DE081}"/>
            </c:ext>
          </c:extLst>
        </c:ser>
        <c:ser>
          <c:idx val="7"/>
          <c:order val="7"/>
          <c:tx>
            <c:strRef>
              <c:f>Charts!$B$110</c:f>
              <c:strCache>
                <c:ptCount val="1"/>
                <c:pt idx="0">
                  <c:v>Murbe</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6-9F71-4A2C-B169-4ED57E6DE081}"/>
                </c:ext>
              </c:extLst>
            </c:dLbl>
            <c:dLbl>
              <c:idx val="1"/>
              <c:delete val="1"/>
              <c:extLst>
                <c:ext xmlns:c15="http://schemas.microsoft.com/office/drawing/2012/chart" uri="{CE6537A1-D6FC-4f65-9D91-7224C49458BB}"/>
                <c:ext xmlns:c16="http://schemas.microsoft.com/office/drawing/2014/chart" uri="{C3380CC4-5D6E-409C-BE32-E72D297353CC}">
                  <c16:uniqueId val="{00000027-9F71-4A2C-B169-4ED57E6DE081}"/>
                </c:ext>
              </c:extLst>
            </c:dLbl>
            <c:dLbl>
              <c:idx val="2"/>
              <c:delete val="1"/>
              <c:extLst>
                <c:ext xmlns:c15="http://schemas.microsoft.com/office/drawing/2012/chart" uri="{CE6537A1-D6FC-4f65-9D91-7224C49458BB}"/>
                <c:ext xmlns:c16="http://schemas.microsoft.com/office/drawing/2014/chart" uri="{C3380CC4-5D6E-409C-BE32-E72D297353CC}">
                  <c16:uniqueId val="{00000028-9F71-4A2C-B169-4ED57E6DE081}"/>
                </c:ext>
              </c:extLst>
            </c:dLbl>
            <c:dLbl>
              <c:idx val="3"/>
              <c:delete val="1"/>
              <c:extLst>
                <c:ext xmlns:c15="http://schemas.microsoft.com/office/drawing/2012/chart" uri="{CE6537A1-D6FC-4f65-9D91-7224C49458BB}"/>
                <c:ext xmlns:c16="http://schemas.microsoft.com/office/drawing/2014/chart" uri="{C3380CC4-5D6E-409C-BE32-E72D297353CC}">
                  <c16:uniqueId val="{00000029-9F71-4A2C-B169-4ED57E6DE081}"/>
                </c:ext>
              </c:extLst>
            </c:dLbl>
            <c:dLbl>
              <c:idx val="4"/>
              <c:delete val="1"/>
              <c:extLst>
                <c:ext xmlns:c15="http://schemas.microsoft.com/office/drawing/2012/chart" uri="{CE6537A1-D6FC-4f65-9D91-7224C49458BB}"/>
                <c:ext xmlns:c16="http://schemas.microsoft.com/office/drawing/2014/chart" uri="{C3380CC4-5D6E-409C-BE32-E72D297353CC}">
                  <c16:uniqueId val="{0000002A-9F71-4A2C-B169-4ED57E6DE081}"/>
                </c:ext>
              </c:extLst>
            </c:dLbl>
            <c:dLbl>
              <c:idx val="5"/>
              <c:delete val="1"/>
              <c:extLst>
                <c:ext xmlns:c15="http://schemas.microsoft.com/office/drawing/2012/chart" uri="{CE6537A1-D6FC-4f65-9D91-7224C49458BB}"/>
                <c:ext xmlns:c16="http://schemas.microsoft.com/office/drawing/2014/chart" uri="{C3380CC4-5D6E-409C-BE32-E72D297353CC}">
                  <c16:uniqueId val="{0000002B-9F71-4A2C-B169-4ED57E6DE081}"/>
                </c:ext>
              </c:extLst>
            </c:dLbl>
            <c:dLbl>
              <c:idx val="6"/>
              <c:delete val="1"/>
              <c:extLst>
                <c:ext xmlns:c15="http://schemas.microsoft.com/office/drawing/2012/chart" uri="{CE6537A1-D6FC-4f65-9D91-7224C49458BB}"/>
                <c:ext xmlns:c16="http://schemas.microsoft.com/office/drawing/2014/chart" uri="{C3380CC4-5D6E-409C-BE32-E72D297353CC}">
                  <c16:uniqueId val="{0000002C-9F71-4A2C-B169-4ED57E6DE081}"/>
                </c:ext>
              </c:extLst>
            </c:dLbl>
            <c:dLbl>
              <c:idx val="7"/>
              <c:delete val="1"/>
              <c:extLst>
                <c:ext xmlns:c15="http://schemas.microsoft.com/office/drawing/2012/chart" uri="{CE6537A1-D6FC-4f65-9D91-7224C49458BB}"/>
                <c:ext xmlns:c16="http://schemas.microsoft.com/office/drawing/2014/chart" uri="{C3380CC4-5D6E-409C-BE32-E72D297353CC}">
                  <c16:uniqueId val="{0000002D-9F71-4A2C-B169-4ED57E6DE081}"/>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Charts!$F$110:$O$110</c:f>
              <c:numCache>
                <c:formatCode>0%</c:formatCode>
                <c:ptCount val="10"/>
                <c:pt idx="0">
                  <c:v>0</c:v>
                </c:pt>
                <c:pt idx="1">
                  <c:v>0</c:v>
                </c:pt>
                <c:pt idx="2">
                  <c:v>0</c:v>
                </c:pt>
                <c:pt idx="3">
                  <c:v>0</c:v>
                </c:pt>
                <c:pt idx="4">
                  <c:v>0</c:v>
                </c:pt>
                <c:pt idx="5">
                  <c:v>0</c:v>
                </c:pt>
                <c:pt idx="6">
                  <c:v>0</c:v>
                </c:pt>
                <c:pt idx="7">
                  <c:v>0</c:v>
                </c:pt>
                <c:pt idx="8">
                  <c:v>0</c:v>
                </c:pt>
                <c:pt idx="9">
                  <c:v>3.475291578436928E-2</c:v>
                </c:pt>
              </c:numCache>
            </c:numRef>
          </c:val>
          <c:extLst>
            <c:ext xmlns:c16="http://schemas.microsoft.com/office/drawing/2014/chart" uri="{C3380CC4-5D6E-409C-BE32-E72D297353CC}">
              <c16:uniqueId val="{0000002E-9F71-4A2C-B169-4ED57E6DE081}"/>
            </c:ext>
          </c:extLst>
        </c:ser>
        <c:ser>
          <c:idx val="8"/>
          <c:order val="8"/>
          <c:tx>
            <c:strRef>
              <c:f>Charts!$B$111</c:f>
              <c:strCache>
                <c:ptCount val="1"/>
                <c:pt idx="0">
                  <c:v>Paradip Iron Ore</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Charts!$F$111:$O$111</c:f>
              <c:numCache>
                <c:formatCode>0%</c:formatCode>
                <c:ptCount val="10"/>
                <c:pt idx="0">
                  <c:v>0.18512011946067022</c:v>
                </c:pt>
                <c:pt idx="1">
                  <c:v>0.12130073673573621</c:v>
                </c:pt>
                <c:pt idx="2">
                  <c:v>0.1025740508952757</c:v>
                </c:pt>
                <c:pt idx="3">
                  <c:v>0.11556625896312278</c:v>
                </c:pt>
                <c:pt idx="4">
                  <c:v>9.7435897435897423E-2</c:v>
                </c:pt>
                <c:pt idx="5">
                  <c:v>6.0129203246645696E-2</c:v>
                </c:pt>
                <c:pt idx="6">
                  <c:v>7.3759666498145332E-2</c:v>
                </c:pt>
                <c:pt idx="7">
                  <c:v>5.65562012305829E-2</c:v>
                </c:pt>
                <c:pt idx="8">
                  <c:v>4.8887894034322733E-2</c:v>
                </c:pt>
                <c:pt idx="9">
                  <c:v>4.0962022685070869E-2</c:v>
                </c:pt>
              </c:numCache>
            </c:numRef>
          </c:val>
          <c:extLst>
            <c:ext xmlns:c16="http://schemas.microsoft.com/office/drawing/2014/chart" uri="{C3380CC4-5D6E-409C-BE32-E72D297353CC}">
              <c16:uniqueId val="{0000002F-9F71-4A2C-B169-4ED57E6DE081}"/>
            </c:ext>
          </c:extLst>
        </c:ser>
        <c:ser>
          <c:idx val="9"/>
          <c:order val="9"/>
          <c:tx>
            <c:strRef>
              <c:f>Charts!$B$112</c:f>
              <c:strCache>
                <c:ptCount val="1"/>
                <c:pt idx="0">
                  <c:v>Overseas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Charts!$F$112:$O$112</c:f>
              <c:numCache>
                <c:formatCode>0%</c:formatCode>
                <c:ptCount val="10"/>
                <c:pt idx="0">
                  <c:v>0</c:v>
                </c:pt>
                <c:pt idx="1">
                  <c:v>0</c:v>
                </c:pt>
                <c:pt idx="2">
                  <c:v>0</c:v>
                </c:pt>
                <c:pt idx="3">
                  <c:v>0</c:v>
                </c:pt>
                <c:pt idx="4">
                  <c:v>0</c:v>
                </c:pt>
                <c:pt idx="5">
                  <c:v>0</c:v>
                </c:pt>
                <c:pt idx="6">
                  <c:v>0</c:v>
                </c:pt>
                <c:pt idx="7">
                  <c:v>0</c:v>
                </c:pt>
                <c:pt idx="8">
                  <c:v>0</c:v>
                </c:pt>
                <c:pt idx="9">
                  <c:v>4.5494726117719791E-2</c:v>
                </c:pt>
              </c:numCache>
            </c:numRef>
          </c:val>
          <c:extLst>
            <c:ext xmlns:c16="http://schemas.microsoft.com/office/drawing/2014/chart" uri="{C3380CC4-5D6E-409C-BE32-E72D297353CC}">
              <c16:uniqueId val="{00000030-9F71-4A2C-B169-4ED57E6DE081}"/>
            </c:ext>
          </c:extLst>
        </c:ser>
        <c:ser>
          <c:idx val="10"/>
          <c:order val="10"/>
          <c:tx>
            <c:strRef>
              <c:f>Charts!$B$113</c:f>
              <c:strCache>
                <c:ptCount val="1"/>
                <c:pt idx="0">
                  <c:v>Ennore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Charts!$F$113:$O$113</c:f>
              <c:numCache>
                <c:formatCode>0%</c:formatCode>
                <c:ptCount val="10"/>
                <c:pt idx="0">
                  <c:v>6.8953401554745497E-2</c:v>
                </c:pt>
                <c:pt idx="1">
                  <c:v>0.12963319195726986</c:v>
                </c:pt>
                <c:pt idx="2">
                  <c:v>9.3781989389966361E-2</c:v>
                </c:pt>
                <c:pt idx="3">
                  <c:v>8.6978324247912145E-2</c:v>
                </c:pt>
                <c:pt idx="4">
                  <c:v>8.7179487179487161E-2</c:v>
                </c:pt>
                <c:pt idx="5">
                  <c:v>8.5969852575782699E-2</c:v>
                </c:pt>
                <c:pt idx="6">
                  <c:v>8.1932781482650568E-2</c:v>
                </c:pt>
                <c:pt idx="7">
                  <c:v>6.2823045397455507E-2</c:v>
                </c:pt>
                <c:pt idx="8">
                  <c:v>5.4305033214349721E-2</c:v>
                </c:pt>
                <c:pt idx="9">
                  <c:v>4.5500916870708411E-2</c:v>
                </c:pt>
              </c:numCache>
            </c:numRef>
          </c:val>
          <c:extLst>
            <c:ext xmlns:c16="http://schemas.microsoft.com/office/drawing/2014/chart" uri="{C3380CC4-5D6E-409C-BE32-E72D297353CC}">
              <c16:uniqueId val="{00000031-9F71-4A2C-B169-4ED57E6DE081}"/>
            </c:ext>
          </c:extLst>
        </c:ser>
        <c:ser>
          <c:idx val="11"/>
          <c:order val="11"/>
          <c:tx>
            <c:strRef>
              <c:f>Charts!$B$114</c:f>
              <c:strCache>
                <c:ptCount val="1"/>
                <c:pt idx="0">
                  <c:v>Goa</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Charts!$F$114:$O$114</c:f>
              <c:numCache>
                <c:formatCode>0%</c:formatCode>
                <c:ptCount val="10"/>
                <c:pt idx="0">
                  <c:v>0.14998462822258335</c:v>
                </c:pt>
                <c:pt idx="1">
                  <c:v>0.11177070100499434</c:v>
                </c:pt>
                <c:pt idx="2">
                  <c:v>7.6154768038635356E-2</c:v>
                </c:pt>
                <c:pt idx="3">
                  <c:v>6.6854660399361887E-2</c:v>
                </c:pt>
                <c:pt idx="4">
                  <c:v>5.4700854700854694E-2</c:v>
                </c:pt>
                <c:pt idx="5">
                  <c:v>7.0813317873115803E-2</c:v>
                </c:pt>
                <c:pt idx="6">
                  <c:v>7.3398605193608968E-2</c:v>
                </c:pt>
                <c:pt idx="7">
                  <c:v>6.4080451086192203E-2</c:v>
                </c:pt>
                <c:pt idx="8">
                  <c:v>5.724479806651836E-2</c:v>
                </c:pt>
                <c:pt idx="9">
                  <c:v>4.9569534161433254E-2</c:v>
                </c:pt>
              </c:numCache>
            </c:numRef>
          </c:val>
          <c:extLst>
            <c:ext xmlns:c16="http://schemas.microsoft.com/office/drawing/2014/chart" uri="{C3380CC4-5D6E-409C-BE32-E72D297353CC}">
              <c16:uniqueId val="{00000032-9F71-4A2C-B169-4ED57E6DE081}"/>
            </c:ext>
          </c:extLst>
        </c:ser>
        <c:ser>
          <c:idx val="12"/>
          <c:order val="12"/>
          <c:tx>
            <c:strRef>
              <c:f>Charts!$B$115</c:f>
              <c:strCache>
                <c:ptCount val="1"/>
                <c:pt idx="0">
                  <c:v>Mangalore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Charts!$F$115:$O$115</c:f>
              <c:numCache>
                <c:formatCode>0%</c:formatCode>
                <c:ptCount val="10"/>
                <c:pt idx="0">
                  <c:v>2.2398875664280383E-2</c:v>
                </c:pt>
                <c:pt idx="1">
                  <c:v>6.1180428999806261E-2</c:v>
                </c:pt>
                <c:pt idx="2">
                  <c:v>4.7990002383146844E-2</c:v>
                </c:pt>
                <c:pt idx="3">
                  <c:v>4.4563545291357774E-2</c:v>
                </c:pt>
                <c:pt idx="4">
                  <c:v>5.3846153846153835E-2</c:v>
                </c:pt>
                <c:pt idx="5">
                  <c:v>5.1929766440284915E-2</c:v>
                </c:pt>
                <c:pt idx="6">
                  <c:v>5.1451235896433543E-2</c:v>
                </c:pt>
                <c:pt idx="7">
                  <c:v>4.1013329130985092E-2</c:v>
                </c:pt>
                <c:pt idx="8">
                  <c:v>3.6856496253904018E-2</c:v>
                </c:pt>
                <c:pt idx="9">
                  <c:v>3.2104213619634635E-2</c:v>
                </c:pt>
              </c:numCache>
            </c:numRef>
          </c:val>
          <c:extLst>
            <c:ext xmlns:c16="http://schemas.microsoft.com/office/drawing/2014/chart" uri="{C3380CC4-5D6E-409C-BE32-E72D297353CC}">
              <c16:uniqueId val="{00000033-9F71-4A2C-B169-4ED57E6DE081}"/>
            </c:ext>
          </c:extLst>
        </c:ser>
        <c:ser>
          <c:idx val="13"/>
          <c:order val="13"/>
          <c:tx>
            <c:strRef>
              <c:f>Charts!$B$116</c:f>
              <c:strCache>
                <c:ptCount val="1"/>
                <c:pt idx="0">
                  <c:v>PNP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Charts!$F$116:$O$116</c:f>
              <c:numCache>
                <c:formatCode>0%</c:formatCode>
                <c:ptCount val="10"/>
                <c:pt idx="0">
                  <c:v>0</c:v>
                </c:pt>
                <c:pt idx="1">
                  <c:v>0</c:v>
                </c:pt>
                <c:pt idx="2">
                  <c:v>0</c:v>
                </c:pt>
                <c:pt idx="3">
                  <c:v>1.2332050269306555E-2</c:v>
                </c:pt>
                <c:pt idx="4">
                  <c:v>4.7008547008547001E-2</c:v>
                </c:pt>
                <c:pt idx="5">
                  <c:v>4.4227265197946009E-2</c:v>
                </c:pt>
                <c:pt idx="6">
                  <c:v>4.7975043942801943E-2</c:v>
                </c:pt>
                <c:pt idx="7">
                  <c:v>3.7149713245177261E-2</c:v>
                </c:pt>
                <c:pt idx="8">
                  <c:v>3.3384470270180128E-2</c:v>
                </c:pt>
                <c:pt idx="9">
                  <c:v>2.907987123216239E-2</c:v>
                </c:pt>
              </c:numCache>
            </c:numRef>
          </c:val>
          <c:extLst>
            <c:ext xmlns:c16="http://schemas.microsoft.com/office/drawing/2014/chart" uri="{C3380CC4-5D6E-409C-BE32-E72D297353CC}">
              <c16:uniqueId val="{00000034-9F71-4A2C-B169-4ED57E6DE081}"/>
            </c:ext>
          </c:extLst>
        </c:ser>
        <c:ser>
          <c:idx val="14"/>
          <c:order val="14"/>
          <c:tx>
            <c:strRef>
              <c:f>Charts!$B$117</c:f>
              <c:strCache>
                <c:ptCount val="1"/>
                <c:pt idx="0">
                  <c:v>Tuticorin Dry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Charts!$F$117:$O$117</c:f>
              <c:numCache>
                <c:formatCode>0%</c:formatCode>
                <c:ptCount val="10"/>
                <c:pt idx="0">
                  <c:v>0</c:v>
                </c:pt>
                <c:pt idx="1">
                  <c:v>0</c:v>
                </c:pt>
                <c:pt idx="2">
                  <c:v>0</c:v>
                </c:pt>
                <c:pt idx="3">
                  <c:v>0</c:v>
                </c:pt>
                <c:pt idx="4">
                  <c:v>7.6923076923076919E-3</c:v>
                </c:pt>
                <c:pt idx="5">
                  <c:v>4.1328474407818463E-2</c:v>
                </c:pt>
                <c:pt idx="6">
                  <c:v>4.1029693697315427E-2</c:v>
                </c:pt>
                <c:pt idx="7">
                  <c:v>3.1148575325423474E-2</c:v>
                </c:pt>
                <c:pt idx="8">
                  <c:v>2.6658635227248508E-2</c:v>
                </c:pt>
                <c:pt idx="9">
                  <c:v>2.2115491862780452E-2</c:v>
                </c:pt>
              </c:numCache>
            </c:numRef>
          </c:val>
          <c:extLst>
            <c:ext xmlns:c16="http://schemas.microsoft.com/office/drawing/2014/chart" uri="{C3380CC4-5D6E-409C-BE32-E72D297353CC}">
              <c16:uniqueId val="{00000035-9F71-4A2C-B169-4ED57E6DE081}"/>
            </c:ext>
          </c:extLst>
        </c:ser>
        <c:ser>
          <c:idx val="15"/>
          <c:order val="15"/>
          <c:tx>
            <c:strRef>
              <c:f>Charts!$B$118</c:f>
              <c:strCache>
                <c:ptCount val="1"/>
                <c:pt idx="0">
                  <c:v>Fujairah Liquid Storage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Charts!$F$118:$O$118</c:f>
              <c:numCache>
                <c:formatCode>0%</c:formatCode>
                <c:ptCount val="10"/>
                <c:pt idx="0">
                  <c:v>0</c:v>
                </c:pt>
                <c:pt idx="1">
                  <c:v>0</c:v>
                </c:pt>
                <c:pt idx="2">
                  <c:v>0</c:v>
                </c:pt>
                <c:pt idx="3">
                  <c:v>1.8684924650464476E-2</c:v>
                </c:pt>
                <c:pt idx="4">
                  <c:v>6.2393162393162387E-2</c:v>
                </c:pt>
                <c:pt idx="5">
                  <c:v>4.7291701176080843E-2</c:v>
                </c:pt>
                <c:pt idx="6">
                  <c:v>2.2312338191587719E-2</c:v>
                </c:pt>
                <c:pt idx="7">
                  <c:v>2.9643060851361341E-2</c:v>
                </c:pt>
                <c:pt idx="8">
                  <c:v>3.0444161429517797E-2</c:v>
                </c:pt>
                <c:pt idx="9">
                  <c:v>2.6266127375587086E-2</c:v>
                </c:pt>
              </c:numCache>
            </c:numRef>
          </c:val>
          <c:extLst>
            <c:ext xmlns:c16="http://schemas.microsoft.com/office/drawing/2014/chart" uri="{C3380CC4-5D6E-409C-BE32-E72D297353CC}">
              <c16:uniqueId val="{00000036-9F71-4A2C-B169-4ED57E6DE081}"/>
            </c:ext>
          </c:extLst>
        </c:ser>
        <c:ser>
          <c:idx val="16"/>
          <c:order val="16"/>
          <c:tx>
            <c:strRef>
              <c:f>Charts!$B$119</c:f>
              <c:strCache>
                <c:ptCount val="1"/>
                <c:pt idx="0">
                  <c:v>JNPT Liquid</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Charts!$F$119:$O$119</c:f>
              <c:numCache>
                <c:formatCode>0%</c:formatCode>
                <c:ptCount val="10"/>
                <c:pt idx="0">
                  <c:v>0</c:v>
                </c:pt>
                <c:pt idx="1">
                  <c:v>0</c:v>
                </c:pt>
                <c:pt idx="2">
                  <c:v>0</c:v>
                </c:pt>
                <c:pt idx="3">
                  <c:v>0</c:v>
                </c:pt>
                <c:pt idx="4">
                  <c:v>1.7094017094017092E-3</c:v>
                </c:pt>
                <c:pt idx="5">
                  <c:v>1.0766937220473748E-2</c:v>
                </c:pt>
                <c:pt idx="6">
                  <c:v>2.2859400774218594E-2</c:v>
                </c:pt>
                <c:pt idx="7">
                  <c:v>1.8689145195254084E-2</c:v>
                </c:pt>
                <c:pt idx="8">
                  <c:v>1.7137694074659756E-2</c:v>
                </c:pt>
                <c:pt idx="9">
                  <c:v>1.4217101911787433E-2</c:v>
                </c:pt>
              </c:numCache>
            </c:numRef>
          </c:val>
          <c:extLst>
            <c:ext xmlns:c16="http://schemas.microsoft.com/office/drawing/2014/chart" uri="{C3380CC4-5D6E-409C-BE32-E72D297353CC}">
              <c16:uniqueId val="{00000037-9F71-4A2C-B169-4ED57E6DE081}"/>
            </c:ext>
          </c:extLst>
        </c:ser>
        <c:ser>
          <c:idx val="17"/>
          <c:order val="17"/>
          <c:tx>
            <c:strRef>
              <c:f>Charts!$B$120</c:f>
              <c:strCache>
                <c:ptCount val="1"/>
                <c:pt idx="0">
                  <c:v>Mangalore 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Charts!$F$120:$O$120</c:f>
              <c:numCache>
                <c:formatCode>0%</c:formatCode>
                <c:ptCount val="10"/>
                <c:pt idx="0">
                  <c:v>0</c:v>
                </c:pt>
                <c:pt idx="1">
                  <c:v>0</c:v>
                </c:pt>
                <c:pt idx="2">
                  <c:v>2.3423923214800111E-2</c:v>
                </c:pt>
                <c:pt idx="3">
                  <c:v>2.4123755355541326E-2</c:v>
                </c:pt>
                <c:pt idx="4">
                  <c:v>2.0512820512820509E-2</c:v>
                </c:pt>
                <c:pt idx="5">
                  <c:v>2.0622825906907408E-2</c:v>
                </c:pt>
                <c:pt idx="6">
                  <c:v>2.4363822876453493E-2</c:v>
                </c:pt>
                <c:pt idx="7">
                  <c:v>2.034595274946828E-2</c:v>
                </c:pt>
                <c:pt idx="8">
                  <c:v>1.8457956636995142E-2</c:v>
                </c:pt>
                <c:pt idx="9">
                  <c:v>1.6231108363540241E-2</c:v>
                </c:pt>
              </c:numCache>
            </c:numRef>
          </c:val>
          <c:extLst>
            <c:ext xmlns:c16="http://schemas.microsoft.com/office/drawing/2014/chart" uri="{C3380CC4-5D6E-409C-BE32-E72D297353CC}">
              <c16:uniqueId val="{00000038-9F71-4A2C-B169-4ED57E6DE081}"/>
            </c:ext>
          </c:extLst>
        </c:ser>
        <c:ser>
          <c:idx val="18"/>
          <c:order val="18"/>
          <c:tx>
            <c:strRef>
              <c:f>Charts!$B$121</c:f>
              <c:strCache>
                <c:ptCount val="1"/>
                <c:pt idx="0">
                  <c:v>Standalone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Charts!$F$121:$O$121</c:f>
              <c:numCache>
                <c:formatCode>0%</c:formatCode>
                <c:ptCount val="10"/>
                <c:pt idx="0">
                  <c:v>7.8835258465457428E-2</c:v>
                </c:pt>
                <c:pt idx="1">
                  <c:v>4.8863640246319444E-2</c:v>
                </c:pt>
                <c:pt idx="2">
                  <c:v>2.9091379980802985E-2</c:v>
                </c:pt>
                <c:pt idx="3">
                  <c:v>2.475752516186543E-2</c:v>
                </c:pt>
                <c:pt idx="4">
                  <c:v>2.0512820512820509E-2</c:v>
                </c:pt>
                <c:pt idx="5">
                  <c:v>2.4763955607089619E-2</c:v>
                </c:pt>
                <c:pt idx="6">
                  <c:v>2.3367387458090121E-2</c:v>
                </c:pt>
                <c:pt idx="7">
                  <c:v>1.8094652386186006E-2</c:v>
                </c:pt>
                <c:pt idx="8">
                  <c:v>1.5796109681977862E-2</c:v>
                </c:pt>
                <c:pt idx="9">
                  <c:v>1.3366232247098171E-2</c:v>
                </c:pt>
              </c:numCache>
            </c:numRef>
          </c:val>
          <c:extLst>
            <c:ext xmlns:c16="http://schemas.microsoft.com/office/drawing/2014/chart" uri="{C3380CC4-5D6E-409C-BE32-E72D297353CC}">
              <c16:uniqueId val="{00000039-9F71-4A2C-B169-4ED57E6DE081}"/>
            </c:ext>
          </c:extLst>
        </c:ser>
        <c:ser>
          <c:idx val="19"/>
          <c:order val="19"/>
          <c:tx>
            <c:strRef>
              <c:f>Charts!$B$122</c:f>
              <c:strCache>
                <c:ptCount val="1"/>
                <c:pt idx="0">
                  <c:v>Ennore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Charts!$F$122:$O$122</c:f>
              <c:numCache>
                <c:formatCode>0%</c:formatCode>
                <c:ptCount val="10"/>
                <c:pt idx="0">
                  <c:v>8.5642759892836755E-3</c:v>
                </c:pt>
                <c:pt idx="1">
                  <c:v>1.8724749565908114E-2</c:v>
                </c:pt>
                <c:pt idx="2">
                  <c:v>2.0363965986562087E-2</c:v>
                </c:pt>
                <c:pt idx="3">
                  <c:v>1.3639994994839068E-2</c:v>
                </c:pt>
                <c:pt idx="4">
                  <c:v>1.7948717948717947E-2</c:v>
                </c:pt>
                <c:pt idx="5">
                  <c:v>1.3665728010601293E-2</c:v>
                </c:pt>
                <c:pt idx="6">
                  <c:v>1.3515181103895704E-2</c:v>
                </c:pt>
                <c:pt idx="7">
                  <c:v>1.077335774780422E-2</c:v>
                </c:pt>
                <c:pt idx="8">
                  <c:v>9.6814432743508681E-3</c:v>
                </c:pt>
                <c:pt idx="9">
                  <c:v>8.4331164005643153E-3</c:v>
                </c:pt>
              </c:numCache>
            </c:numRef>
          </c:val>
          <c:extLst>
            <c:ext xmlns:c16="http://schemas.microsoft.com/office/drawing/2014/chart" uri="{C3380CC4-5D6E-409C-BE32-E72D297353CC}">
              <c16:uniqueId val="{0000003A-9F71-4A2C-B169-4ED57E6DE081}"/>
            </c:ext>
          </c:extLst>
        </c:ser>
        <c:ser>
          <c:idx val="20"/>
          <c:order val="20"/>
          <c:tx>
            <c:strRef>
              <c:f>Charts!$B$123</c:f>
              <c:strCache>
                <c:ptCount val="1"/>
                <c:pt idx="0">
                  <c:v>Kolkata Container Terminal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Charts!$F$123:$O$123</c:f>
              <c:numCache>
                <c:formatCode>0%</c:formatCode>
                <c:ptCount val="10"/>
                <c:pt idx="0">
                  <c:v>0</c:v>
                </c:pt>
                <c:pt idx="1">
                  <c:v>0</c:v>
                </c:pt>
                <c:pt idx="2">
                  <c:v>0</c:v>
                </c:pt>
                <c:pt idx="3">
                  <c:v>0</c:v>
                </c:pt>
                <c:pt idx="4">
                  <c:v>0</c:v>
                </c:pt>
                <c:pt idx="5">
                  <c:v>0</c:v>
                </c:pt>
                <c:pt idx="6">
                  <c:v>8.6162356764362368E-3</c:v>
                </c:pt>
                <c:pt idx="7">
                  <c:v>1.3082401636677857E-2</c:v>
                </c:pt>
                <c:pt idx="8">
                  <c:v>1.9194217363618926E-2</c:v>
                </c:pt>
                <c:pt idx="9">
                  <c:v>1.8577013164735576E-2</c:v>
                </c:pt>
              </c:numCache>
            </c:numRef>
          </c:val>
          <c:extLst>
            <c:ext xmlns:c16="http://schemas.microsoft.com/office/drawing/2014/chart" uri="{C3380CC4-5D6E-409C-BE32-E72D297353CC}">
              <c16:uniqueId val="{00000000-48F3-4600-9362-52787E11912C}"/>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1"/>
        </c:scaling>
        <c:delete val="0"/>
        <c:axPos val="l"/>
        <c:numFmt formatCode="0%" sourceLinked="1"/>
        <c:majorTickMark val="none"/>
        <c:minorTickMark val="none"/>
        <c:tickLblPos val="none"/>
        <c:spPr>
          <a:ln>
            <a:noFill/>
          </a:ln>
        </c:spPr>
        <c:crossAx val="41707423"/>
        <c:crosses val="autoZero"/>
        <c:crossBetween val="between"/>
      </c:valAx>
    </c:plotArea>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34840264259825E-2"/>
          <c:y val="3.3307533075330749E-2"/>
          <c:w val="0.97578160240845635"/>
          <c:h val="0.86152749527495276"/>
        </c:manualLayout>
      </c:layout>
      <c:barChart>
        <c:barDir val="col"/>
        <c:grouping val="stacked"/>
        <c:varyColors val="0"/>
        <c:ser>
          <c:idx val="0"/>
          <c:order val="0"/>
          <c:tx>
            <c:strRef>
              <c:f>Charts!$B$94</c:f>
              <c:strCache>
                <c:ptCount val="1"/>
                <c:pt idx="0">
                  <c:v>Iron Ore</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Charts!$F$94:$O$94</c:f>
              <c:numCache>
                <c:formatCode>0%</c:formatCode>
                <c:ptCount val="10"/>
                <c:pt idx="0">
                  <c:v>0.25486751573708094</c:v>
                </c:pt>
                <c:pt idx="1">
                  <c:v>0.22849589140982193</c:v>
                </c:pt>
                <c:pt idx="2">
                  <c:v>0.24004452583575706</c:v>
                </c:pt>
                <c:pt idx="3">
                  <c:v>0.37654252583154157</c:v>
                </c:pt>
                <c:pt idx="4">
                  <c:v>0.29314814814814816</c:v>
                </c:pt>
                <c:pt idx="5">
                  <c:v>0.27985918409608618</c:v>
                </c:pt>
                <c:pt idx="6">
                  <c:v>0.28842264742183871</c:v>
                </c:pt>
                <c:pt idx="7">
                  <c:v>0.3870075803677222</c:v>
                </c:pt>
                <c:pt idx="8">
                  <c:v>0.41077138251501644</c:v>
                </c:pt>
                <c:pt idx="9">
                  <c:v>0.36557522715783236</c:v>
                </c:pt>
              </c:numCache>
            </c:numRef>
          </c:val>
          <c:extLst>
            <c:ext xmlns:c16="http://schemas.microsoft.com/office/drawing/2014/chart" uri="{C3380CC4-5D6E-409C-BE32-E72D297353CC}">
              <c16:uniqueId val="{00000000-DC0D-4018-9092-BD2788D52645}"/>
            </c:ext>
          </c:extLst>
        </c:ser>
        <c:ser>
          <c:idx val="1"/>
          <c:order val="1"/>
          <c:tx>
            <c:strRef>
              <c:f>Charts!$B$95</c:f>
              <c:strCache>
                <c:ptCount val="1"/>
                <c:pt idx="0">
                  <c:v>Thermal Coal</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Charts!$F$95:$O$95</c:f>
              <c:numCache>
                <c:formatCode>0%</c:formatCode>
                <c:ptCount val="10"/>
                <c:pt idx="0">
                  <c:v>8.5199824330259105E-2</c:v>
                </c:pt>
                <c:pt idx="1">
                  <c:v>8.4072938518638035E-2</c:v>
                </c:pt>
                <c:pt idx="2">
                  <c:v>0.28999245933426693</c:v>
                </c:pt>
                <c:pt idx="3">
                  <c:v>0.33302886348761218</c:v>
                </c:pt>
                <c:pt idx="4">
                  <c:v>0.34645298290598292</c:v>
                </c:pt>
                <c:pt idx="5">
                  <c:v>0.33158003727479812</c:v>
                </c:pt>
                <c:pt idx="6">
                  <c:v>0.32044034474008321</c:v>
                </c:pt>
                <c:pt idx="7">
                  <c:v>0.25948795319801371</c:v>
                </c:pt>
                <c:pt idx="8">
                  <c:v>0.23352335746894329</c:v>
                </c:pt>
                <c:pt idx="9">
                  <c:v>0.20252856581967923</c:v>
                </c:pt>
              </c:numCache>
            </c:numRef>
          </c:val>
          <c:extLst>
            <c:ext xmlns:c16="http://schemas.microsoft.com/office/drawing/2014/chart" uri="{C3380CC4-5D6E-409C-BE32-E72D297353CC}">
              <c16:uniqueId val="{00000001-DC0D-4018-9092-BD2788D52645}"/>
            </c:ext>
          </c:extLst>
        </c:ser>
        <c:ser>
          <c:idx val="2"/>
          <c:order val="2"/>
          <c:tx>
            <c:strRef>
              <c:f>Charts!$B$96</c:f>
              <c:strCache>
                <c:ptCount val="1"/>
                <c:pt idx="0">
                  <c:v>Non-Thermal Coal</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Charts!$F$96:$O$96</c:f>
              <c:numCache>
                <c:formatCode>0%</c:formatCode>
                <c:ptCount val="10"/>
                <c:pt idx="0">
                  <c:v>0.52071439027960764</c:v>
                </c:pt>
                <c:pt idx="1">
                  <c:v>0.53848813311817545</c:v>
                </c:pt>
                <c:pt idx="2">
                  <c:v>0.33606233617005993</c:v>
                </c:pt>
                <c:pt idx="3">
                  <c:v>0.18840618659614441</c:v>
                </c:pt>
                <c:pt idx="4">
                  <c:v>0.13742450142450144</c:v>
                </c:pt>
                <c:pt idx="5">
                  <c:v>0.16545868709877823</c:v>
                </c:pt>
                <c:pt idx="6">
                  <c:v>0.16484105370192956</c:v>
                </c:pt>
                <c:pt idx="7">
                  <c:v>0.15296475002649779</c:v>
                </c:pt>
                <c:pt idx="8">
                  <c:v>0.1419616970178777</c:v>
                </c:pt>
                <c:pt idx="9">
                  <c:v>0.12241029201940144</c:v>
                </c:pt>
              </c:numCache>
            </c:numRef>
          </c:val>
          <c:extLst>
            <c:ext xmlns:c16="http://schemas.microsoft.com/office/drawing/2014/chart" uri="{C3380CC4-5D6E-409C-BE32-E72D297353CC}">
              <c16:uniqueId val="{00000002-DC0D-4018-9092-BD2788D52645}"/>
            </c:ext>
          </c:extLst>
        </c:ser>
        <c:ser>
          <c:idx val="3"/>
          <c:order val="3"/>
          <c:tx>
            <c:strRef>
              <c:f>Charts!$B$97</c:f>
              <c:strCache>
                <c:ptCount val="1"/>
                <c:pt idx="0">
                  <c:v>Liquid and Gas</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Charts!$F$97:$O$97</c:f>
              <c:numCache>
                <c:formatCode>0%</c:formatCode>
                <c:ptCount val="10"/>
                <c:pt idx="0">
                  <c:v>5.4896794027228801E-3</c:v>
                </c:pt>
                <c:pt idx="1">
                  <c:v>4.3569469097950618E-3</c:v>
                </c:pt>
                <c:pt idx="2">
                  <c:v>5.7093611978886131E-3</c:v>
                </c:pt>
                <c:pt idx="3">
                  <c:v>1.5353384318372729E-2</c:v>
                </c:pt>
                <c:pt idx="4">
                  <c:v>6.7268008547008554E-2</c:v>
                </c:pt>
                <c:pt idx="5">
                  <c:v>5.9962725201905161E-2</c:v>
                </c:pt>
                <c:pt idx="6">
                  <c:v>4.7033002175511589E-2</c:v>
                </c:pt>
                <c:pt idx="7">
                  <c:v>4.981587498651599E-2</c:v>
                </c:pt>
                <c:pt idx="8">
                  <c:v>4.8978640028636278E-2</c:v>
                </c:pt>
                <c:pt idx="9">
                  <c:v>4.1699912187585703E-2</c:v>
                </c:pt>
              </c:numCache>
            </c:numRef>
          </c:val>
          <c:extLst>
            <c:ext xmlns:c16="http://schemas.microsoft.com/office/drawing/2014/chart" uri="{C3380CC4-5D6E-409C-BE32-E72D297353CC}">
              <c16:uniqueId val="{00000003-DC0D-4018-9092-BD2788D52645}"/>
            </c:ext>
          </c:extLst>
        </c:ser>
        <c:ser>
          <c:idx val="4"/>
          <c:order val="4"/>
          <c:tx>
            <c:strRef>
              <c:f>Charts!$B$98</c:f>
              <c:strCache>
                <c:ptCount val="1"/>
                <c:pt idx="0">
                  <c:v>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Charts!$F$98:$O$98</c:f>
              <c:numCache>
                <c:formatCode>0%</c:formatCode>
                <c:ptCount val="10"/>
                <c:pt idx="0">
                  <c:v>0</c:v>
                </c:pt>
                <c:pt idx="1">
                  <c:v>0</c:v>
                </c:pt>
                <c:pt idx="2">
                  <c:v>2.3376063772487337E-2</c:v>
                </c:pt>
                <c:pt idx="3">
                  <c:v>2.4120282561418918E-2</c:v>
                </c:pt>
                <c:pt idx="4">
                  <c:v>2.0597803418803417E-2</c:v>
                </c:pt>
                <c:pt idx="5">
                  <c:v>2.0658521433008906E-2</c:v>
                </c:pt>
                <c:pt idx="6">
                  <c:v>3.2980058552889734E-2</c:v>
                </c:pt>
                <c:pt idx="7">
                  <c:v>3.3428354386146136E-2</c:v>
                </c:pt>
                <c:pt idx="8">
                  <c:v>5.2885679844756062E-2</c:v>
                </c:pt>
                <c:pt idx="9">
                  <c:v>9.4835885155822738E-2</c:v>
                </c:pt>
              </c:numCache>
            </c:numRef>
          </c:val>
          <c:extLst>
            <c:ext xmlns:c16="http://schemas.microsoft.com/office/drawing/2014/chart" uri="{C3380CC4-5D6E-409C-BE32-E72D297353CC}">
              <c16:uniqueId val="{00000004-DC0D-4018-9092-BD2788D52645}"/>
            </c:ext>
          </c:extLst>
        </c:ser>
        <c:ser>
          <c:idx val="5"/>
          <c:order val="5"/>
          <c:tx>
            <c:strRef>
              <c:f>Charts!$B$99</c:f>
              <c:strCache>
                <c:ptCount val="1"/>
                <c:pt idx="0">
                  <c:v>Other Bulk</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Charts!$F$99:$O$99</c:f>
              <c:numCache>
                <c:formatCode>0%</c:formatCode>
                <c:ptCount val="10"/>
                <c:pt idx="0">
                  <c:v>0.13372859025032935</c:v>
                </c:pt>
                <c:pt idx="1">
                  <c:v>0.14458609004356948</c:v>
                </c:pt>
                <c:pt idx="2">
                  <c:v>0.10481525368954001</c:v>
                </c:pt>
                <c:pt idx="3">
                  <c:v>6.2548757204910002E-2</c:v>
                </c:pt>
                <c:pt idx="4">
                  <c:v>0.13510855555555557</c:v>
                </c:pt>
                <c:pt idx="5">
                  <c:v>0.14248084489542348</c:v>
                </c:pt>
                <c:pt idx="6">
                  <c:v>0.14628289340774742</c:v>
                </c:pt>
                <c:pt idx="7">
                  <c:v>0.1172954870351041</c:v>
                </c:pt>
                <c:pt idx="8">
                  <c:v>0.11187924312477023</c:v>
                </c:pt>
                <c:pt idx="9">
                  <c:v>0.17295011765967844</c:v>
                </c:pt>
              </c:numCache>
            </c:numRef>
          </c:val>
          <c:extLst>
            <c:ext xmlns:c16="http://schemas.microsoft.com/office/drawing/2014/chart" uri="{C3380CC4-5D6E-409C-BE32-E72D297353CC}">
              <c16:uniqueId val="{00000005-DC0D-4018-9092-BD2788D52645}"/>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1"/>
        </c:scaling>
        <c:delete val="0"/>
        <c:axPos val="l"/>
        <c:numFmt formatCode="0%" sourceLinked="1"/>
        <c:majorTickMark val="none"/>
        <c:minorTickMark val="none"/>
        <c:tickLblPos val="none"/>
        <c:spPr>
          <a:ln>
            <a:noFill/>
          </a:ln>
        </c:spPr>
        <c:crossAx val="41707423"/>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Charts!$B$3</c:f>
              <c:strCache>
                <c:ptCount val="1"/>
                <c:pt idx="0">
                  <c:v>JSW Group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Charts!$U$2:$AD$2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Charts!$U$3:$AD$3</c:f>
              <c:numCache>
                <c:formatCode>0%</c:formatCode>
                <c:ptCount val="10"/>
                <c:pt idx="0">
                  <c:v>0.75186649099692593</c:v>
                </c:pt>
                <c:pt idx="1">
                  <c:v>0.69912861061804099</c:v>
                </c:pt>
                <c:pt idx="2">
                  <c:v>0.66605623182160945</c:v>
                </c:pt>
                <c:pt idx="3">
                  <c:v>0.6</c:v>
                </c:pt>
                <c:pt idx="4">
                  <c:v>0.51</c:v>
                </c:pt>
                <c:pt idx="5">
                  <c:v>0.51672556916248868</c:v>
                </c:pt>
                <c:pt idx="6">
                  <c:v>0.52247305736318495</c:v>
                </c:pt>
                <c:pt idx="7">
                  <c:v>0.58869747510579473</c:v>
                </c:pt>
                <c:pt idx="8">
                  <c:v>0.58480604984523143</c:v>
                </c:pt>
                <c:pt idx="9">
                  <c:v>0.51052648159562575</c:v>
                </c:pt>
              </c:numCache>
            </c:numRef>
          </c:val>
          <c:extLst>
            <c:ext xmlns:c16="http://schemas.microsoft.com/office/drawing/2014/chart" uri="{C3380CC4-5D6E-409C-BE32-E72D297353CC}">
              <c16:uniqueId val="{00000000-88FE-470F-BE22-34A02338668F}"/>
            </c:ext>
          </c:extLst>
        </c:ser>
        <c:ser>
          <c:idx val="1"/>
          <c:order val="1"/>
          <c:tx>
            <c:strRef>
              <c:f>Charts!$B$4</c:f>
              <c:strCache>
                <c:ptCount val="1"/>
                <c:pt idx="0">
                  <c:v>Third Party Cargo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Charts!$U$2:$AD$2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Charts!$U$4:$AD$4</c:f>
              <c:numCache>
                <c:formatCode>0%</c:formatCode>
                <c:ptCount val="10"/>
                <c:pt idx="0">
                  <c:v>0.24813350900307421</c:v>
                </c:pt>
                <c:pt idx="1">
                  <c:v>0.30087138938195901</c:v>
                </c:pt>
                <c:pt idx="2">
                  <c:v>0.33394376817839055</c:v>
                </c:pt>
                <c:pt idx="3">
                  <c:v>0.40000000000000008</c:v>
                </c:pt>
                <c:pt idx="4">
                  <c:v>0.49</c:v>
                </c:pt>
                <c:pt idx="5">
                  <c:v>0.48327443083751132</c:v>
                </c:pt>
                <c:pt idx="6">
                  <c:v>0.477526942636815</c:v>
                </c:pt>
                <c:pt idx="7">
                  <c:v>0.41130252489420527</c:v>
                </c:pt>
                <c:pt idx="8">
                  <c:v>0.41519395015476868</c:v>
                </c:pt>
                <c:pt idx="9">
                  <c:v>0.4894735184043742</c:v>
                </c:pt>
              </c:numCache>
            </c:numRef>
          </c:val>
          <c:extLst>
            <c:ext xmlns:c16="http://schemas.microsoft.com/office/drawing/2014/chart" uri="{C3380CC4-5D6E-409C-BE32-E72D297353CC}">
              <c16:uniqueId val="{00000001-88FE-470F-BE22-34A02338668F}"/>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crossAx val="327558928"/>
        <c:crosses val="autoZero"/>
        <c:auto val="1"/>
        <c:lblAlgn val="ctr"/>
        <c:lblOffset val="100"/>
        <c:noMultiLvlLbl val="0"/>
      </c:catAx>
      <c:valAx>
        <c:axId val="327558928"/>
        <c:scaling>
          <c:orientation val="minMax"/>
          <c:max val="1"/>
        </c:scaling>
        <c:delete val="0"/>
        <c:axPos val="l"/>
        <c:numFmt formatCode="0%" sourceLinked="1"/>
        <c:majorTickMark val="none"/>
        <c:minorTickMark val="none"/>
        <c:tickLblPos val="none"/>
        <c:crossAx val="327560848"/>
        <c:crosses val="autoZero"/>
        <c:crossBetween val="between"/>
      </c:valAx>
    </c:plotArea>
    <c:plotVisOnly val="1"/>
    <c:dispBlanksAs val="gap"/>
    <c:showDLblsOverMax val="0"/>
  </c:chart>
  <c:spPr>
    <a:ln w="3175">
      <a:noFill/>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Charts!$B$16</c:f>
          <c:strCache>
            <c:ptCount val="1"/>
            <c:pt idx="0">
              <c:v>Volumes - Portwise, MT</c:v>
            </c:pt>
          </c:strCache>
        </c:strRef>
      </c:tx>
      <c:layout>
        <c:manualLayout>
          <c:xMode val="edge"/>
          <c:yMode val="edge"/>
          <c:x val="0.29781710854512855"/>
          <c:y val="3.9684757893464997E-2"/>
        </c:manualLayout>
      </c:layout>
      <c:overlay val="0"/>
    </c:title>
    <c:autoTitleDeleted val="0"/>
    <c:plotArea>
      <c:layout>
        <c:manualLayout>
          <c:layoutTarget val="inner"/>
          <c:xMode val="edge"/>
          <c:yMode val="edge"/>
          <c:x val="1.533903491615668E-3"/>
          <c:y val="1.0986740846726215E-2"/>
          <c:w val="0.97917719994299668"/>
          <c:h val="0.61901303173039335"/>
        </c:manualLayout>
      </c:layout>
      <c:barChart>
        <c:barDir val="col"/>
        <c:grouping val="stacked"/>
        <c:varyColors val="0"/>
        <c:ser>
          <c:idx val="0"/>
          <c:order val="0"/>
          <c:tx>
            <c:strRef>
              <c:f>Charts!$B$17</c:f>
              <c:strCache>
                <c:ptCount val="1"/>
                <c:pt idx="0">
                  <c:v>Jaigarh</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Charts!$F$17:$O$17</c:f>
              <c:numCache>
                <c:formatCode>_(* #,##0_);_(* \(#,##0\);_(* "-"??_);_(@_)</c:formatCode>
                <c:ptCount val="10"/>
                <c:pt idx="0">
                  <c:v>9.2379999999999995</c:v>
                </c:pt>
                <c:pt idx="1">
                  <c:v>14.019483999999999</c:v>
                </c:pt>
                <c:pt idx="2">
                  <c:v>20.237000000000002</c:v>
                </c:pt>
                <c:pt idx="3">
                  <c:v>21.51</c:v>
                </c:pt>
                <c:pt idx="4">
                  <c:v>19.899999999999999</c:v>
                </c:pt>
                <c:pt idx="5">
                  <c:v>20.27</c:v>
                </c:pt>
                <c:pt idx="6">
                  <c:v>21.0808</c:v>
                </c:pt>
                <c:pt idx="7">
                  <c:v>26.303367999999999</c:v>
                </c:pt>
                <c:pt idx="8">
                  <c:v>28.933704799999997</c:v>
                </c:pt>
                <c:pt idx="9">
                  <c:v>30.380390040000002</c:v>
                </c:pt>
              </c:numCache>
            </c:numRef>
          </c:val>
          <c:extLst>
            <c:ext xmlns:c16="http://schemas.microsoft.com/office/drawing/2014/chart" uri="{C3380CC4-5D6E-409C-BE32-E72D297353CC}">
              <c16:uniqueId val="{00000000-B485-4FC4-970D-F46EE93ABACD}"/>
            </c:ext>
          </c:extLst>
        </c:ser>
        <c:ser>
          <c:idx val="1"/>
          <c:order val="1"/>
          <c:tx>
            <c:strRef>
              <c:f>Charts!$B$18</c:f>
              <c:strCache>
                <c:ptCount val="1"/>
                <c:pt idx="0">
                  <c:v>Dharmatar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Charts!$F$18:$O$18</c:f>
              <c:numCache>
                <c:formatCode>_(* #,##0_);_(* \(#,##0\);_(* "-"??_);_(@_)</c:formatCode>
                <c:ptCount val="10"/>
                <c:pt idx="0">
                  <c:v>12.9</c:v>
                </c:pt>
                <c:pt idx="1">
                  <c:v>17.209493327000001</c:v>
                </c:pt>
                <c:pt idx="2">
                  <c:v>24.029999999999998</c:v>
                </c:pt>
                <c:pt idx="3">
                  <c:v>25.14</c:v>
                </c:pt>
                <c:pt idx="4">
                  <c:v>23.1</c:v>
                </c:pt>
                <c:pt idx="5">
                  <c:v>24.53</c:v>
                </c:pt>
                <c:pt idx="6">
                  <c:v>25.479959999999998</c:v>
                </c:pt>
                <c:pt idx="7">
                  <c:v>31.648199999999999</c:v>
                </c:pt>
                <c:pt idx="8">
                  <c:v>34.732320000000009</c:v>
                </c:pt>
                <c:pt idx="9">
                  <c:v>35.750079600000007</c:v>
                </c:pt>
              </c:numCache>
            </c:numRef>
          </c:val>
          <c:extLst>
            <c:ext xmlns:c16="http://schemas.microsoft.com/office/drawing/2014/chart" uri="{C3380CC4-5D6E-409C-BE32-E72D297353CC}">
              <c16:uniqueId val="{00000001-B485-4FC4-970D-F46EE93ABACD}"/>
            </c:ext>
          </c:extLst>
        </c:ser>
        <c:ser>
          <c:idx val="2"/>
          <c:order val="2"/>
          <c:tx>
            <c:strRef>
              <c:f>Charts!$B$19</c:f>
              <c:strCache>
                <c:ptCount val="1"/>
                <c:pt idx="0">
                  <c:v>Paradip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Charts!$F$19:$O$19</c:f>
              <c:numCache>
                <c:formatCode>_(* #,##0_);_(* \(#,##0\);_(* "-"??_);_(@_)</c:formatCode>
                <c:ptCount val="10"/>
                <c:pt idx="0">
                  <c:v>0</c:v>
                </c:pt>
                <c:pt idx="1">
                  <c:v>0.28067500000000001</c:v>
                </c:pt>
                <c:pt idx="2">
                  <c:v>12.034000000000001</c:v>
                </c:pt>
                <c:pt idx="3">
                  <c:v>16.77</c:v>
                </c:pt>
                <c:pt idx="4">
                  <c:v>18.899999999999999</c:v>
                </c:pt>
                <c:pt idx="5">
                  <c:v>19.010000000000002</c:v>
                </c:pt>
                <c:pt idx="6">
                  <c:v>19.390200000000004</c:v>
                </c:pt>
                <c:pt idx="7">
                  <c:v>20.553612000000005</c:v>
                </c:pt>
                <c:pt idx="8">
                  <c:v>21.786828720000006</c:v>
                </c:pt>
                <c:pt idx="9">
                  <c:v>23.094038443200009</c:v>
                </c:pt>
              </c:numCache>
            </c:numRef>
          </c:val>
          <c:extLst>
            <c:ext xmlns:c16="http://schemas.microsoft.com/office/drawing/2014/chart" uri="{C3380CC4-5D6E-409C-BE32-E72D297353CC}">
              <c16:uniqueId val="{00000002-B485-4FC4-970D-F46EE93ABACD}"/>
            </c:ext>
          </c:extLst>
        </c:ser>
        <c:ser>
          <c:idx val="3"/>
          <c:order val="3"/>
          <c:tx>
            <c:strRef>
              <c:f>Charts!$B$20</c:f>
              <c:strCache>
                <c:ptCount val="1"/>
                <c:pt idx="0">
                  <c:v>Jatadhar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Charts!$F$20:$O$20</c:f>
              <c:numCache>
                <c:formatCode>_(* #,##0_);_(* \(#,##0\);_(* "-"??_);_(@_)</c:formatCode>
                <c:ptCount val="10"/>
                <c:pt idx="0">
                  <c:v>0</c:v>
                </c:pt>
                <c:pt idx="1">
                  <c:v>0</c:v>
                </c:pt>
                <c:pt idx="2">
                  <c:v>0</c:v>
                </c:pt>
                <c:pt idx="3">
                  <c:v>0</c:v>
                </c:pt>
                <c:pt idx="4">
                  <c:v>0</c:v>
                </c:pt>
                <c:pt idx="5">
                  <c:v>0</c:v>
                </c:pt>
                <c:pt idx="6">
                  <c:v>0</c:v>
                </c:pt>
                <c:pt idx="7">
                  <c:v>10.050000000000001</c:v>
                </c:pt>
                <c:pt idx="8">
                  <c:v>16.5</c:v>
                </c:pt>
                <c:pt idx="9">
                  <c:v>21</c:v>
                </c:pt>
              </c:numCache>
            </c:numRef>
          </c:val>
          <c:extLst>
            <c:ext xmlns:c16="http://schemas.microsoft.com/office/drawing/2014/chart" uri="{C3380CC4-5D6E-409C-BE32-E72D297353CC}">
              <c16:uniqueId val="{00000003-B485-4FC4-970D-F46EE93ABACD}"/>
            </c:ext>
          </c:extLst>
        </c:ser>
        <c:ser>
          <c:idx val="4"/>
          <c:order val="4"/>
          <c:tx>
            <c:strRef>
              <c:f>Charts!$B$21</c:f>
              <c:strCache>
                <c:ptCount val="1"/>
                <c:pt idx="0">
                  <c:v>Potential Domestic Asset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Charts!$F$21:$O$21</c:f>
              <c:numCache>
                <c:formatCode>_(* #,##0_);_(* \(#,##0\);_(* "-"??_);_(@_)</c:formatCode>
                <c:ptCount val="10"/>
                <c:pt idx="0">
                  <c:v>0</c:v>
                </c:pt>
                <c:pt idx="1">
                  <c:v>0</c:v>
                </c:pt>
                <c:pt idx="2">
                  <c:v>0</c:v>
                </c:pt>
                <c:pt idx="3">
                  <c:v>0</c:v>
                </c:pt>
                <c:pt idx="4">
                  <c:v>0</c:v>
                </c:pt>
                <c:pt idx="5">
                  <c:v>0</c:v>
                </c:pt>
                <c:pt idx="6">
                  <c:v>0</c:v>
                </c:pt>
                <c:pt idx="7">
                  <c:v>12</c:v>
                </c:pt>
                <c:pt idx="8">
                  <c:v>18</c:v>
                </c:pt>
                <c:pt idx="9">
                  <c:v>18</c:v>
                </c:pt>
              </c:numCache>
            </c:numRef>
          </c:val>
          <c:extLst>
            <c:ext xmlns:c16="http://schemas.microsoft.com/office/drawing/2014/chart" uri="{C3380CC4-5D6E-409C-BE32-E72D297353CC}">
              <c16:uniqueId val="{00000004-B485-4FC4-970D-F46EE93ABACD}"/>
            </c:ext>
          </c:extLst>
        </c:ser>
        <c:ser>
          <c:idx val="5"/>
          <c:order val="5"/>
          <c:tx>
            <c:strRef>
              <c:f>Charts!$B$22</c:f>
              <c:strCache>
                <c:ptCount val="1"/>
                <c:pt idx="0">
                  <c:v>Keni</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Charts!$F$22:$O$22</c:f>
              <c:numCache>
                <c:formatCode>_(* #,##0_);_(* \(#,##0\);_(* "-"??_);_(@_)</c:formatCode>
                <c:ptCount val="10"/>
                <c:pt idx="0">
                  <c:v>0</c:v>
                </c:pt>
                <c:pt idx="1">
                  <c:v>0</c:v>
                </c:pt>
                <c:pt idx="2">
                  <c:v>0</c:v>
                </c:pt>
                <c:pt idx="3">
                  <c:v>0</c:v>
                </c:pt>
                <c:pt idx="4">
                  <c:v>0</c:v>
                </c:pt>
                <c:pt idx="5">
                  <c:v>0</c:v>
                </c:pt>
                <c:pt idx="6">
                  <c:v>0</c:v>
                </c:pt>
                <c:pt idx="7">
                  <c:v>0</c:v>
                </c:pt>
                <c:pt idx="8">
                  <c:v>1.5</c:v>
                </c:pt>
                <c:pt idx="9">
                  <c:v>9</c:v>
                </c:pt>
              </c:numCache>
            </c:numRef>
          </c:val>
          <c:extLst>
            <c:ext xmlns:c16="http://schemas.microsoft.com/office/drawing/2014/chart" uri="{C3380CC4-5D6E-409C-BE32-E72D297353CC}">
              <c16:uniqueId val="{00000005-B485-4FC4-970D-F46EE93ABACD}"/>
            </c:ext>
          </c:extLst>
        </c:ser>
        <c:ser>
          <c:idx val="6"/>
          <c:order val="6"/>
          <c:tx>
            <c:strRef>
              <c:f>Charts!$B$23</c:f>
              <c:strCache>
                <c:ptCount val="1"/>
                <c:pt idx="0">
                  <c:v>Potential Domestic Asset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Charts!$F$23:$O$23</c:f>
              <c:numCache>
                <c:formatCode>_(* #,##0_);_(* \(#,##0\);_(*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6-B485-4FC4-970D-F46EE93ABACD}"/>
            </c:ext>
          </c:extLst>
        </c:ser>
        <c:ser>
          <c:idx val="7"/>
          <c:order val="7"/>
          <c:tx>
            <c:strRef>
              <c:f>Charts!$B$24</c:f>
              <c:strCache>
                <c:ptCount val="1"/>
                <c:pt idx="0">
                  <c:v>Murbe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Charts!$F$24:$O$24</c:f>
              <c:numCache>
                <c:formatCode>_(* #,##0_);_(* \(#,##0\);_(* "-"??_);_(@_)</c:formatCode>
                <c:ptCount val="10"/>
                <c:pt idx="0">
                  <c:v>0</c:v>
                </c:pt>
                <c:pt idx="1">
                  <c:v>0</c:v>
                </c:pt>
                <c:pt idx="2">
                  <c:v>0</c:v>
                </c:pt>
                <c:pt idx="3">
                  <c:v>0</c:v>
                </c:pt>
                <c:pt idx="4">
                  <c:v>0</c:v>
                </c:pt>
                <c:pt idx="5">
                  <c:v>0</c:v>
                </c:pt>
                <c:pt idx="6">
                  <c:v>0</c:v>
                </c:pt>
                <c:pt idx="7">
                  <c:v>0</c:v>
                </c:pt>
                <c:pt idx="8">
                  <c:v>0</c:v>
                </c:pt>
                <c:pt idx="9">
                  <c:v>8.25</c:v>
                </c:pt>
              </c:numCache>
            </c:numRef>
          </c:val>
          <c:extLst>
            <c:ext xmlns:c16="http://schemas.microsoft.com/office/drawing/2014/chart" uri="{C3380CC4-5D6E-409C-BE32-E72D297353CC}">
              <c16:uniqueId val="{00000007-B485-4FC4-970D-F46EE93ABACD}"/>
            </c:ext>
          </c:extLst>
        </c:ser>
        <c:ser>
          <c:idx val="8"/>
          <c:order val="8"/>
          <c:tx>
            <c:strRef>
              <c:f>Charts!$B$25</c:f>
              <c:strCache>
                <c:ptCount val="1"/>
                <c:pt idx="0">
                  <c:v>Paradip Iron Ore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Charts!$F$25:$O$25</c:f>
              <c:numCache>
                <c:formatCode>_(* #,##0_);_(* \(#,##0\);_(* "-"??_);_(@_)</c:formatCode>
                <c:ptCount val="10"/>
                <c:pt idx="0">
                  <c:v>8.43</c:v>
                </c:pt>
                <c:pt idx="1">
                  <c:v>7.5161150000000001</c:v>
                </c:pt>
                <c:pt idx="2">
                  <c:v>9.52</c:v>
                </c:pt>
                <c:pt idx="3">
                  <c:v>12.37</c:v>
                </c:pt>
                <c:pt idx="4">
                  <c:v>11.4</c:v>
                </c:pt>
                <c:pt idx="5">
                  <c:v>7.26</c:v>
                </c:pt>
                <c:pt idx="6">
                  <c:v>9.4380000000000006</c:v>
                </c:pt>
                <c:pt idx="7">
                  <c:v>9.5323799999999999</c:v>
                </c:pt>
                <c:pt idx="8">
                  <c:v>9.6277038000000008</c:v>
                </c:pt>
                <c:pt idx="9">
                  <c:v>9.723980838000001</c:v>
                </c:pt>
              </c:numCache>
            </c:numRef>
          </c:val>
          <c:extLst>
            <c:ext xmlns:c16="http://schemas.microsoft.com/office/drawing/2014/chart" uri="{C3380CC4-5D6E-409C-BE32-E72D297353CC}">
              <c16:uniqueId val="{00000008-B485-4FC4-970D-F46EE93ABACD}"/>
            </c:ext>
          </c:extLst>
        </c:ser>
        <c:ser>
          <c:idx val="9"/>
          <c:order val="9"/>
          <c:tx>
            <c:strRef>
              <c:f>Charts!$B$26</c:f>
              <c:strCache>
                <c:ptCount val="1"/>
                <c:pt idx="0">
                  <c:v>Overseas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Charts!$F$26:$O$26</c:f>
              <c:numCache>
                <c:formatCode>_(* #,##0_);_(* \(#,##0\);_(* "-"??_);_(@_)</c:formatCode>
                <c:ptCount val="10"/>
                <c:pt idx="0">
                  <c:v>0</c:v>
                </c:pt>
                <c:pt idx="1">
                  <c:v>0</c:v>
                </c:pt>
                <c:pt idx="2">
                  <c:v>0</c:v>
                </c:pt>
                <c:pt idx="3">
                  <c:v>0</c:v>
                </c:pt>
                <c:pt idx="4">
                  <c:v>0</c:v>
                </c:pt>
                <c:pt idx="5">
                  <c:v>0</c:v>
                </c:pt>
                <c:pt idx="6">
                  <c:v>0</c:v>
                </c:pt>
                <c:pt idx="7">
                  <c:v>0</c:v>
                </c:pt>
                <c:pt idx="8">
                  <c:v>0</c:v>
                </c:pt>
                <c:pt idx="9">
                  <c:v>10.8</c:v>
                </c:pt>
              </c:numCache>
            </c:numRef>
          </c:val>
          <c:extLst>
            <c:ext xmlns:c16="http://schemas.microsoft.com/office/drawing/2014/chart" uri="{C3380CC4-5D6E-409C-BE32-E72D297353CC}">
              <c16:uniqueId val="{00000009-B485-4FC4-970D-F46EE93ABACD}"/>
            </c:ext>
          </c:extLst>
        </c:ser>
        <c:ser>
          <c:idx val="10"/>
          <c:order val="10"/>
          <c:tx>
            <c:strRef>
              <c:f>Charts!$B$27</c:f>
              <c:strCache>
                <c:ptCount val="1"/>
                <c:pt idx="0">
                  <c:v>Ennore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Charts!$F$27:$O$27</c:f>
              <c:numCache>
                <c:formatCode>_(* #,##0_);_(* \(#,##0\);_(* "-"??_);_(@_)</c:formatCode>
                <c:ptCount val="10"/>
                <c:pt idx="0">
                  <c:v>3.14</c:v>
                </c:pt>
                <c:pt idx="1">
                  <c:v>8.0324159999999996</c:v>
                </c:pt>
                <c:pt idx="2">
                  <c:v>8.7040000000000006</c:v>
                </c:pt>
                <c:pt idx="3">
                  <c:v>9.31</c:v>
                </c:pt>
                <c:pt idx="4">
                  <c:v>10.199999999999999</c:v>
                </c:pt>
                <c:pt idx="5">
                  <c:v>10.38</c:v>
                </c:pt>
                <c:pt idx="6">
                  <c:v>10.4838</c:v>
                </c:pt>
                <c:pt idx="7">
                  <c:v>10.588638000000001</c:v>
                </c:pt>
                <c:pt idx="8">
                  <c:v>10.694524380000001</c:v>
                </c:pt>
                <c:pt idx="9">
                  <c:v>10.801469623800001</c:v>
                </c:pt>
              </c:numCache>
            </c:numRef>
          </c:val>
          <c:extLst>
            <c:ext xmlns:c16="http://schemas.microsoft.com/office/drawing/2014/chart" uri="{C3380CC4-5D6E-409C-BE32-E72D297353CC}">
              <c16:uniqueId val="{0000000A-B485-4FC4-970D-F46EE93ABACD}"/>
            </c:ext>
          </c:extLst>
        </c:ser>
        <c:ser>
          <c:idx val="11"/>
          <c:order val="11"/>
          <c:tx>
            <c:strRef>
              <c:f>Charts!$B$28</c:f>
              <c:strCache>
                <c:ptCount val="1"/>
                <c:pt idx="0">
                  <c:v>Goa</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Charts!$F$28:$O$28</c:f>
              <c:numCache>
                <c:formatCode>_(* #,##0_);_(* \(#,##0\);_(* "-"??_);_(@_)</c:formatCode>
                <c:ptCount val="10"/>
                <c:pt idx="0">
                  <c:v>6.83</c:v>
                </c:pt>
                <c:pt idx="1">
                  <c:v>6.9256087389999994</c:v>
                </c:pt>
                <c:pt idx="2">
                  <c:v>7.0679999999999996</c:v>
                </c:pt>
                <c:pt idx="3">
                  <c:v>7.1559999999999997</c:v>
                </c:pt>
                <c:pt idx="4">
                  <c:v>6.4</c:v>
                </c:pt>
                <c:pt idx="5">
                  <c:v>8.5500000000000007</c:v>
                </c:pt>
                <c:pt idx="6">
                  <c:v>9.3918000000000017</c:v>
                </c:pt>
                <c:pt idx="7">
                  <c:v>10.80057</c:v>
                </c:pt>
                <c:pt idx="8">
                  <c:v>11.273464950000001</c:v>
                </c:pt>
                <c:pt idx="9">
                  <c:v>11.767319305500001</c:v>
                </c:pt>
              </c:numCache>
            </c:numRef>
          </c:val>
          <c:extLst>
            <c:ext xmlns:c16="http://schemas.microsoft.com/office/drawing/2014/chart" uri="{C3380CC4-5D6E-409C-BE32-E72D297353CC}">
              <c16:uniqueId val="{0000000B-B485-4FC4-970D-F46EE93ABACD}"/>
            </c:ext>
          </c:extLst>
        </c:ser>
        <c:ser>
          <c:idx val="12"/>
          <c:order val="12"/>
          <c:tx>
            <c:strRef>
              <c:f>Charts!$B$29</c:f>
              <c:strCache>
                <c:ptCount val="1"/>
                <c:pt idx="0">
                  <c:v>Mangalore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Charts!$F$29:$O$29</c:f>
              <c:numCache>
                <c:formatCode>_(* #,##0_);_(* \(#,##0\);_(* "-"??_);_(@_)</c:formatCode>
                <c:ptCount val="10"/>
                <c:pt idx="0">
                  <c:v>1.02</c:v>
                </c:pt>
                <c:pt idx="1">
                  <c:v>3.7909014610000002</c:v>
                </c:pt>
                <c:pt idx="2">
                  <c:v>4.4539999999999997</c:v>
                </c:pt>
                <c:pt idx="3">
                  <c:v>4.7699999999999996</c:v>
                </c:pt>
                <c:pt idx="4">
                  <c:v>6.3</c:v>
                </c:pt>
                <c:pt idx="5">
                  <c:v>6.27</c:v>
                </c:pt>
                <c:pt idx="6">
                  <c:v>6.5834999999999999</c:v>
                </c:pt>
                <c:pt idx="7">
                  <c:v>6.9126750000000001</c:v>
                </c:pt>
                <c:pt idx="8">
                  <c:v>7.2583087500000003</c:v>
                </c:pt>
                <c:pt idx="9">
                  <c:v>7.6212241875000011</c:v>
                </c:pt>
              </c:numCache>
            </c:numRef>
          </c:val>
          <c:extLst>
            <c:ext xmlns:c16="http://schemas.microsoft.com/office/drawing/2014/chart" uri="{C3380CC4-5D6E-409C-BE32-E72D297353CC}">
              <c16:uniqueId val="{0000000C-B485-4FC4-970D-F46EE93ABACD}"/>
            </c:ext>
          </c:extLst>
        </c:ser>
        <c:ser>
          <c:idx val="13"/>
          <c:order val="13"/>
          <c:tx>
            <c:strRef>
              <c:f>Charts!$B$30</c:f>
              <c:strCache>
                <c:ptCount val="1"/>
                <c:pt idx="0">
                  <c:v>PNP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Charts!$F$30:$O$30</c:f>
              <c:numCache>
                <c:formatCode>_(* #,##0_);_(* \(#,##0\);_(* "-"??_);_(@_)</c:formatCode>
                <c:ptCount val="10"/>
                <c:pt idx="0">
                  <c:v>0</c:v>
                </c:pt>
                <c:pt idx="1">
                  <c:v>0</c:v>
                </c:pt>
                <c:pt idx="2">
                  <c:v>0</c:v>
                </c:pt>
                <c:pt idx="3">
                  <c:v>1.32</c:v>
                </c:pt>
                <c:pt idx="4">
                  <c:v>5.5</c:v>
                </c:pt>
                <c:pt idx="5">
                  <c:v>5.34</c:v>
                </c:pt>
                <c:pt idx="6">
                  <c:v>6.1387</c:v>
                </c:pt>
                <c:pt idx="7">
                  <c:v>6.2614739999999998</c:v>
                </c:pt>
                <c:pt idx="8">
                  <c:v>6.5745477000000001</c:v>
                </c:pt>
                <c:pt idx="9">
                  <c:v>6.9032750850000006</c:v>
                </c:pt>
              </c:numCache>
            </c:numRef>
          </c:val>
          <c:extLst>
            <c:ext xmlns:c16="http://schemas.microsoft.com/office/drawing/2014/chart" uri="{C3380CC4-5D6E-409C-BE32-E72D297353CC}">
              <c16:uniqueId val="{0000000D-B485-4FC4-970D-F46EE93ABACD}"/>
            </c:ext>
          </c:extLst>
        </c:ser>
        <c:ser>
          <c:idx val="14"/>
          <c:order val="14"/>
          <c:tx>
            <c:strRef>
              <c:f>Charts!$B$31</c:f>
              <c:strCache>
                <c:ptCount val="1"/>
                <c:pt idx="0">
                  <c:v>Tuticorin Dry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Charts!$F$31:$O$31</c:f>
              <c:numCache>
                <c:formatCode>_(* #,##0_);_(* \(#,##0\);_(* "-"??_);_(@_)</c:formatCode>
                <c:ptCount val="10"/>
                <c:pt idx="0">
                  <c:v>0</c:v>
                </c:pt>
                <c:pt idx="1">
                  <c:v>0</c:v>
                </c:pt>
                <c:pt idx="2">
                  <c:v>0</c:v>
                </c:pt>
                <c:pt idx="3">
                  <c:v>0</c:v>
                </c:pt>
                <c:pt idx="4">
                  <c:v>0.9</c:v>
                </c:pt>
                <c:pt idx="5">
                  <c:v>4.99</c:v>
                </c:pt>
                <c:pt idx="6">
                  <c:v>5.25</c:v>
                </c:pt>
                <c:pt idx="7">
                  <c:v>5.25</c:v>
                </c:pt>
                <c:pt idx="8">
                  <c:v>5.25</c:v>
                </c:pt>
                <c:pt idx="9">
                  <c:v>5.25</c:v>
                </c:pt>
              </c:numCache>
            </c:numRef>
          </c:val>
          <c:extLst>
            <c:ext xmlns:c16="http://schemas.microsoft.com/office/drawing/2014/chart" uri="{C3380CC4-5D6E-409C-BE32-E72D297353CC}">
              <c16:uniqueId val="{0000000E-B485-4FC4-970D-F46EE93ABACD}"/>
            </c:ext>
          </c:extLst>
        </c:ser>
        <c:ser>
          <c:idx val="15"/>
          <c:order val="15"/>
          <c:tx>
            <c:strRef>
              <c:f>Charts!$B$32</c:f>
              <c:strCache>
                <c:ptCount val="1"/>
                <c:pt idx="0">
                  <c:v>Fujairah Liquid Storage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Charts!$F$32:$O$32</c:f>
              <c:numCache>
                <c:formatCode>_(* #,##0_);_(* \(#,##0\);_(* "-"??_);_(@_)</c:formatCode>
                <c:ptCount val="10"/>
                <c:pt idx="0">
                  <c:v>0</c:v>
                </c:pt>
                <c:pt idx="1">
                  <c:v>0</c:v>
                </c:pt>
                <c:pt idx="2">
                  <c:v>0</c:v>
                </c:pt>
                <c:pt idx="3">
                  <c:v>2</c:v>
                </c:pt>
                <c:pt idx="4">
                  <c:v>7.3</c:v>
                </c:pt>
                <c:pt idx="5">
                  <c:v>5.71</c:v>
                </c:pt>
                <c:pt idx="6">
                  <c:v>2.855</c:v>
                </c:pt>
                <c:pt idx="7">
                  <c:v>4.9962499999999999</c:v>
                </c:pt>
                <c:pt idx="8">
                  <c:v>5.9954999999999998</c:v>
                </c:pt>
                <c:pt idx="9">
                  <c:v>6.2353199999999998</c:v>
                </c:pt>
              </c:numCache>
            </c:numRef>
          </c:val>
          <c:extLst>
            <c:ext xmlns:c16="http://schemas.microsoft.com/office/drawing/2014/chart" uri="{C3380CC4-5D6E-409C-BE32-E72D297353CC}">
              <c16:uniqueId val="{0000000F-B485-4FC4-970D-F46EE93ABACD}"/>
            </c:ext>
          </c:extLst>
        </c:ser>
        <c:ser>
          <c:idx val="16"/>
          <c:order val="16"/>
          <c:tx>
            <c:strRef>
              <c:f>Charts!$B$33</c:f>
              <c:strCache>
                <c:ptCount val="1"/>
                <c:pt idx="0">
                  <c:v>JNPT Liquid</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Charts!$F$33:$O$33</c:f>
              <c:numCache>
                <c:formatCode>_(* #,##0_);_(* \(#,##0\);_(* "-"??_);_(@_)</c:formatCode>
                <c:ptCount val="10"/>
                <c:pt idx="0">
                  <c:v>0</c:v>
                </c:pt>
                <c:pt idx="1">
                  <c:v>0</c:v>
                </c:pt>
                <c:pt idx="2">
                  <c:v>0</c:v>
                </c:pt>
                <c:pt idx="3">
                  <c:v>0</c:v>
                </c:pt>
                <c:pt idx="4">
                  <c:v>0.2</c:v>
                </c:pt>
                <c:pt idx="5">
                  <c:v>1.3</c:v>
                </c:pt>
                <c:pt idx="6">
                  <c:v>2.9250000000000003</c:v>
                </c:pt>
                <c:pt idx="7">
                  <c:v>3.15</c:v>
                </c:pt>
                <c:pt idx="8">
                  <c:v>3.375</c:v>
                </c:pt>
                <c:pt idx="9">
                  <c:v>3.375</c:v>
                </c:pt>
              </c:numCache>
            </c:numRef>
          </c:val>
          <c:extLst>
            <c:ext xmlns:c16="http://schemas.microsoft.com/office/drawing/2014/chart" uri="{C3380CC4-5D6E-409C-BE32-E72D297353CC}">
              <c16:uniqueId val="{00000010-B485-4FC4-970D-F46EE93ABACD}"/>
            </c:ext>
          </c:extLst>
        </c:ser>
        <c:ser>
          <c:idx val="17"/>
          <c:order val="17"/>
          <c:tx>
            <c:strRef>
              <c:f>Charts!$B$34</c:f>
              <c:strCache>
                <c:ptCount val="1"/>
                <c:pt idx="0">
                  <c:v>Mangalore 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Charts!$F$34:$O$34</c:f>
              <c:numCache>
                <c:formatCode>_(* #,##0_);_(* \(#,##0\);_(* "-"??_);_(@_)</c:formatCode>
                <c:ptCount val="10"/>
                <c:pt idx="0">
                  <c:v>0</c:v>
                </c:pt>
                <c:pt idx="1">
                  <c:v>0</c:v>
                </c:pt>
                <c:pt idx="2">
                  <c:v>2.1739976832207537</c:v>
                </c:pt>
                <c:pt idx="3">
                  <c:v>2.5821624445182496</c:v>
                </c:pt>
                <c:pt idx="4">
                  <c:v>2.4</c:v>
                </c:pt>
                <c:pt idx="5">
                  <c:v>2.4900000000000002</c:v>
                </c:pt>
                <c:pt idx="6">
                  <c:v>3.1175000000000002</c:v>
                </c:pt>
                <c:pt idx="7">
                  <c:v>3.4292500000000006</c:v>
                </c:pt>
                <c:pt idx="8">
                  <c:v>3.6350050000000009</c:v>
                </c:pt>
                <c:pt idx="9">
                  <c:v>3.8531053000000011</c:v>
                </c:pt>
              </c:numCache>
            </c:numRef>
          </c:val>
          <c:extLst>
            <c:ext xmlns:c16="http://schemas.microsoft.com/office/drawing/2014/chart" uri="{C3380CC4-5D6E-409C-BE32-E72D297353CC}">
              <c16:uniqueId val="{00000011-B485-4FC4-970D-F46EE93ABACD}"/>
            </c:ext>
          </c:extLst>
        </c:ser>
        <c:ser>
          <c:idx val="18"/>
          <c:order val="18"/>
          <c:tx>
            <c:strRef>
              <c:f>Charts!$B$35</c:f>
              <c:strCache>
                <c:ptCount val="1"/>
                <c:pt idx="0">
                  <c:v>Standalone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Charts!$F$35:$O$35</c:f>
              <c:numCache>
                <c:formatCode>_(* #,##0_);_(* \(#,##0\);_(* "-"??_);_(@_)</c:formatCode>
                <c:ptCount val="10"/>
                <c:pt idx="0">
                  <c:v>3.59</c:v>
                </c:pt>
                <c:pt idx="1">
                  <c:v>3.0277205999999999</c:v>
                </c:pt>
                <c:pt idx="2">
                  <c:v>2.7</c:v>
                </c:pt>
                <c:pt idx="3">
                  <c:v>2.65</c:v>
                </c:pt>
                <c:pt idx="4">
                  <c:v>2.4</c:v>
                </c:pt>
                <c:pt idx="5">
                  <c:v>2.99</c:v>
                </c:pt>
                <c:pt idx="6">
                  <c:v>2.9900000000000007</c:v>
                </c:pt>
                <c:pt idx="7">
                  <c:v>3.0498000000000007</c:v>
                </c:pt>
                <c:pt idx="8">
                  <c:v>3.110796000000001</c:v>
                </c:pt>
                <c:pt idx="9">
                  <c:v>3.1730119200000009</c:v>
                </c:pt>
              </c:numCache>
            </c:numRef>
          </c:val>
          <c:extLst>
            <c:ext xmlns:c16="http://schemas.microsoft.com/office/drawing/2014/chart" uri="{C3380CC4-5D6E-409C-BE32-E72D297353CC}">
              <c16:uniqueId val="{00000012-B485-4FC4-970D-F46EE93ABACD}"/>
            </c:ext>
          </c:extLst>
        </c:ser>
        <c:ser>
          <c:idx val="19"/>
          <c:order val="19"/>
          <c:tx>
            <c:strRef>
              <c:f>Charts!$B$36</c:f>
              <c:strCache>
                <c:ptCount val="1"/>
                <c:pt idx="0">
                  <c:v>Ennore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Charts!$F$36:$O$36</c:f>
              <c:numCache>
                <c:formatCode>_(* #,##0_);_(* \(#,##0\);_(* "-"??_);_(@_)</c:formatCode>
                <c:ptCount val="10"/>
                <c:pt idx="0">
                  <c:v>0.39</c:v>
                </c:pt>
                <c:pt idx="1">
                  <c:v>1.1602350890099999</c:v>
                </c:pt>
                <c:pt idx="2">
                  <c:v>1.89</c:v>
                </c:pt>
                <c:pt idx="3">
                  <c:v>1.46</c:v>
                </c:pt>
                <c:pt idx="4">
                  <c:v>2.1</c:v>
                </c:pt>
                <c:pt idx="5">
                  <c:v>1.65</c:v>
                </c:pt>
                <c:pt idx="6">
                  <c:v>1.7293500000000004</c:v>
                </c:pt>
                <c:pt idx="7">
                  <c:v>1.8158175000000005</c:v>
                </c:pt>
                <c:pt idx="8">
                  <c:v>1.9066083750000007</c:v>
                </c:pt>
                <c:pt idx="9">
                  <c:v>2.0019387937500008</c:v>
                </c:pt>
              </c:numCache>
            </c:numRef>
          </c:val>
          <c:extLst>
            <c:ext xmlns:c16="http://schemas.microsoft.com/office/drawing/2014/chart" uri="{C3380CC4-5D6E-409C-BE32-E72D297353CC}">
              <c16:uniqueId val="{00000013-B485-4FC4-970D-F46EE93ABACD}"/>
            </c:ext>
          </c:extLst>
        </c:ser>
        <c:ser>
          <c:idx val="20"/>
          <c:order val="20"/>
          <c:tx>
            <c:strRef>
              <c:f>Charts!$B$39</c:f>
              <c:strCache>
                <c:ptCount val="1"/>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Charts!$F$39:$O$39</c:f>
              <c:numCache>
                <c:formatCode>_(* #,##0_);_(* \(#,##0\);_(* "-"??_);_(@_)</c:formatCode>
                <c:ptCount val="10"/>
                <c:pt idx="0">
                  <c:v>45.537999999999997</c:v>
                </c:pt>
                <c:pt idx="1">
                  <c:v>61.962649216009993</c:v>
                </c:pt>
                <c:pt idx="2">
                  <c:v>92.810997683220748</c:v>
                </c:pt>
                <c:pt idx="3">
                  <c:v>107.03816244451825</c:v>
                </c:pt>
                <c:pt idx="4">
                  <c:v>117.00000000000001</c:v>
                </c:pt>
                <c:pt idx="5">
                  <c:v>120.73999999999998</c:v>
                </c:pt>
                <c:pt idx="6">
                  <c:v>127.95611000000002</c:v>
                </c:pt>
                <c:pt idx="7">
                  <c:v>168.54703450000002</c:v>
                </c:pt>
                <c:pt idx="8">
                  <c:v>196.93431247499998</c:v>
                </c:pt>
                <c:pt idx="9">
                  <c:v>237.39015313675</c:v>
                </c:pt>
              </c:numCache>
            </c:numRef>
          </c:val>
          <c:extLst>
            <c:ext xmlns:c16="http://schemas.microsoft.com/office/drawing/2014/chart" uri="{C3380CC4-5D6E-409C-BE32-E72D297353CC}">
              <c16:uniqueId val="{00000014-B485-4FC4-970D-F46EE93ABACD}"/>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300"/>
        </c:scaling>
        <c:delete val="0"/>
        <c:axPos val="l"/>
        <c:numFmt formatCode="_(* #,##0_);_(* \(#,##0\);_(* &quot;-&quot;??_);_(@_)" sourceLinked="1"/>
        <c:majorTickMark val="none"/>
        <c:minorTickMark val="none"/>
        <c:tickLblPos val="none"/>
        <c:spPr>
          <a:ln>
            <a:noFill/>
          </a:ln>
        </c:spPr>
        <c:crossAx val="41707423"/>
        <c:crosses val="autoZero"/>
        <c:crossBetween val="between"/>
      </c:valAx>
    </c:plotArea>
    <c:legend>
      <c:legendPos val="b"/>
      <c:layout>
        <c:manualLayout>
          <c:xMode val="edge"/>
          <c:yMode val="edge"/>
          <c:x val="1.3890812886893338E-3"/>
          <c:y val="0.72885034537833937"/>
          <c:w val="0.9675645050935382"/>
          <c:h val="0.26741984257393497"/>
        </c:manualLayout>
      </c:layout>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Charts!$B$41</c:f>
          <c:strCache>
            <c:ptCount val="1"/>
            <c:pt idx="0">
              <c:v>Volumes - Cargowise, MT</c:v>
            </c:pt>
          </c:strCache>
        </c:strRef>
      </c:tx>
      <c:layout>
        <c:manualLayout>
          <c:xMode val="edge"/>
          <c:yMode val="edge"/>
          <c:x val="0.29978699906807088"/>
          <c:y val="4.6154789702781765E-2"/>
        </c:manualLayout>
      </c:layout>
      <c:overlay val="0"/>
    </c:title>
    <c:autoTitleDeleted val="0"/>
    <c:plotArea>
      <c:layout>
        <c:manualLayout>
          <c:layoutTarget val="inner"/>
          <c:xMode val="edge"/>
          <c:yMode val="edge"/>
          <c:x val="1.2109253731131947E-2"/>
          <c:y val="0.11855263120810949"/>
          <c:w val="0.97578160240845635"/>
          <c:h val="0.58321975981869034"/>
        </c:manualLayout>
      </c:layout>
      <c:barChart>
        <c:barDir val="col"/>
        <c:grouping val="stacked"/>
        <c:varyColors val="0"/>
        <c:ser>
          <c:idx val="0"/>
          <c:order val="0"/>
          <c:tx>
            <c:strRef>
              <c:f>Charts!$B$42</c:f>
              <c:strCache>
                <c:ptCount val="1"/>
                <c:pt idx="0">
                  <c:v>Iron Ore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Charts!$F$42:$O$42</c:f>
              <c:numCache>
                <c:formatCode>_(* #,##0_);_(* \(#,##0\);_(* "-"??_);_(@_)</c:formatCode>
                <c:ptCount val="10"/>
                <c:pt idx="0">
                  <c:v>11.606666666666667</c:v>
                </c:pt>
                <c:pt idx="1">
                  <c:v>14.159890390666666</c:v>
                </c:pt>
                <c:pt idx="2">
                  <c:v>22.283333333333331</c:v>
                </c:pt>
                <c:pt idx="3">
                  <c:v>40.466333333333324</c:v>
                </c:pt>
                <c:pt idx="4">
                  <c:v>34.298333333333332</c:v>
                </c:pt>
                <c:pt idx="5">
                  <c:v>33.786000000000001</c:v>
                </c:pt>
                <c:pt idx="6">
                  <c:v>36.905440000000006</c:v>
                </c:pt>
                <c:pt idx="7">
                  <c:v>65.228980000000007</c:v>
                </c:pt>
                <c:pt idx="8">
                  <c:v>80.894979800000002</c:v>
                </c:pt>
                <c:pt idx="9">
                  <c:v>86.783959158000002</c:v>
                </c:pt>
              </c:numCache>
            </c:numRef>
          </c:val>
          <c:extLst>
            <c:ext xmlns:c16="http://schemas.microsoft.com/office/drawing/2014/chart" uri="{C3380CC4-5D6E-409C-BE32-E72D297353CC}">
              <c16:uniqueId val="{00000000-4564-42E2-9B5A-DB701924AB5D}"/>
            </c:ext>
          </c:extLst>
        </c:ser>
        <c:ser>
          <c:idx val="1"/>
          <c:order val="1"/>
          <c:tx>
            <c:strRef>
              <c:f>Charts!$B$43</c:f>
              <c:strCache>
                <c:ptCount val="1"/>
                <c:pt idx="0">
                  <c:v>Thermal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Charts!$F$43:$O$43</c:f>
              <c:numCache>
                <c:formatCode>_(* #,##0_);_(* \(#,##0\);_(* "-"??_);_(@_)</c:formatCode>
                <c:ptCount val="10"/>
                <c:pt idx="0">
                  <c:v>3.88</c:v>
                </c:pt>
                <c:pt idx="1">
                  <c:v>5.21</c:v>
                </c:pt>
                <c:pt idx="2">
                  <c:v>26.92</c:v>
                </c:pt>
                <c:pt idx="3">
                  <c:v>35.790000000000006</c:v>
                </c:pt>
                <c:pt idx="4">
                  <c:v>40.534998999999999</c:v>
                </c:pt>
                <c:pt idx="5">
                  <c:v>40.03</c:v>
                </c:pt>
                <c:pt idx="6">
                  <c:v>41.002300000000005</c:v>
                </c:pt>
                <c:pt idx="7">
                  <c:v>43.735925000000009</c:v>
                </c:pt>
                <c:pt idx="8">
                  <c:v>45.988761850000003</c:v>
                </c:pt>
                <c:pt idx="9">
                  <c:v>48.078287254500012</c:v>
                </c:pt>
              </c:numCache>
            </c:numRef>
          </c:val>
          <c:extLst>
            <c:ext xmlns:c16="http://schemas.microsoft.com/office/drawing/2014/chart" uri="{C3380CC4-5D6E-409C-BE32-E72D297353CC}">
              <c16:uniqueId val="{00000001-4564-42E2-9B5A-DB701924AB5D}"/>
            </c:ext>
          </c:extLst>
        </c:ser>
        <c:ser>
          <c:idx val="2"/>
          <c:order val="2"/>
          <c:tx>
            <c:strRef>
              <c:f>Charts!$B$44</c:f>
              <c:strCache>
                <c:ptCount val="1"/>
                <c:pt idx="0">
                  <c:v>Non-Thermal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Charts!$F$44:$O$44</c:f>
              <c:numCache>
                <c:formatCode>_(* #,##0_);_(* \(#,##0\);_(* "-"??_);_(@_)</c:formatCode>
                <c:ptCount val="10"/>
                <c:pt idx="0">
                  <c:v>23.713333333333335</c:v>
                </c:pt>
                <c:pt idx="1">
                  <c:v>33.370109609333333</c:v>
                </c:pt>
                <c:pt idx="2">
                  <c:v>31.196666666666665</c:v>
                </c:pt>
                <c:pt idx="3">
                  <c:v>20.247666666666667</c:v>
                </c:pt>
                <c:pt idx="4">
                  <c:v>16.078666666666667</c:v>
                </c:pt>
                <c:pt idx="5">
                  <c:v>19.975000000000001</c:v>
                </c:pt>
                <c:pt idx="6">
                  <c:v>21.092420000000004</c:v>
                </c:pt>
                <c:pt idx="7">
                  <c:v>25.781755</c:v>
                </c:pt>
                <c:pt idx="8">
                  <c:v>27.957129200000004</c:v>
                </c:pt>
                <c:pt idx="9">
                  <c:v>29.058997968</c:v>
                </c:pt>
              </c:numCache>
            </c:numRef>
          </c:val>
          <c:extLst>
            <c:ext xmlns:c16="http://schemas.microsoft.com/office/drawing/2014/chart" uri="{C3380CC4-5D6E-409C-BE32-E72D297353CC}">
              <c16:uniqueId val="{00000002-4564-42E2-9B5A-DB701924AB5D}"/>
            </c:ext>
          </c:extLst>
        </c:ser>
        <c:ser>
          <c:idx val="3"/>
          <c:order val="3"/>
          <c:tx>
            <c:strRef>
              <c:f>Charts!$B$45</c:f>
              <c:strCache>
                <c:ptCount val="1"/>
                <c:pt idx="0">
                  <c:v>Liquid and Gas</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Charts!$F$45:$O$45</c:f>
              <c:numCache>
                <c:formatCode>_(* #,##0_);_(* \(#,##0\);_(* "-"??_);_(@_)</c:formatCode>
                <c:ptCount val="10"/>
                <c:pt idx="0">
                  <c:v>0.25</c:v>
                </c:pt>
                <c:pt idx="1">
                  <c:v>0.27</c:v>
                </c:pt>
                <c:pt idx="2">
                  <c:v>0.53</c:v>
                </c:pt>
                <c:pt idx="3">
                  <c:v>1.65</c:v>
                </c:pt>
                <c:pt idx="4">
                  <c:v>7.8703570000000003</c:v>
                </c:pt>
                <c:pt idx="5">
                  <c:v>7.2389999999999999</c:v>
                </c:pt>
                <c:pt idx="6">
                  <c:v>6.01816</c:v>
                </c:pt>
                <c:pt idx="7">
                  <c:v>8.3963179999999991</c:v>
                </c:pt>
                <c:pt idx="8">
                  <c:v>9.6455748000000003</c:v>
                </c:pt>
                <c:pt idx="9">
                  <c:v>9.8991485399999988</c:v>
                </c:pt>
              </c:numCache>
            </c:numRef>
          </c:val>
          <c:extLst>
            <c:ext xmlns:c16="http://schemas.microsoft.com/office/drawing/2014/chart" uri="{C3380CC4-5D6E-409C-BE32-E72D297353CC}">
              <c16:uniqueId val="{00000003-4564-42E2-9B5A-DB701924AB5D}"/>
            </c:ext>
          </c:extLst>
        </c:ser>
        <c:ser>
          <c:idx val="4"/>
          <c:order val="4"/>
          <c:tx>
            <c:strRef>
              <c:f>Charts!$B$46</c:f>
              <c:strCache>
                <c:ptCount val="1"/>
                <c:pt idx="0">
                  <c:v>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Charts!$F$46:$O$46</c:f>
              <c:numCache>
                <c:formatCode>_(* #,##0_);_(* \(#,##0\);_(* "-"??_);_(@_)</c:formatCode>
                <c:ptCount val="10"/>
                <c:pt idx="0">
                  <c:v>0</c:v>
                </c:pt>
                <c:pt idx="1">
                  <c:v>0</c:v>
                </c:pt>
                <c:pt idx="2">
                  <c:v>2.17</c:v>
                </c:pt>
                <c:pt idx="3">
                  <c:v>2.5921624445182494</c:v>
                </c:pt>
                <c:pt idx="4">
                  <c:v>2.4099429999999997</c:v>
                </c:pt>
                <c:pt idx="5">
                  <c:v>2.4940000000000002</c:v>
                </c:pt>
                <c:pt idx="6">
                  <c:v>4.22</c:v>
                </c:pt>
                <c:pt idx="7">
                  <c:v>5.6342499999999998</c:v>
                </c:pt>
                <c:pt idx="8">
                  <c:v>10.415005000000001</c:v>
                </c:pt>
                <c:pt idx="9">
                  <c:v>22.513105299999999</c:v>
                </c:pt>
              </c:numCache>
            </c:numRef>
          </c:val>
          <c:extLst>
            <c:ext xmlns:c16="http://schemas.microsoft.com/office/drawing/2014/chart" uri="{C3380CC4-5D6E-409C-BE32-E72D297353CC}">
              <c16:uniqueId val="{00000004-4564-42E2-9B5A-DB701924AB5D}"/>
            </c:ext>
          </c:extLst>
        </c:ser>
        <c:ser>
          <c:idx val="5"/>
          <c:order val="5"/>
          <c:tx>
            <c:strRef>
              <c:f>Charts!$B$47</c:f>
              <c:strCache>
                <c:ptCount val="1"/>
                <c:pt idx="0">
                  <c:v>Other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Charts!$F$47:$O$47</c:f>
              <c:numCache>
                <c:formatCode>_(* #,##0_);_(* \(#,##0\);_(* "-"??_);_(@_)</c:formatCode>
                <c:ptCount val="10"/>
                <c:pt idx="0">
                  <c:v>6.09</c:v>
                </c:pt>
                <c:pt idx="1">
                  <c:v>8.9600000000000009</c:v>
                </c:pt>
                <c:pt idx="2">
                  <c:v>9.73</c:v>
                </c:pt>
                <c:pt idx="3">
                  <c:v>6.7220000000000013</c:v>
                </c:pt>
                <c:pt idx="4">
                  <c:v>15.807701000000002</c:v>
                </c:pt>
                <c:pt idx="5">
                  <c:v>17.201000000000001</c:v>
                </c:pt>
                <c:pt idx="6">
                  <c:v>18.717790000000001</c:v>
                </c:pt>
                <c:pt idx="7">
                  <c:v>19.769806499999998</c:v>
                </c:pt>
                <c:pt idx="8">
                  <c:v>22.032861824999998</c:v>
                </c:pt>
                <c:pt idx="9">
                  <c:v>41.056654916249997</c:v>
                </c:pt>
              </c:numCache>
            </c:numRef>
          </c:val>
          <c:extLst>
            <c:ext xmlns:c16="http://schemas.microsoft.com/office/drawing/2014/chart" uri="{C3380CC4-5D6E-409C-BE32-E72D297353CC}">
              <c16:uniqueId val="{00000005-4564-42E2-9B5A-DB701924AB5D}"/>
            </c:ext>
          </c:extLst>
        </c:ser>
        <c:ser>
          <c:idx val="6"/>
          <c:order val="6"/>
          <c:tx>
            <c:strRef>
              <c:f>Charts!$B$48</c:f>
              <c:strCache>
                <c:ptCount val="1"/>
                <c:pt idx="0">
                  <c:v>Total</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Charts!$F$48:$O$48</c:f>
              <c:numCache>
                <c:formatCode>_(* #,##0_);_(* \(#,##0\);_(* "-"??_);_(@_)</c:formatCode>
                <c:ptCount val="10"/>
                <c:pt idx="0">
                  <c:v>45.540000000000006</c:v>
                </c:pt>
                <c:pt idx="1">
                  <c:v>61.970000000000006</c:v>
                </c:pt>
                <c:pt idx="2">
                  <c:v>92.830000000000013</c:v>
                </c:pt>
                <c:pt idx="3">
                  <c:v>107.46816244451827</c:v>
                </c:pt>
                <c:pt idx="4">
                  <c:v>117</c:v>
                </c:pt>
                <c:pt idx="5">
                  <c:v>120.72499999999999</c:v>
                </c:pt>
                <c:pt idx="6">
                  <c:v>127.95611</c:v>
                </c:pt>
                <c:pt idx="7">
                  <c:v>168.54703450000002</c:v>
                </c:pt>
                <c:pt idx="8">
                  <c:v>196.93431247500001</c:v>
                </c:pt>
                <c:pt idx="9">
                  <c:v>237.39015313675003</c:v>
                </c:pt>
              </c:numCache>
            </c:numRef>
          </c:val>
          <c:extLst>
            <c:ext xmlns:c16="http://schemas.microsoft.com/office/drawing/2014/chart" uri="{C3380CC4-5D6E-409C-BE32-E72D297353CC}">
              <c16:uniqueId val="{00000006-4564-42E2-9B5A-DB701924AB5D}"/>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300"/>
        </c:scaling>
        <c:delete val="0"/>
        <c:axPos val="l"/>
        <c:numFmt formatCode="_(* #,##0_);_(* \(#,##0\);_(* &quot;-&quot;??_);_(@_)" sourceLinked="1"/>
        <c:majorTickMark val="none"/>
        <c:minorTickMark val="none"/>
        <c:tickLblPos val="none"/>
        <c:spPr>
          <a:ln>
            <a:noFill/>
          </a:ln>
        </c:spPr>
        <c:crossAx val="41707423"/>
        <c:crosses val="autoZero"/>
        <c:crossBetween val="between"/>
      </c:valAx>
    </c:plotArea>
    <c:legend>
      <c:legendPos val="b"/>
      <c:legendEntry>
        <c:idx val="6"/>
        <c:delete val="1"/>
      </c:legendEntry>
      <c:layout>
        <c:manualLayout>
          <c:xMode val="edge"/>
          <c:yMode val="edge"/>
          <c:x val="7.8679538376072777E-2"/>
          <c:y val="0.81431769726118775"/>
          <c:w val="0.85281179115924666"/>
          <c:h val="0.18568230273881225"/>
        </c:manualLayout>
      </c:layout>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Charts!$B$90</c:f>
          <c:strCache>
            <c:ptCount val="1"/>
            <c:pt idx="0">
              <c:v>Consolidated RoE, %</c:v>
            </c:pt>
          </c:strCache>
        </c:strRef>
      </c:tx>
      <c:layout>
        <c:manualLayout>
          <c:xMode val="edge"/>
          <c:yMode val="edge"/>
          <c:x val="0.38954273927834765"/>
          <c:y val="9.2592592592592587E-3"/>
        </c:manualLayout>
      </c:layout>
      <c:overlay val="0"/>
    </c:title>
    <c:autoTitleDeleted val="0"/>
    <c:plotArea>
      <c:layout/>
      <c:lineChart>
        <c:grouping val="standard"/>
        <c:varyColors val="0"/>
        <c:ser>
          <c:idx val="0"/>
          <c:order val="0"/>
          <c:tx>
            <c:strRef>
              <c:f>Charts!$B$91</c:f>
              <c:strCache>
                <c:ptCount val="1"/>
                <c:pt idx="0">
                  <c:v>RoE</c:v>
                </c:pt>
              </c:strCache>
            </c:strRef>
          </c:tx>
          <c:spPr>
            <a:ln w="38100"/>
            <a:effectLst>
              <a:outerShdw blurRad="50800" dist="38100" dir="2700000" algn="tl" rotWithShape="0">
                <a:prstClr val="black">
                  <a:alpha val="40000"/>
                </a:prstClr>
              </a:outerShdw>
            </a:effectLst>
          </c:spPr>
          <c:marker>
            <c:symbol val="none"/>
          </c:marker>
          <c:dLbls>
            <c:spPr>
              <a:solidFill>
                <a:schemeClr val="accent1"/>
              </a:solidFill>
              <a:ln>
                <a:noFill/>
              </a:ln>
            </c:spPr>
            <c:txPr>
              <a:bodyPr/>
              <a:lstStyle/>
              <a:p>
                <a:pPr>
                  <a:defRPr>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Charts!$C$90:$O$90</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Charts!$C$91:$O$91</c:f>
              <c:numCache>
                <c:formatCode>0%</c:formatCode>
                <c:ptCount val="13"/>
                <c:pt idx="0">
                  <c:v>0.21492996154678787</c:v>
                </c:pt>
                <c:pt idx="1">
                  <c:v>9.6977702949819528E-2</c:v>
                </c:pt>
                <c:pt idx="2">
                  <c:v>7.0061911585699216E-2</c:v>
                </c:pt>
                <c:pt idx="3">
                  <c:v>0.10713915596213013</c:v>
                </c:pt>
                <c:pt idx="4">
                  <c:v>0.10641914069864664</c:v>
                </c:pt>
                <c:pt idx="5">
                  <c:v>0.20362288854855615</c:v>
                </c:pt>
                <c:pt idx="6">
                  <c:v>0.19231535518927931</c:v>
                </c:pt>
                <c:pt idx="7">
                  <c:v>0.16961665066133427</c:v>
                </c:pt>
                <c:pt idx="8">
                  <c:v>0.14807819426082897</c:v>
                </c:pt>
                <c:pt idx="9">
                  <c:v>0.10696856730936379</c:v>
                </c:pt>
                <c:pt idx="10">
                  <c:v>0.11700729871464516</c:v>
                </c:pt>
                <c:pt idx="11">
                  <c:v>0.11064445821563842</c:v>
                </c:pt>
                <c:pt idx="12">
                  <c:v>0.11454798738011347</c:v>
                </c:pt>
              </c:numCache>
            </c:numRef>
          </c:val>
          <c:smooth val="0"/>
          <c:extLst>
            <c:ext xmlns:c16="http://schemas.microsoft.com/office/drawing/2014/chart" uri="{C3380CC4-5D6E-409C-BE32-E72D297353CC}">
              <c16:uniqueId val="{00000000-0EE2-479B-B8BB-1B8E92E86BB8}"/>
            </c:ext>
          </c:extLst>
        </c:ser>
        <c:dLbls>
          <c:dLblPos val="t"/>
          <c:showLegendKey val="0"/>
          <c:showVal val="1"/>
          <c:showCatName val="0"/>
          <c:showSerName val="0"/>
          <c:showPercent val="0"/>
          <c:showBubbleSize val="0"/>
        </c:dLbls>
        <c:smooth val="0"/>
        <c:axId val="754714271"/>
        <c:axId val="754710431"/>
      </c:lineChart>
      <c:catAx>
        <c:axId val="754714271"/>
        <c:scaling>
          <c:orientation val="minMax"/>
        </c:scaling>
        <c:delete val="0"/>
        <c:axPos val="b"/>
        <c:numFmt formatCode="General" sourceLinked="1"/>
        <c:majorTickMark val="none"/>
        <c:minorTickMark val="none"/>
        <c:tickLblPos val="nextTo"/>
        <c:crossAx val="754710431"/>
        <c:crosses val="autoZero"/>
        <c:auto val="1"/>
        <c:lblAlgn val="ctr"/>
        <c:lblOffset val="100"/>
        <c:noMultiLvlLbl val="0"/>
      </c:catAx>
      <c:valAx>
        <c:axId val="754710431"/>
        <c:scaling>
          <c:orientation val="minMax"/>
          <c:min val="5.000000000000001E-2"/>
        </c:scaling>
        <c:delete val="0"/>
        <c:axPos val="l"/>
        <c:numFmt formatCode="0%" sourceLinked="1"/>
        <c:majorTickMark val="none"/>
        <c:minorTickMark val="none"/>
        <c:tickLblPos val="none"/>
        <c:spPr>
          <a:ln>
            <a:noFill/>
          </a:ln>
        </c:spPr>
        <c:crossAx val="754714271"/>
        <c:crosses val="autoZero"/>
        <c:crossBetween val="between"/>
      </c:valAx>
      <c:spPr>
        <a:ln>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Charts!$B$16</c:f>
          <c:strCache>
            <c:ptCount val="1"/>
            <c:pt idx="0">
              <c:v>Volumes - Portwise, MT</c:v>
            </c:pt>
          </c:strCache>
        </c:strRef>
      </c:tx>
      <c:layout>
        <c:manualLayout>
          <c:xMode val="edge"/>
          <c:yMode val="edge"/>
          <c:x val="0.29781710854512855"/>
          <c:y val="3.9684757893464997E-2"/>
        </c:manualLayout>
      </c:layout>
      <c:overlay val="0"/>
    </c:title>
    <c:autoTitleDeleted val="0"/>
    <c:plotArea>
      <c:layout>
        <c:manualLayout>
          <c:layoutTarget val="inner"/>
          <c:xMode val="edge"/>
          <c:yMode val="edge"/>
          <c:x val="1.5338534057824436E-3"/>
          <c:y val="2.1679794578434559E-3"/>
          <c:w val="0.97917719994299668"/>
          <c:h val="0.65992794980541303"/>
        </c:manualLayout>
      </c:layout>
      <c:barChart>
        <c:barDir val="col"/>
        <c:grouping val="stacked"/>
        <c:varyColors val="0"/>
        <c:ser>
          <c:idx val="0"/>
          <c:order val="0"/>
          <c:tx>
            <c:strRef>
              <c:f>Charts!$B$17</c:f>
              <c:strCache>
                <c:ptCount val="1"/>
                <c:pt idx="0">
                  <c:v>Jaigarh</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Charts!$C$17:$J$17</c:f>
              <c:numCache>
                <c:formatCode>_(* #,##0_);_(* \(#,##0\);_(* "-"??_);_(@_)</c:formatCode>
                <c:ptCount val="8"/>
                <c:pt idx="0">
                  <c:v>9.5350000000000001</c:v>
                </c:pt>
                <c:pt idx="1">
                  <c:v>13.05</c:v>
                </c:pt>
                <c:pt idx="2">
                  <c:v>10.370318747000001</c:v>
                </c:pt>
                <c:pt idx="3">
                  <c:v>9.2379999999999995</c:v>
                </c:pt>
                <c:pt idx="4">
                  <c:v>14.019483999999999</c:v>
                </c:pt>
                <c:pt idx="5">
                  <c:v>20.237000000000002</c:v>
                </c:pt>
                <c:pt idx="6">
                  <c:v>21.51</c:v>
                </c:pt>
                <c:pt idx="7">
                  <c:v>19.899999999999999</c:v>
                </c:pt>
              </c:numCache>
            </c:numRef>
          </c:val>
          <c:extLst>
            <c:ext xmlns:c16="http://schemas.microsoft.com/office/drawing/2014/chart" uri="{C3380CC4-5D6E-409C-BE32-E72D297353CC}">
              <c16:uniqueId val="{00000000-7251-4B54-AFCF-B4615A1A98E7}"/>
            </c:ext>
          </c:extLst>
        </c:ser>
        <c:ser>
          <c:idx val="1"/>
          <c:order val="1"/>
          <c:tx>
            <c:strRef>
              <c:f>Charts!$B$18</c:f>
              <c:strCache>
                <c:ptCount val="1"/>
                <c:pt idx="0">
                  <c:v>Dharmatar</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Charts!$C$18:$J$18</c:f>
              <c:numCache>
                <c:formatCode>_(* #,##0_);_(* \(#,##0\);_(* "-"??_);_(@_)</c:formatCode>
                <c:ptCount val="8"/>
                <c:pt idx="0">
                  <c:v>11.66</c:v>
                </c:pt>
                <c:pt idx="1">
                  <c:v>12.88</c:v>
                </c:pt>
                <c:pt idx="2">
                  <c:v>12.840225999999999</c:v>
                </c:pt>
                <c:pt idx="3">
                  <c:v>12.9</c:v>
                </c:pt>
                <c:pt idx="4">
                  <c:v>17.209493327000001</c:v>
                </c:pt>
                <c:pt idx="5">
                  <c:v>24.029999999999998</c:v>
                </c:pt>
                <c:pt idx="6">
                  <c:v>25.14</c:v>
                </c:pt>
                <c:pt idx="7">
                  <c:v>23.1</c:v>
                </c:pt>
              </c:numCache>
            </c:numRef>
          </c:val>
          <c:extLst>
            <c:ext xmlns:c16="http://schemas.microsoft.com/office/drawing/2014/chart" uri="{C3380CC4-5D6E-409C-BE32-E72D297353CC}">
              <c16:uniqueId val="{00000001-7251-4B54-AFCF-B4615A1A98E7}"/>
            </c:ext>
          </c:extLst>
        </c:ser>
        <c:ser>
          <c:idx val="2"/>
          <c:order val="2"/>
          <c:tx>
            <c:strRef>
              <c:f>Charts!$B$19</c:f>
              <c:strCache>
                <c:ptCount val="1"/>
                <c:pt idx="0">
                  <c:v>Paradip Coal</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Charts!$C$19:$J$19</c:f>
              <c:numCache>
                <c:formatCode>_(* #,##0_);_(* \(#,##0\);_(* "-"??_);_(@_)</c:formatCode>
                <c:ptCount val="8"/>
                <c:pt idx="0">
                  <c:v>0</c:v>
                </c:pt>
                <c:pt idx="1">
                  <c:v>0</c:v>
                </c:pt>
                <c:pt idx="2">
                  <c:v>0</c:v>
                </c:pt>
                <c:pt idx="3">
                  <c:v>0</c:v>
                </c:pt>
                <c:pt idx="4">
                  <c:v>0.28067500000000001</c:v>
                </c:pt>
                <c:pt idx="5">
                  <c:v>12.034000000000001</c:v>
                </c:pt>
                <c:pt idx="6">
                  <c:v>16.77</c:v>
                </c:pt>
                <c:pt idx="7">
                  <c:v>18.899999999999999</c:v>
                </c:pt>
              </c:numCache>
            </c:numRef>
          </c:val>
          <c:extLst>
            <c:ext xmlns:c16="http://schemas.microsoft.com/office/drawing/2014/chart" uri="{C3380CC4-5D6E-409C-BE32-E72D297353CC}">
              <c16:uniqueId val="{00000002-7251-4B54-AFCF-B4615A1A98E7}"/>
            </c:ext>
          </c:extLst>
        </c:ser>
        <c:ser>
          <c:idx val="8"/>
          <c:order val="8"/>
          <c:tx>
            <c:strRef>
              <c:f>Charts!$B$25</c:f>
              <c:strCache>
                <c:ptCount val="1"/>
                <c:pt idx="0">
                  <c:v>Paradip Iron Ore</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Charts!$C$25:$J$25</c:f>
              <c:numCache>
                <c:formatCode>_(* #,##0_);_(* \(#,##0\);_(* "-"??_);_(@_)</c:formatCode>
                <c:ptCount val="8"/>
                <c:pt idx="0">
                  <c:v>0</c:v>
                </c:pt>
                <c:pt idx="1">
                  <c:v>0</c:v>
                </c:pt>
                <c:pt idx="2">
                  <c:v>1.0129999999999999</c:v>
                </c:pt>
                <c:pt idx="3">
                  <c:v>8.43</c:v>
                </c:pt>
                <c:pt idx="4">
                  <c:v>7.5161150000000001</c:v>
                </c:pt>
                <c:pt idx="5">
                  <c:v>9.52</c:v>
                </c:pt>
                <c:pt idx="6">
                  <c:v>12.37</c:v>
                </c:pt>
                <c:pt idx="7">
                  <c:v>11.4</c:v>
                </c:pt>
              </c:numCache>
            </c:numRef>
          </c:val>
          <c:extLst>
            <c:ext xmlns:c16="http://schemas.microsoft.com/office/drawing/2014/chart" uri="{C3380CC4-5D6E-409C-BE32-E72D297353CC}">
              <c16:uniqueId val="{00000008-7251-4B54-AFCF-B4615A1A98E7}"/>
            </c:ext>
          </c:extLst>
        </c:ser>
        <c:ser>
          <c:idx val="10"/>
          <c:order val="10"/>
          <c:tx>
            <c:strRef>
              <c:f>Charts!$B$27</c:f>
              <c:strCache>
                <c:ptCount val="1"/>
                <c:pt idx="0">
                  <c:v>Ennore Coal</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Charts!$C$27:$J$27</c:f>
              <c:numCache>
                <c:formatCode>_(* #,##0_);_(* \(#,##0\);_(* "-"??_);_(@_)</c:formatCode>
                <c:ptCount val="8"/>
                <c:pt idx="0">
                  <c:v>0</c:v>
                </c:pt>
                <c:pt idx="1">
                  <c:v>0</c:v>
                </c:pt>
                <c:pt idx="2">
                  <c:v>0</c:v>
                </c:pt>
                <c:pt idx="3">
                  <c:v>3.14</c:v>
                </c:pt>
                <c:pt idx="4">
                  <c:v>8.0324159999999996</c:v>
                </c:pt>
                <c:pt idx="5">
                  <c:v>8.7040000000000006</c:v>
                </c:pt>
                <c:pt idx="6">
                  <c:v>9.31</c:v>
                </c:pt>
                <c:pt idx="7">
                  <c:v>10.199999999999999</c:v>
                </c:pt>
              </c:numCache>
            </c:numRef>
          </c:val>
          <c:extLst>
            <c:ext xmlns:c16="http://schemas.microsoft.com/office/drawing/2014/chart" uri="{C3380CC4-5D6E-409C-BE32-E72D297353CC}">
              <c16:uniqueId val="{0000000A-7251-4B54-AFCF-B4615A1A98E7}"/>
            </c:ext>
          </c:extLst>
        </c:ser>
        <c:ser>
          <c:idx val="11"/>
          <c:order val="11"/>
          <c:tx>
            <c:strRef>
              <c:f>Charts!$B$28</c:f>
              <c:strCache>
                <c:ptCount val="1"/>
                <c:pt idx="0">
                  <c:v>Goa</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Charts!$C$28:$J$28</c:f>
              <c:numCache>
                <c:formatCode>_(* #,##0_);_(* \(#,##0\);_(* "-"??_);_(@_)</c:formatCode>
                <c:ptCount val="8"/>
                <c:pt idx="0">
                  <c:v>10.899999999999999</c:v>
                </c:pt>
                <c:pt idx="1">
                  <c:v>5.25</c:v>
                </c:pt>
                <c:pt idx="2">
                  <c:v>6.6109790000000004</c:v>
                </c:pt>
                <c:pt idx="3">
                  <c:v>6.83</c:v>
                </c:pt>
                <c:pt idx="4">
                  <c:v>6.9256087389999994</c:v>
                </c:pt>
                <c:pt idx="5">
                  <c:v>7.0679999999999996</c:v>
                </c:pt>
                <c:pt idx="6">
                  <c:v>7.1559999999999997</c:v>
                </c:pt>
                <c:pt idx="7">
                  <c:v>6.4</c:v>
                </c:pt>
              </c:numCache>
            </c:numRef>
          </c:val>
          <c:extLst>
            <c:ext xmlns:c16="http://schemas.microsoft.com/office/drawing/2014/chart" uri="{C3380CC4-5D6E-409C-BE32-E72D297353CC}">
              <c16:uniqueId val="{0000000B-7251-4B54-AFCF-B4615A1A98E7}"/>
            </c:ext>
          </c:extLst>
        </c:ser>
        <c:ser>
          <c:idx val="12"/>
          <c:order val="12"/>
          <c:tx>
            <c:strRef>
              <c:f>Charts!$B$29</c:f>
              <c:strCache>
                <c:ptCount val="1"/>
                <c:pt idx="0">
                  <c:v>Mangalore Coal</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Charts!$C$29:$J$29</c:f>
              <c:numCache>
                <c:formatCode>_(* #,##0_);_(* \(#,##0\);_(* "-"??_);_(@_)</c:formatCode>
                <c:ptCount val="8"/>
                <c:pt idx="0">
                  <c:v>0</c:v>
                </c:pt>
                <c:pt idx="1">
                  <c:v>0</c:v>
                </c:pt>
                <c:pt idx="2">
                  <c:v>0</c:v>
                </c:pt>
                <c:pt idx="3">
                  <c:v>1.02</c:v>
                </c:pt>
                <c:pt idx="4">
                  <c:v>3.7909014610000002</c:v>
                </c:pt>
                <c:pt idx="5">
                  <c:v>4.4539999999999997</c:v>
                </c:pt>
                <c:pt idx="6">
                  <c:v>4.7699999999999996</c:v>
                </c:pt>
                <c:pt idx="7">
                  <c:v>6.3</c:v>
                </c:pt>
              </c:numCache>
            </c:numRef>
          </c:val>
          <c:extLst>
            <c:ext xmlns:c16="http://schemas.microsoft.com/office/drawing/2014/chart" uri="{C3380CC4-5D6E-409C-BE32-E72D297353CC}">
              <c16:uniqueId val="{0000000C-7251-4B54-AFCF-B4615A1A98E7}"/>
            </c:ext>
          </c:extLst>
        </c:ser>
        <c:ser>
          <c:idx val="13"/>
          <c:order val="13"/>
          <c:tx>
            <c:strRef>
              <c:f>Charts!$B$30</c:f>
              <c:strCache>
                <c:ptCount val="1"/>
                <c:pt idx="0">
                  <c:v>PNP Port</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Charts!$C$30:$J$30</c:f>
              <c:numCache>
                <c:formatCode>_(* #,##0_);_(* \(#,##0\);_(* "-"??_);_(@_)</c:formatCode>
                <c:ptCount val="8"/>
                <c:pt idx="0">
                  <c:v>0</c:v>
                </c:pt>
                <c:pt idx="1">
                  <c:v>0</c:v>
                </c:pt>
                <c:pt idx="2">
                  <c:v>0</c:v>
                </c:pt>
                <c:pt idx="3">
                  <c:v>0</c:v>
                </c:pt>
                <c:pt idx="4">
                  <c:v>0</c:v>
                </c:pt>
                <c:pt idx="5">
                  <c:v>0</c:v>
                </c:pt>
                <c:pt idx="6">
                  <c:v>1.32</c:v>
                </c:pt>
                <c:pt idx="7">
                  <c:v>5.5</c:v>
                </c:pt>
              </c:numCache>
            </c:numRef>
          </c:val>
          <c:extLst>
            <c:ext xmlns:c16="http://schemas.microsoft.com/office/drawing/2014/chart" uri="{C3380CC4-5D6E-409C-BE32-E72D297353CC}">
              <c16:uniqueId val="{0000000D-7251-4B54-AFCF-B4615A1A98E7}"/>
            </c:ext>
          </c:extLst>
        </c:ser>
        <c:ser>
          <c:idx val="14"/>
          <c:order val="14"/>
          <c:tx>
            <c:strRef>
              <c:f>Charts!$B$31</c:f>
              <c:strCache>
                <c:ptCount val="1"/>
                <c:pt idx="0">
                  <c:v>Tuticorin Dry Bulk</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Charts!$C$31:$J$31</c:f>
              <c:numCache>
                <c:formatCode>_(* #,##0_);_(* \(#,##0\);_(* "-"??_);_(@_)</c:formatCode>
                <c:ptCount val="8"/>
                <c:pt idx="0">
                  <c:v>0</c:v>
                </c:pt>
                <c:pt idx="1">
                  <c:v>0</c:v>
                </c:pt>
                <c:pt idx="2">
                  <c:v>0</c:v>
                </c:pt>
                <c:pt idx="3">
                  <c:v>0</c:v>
                </c:pt>
                <c:pt idx="4">
                  <c:v>0</c:v>
                </c:pt>
                <c:pt idx="5">
                  <c:v>0</c:v>
                </c:pt>
                <c:pt idx="6">
                  <c:v>0</c:v>
                </c:pt>
                <c:pt idx="7">
                  <c:v>0.9</c:v>
                </c:pt>
              </c:numCache>
            </c:numRef>
          </c:val>
          <c:extLst>
            <c:ext xmlns:c16="http://schemas.microsoft.com/office/drawing/2014/chart" uri="{C3380CC4-5D6E-409C-BE32-E72D297353CC}">
              <c16:uniqueId val="{0000000E-7251-4B54-AFCF-B4615A1A98E7}"/>
            </c:ext>
          </c:extLst>
        </c:ser>
        <c:ser>
          <c:idx val="15"/>
          <c:order val="15"/>
          <c:tx>
            <c:strRef>
              <c:f>Charts!$B$32</c:f>
              <c:strCache>
                <c:ptCount val="1"/>
                <c:pt idx="0">
                  <c:v>Fujairah Liquid Storage</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Charts!$C$32:$J$32</c:f>
              <c:numCache>
                <c:formatCode>_(* #,##0_);_(* \(#,##0\);_(* "-"??_);_(@_)</c:formatCode>
                <c:ptCount val="8"/>
                <c:pt idx="0">
                  <c:v>0</c:v>
                </c:pt>
                <c:pt idx="1">
                  <c:v>0</c:v>
                </c:pt>
                <c:pt idx="2">
                  <c:v>0</c:v>
                </c:pt>
                <c:pt idx="3">
                  <c:v>0</c:v>
                </c:pt>
                <c:pt idx="4">
                  <c:v>0</c:v>
                </c:pt>
                <c:pt idx="5">
                  <c:v>0</c:v>
                </c:pt>
                <c:pt idx="6">
                  <c:v>2</c:v>
                </c:pt>
                <c:pt idx="7">
                  <c:v>7.3</c:v>
                </c:pt>
              </c:numCache>
            </c:numRef>
          </c:val>
          <c:extLst>
            <c:ext xmlns:c16="http://schemas.microsoft.com/office/drawing/2014/chart" uri="{C3380CC4-5D6E-409C-BE32-E72D297353CC}">
              <c16:uniqueId val="{0000000F-7251-4B54-AFCF-B4615A1A98E7}"/>
            </c:ext>
          </c:extLst>
        </c:ser>
        <c:ser>
          <c:idx val="16"/>
          <c:order val="16"/>
          <c:tx>
            <c:strRef>
              <c:f>Charts!$B$33</c:f>
              <c:strCache>
                <c:ptCount val="1"/>
                <c:pt idx="0">
                  <c:v>JNPT Liquid</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Charts!$C$33:$J$33</c:f>
              <c:numCache>
                <c:formatCode>_(* #,##0_);_(* \(#,##0\);_(* "-"??_);_(@_)</c:formatCode>
                <c:ptCount val="8"/>
                <c:pt idx="0">
                  <c:v>0</c:v>
                </c:pt>
                <c:pt idx="1">
                  <c:v>0</c:v>
                </c:pt>
                <c:pt idx="2">
                  <c:v>0</c:v>
                </c:pt>
                <c:pt idx="3">
                  <c:v>0</c:v>
                </c:pt>
                <c:pt idx="4">
                  <c:v>0</c:v>
                </c:pt>
                <c:pt idx="5">
                  <c:v>0</c:v>
                </c:pt>
                <c:pt idx="6">
                  <c:v>0</c:v>
                </c:pt>
                <c:pt idx="7">
                  <c:v>0.2</c:v>
                </c:pt>
              </c:numCache>
            </c:numRef>
          </c:val>
          <c:extLst>
            <c:ext xmlns:c16="http://schemas.microsoft.com/office/drawing/2014/chart" uri="{C3380CC4-5D6E-409C-BE32-E72D297353CC}">
              <c16:uniqueId val="{00000010-7251-4B54-AFCF-B4615A1A98E7}"/>
            </c:ext>
          </c:extLst>
        </c:ser>
        <c:ser>
          <c:idx val="17"/>
          <c:order val="17"/>
          <c:tx>
            <c:strRef>
              <c:f>Charts!$B$34</c:f>
              <c:strCache>
                <c:ptCount val="1"/>
                <c:pt idx="0">
                  <c:v>Mangalore Container</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Charts!$C$34:$J$34</c:f>
              <c:numCache>
                <c:formatCode>_(* #,##0_);_(* \(#,##0\);_(* "-"??_);_(@_)</c:formatCode>
                <c:ptCount val="8"/>
                <c:pt idx="0">
                  <c:v>0</c:v>
                </c:pt>
                <c:pt idx="1">
                  <c:v>0</c:v>
                </c:pt>
                <c:pt idx="2">
                  <c:v>0</c:v>
                </c:pt>
                <c:pt idx="3">
                  <c:v>0</c:v>
                </c:pt>
                <c:pt idx="4">
                  <c:v>0</c:v>
                </c:pt>
                <c:pt idx="5">
                  <c:v>2.1739976832207537</c:v>
                </c:pt>
                <c:pt idx="6">
                  <c:v>2.5821624445182496</c:v>
                </c:pt>
                <c:pt idx="7">
                  <c:v>2.4</c:v>
                </c:pt>
              </c:numCache>
            </c:numRef>
          </c:val>
          <c:extLst>
            <c:ext xmlns:c16="http://schemas.microsoft.com/office/drawing/2014/chart" uri="{C3380CC4-5D6E-409C-BE32-E72D297353CC}">
              <c16:uniqueId val="{00000011-7251-4B54-AFCF-B4615A1A98E7}"/>
            </c:ext>
          </c:extLst>
        </c:ser>
        <c:ser>
          <c:idx val="18"/>
          <c:order val="18"/>
          <c:tx>
            <c:strRef>
              <c:f>Charts!$B$35</c:f>
              <c:strCache>
                <c:ptCount val="1"/>
                <c:pt idx="0">
                  <c:v>Standalone</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Charts!$C$35:$J$35</c:f>
              <c:numCache>
                <c:formatCode>_(* #,##0_);_(* \(#,##0\);_(* "-"??_);_(@_)</c:formatCode>
                <c:ptCount val="8"/>
                <c:pt idx="0">
                  <c:v>0</c:v>
                </c:pt>
                <c:pt idx="1">
                  <c:v>4.1899999999999995</c:v>
                </c:pt>
                <c:pt idx="2">
                  <c:v>3.1759322649999988</c:v>
                </c:pt>
                <c:pt idx="3">
                  <c:v>3.59</c:v>
                </c:pt>
                <c:pt idx="4">
                  <c:v>3.0277205999999999</c:v>
                </c:pt>
                <c:pt idx="5">
                  <c:v>2.7</c:v>
                </c:pt>
                <c:pt idx="6">
                  <c:v>2.65</c:v>
                </c:pt>
                <c:pt idx="7">
                  <c:v>2.4</c:v>
                </c:pt>
              </c:numCache>
            </c:numRef>
          </c:val>
          <c:extLst>
            <c:ext xmlns:c16="http://schemas.microsoft.com/office/drawing/2014/chart" uri="{C3380CC4-5D6E-409C-BE32-E72D297353CC}">
              <c16:uniqueId val="{00000012-7251-4B54-AFCF-B4615A1A98E7}"/>
            </c:ext>
          </c:extLst>
        </c:ser>
        <c:ser>
          <c:idx val="19"/>
          <c:order val="19"/>
          <c:tx>
            <c:strRef>
              <c:f>Charts!$B$36</c:f>
              <c:strCache>
                <c:ptCount val="1"/>
                <c:pt idx="0">
                  <c:v>Ennore Bulk</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strRef>
          </c:cat>
          <c:val>
            <c:numRef>
              <c:f>Charts!$C$36:$J$36</c:f>
              <c:numCache>
                <c:formatCode>_(* #,##0_);_(* \(#,##0\);_(* "-"??_);_(@_)</c:formatCode>
                <c:ptCount val="8"/>
                <c:pt idx="0">
                  <c:v>0</c:v>
                </c:pt>
                <c:pt idx="1">
                  <c:v>0</c:v>
                </c:pt>
                <c:pt idx="2">
                  <c:v>0</c:v>
                </c:pt>
                <c:pt idx="3">
                  <c:v>0.39</c:v>
                </c:pt>
                <c:pt idx="4">
                  <c:v>1.1602350890099999</c:v>
                </c:pt>
                <c:pt idx="5">
                  <c:v>1.89</c:v>
                </c:pt>
                <c:pt idx="6">
                  <c:v>1.46</c:v>
                </c:pt>
                <c:pt idx="7">
                  <c:v>2.1</c:v>
                </c:pt>
              </c:numCache>
            </c:numRef>
          </c:val>
          <c:extLst>
            <c:ext xmlns:c16="http://schemas.microsoft.com/office/drawing/2014/chart" uri="{C3380CC4-5D6E-409C-BE32-E72D297353CC}">
              <c16:uniqueId val="{00000013-7251-4B54-AFCF-B4615A1A98E7}"/>
            </c:ext>
          </c:extLst>
        </c:ser>
        <c:ser>
          <c:idx val="20"/>
          <c:order val="20"/>
          <c:tx>
            <c:strRef>
              <c:f>Charts!$B$39</c:f>
              <c:strCache>
                <c:ptCount val="1"/>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Charts!$C$16:$J$16</c:f>
              <c:strCache>
                <c:ptCount val="8"/>
                <c:pt idx="0">
                  <c:v>FY18</c:v>
                </c:pt>
                <c:pt idx="1">
                  <c:v>FY19</c:v>
                </c:pt>
                <c:pt idx="2">
                  <c:v>FY20</c:v>
                </c:pt>
                <c:pt idx="3">
                  <c:v>FY21</c:v>
                </c:pt>
                <c:pt idx="4">
                  <c:v>FY22</c:v>
                </c:pt>
                <c:pt idx="5">
                  <c:v>FY23</c:v>
                </c:pt>
                <c:pt idx="6">
                  <c:v>FY24</c:v>
                </c:pt>
                <c:pt idx="7">
                  <c:v>FY25</c:v>
                </c:pt>
              </c:strCache>
            </c:strRef>
          </c:cat>
          <c:val>
            <c:numRef>
              <c:f>Charts!$C$39:$J$39</c:f>
              <c:numCache>
                <c:formatCode>_(* #,##0_);_(* \(#,##0\);_(* "-"??_);_(@_)</c:formatCode>
                <c:ptCount val="8"/>
                <c:pt idx="0">
                  <c:v>32.094999999999999</c:v>
                </c:pt>
                <c:pt idx="1">
                  <c:v>35.369999999999997</c:v>
                </c:pt>
                <c:pt idx="2">
                  <c:v>34.010456011999999</c:v>
                </c:pt>
                <c:pt idx="3">
                  <c:v>45.537999999999997</c:v>
                </c:pt>
                <c:pt idx="4">
                  <c:v>61.962649216009993</c:v>
                </c:pt>
                <c:pt idx="5">
                  <c:v>92.810997683220748</c:v>
                </c:pt>
                <c:pt idx="6">
                  <c:v>107.03816244451825</c:v>
                </c:pt>
                <c:pt idx="7">
                  <c:v>117.00000000000001</c:v>
                </c:pt>
              </c:numCache>
            </c:numRef>
          </c:val>
          <c:extLst>
            <c:ext xmlns:c16="http://schemas.microsoft.com/office/drawing/2014/chart" uri="{C3380CC4-5D6E-409C-BE32-E72D297353CC}">
              <c16:uniqueId val="{00000014-7251-4B54-AFCF-B4615A1A98E7}"/>
            </c:ext>
          </c:extLst>
        </c:ser>
        <c:dLbls>
          <c:showLegendKey val="0"/>
          <c:showVal val="0"/>
          <c:showCatName val="0"/>
          <c:showSerName val="0"/>
          <c:showPercent val="0"/>
          <c:showBubbleSize val="0"/>
        </c:dLbls>
        <c:gapWidth val="30"/>
        <c:overlap val="100"/>
        <c:axId val="41707423"/>
        <c:axId val="41716063"/>
        <c:extLst>
          <c:ext xmlns:c15="http://schemas.microsoft.com/office/drawing/2012/chart" uri="{02D57815-91ED-43cb-92C2-25804820EDAC}">
            <c15:filteredBarSeries>
              <c15:ser>
                <c:idx val="3"/>
                <c:order val="3"/>
                <c:tx>
                  <c:strRef>
                    <c:extLst>
                      <c:ext uri="{02D57815-91ED-43cb-92C2-25804820EDAC}">
                        <c15:formulaRef>
                          <c15:sqref>Charts!$B$20</c15:sqref>
                        </c15:formulaRef>
                      </c:ext>
                    </c:extLst>
                    <c:strCache>
                      <c:ptCount val="1"/>
                      <c:pt idx="0">
                        <c:v>Jatadhar</c:v>
                      </c:pt>
                    </c:strCache>
                  </c:strRef>
                </c:tx>
                <c:invertIfNegative val="0"/>
                <c:cat>
                  <c:strRef>
                    <c:extLst>
                      <c:ext uri="{02D57815-91ED-43cb-92C2-25804820EDAC}">
                        <c15:formulaRef>
                          <c15:sqref>Charts!$C$16:$J$16</c15:sqref>
                        </c15:formulaRef>
                      </c:ext>
                    </c:extLst>
                    <c:strCache>
                      <c:ptCount val="8"/>
                      <c:pt idx="0">
                        <c:v>FY18</c:v>
                      </c:pt>
                      <c:pt idx="1">
                        <c:v>FY19</c:v>
                      </c:pt>
                      <c:pt idx="2">
                        <c:v>FY20</c:v>
                      </c:pt>
                      <c:pt idx="3">
                        <c:v>FY21</c:v>
                      </c:pt>
                      <c:pt idx="4">
                        <c:v>FY22</c:v>
                      </c:pt>
                      <c:pt idx="5">
                        <c:v>FY23</c:v>
                      </c:pt>
                      <c:pt idx="6">
                        <c:v>FY24</c:v>
                      </c:pt>
                      <c:pt idx="7">
                        <c:v>FY25</c:v>
                      </c:pt>
                    </c:strCache>
                  </c:strRef>
                </c:cat>
                <c:val>
                  <c:numRef>
                    <c:extLst>
                      <c:ext uri="{02D57815-91ED-43cb-92C2-25804820EDAC}">
                        <c15:formulaRef>
                          <c15:sqref>Charts!$C$20:$J$20</c15:sqref>
                        </c15:formulaRef>
                      </c:ext>
                    </c:extLst>
                    <c:numCache>
                      <c:formatCode>_(* #,##0_);_(* \(#,##0\);_(*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7251-4B54-AFCF-B4615A1A98E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Charts!$B$21</c15:sqref>
                        </c15:formulaRef>
                      </c:ext>
                    </c:extLst>
                    <c:strCache>
                      <c:ptCount val="1"/>
                      <c:pt idx="0">
                        <c:v>Potential Domestic Asset</c:v>
                      </c:pt>
                    </c:strCache>
                  </c:strRef>
                </c:tx>
                <c:invertIfNegative val="0"/>
                <c:cat>
                  <c:strRef>
                    <c:extLst xmlns:c15="http://schemas.microsoft.com/office/drawing/2012/chart">
                      <c:ext xmlns:c15="http://schemas.microsoft.com/office/drawing/2012/chart" uri="{02D57815-91ED-43cb-92C2-25804820EDAC}">
                        <c15:formulaRef>
                          <c15:sqref>Charts!$C$16:$J$16</c15:sqref>
                        </c15:formulaRef>
                      </c:ext>
                    </c:extLst>
                    <c:strCache>
                      <c:ptCount val="8"/>
                      <c:pt idx="0">
                        <c:v>FY18</c:v>
                      </c:pt>
                      <c:pt idx="1">
                        <c:v>FY19</c:v>
                      </c:pt>
                      <c:pt idx="2">
                        <c:v>FY20</c:v>
                      </c:pt>
                      <c:pt idx="3">
                        <c:v>FY21</c:v>
                      </c:pt>
                      <c:pt idx="4">
                        <c:v>FY22</c:v>
                      </c:pt>
                      <c:pt idx="5">
                        <c:v>FY23</c:v>
                      </c:pt>
                      <c:pt idx="6">
                        <c:v>FY24</c:v>
                      </c:pt>
                      <c:pt idx="7">
                        <c:v>FY25</c:v>
                      </c:pt>
                    </c:strCache>
                  </c:strRef>
                </c:cat>
                <c:val>
                  <c:numRef>
                    <c:extLst xmlns:c15="http://schemas.microsoft.com/office/drawing/2012/chart">
                      <c:ext xmlns:c15="http://schemas.microsoft.com/office/drawing/2012/chart" uri="{02D57815-91ED-43cb-92C2-25804820EDAC}">
                        <c15:formulaRef>
                          <c15:sqref>Charts!$C$21:$J$21</c15:sqref>
                        </c15:formulaRef>
                      </c:ext>
                    </c:extLst>
                    <c:numCache>
                      <c:formatCode>_(* #,##0_);_(* \(#,##0\);_(* "-"??_);_(@_)</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4-7251-4B54-AFCF-B4615A1A98E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Charts!$B$22</c15:sqref>
                        </c15:formulaRef>
                      </c:ext>
                    </c:extLst>
                    <c:strCache>
                      <c:ptCount val="1"/>
                      <c:pt idx="0">
                        <c:v>Keni</c:v>
                      </c:pt>
                    </c:strCache>
                  </c:strRef>
                </c:tx>
                <c:invertIfNegative val="0"/>
                <c:cat>
                  <c:strRef>
                    <c:extLst xmlns:c15="http://schemas.microsoft.com/office/drawing/2012/chart">
                      <c:ext xmlns:c15="http://schemas.microsoft.com/office/drawing/2012/chart" uri="{02D57815-91ED-43cb-92C2-25804820EDAC}">
                        <c15:formulaRef>
                          <c15:sqref>Charts!$C$16:$J$16</c15:sqref>
                        </c15:formulaRef>
                      </c:ext>
                    </c:extLst>
                    <c:strCache>
                      <c:ptCount val="8"/>
                      <c:pt idx="0">
                        <c:v>FY18</c:v>
                      </c:pt>
                      <c:pt idx="1">
                        <c:v>FY19</c:v>
                      </c:pt>
                      <c:pt idx="2">
                        <c:v>FY20</c:v>
                      </c:pt>
                      <c:pt idx="3">
                        <c:v>FY21</c:v>
                      </c:pt>
                      <c:pt idx="4">
                        <c:v>FY22</c:v>
                      </c:pt>
                      <c:pt idx="5">
                        <c:v>FY23</c:v>
                      </c:pt>
                      <c:pt idx="6">
                        <c:v>FY24</c:v>
                      </c:pt>
                      <c:pt idx="7">
                        <c:v>FY25</c:v>
                      </c:pt>
                    </c:strCache>
                  </c:strRef>
                </c:cat>
                <c:val>
                  <c:numRef>
                    <c:extLst xmlns:c15="http://schemas.microsoft.com/office/drawing/2012/chart">
                      <c:ext xmlns:c15="http://schemas.microsoft.com/office/drawing/2012/chart" uri="{02D57815-91ED-43cb-92C2-25804820EDAC}">
                        <c15:formulaRef>
                          <c15:sqref>Charts!$C$22:$J$22</c15:sqref>
                        </c15:formulaRef>
                      </c:ext>
                    </c:extLst>
                    <c:numCache>
                      <c:formatCode>_(* #,##0_);_(* \(#,##0\);_(* "-"??_);_(@_)</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5-7251-4B54-AFCF-B4615A1A98E7}"/>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Charts!$B$23</c15:sqref>
                        </c15:formulaRef>
                      </c:ext>
                    </c:extLst>
                    <c:strCache>
                      <c:ptCount val="1"/>
                      <c:pt idx="0">
                        <c:v>Potential Domestic Asset</c:v>
                      </c:pt>
                    </c:strCache>
                  </c:strRef>
                </c:tx>
                <c:invertIfNegative val="0"/>
                <c:cat>
                  <c:strRef>
                    <c:extLst xmlns:c15="http://schemas.microsoft.com/office/drawing/2012/chart">
                      <c:ext xmlns:c15="http://schemas.microsoft.com/office/drawing/2012/chart" uri="{02D57815-91ED-43cb-92C2-25804820EDAC}">
                        <c15:formulaRef>
                          <c15:sqref>Charts!$C$16:$J$16</c15:sqref>
                        </c15:formulaRef>
                      </c:ext>
                    </c:extLst>
                    <c:strCache>
                      <c:ptCount val="8"/>
                      <c:pt idx="0">
                        <c:v>FY18</c:v>
                      </c:pt>
                      <c:pt idx="1">
                        <c:v>FY19</c:v>
                      </c:pt>
                      <c:pt idx="2">
                        <c:v>FY20</c:v>
                      </c:pt>
                      <c:pt idx="3">
                        <c:v>FY21</c:v>
                      </c:pt>
                      <c:pt idx="4">
                        <c:v>FY22</c:v>
                      </c:pt>
                      <c:pt idx="5">
                        <c:v>FY23</c:v>
                      </c:pt>
                      <c:pt idx="6">
                        <c:v>FY24</c:v>
                      </c:pt>
                      <c:pt idx="7">
                        <c:v>FY25</c:v>
                      </c:pt>
                    </c:strCache>
                  </c:strRef>
                </c:cat>
                <c:val>
                  <c:numRef>
                    <c:extLst xmlns:c15="http://schemas.microsoft.com/office/drawing/2012/chart">
                      <c:ext xmlns:c15="http://schemas.microsoft.com/office/drawing/2012/chart" uri="{02D57815-91ED-43cb-92C2-25804820EDAC}">
                        <c15:formulaRef>
                          <c15:sqref>Charts!$C$23:$J$23</c15:sqref>
                        </c15:formulaRef>
                      </c:ext>
                    </c:extLst>
                    <c:numCache>
                      <c:formatCode>_(* #,##0_);_(* \(#,##0\);_(* "-"??_);_(@_)</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6-7251-4B54-AFCF-B4615A1A98E7}"/>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Charts!$B$24</c15:sqref>
                        </c15:formulaRef>
                      </c:ext>
                    </c:extLst>
                    <c:strCache>
                      <c:ptCount val="1"/>
                      <c:pt idx="0">
                        <c:v>Murbe Port</c:v>
                      </c:pt>
                    </c:strCache>
                  </c:strRef>
                </c:tx>
                <c:invertIfNegative val="0"/>
                <c:cat>
                  <c:strRef>
                    <c:extLst xmlns:c15="http://schemas.microsoft.com/office/drawing/2012/chart">
                      <c:ext xmlns:c15="http://schemas.microsoft.com/office/drawing/2012/chart" uri="{02D57815-91ED-43cb-92C2-25804820EDAC}">
                        <c15:formulaRef>
                          <c15:sqref>Charts!$C$16:$J$16</c15:sqref>
                        </c15:formulaRef>
                      </c:ext>
                    </c:extLst>
                    <c:strCache>
                      <c:ptCount val="8"/>
                      <c:pt idx="0">
                        <c:v>FY18</c:v>
                      </c:pt>
                      <c:pt idx="1">
                        <c:v>FY19</c:v>
                      </c:pt>
                      <c:pt idx="2">
                        <c:v>FY20</c:v>
                      </c:pt>
                      <c:pt idx="3">
                        <c:v>FY21</c:v>
                      </c:pt>
                      <c:pt idx="4">
                        <c:v>FY22</c:v>
                      </c:pt>
                      <c:pt idx="5">
                        <c:v>FY23</c:v>
                      </c:pt>
                      <c:pt idx="6">
                        <c:v>FY24</c:v>
                      </c:pt>
                      <c:pt idx="7">
                        <c:v>FY25</c:v>
                      </c:pt>
                    </c:strCache>
                  </c:strRef>
                </c:cat>
                <c:val>
                  <c:numRef>
                    <c:extLst xmlns:c15="http://schemas.microsoft.com/office/drawing/2012/chart">
                      <c:ext xmlns:c15="http://schemas.microsoft.com/office/drawing/2012/chart" uri="{02D57815-91ED-43cb-92C2-25804820EDAC}">
                        <c15:formulaRef>
                          <c15:sqref>Charts!$C$24:$J$24</c15:sqref>
                        </c15:formulaRef>
                      </c:ext>
                    </c:extLst>
                    <c:numCache>
                      <c:formatCode>_(* #,##0_);_(* \(#,##0\);_(* "-"??_);_(@_)</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7-7251-4B54-AFCF-B4615A1A98E7}"/>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Charts!$B$26</c15:sqref>
                        </c15:formulaRef>
                      </c:ext>
                    </c:extLst>
                    <c:strCache>
                      <c:ptCount val="1"/>
                      <c:pt idx="0">
                        <c:v>Overseas Port</c:v>
                      </c:pt>
                    </c:strCache>
                  </c:strRef>
                </c:tx>
                <c:invertIfNegative val="0"/>
                <c:cat>
                  <c:strRef>
                    <c:extLst xmlns:c15="http://schemas.microsoft.com/office/drawing/2012/chart">
                      <c:ext xmlns:c15="http://schemas.microsoft.com/office/drawing/2012/chart" uri="{02D57815-91ED-43cb-92C2-25804820EDAC}">
                        <c15:formulaRef>
                          <c15:sqref>Charts!$C$16:$J$16</c15:sqref>
                        </c15:formulaRef>
                      </c:ext>
                    </c:extLst>
                    <c:strCache>
                      <c:ptCount val="8"/>
                      <c:pt idx="0">
                        <c:v>FY18</c:v>
                      </c:pt>
                      <c:pt idx="1">
                        <c:v>FY19</c:v>
                      </c:pt>
                      <c:pt idx="2">
                        <c:v>FY20</c:v>
                      </c:pt>
                      <c:pt idx="3">
                        <c:v>FY21</c:v>
                      </c:pt>
                      <c:pt idx="4">
                        <c:v>FY22</c:v>
                      </c:pt>
                      <c:pt idx="5">
                        <c:v>FY23</c:v>
                      </c:pt>
                      <c:pt idx="6">
                        <c:v>FY24</c:v>
                      </c:pt>
                      <c:pt idx="7">
                        <c:v>FY25</c:v>
                      </c:pt>
                    </c:strCache>
                  </c:strRef>
                </c:cat>
                <c:val>
                  <c:numRef>
                    <c:extLst xmlns:c15="http://schemas.microsoft.com/office/drawing/2012/chart">
                      <c:ext xmlns:c15="http://schemas.microsoft.com/office/drawing/2012/chart" uri="{02D57815-91ED-43cb-92C2-25804820EDAC}">
                        <c15:formulaRef>
                          <c15:sqref>Charts!$C$26:$J$26</c15:sqref>
                        </c15:formulaRef>
                      </c:ext>
                    </c:extLst>
                    <c:numCache>
                      <c:formatCode>_(* #,##0_);_(* \(#,##0\);_(* "-"??_);_(@_)</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9-7251-4B54-AFCF-B4615A1A98E7}"/>
                  </c:ext>
                </c:extLst>
              </c15:ser>
            </c15:filteredBarSeries>
          </c:ext>
        </c:extLst>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150"/>
        </c:scaling>
        <c:delete val="1"/>
        <c:axPos val="l"/>
        <c:numFmt formatCode="_(* #,##0_);_(* \(#,##0\);_(* &quot;-&quot;??_);_(@_)" sourceLinked="1"/>
        <c:majorTickMark val="out"/>
        <c:minorTickMark val="none"/>
        <c:tickLblPos val="nextTo"/>
        <c:crossAx val="41707423"/>
        <c:crosses val="autoZero"/>
        <c:crossBetween val="between"/>
      </c:valAx>
    </c:plotArea>
    <c:legend>
      <c:legendPos val="b"/>
      <c:layout>
        <c:manualLayout>
          <c:xMode val="edge"/>
          <c:yMode val="edge"/>
          <c:x val="3.2435496639221767E-2"/>
          <c:y val="0.75896220660623748"/>
          <c:w val="0.9675645050935382"/>
          <c:h val="0.22033790026314157"/>
        </c:manualLayout>
      </c:layout>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Charts!$B$126</c:f>
          <c:strCache>
            <c:ptCount val="1"/>
            <c:pt idx="0">
              <c:v>Capacity - Portwise, MT</c:v>
            </c:pt>
          </c:strCache>
        </c:strRef>
      </c:tx>
      <c:layout>
        <c:manualLayout>
          <c:xMode val="edge"/>
          <c:yMode val="edge"/>
          <c:x val="0.39069738155044942"/>
          <c:y val="2.3513390763966599E-3"/>
        </c:manualLayout>
      </c:layout>
      <c:overlay val="0"/>
    </c:title>
    <c:autoTitleDeleted val="0"/>
    <c:plotArea>
      <c:layout>
        <c:manualLayout>
          <c:layoutTarget val="inner"/>
          <c:xMode val="edge"/>
          <c:yMode val="edge"/>
          <c:x val="1.5338534057824436E-3"/>
          <c:y val="0.10950133532836437"/>
          <c:w val="0.97917719994299668"/>
          <c:h val="0.5525944467389915"/>
        </c:manualLayout>
      </c:layout>
      <c:barChart>
        <c:barDir val="col"/>
        <c:grouping val="stacked"/>
        <c:varyColors val="0"/>
        <c:ser>
          <c:idx val="0"/>
          <c:order val="0"/>
          <c:tx>
            <c:strRef>
              <c:f>Charts!$B$127</c:f>
              <c:strCache>
                <c:ptCount val="1"/>
                <c:pt idx="0">
                  <c:v>Jaigarh</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Charts!$C$127:$J$127</c15:sqref>
                  </c15:fullRef>
                </c:ext>
              </c:extLst>
              <c:f>Charts!$E$127:$J$127</c:f>
              <c:numCache>
                <c:formatCode>#,##0_);\(#,##0\)</c:formatCode>
                <c:ptCount val="6"/>
                <c:pt idx="0">
                  <c:v>45</c:v>
                </c:pt>
                <c:pt idx="1">
                  <c:v>50</c:v>
                </c:pt>
                <c:pt idx="2">
                  <c:v>55</c:v>
                </c:pt>
                <c:pt idx="3">
                  <c:v>55</c:v>
                </c:pt>
                <c:pt idx="4">
                  <c:v>55</c:v>
                </c:pt>
                <c:pt idx="5">
                  <c:v>55</c:v>
                </c:pt>
              </c:numCache>
            </c:numRef>
          </c:val>
          <c:extLst>
            <c:ext xmlns:c16="http://schemas.microsoft.com/office/drawing/2014/chart" uri="{C3380CC4-5D6E-409C-BE32-E72D297353CC}">
              <c16:uniqueId val="{00000000-5079-4E1B-B30E-7489BBA0F9AE}"/>
            </c:ext>
          </c:extLst>
        </c:ser>
        <c:ser>
          <c:idx val="1"/>
          <c:order val="1"/>
          <c:tx>
            <c:strRef>
              <c:f>Charts!$B$128</c:f>
              <c:strCache>
                <c:ptCount val="1"/>
                <c:pt idx="0">
                  <c:v>Dharmatar</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Charts!$C$128:$J$128</c15:sqref>
                  </c15:fullRef>
                </c:ext>
              </c:extLst>
              <c:f>Charts!$E$128:$J$128</c:f>
              <c:numCache>
                <c:formatCode>#,##0_);\(#,##0\)</c:formatCode>
                <c:ptCount val="6"/>
                <c:pt idx="0">
                  <c:v>15</c:v>
                </c:pt>
                <c:pt idx="1">
                  <c:v>34</c:v>
                </c:pt>
                <c:pt idx="2">
                  <c:v>34</c:v>
                </c:pt>
                <c:pt idx="3">
                  <c:v>34</c:v>
                </c:pt>
                <c:pt idx="4">
                  <c:v>34</c:v>
                </c:pt>
                <c:pt idx="5">
                  <c:v>34</c:v>
                </c:pt>
              </c:numCache>
            </c:numRef>
          </c:val>
          <c:extLst>
            <c:ext xmlns:c16="http://schemas.microsoft.com/office/drawing/2014/chart" uri="{C3380CC4-5D6E-409C-BE32-E72D297353CC}">
              <c16:uniqueId val="{00000001-5079-4E1B-B30E-7489BBA0F9AE}"/>
            </c:ext>
          </c:extLst>
        </c:ser>
        <c:ser>
          <c:idx val="2"/>
          <c:order val="2"/>
          <c:tx>
            <c:strRef>
              <c:f>Charts!$B$129</c:f>
              <c:strCache>
                <c:ptCount val="1"/>
                <c:pt idx="0">
                  <c:v>Goa</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Charts!$C$129:$J$129</c15:sqref>
                  </c15:fullRef>
                </c:ext>
              </c:extLst>
              <c:f>Charts!$E$129:$J$129</c:f>
              <c:numCache>
                <c:formatCode>#,##0_);\(#,##0\)</c:formatCode>
                <c:ptCount val="6"/>
                <c:pt idx="0">
                  <c:v>15</c:v>
                </c:pt>
                <c:pt idx="1">
                  <c:v>15</c:v>
                </c:pt>
                <c:pt idx="2">
                  <c:v>8.5</c:v>
                </c:pt>
                <c:pt idx="3">
                  <c:v>8.5</c:v>
                </c:pt>
                <c:pt idx="4">
                  <c:v>8.5</c:v>
                </c:pt>
                <c:pt idx="5">
                  <c:v>11</c:v>
                </c:pt>
              </c:numCache>
            </c:numRef>
          </c:val>
          <c:extLst>
            <c:ext xmlns:c16="http://schemas.microsoft.com/office/drawing/2014/chart" uri="{C3380CC4-5D6E-409C-BE32-E72D297353CC}">
              <c16:uniqueId val="{00000002-5079-4E1B-B30E-7489BBA0F9AE}"/>
            </c:ext>
          </c:extLst>
        </c:ser>
        <c:ser>
          <c:idx val="3"/>
          <c:order val="3"/>
          <c:tx>
            <c:strRef>
              <c:f>Charts!$B$130</c:f>
              <c:strCache>
                <c:ptCount val="1"/>
                <c:pt idx="0">
                  <c:v>Paradip Iron Ore</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Charts!$C$130:$J$130</c15:sqref>
                  </c15:fullRef>
                </c:ext>
              </c:extLst>
              <c:f>Charts!$E$130:$J$130</c:f>
              <c:numCache>
                <c:formatCode>#,##0_);\(#,##0\)</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3-5079-4E1B-B30E-7489BBA0F9AE}"/>
            </c:ext>
          </c:extLst>
        </c:ser>
        <c:ser>
          <c:idx val="4"/>
          <c:order val="4"/>
          <c:tx>
            <c:strRef>
              <c:f>Charts!$B$131</c:f>
              <c:strCache>
                <c:ptCount val="1"/>
                <c:pt idx="0">
                  <c:v>Paradip Coal</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Charts!$C$131:$J$131</c15:sqref>
                  </c15:fullRef>
                </c:ext>
              </c:extLst>
              <c:f>Charts!$E$131:$J$131</c:f>
              <c:numCache>
                <c:formatCode>#,##0_);\(#,##0\)</c:formatCode>
                <c:ptCount val="6"/>
                <c:pt idx="0">
                  <c:v>0</c:v>
                </c:pt>
                <c:pt idx="1">
                  <c:v>0</c:v>
                </c:pt>
                <c:pt idx="2">
                  <c:v>30</c:v>
                </c:pt>
                <c:pt idx="3">
                  <c:v>30</c:v>
                </c:pt>
                <c:pt idx="4">
                  <c:v>30</c:v>
                </c:pt>
                <c:pt idx="5">
                  <c:v>30</c:v>
                </c:pt>
              </c:numCache>
            </c:numRef>
          </c:val>
          <c:extLst>
            <c:ext xmlns:c16="http://schemas.microsoft.com/office/drawing/2014/chart" uri="{C3380CC4-5D6E-409C-BE32-E72D297353CC}">
              <c16:uniqueId val="{00000004-5079-4E1B-B30E-7489BBA0F9AE}"/>
            </c:ext>
          </c:extLst>
        </c:ser>
        <c:ser>
          <c:idx val="5"/>
          <c:order val="5"/>
          <c:tx>
            <c:strRef>
              <c:f>Charts!$B$132</c:f>
              <c:strCache>
                <c:ptCount val="1"/>
                <c:pt idx="0">
                  <c:v>Ennore Coal</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Charts!$C$132:$J$132</c15:sqref>
                  </c15:fullRef>
                </c:ext>
              </c:extLst>
              <c:f>Charts!$E$132:$J$132</c:f>
              <c:numCache>
                <c:formatCode>#,##0_);\(#,##0\)</c:formatCode>
                <c:ptCount val="6"/>
                <c:pt idx="0">
                  <c:v>0</c:v>
                </c:pt>
                <c:pt idx="1">
                  <c:v>0</c:v>
                </c:pt>
                <c:pt idx="2">
                  <c:v>8</c:v>
                </c:pt>
                <c:pt idx="3">
                  <c:v>8</c:v>
                </c:pt>
                <c:pt idx="4">
                  <c:v>9.6</c:v>
                </c:pt>
                <c:pt idx="5">
                  <c:v>9.6</c:v>
                </c:pt>
              </c:numCache>
            </c:numRef>
          </c:val>
          <c:extLst>
            <c:ext xmlns:c16="http://schemas.microsoft.com/office/drawing/2014/chart" uri="{C3380CC4-5D6E-409C-BE32-E72D297353CC}">
              <c16:uniqueId val="{00000005-5079-4E1B-B30E-7489BBA0F9AE}"/>
            </c:ext>
          </c:extLst>
        </c:ser>
        <c:ser>
          <c:idx val="6"/>
          <c:order val="6"/>
          <c:tx>
            <c:strRef>
              <c:f>Charts!$B$133</c:f>
              <c:strCache>
                <c:ptCount val="1"/>
                <c:pt idx="0">
                  <c:v>Ennore Bulk</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Charts!$C$133:$J$133</c15:sqref>
                  </c15:fullRef>
                </c:ext>
              </c:extLst>
              <c:f>Charts!$E$133:$J$133</c:f>
              <c:numCache>
                <c:formatCode>#,##0_);\(#,##0\)</c:formatCode>
                <c:ptCount val="6"/>
                <c:pt idx="0">
                  <c:v>0</c:v>
                </c:pt>
                <c:pt idx="1">
                  <c:v>2</c:v>
                </c:pt>
                <c:pt idx="2">
                  <c:v>2</c:v>
                </c:pt>
                <c:pt idx="3">
                  <c:v>2</c:v>
                </c:pt>
                <c:pt idx="4">
                  <c:v>2</c:v>
                </c:pt>
                <c:pt idx="5">
                  <c:v>2</c:v>
                </c:pt>
              </c:numCache>
            </c:numRef>
          </c:val>
          <c:extLst>
            <c:ext xmlns:c16="http://schemas.microsoft.com/office/drawing/2014/chart" uri="{C3380CC4-5D6E-409C-BE32-E72D297353CC}">
              <c16:uniqueId val="{00000006-5079-4E1B-B30E-7489BBA0F9AE}"/>
            </c:ext>
          </c:extLst>
        </c:ser>
        <c:ser>
          <c:idx val="7"/>
          <c:order val="7"/>
          <c:tx>
            <c:strRef>
              <c:f>Charts!$B$134</c:f>
              <c:strCache>
                <c:ptCount val="1"/>
                <c:pt idx="0">
                  <c:v>Mangalore Coal</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Charts!$C$134:$J$134</c15:sqref>
                  </c15:fullRef>
                </c:ext>
              </c:extLst>
              <c:f>Charts!$E$134:$J$134</c:f>
              <c:numCache>
                <c:formatCode>#,##0_);\(#,##0\)</c:formatCode>
                <c:ptCount val="6"/>
                <c:pt idx="0">
                  <c:v>0</c:v>
                </c:pt>
                <c:pt idx="1">
                  <c:v>0</c:v>
                </c:pt>
                <c:pt idx="2">
                  <c:v>6.7</c:v>
                </c:pt>
                <c:pt idx="3">
                  <c:v>6.7</c:v>
                </c:pt>
                <c:pt idx="4">
                  <c:v>6.7</c:v>
                </c:pt>
                <c:pt idx="5">
                  <c:v>8.1</c:v>
                </c:pt>
              </c:numCache>
            </c:numRef>
          </c:val>
          <c:extLst>
            <c:ext xmlns:c16="http://schemas.microsoft.com/office/drawing/2014/chart" uri="{C3380CC4-5D6E-409C-BE32-E72D297353CC}">
              <c16:uniqueId val="{00000007-5079-4E1B-B30E-7489BBA0F9AE}"/>
            </c:ext>
          </c:extLst>
        </c:ser>
        <c:ser>
          <c:idx val="8"/>
          <c:order val="8"/>
          <c:tx>
            <c:strRef>
              <c:f>Charts!$B$135</c:f>
              <c:strCache>
                <c:ptCount val="1"/>
                <c:pt idx="0">
                  <c:v>Mangalore Container</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Charts!$C$135:$J$135</c15:sqref>
                  </c15:fullRef>
                </c:ext>
              </c:extLst>
              <c:f>Charts!$E$135:$J$135</c:f>
              <c:numCache>
                <c:formatCode>#,##0_);\(#,##0\)</c:formatCode>
                <c:ptCount val="6"/>
                <c:pt idx="0">
                  <c:v>0</c:v>
                </c:pt>
                <c:pt idx="1">
                  <c:v>0</c:v>
                </c:pt>
                <c:pt idx="2">
                  <c:v>0</c:v>
                </c:pt>
                <c:pt idx="3">
                  <c:v>4.2</c:v>
                </c:pt>
                <c:pt idx="4">
                  <c:v>4.2</c:v>
                </c:pt>
                <c:pt idx="5">
                  <c:v>4.2</c:v>
                </c:pt>
              </c:numCache>
            </c:numRef>
          </c:val>
          <c:extLst>
            <c:ext xmlns:c16="http://schemas.microsoft.com/office/drawing/2014/chart" uri="{C3380CC4-5D6E-409C-BE32-E72D297353CC}">
              <c16:uniqueId val="{00000008-5079-4E1B-B30E-7489BBA0F9AE}"/>
            </c:ext>
          </c:extLst>
        </c:ser>
        <c:ser>
          <c:idx val="9"/>
          <c:order val="9"/>
          <c:tx>
            <c:strRef>
              <c:f>Charts!$B$136</c:f>
              <c:strCache>
                <c:ptCount val="1"/>
                <c:pt idx="0">
                  <c:v>PNP Port</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Charts!$C$136:$J$136</c15:sqref>
                  </c15:fullRef>
                </c:ext>
              </c:extLst>
              <c:f>Charts!$E$136:$J$136</c:f>
              <c:numCache>
                <c:formatCode>#,##0_);\(#,##0\)</c:formatCode>
                <c:ptCount val="6"/>
                <c:pt idx="0">
                  <c:v>0</c:v>
                </c:pt>
                <c:pt idx="1">
                  <c:v>0</c:v>
                </c:pt>
                <c:pt idx="2">
                  <c:v>0</c:v>
                </c:pt>
                <c:pt idx="3">
                  <c:v>0</c:v>
                </c:pt>
                <c:pt idx="4">
                  <c:v>5</c:v>
                </c:pt>
                <c:pt idx="5">
                  <c:v>8</c:v>
                </c:pt>
              </c:numCache>
            </c:numRef>
          </c:val>
          <c:extLst>
            <c:ext xmlns:c16="http://schemas.microsoft.com/office/drawing/2014/chart" uri="{C3380CC4-5D6E-409C-BE32-E72D297353CC}">
              <c16:uniqueId val="{00000009-5079-4E1B-B30E-7489BBA0F9AE}"/>
            </c:ext>
          </c:extLst>
        </c:ser>
        <c:ser>
          <c:idx val="10"/>
          <c:order val="10"/>
          <c:tx>
            <c:strRef>
              <c:f>Charts!$B$137</c:f>
              <c:strCache>
                <c:ptCount val="1"/>
                <c:pt idx="0">
                  <c:v>Fujairah Liquid Storage</c:v>
                </c:pt>
              </c:strCache>
            </c:strRef>
          </c:tx>
          <c:invertIfNegative val="0"/>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Charts!$C$137:$J$137</c15:sqref>
                  </c15:fullRef>
                </c:ext>
              </c:extLst>
              <c:f>Charts!$E$137:$J$137</c:f>
              <c:numCache>
                <c:formatCode>#,##0_);\(#,##0\)</c:formatCode>
                <c:ptCount val="6"/>
                <c:pt idx="0">
                  <c:v>0</c:v>
                </c:pt>
                <c:pt idx="1">
                  <c:v>0</c:v>
                </c:pt>
                <c:pt idx="2">
                  <c:v>0</c:v>
                </c:pt>
                <c:pt idx="3">
                  <c:v>0</c:v>
                </c:pt>
                <c:pt idx="4">
                  <c:v>5</c:v>
                </c:pt>
                <c:pt idx="5">
                  <c:v>5</c:v>
                </c:pt>
              </c:numCache>
            </c:numRef>
          </c:val>
          <c:extLst>
            <c:ext xmlns:c16="http://schemas.microsoft.com/office/drawing/2014/chart" uri="{C3380CC4-5D6E-409C-BE32-E72D297353CC}">
              <c16:uniqueId val="{0000000A-5079-4E1B-B30E-7489BBA0F9AE}"/>
            </c:ext>
          </c:extLst>
        </c:ser>
        <c:ser>
          <c:idx val="11"/>
          <c:order val="11"/>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Charts!$C$126:$J$126</c15:sqref>
                  </c15:fullRef>
                </c:ext>
              </c:extLst>
              <c:f>Charts!$E$126:$J$126</c:f>
              <c:strCache>
                <c:ptCount val="6"/>
                <c:pt idx="0">
                  <c:v>FY20</c:v>
                </c:pt>
                <c:pt idx="1">
                  <c:v>FY21</c:v>
                </c:pt>
                <c:pt idx="2">
                  <c:v>FY22</c:v>
                </c:pt>
                <c:pt idx="3">
                  <c:v>FY23</c:v>
                </c:pt>
                <c:pt idx="4">
                  <c:v>FY24</c:v>
                </c:pt>
                <c:pt idx="5">
                  <c:v>FY25</c:v>
                </c:pt>
              </c:strCache>
            </c:strRef>
          </c:cat>
          <c:val>
            <c:numRef>
              <c:extLst>
                <c:ext xmlns:c15="http://schemas.microsoft.com/office/drawing/2012/chart" uri="{02D57815-91ED-43cb-92C2-25804820EDAC}">
                  <c15:fullRef>
                    <c15:sqref>Charts!$C$148:$J$148</c15:sqref>
                  </c15:fullRef>
                </c:ext>
              </c:extLst>
              <c:f>Charts!$E$148:$J$148</c:f>
              <c:numCache>
                <c:formatCode>#,##0_);\(#,##0\)</c:formatCode>
                <c:ptCount val="6"/>
                <c:pt idx="0">
                  <c:v>85</c:v>
                </c:pt>
                <c:pt idx="1">
                  <c:v>111</c:v>
                </c:pt>
                <c:pt idx="2">
                  <c:v>154.19999999999999</c:v>
                </c:pt>
                <c:pt idx="3">
                  <c:v>158.39999999999998</c:v>
                </c:pt>
                <c:pt idx="4">
                  <c:v>169.99999999999997</c:v>
                </c:pt>
                <c:pt idx="5">
                  <c:v>176.89999999999998</c:v>
                </c:pt>
              </c:numCache>
            </c:numRef>
          </c:val>
          <c:extLst>
            <c:ext xmlns:c16="http://schemas.microsoft.com/office/drawing/2014/chart" uri="{C3380CC4-5D6E-409C-BE32-E72D297353CC}">
              <c16:uniqueId val="{00000015-5079-4E1B-B30E-7489BBA0F9AE}"/>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200"/>
        </c:scaling>
        <c:delete val="1"/>
        <c:axPos val="l"/>
        <c:numFmt formatCode="#,##0_);\(#,##0\)" sourceLinked="1"/>
        <c:majorTickMark val="out"/>
        <c:minorTickMark val="none"/>
        <c:tickLblPos val="nextTo"/>
        <c:crossAx val="41707423"/>
        <c:crosses val="autoZero"/>
        <c:crossBetween val="between"/>
      </c:valAx>
    </c:plotArea>
    <c:legend>
      <c:legendPos val="b"/>
      <c:legendEntry>
        <c:idx val="11"/>
        <c:delete val="1"/>
      </c:legendEntry>
      <c:layout>
        <c:manualLayout>
          <c:xMode val="edge"/>
          <c:yMode val="edge"/>
          <c:x val="3.2435496639221767E-2"/>
          <c:y val="0.75896220660623748"/>
          <c:w val="0.84903450536928959"/>
          <c:h val="0.22925170168014733"/>
        </c:manualLayout>
      </c:layout>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Charts!$B$2</c:f>
          <c:strCache>
            <c:ptCount val="1"/>
            <c:pt idx="0">
              <c:v>Cargo - Customer Wise, MT</c:v>
            </c:pt>
          </c:strCache>
        </c:strRef>
      </c:tx>
      <c:overlay val="0"/>
      <c:txPr>
        <a:bodyPr/>
        <a:lstStyle/>
        <a:p>
          <a:pPr>
            <a:defRPr sz="1080"/>
          </a:pPr>
          <a:endParaRPr lang="en-US"/>
        </a:p>
      </c:txPr>
    </c:title>
    <c:autoTitleDeleted val="0"/>
    <c:plotArea>
      <c:layout/>
      <c:barChart>
        <c:barDir val="col"/>
        <c:grouping val="stacked"/>
        <c:varyColors val="0"/>
        <c:ser>
          <c:idx val="0"/>
          <c:order val="0"/>
          <c:tx>
            <c:strRef>
              <c:f>Charts!$B$3</c:f>
              <c:strCache>
                <c:ptCount val="1"/>
                <c:pt idx="0">
                  <c:v>JSW Group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Charts!$U$2:$Y$2</c:f>
              <c:strCache>
                <c:ptCount val="5"/>
                <c:pt idx="0">
                  <c:v>FY21</c:v>
                </c:pt>
                <c:pt idx="1">
                  <c:v>FY22</c:v>
                </c:pt>
                <c:pt idx="2">
                  <c:v>FY23</c:v>
                </c:pt>
                <c:pt idx="3">
                  <c:v>FY24</c:v>
                </c:pt>
                <c:pt idx="4">
                  <c:v>FY25</c:v>
                </c:pt>
              </c:strCache>
            </c:strRef>
          </c:cat>
          <c:val>
            <c:numRef>
              <c:f>Charts!$U$3:$Y$3</c:f>
              <c:numCache>
                <c:formatCode>0%</c:formatCode>
                <c:ptCount val="5"/>
                <c:pt idx="0">
                  <c:v>0.75186649099692593</c:v>
                </c:pt>
                <c:pt idx="1">
                  <c:v>0.69912861061804099</c:v>
                </c:pt>
                <c:pt idx="2">
                  <c:v>0.66605623182160945</c:v>
                </c:pt>
                <c:pt idx="3">
                  <c:v>0.6</c:v>
                </c:pt>
                <c:pt idx="4">
                  <c:v>0.51</c:v>
                </c:pt>
              </c:numCache>
            </c:numRef>
          </c:val>
          <c:extLst>
            <c:ext xmlns:c16="http://schemas.microsoft.com/office/drawing/2014/chart" uri="{C3380CC4-5D6E-409C-BE32-E72D297353CC}">
              <c16:uniqueId val="{00000000-D795-4C15-8694-49DEC0CFB196}"/>
            </c:ext>
          </c:extLst>
        </c:ser>
        <c:ser>
          <c:idx val="1"/>
          <c:order val="1"/>
          <c:tx>
            <c:strRef>
              <c:f>Charts!$B$4</c:f>
              <c:strCache>
                <c:ptCount val="1"/>
                <c:pt idx="0">
                  <c:v>Third Party Cargo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Charts!$U$2:$Y$2</c:f>
              <c:strCache>
                <c:ptCount val="5"/>
                <c:pt idx="0">
                  <c:v>FY21</c:v>
                </c:pt>
                <c:pt idx="1">
                  <c:v>FY22</c:v>
                </c:pt>
                <c:pt idx="2">
                  <c:v>FY23</c:v>
                </c:pt>
                <c:pt idx="3">
                  <c:v>FY24</c:v>
                </c:pt>
                <c:pt idx="4">
                  <c:v>FY25</c:v>
                </c:pt>
              </c:strCache>
            </c:strRef>
          </c:cat>
          <c:val>
            <c:numRef>
              <c:f>Charts!$U$4:$Y$4</c:f>
              <c:numCache>
                <c:formatCode>0%</c:formatCode>
                <c:ptCount val="5"/>
                <c:pt idx="0">
                  <c:v>0.24813350900307421</c:v>
                </c:pt>
                <c:pt idx="1">
                  <c:v>0.30087138938195901</c:v>
                </c:pt>
                <c:pt idx="2">
                  <c:v>0.33394376817839055</c:v>
                </c:pt>
                <c:pt idx="3">
                  <c:v>0.40000000000000008</c:v>
                </c:pt>
                <c:pt idx="4">
                  <c:v>0.49</c:v>
                </c:pt>
              </c:numCache>
            </c:numRef>
          </c:val>
          <c:extLst>
            <c:ext xmlns:c16="http://schemas.microsoft.com/office/drawing/2014/chart" uri="{C3380CC4-5D6E-409C-BE32-E72D297353CC}">
              <c16:uniqueId val="{00000001-D795-4C15-8694-49DEC0CFB196}"/>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crossAx val="327558928"/>
        <c:crosses val="autoZero"/>
        <c:auto val="1"/>
        <c:lblAlgn val="ctr"/>
        <c:lblOffset val="100"/>
        <c:noMultiLvlLbl val="0"/>
      </c:catAx>
      <c:valAx>
        <c:axId val="327558928"/>
        <c:scaling>
          <c:orientation val="minMax"/>
          <c:max val="1"/>
        </c:scaling>
        <c:delete val="0"/>
        <c:axPos val="l"/>
        <c:numFmt formatCode="0%" sourceLinked="1"/>
        <c:majorTickMark val="none"/>
        <c:minorTickMark val="none"/>
        <c:tickLblPos val="none"/>
        <c:crossAx val="327560848"/>
        <c:crosses val="autoZero"/>
        <c:crossBetween val="between"/>
      </c:valAx>
    </c:plotArea>
    <c:legend>
      <c:legendPos val="b"/>
      <c:overlay val="0"/>
    </c:legend>
    <c:plotVisOnly val="1"/>
    <c:dispBlanksAs val="gap"/>
    <c:showDLblsOverMax val="0"/>
  </c:chart>
  <c:spPr>
    <a:ln w="3175">
      <a:noFill/>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Charts!$B$11</c:f>
          <c:strCache>
            <c:ptCount val="1"/>
            <c:pt idx="0">
              <c:v>Raw Material Requirement for JSW Steel, MT</c:v>
            </c:pt>
          </c:strCache>
        </c:strRef>
      </c:tx>
      <c:overlay val="0"/>
    </c:title>
    <c:autoTitleDeleted val="0"/>
    <c:plotArea>
      <c:layout/>
      <c:barChart>
        <c:barDir val="col"/>
        <c:grouping val="clustered"/>
        <c:varyColors val="0"/>
        <c:ser>
          <c:idx val="0"/>
          <c:order val="0"/>
          <c:tx>
            <c:strRef>
              <c:f>Charts!$B$12</c:f>
              <c:strCache>
                <c:ptCount val="1"/>
                <c:pt idx="0">
                  <c:v>Iron Ore</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Charts!$H$11:$O$11</c:f>
              <c:strCache>
                <c:ptCount val="8"/>
                <c:pt idx="0">
                  <c:v>FY23</c:v>
                </c:pt>
                <c:pt idx="1">
                  <c:v>FY24</c:v>
                </c:pt>
                <c:pt idx="2">
                  <c:v>FY25E</c:v>
                </c:pt>
                <c:pt idx="3">
                  <c:v>FY26E</c:v>
                </c:pt>
                <c:pt idx="4">
                  <c:v>FY27E</c:v>
                </c:pt>
                <c:pt idx="5">
                  <c:v>FY28E</c:v>
                </c:pt>
                <c:pt idx="6">
                  <c:v>FY29E</c:v>
                </c:pt>
                <c:pt idx="7">
                  <c:v>FY30E</c:v>
                </c:pt>
              </c:strCache>
            </c:strRef>
          </c:cat>
          <c:val>
            <c:numRef>
              <c:f>Charts!$H$12:$O$12</c:f>
              <c:numCache>
                <c:formatCode>#,##0_);\(#,##0\)</c:formatCode>
                <c:ptCount val="8"/>
                <c:pt idx="0">
                  <c:v>48.4</c:v>
                </c:pt>
                <c:pt idx="1">
                  <c:v>52.2</c:v>
                </c:pt>
                <c:pt idx="2">
                  <c:v>50</c:v>
                </c:pt>
                <c:pt idx="3">
                  <c:v>59.400000000000006</c:v>
                </c:pt>
                <c:pt idx="4">
                  <c:v>63.599999999999994</c:v>
                </c:pt>
                <c:pt idx="5">
                  <c:v>63.8</c:v>
                </c:pt>
                <c:pt idx="6">
                  <c:v>67.599999999999994</c:v>
                </c:pt>
                <c:pt idx="7">
                  <c:v>71.2</c:v>
                </c:pt>
              </c:numCache>
            </c:numRef>
          </c:val>
          <c:extLst>
            <c:ext xmlns:c16="http://schemas.microsoft.com/office/drawing/2014/chart" uri="{C3380CC4-5D6E-409C-BE32-E72D297353CC}">
              <c16:uniqueId val="{00000000-C0E7-4BE7-82F6-572CFD97E0F2}"/>
            </c:ext>
          </c:extLst>
        </c:ser>
        <c:ser>
          <c:idx val="1"/>
          <c:order val="1"/>
          <c:tx>
            <c:strRef>
              <c:f>Charts!$B$13</c:f>
              <c:strCache>
                <c:ptCount val="1"/>
                <c:pt idx="0">
                  <c:v>Coaking Coal</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Charts!$H$11:$O$11</c:f>
              <c:strCache>
                <c:ptCount val="8"/>
                <c:pt idx="0">
                  <c:v>FY23</c:v>
                </c:pt>
                <c:pt idx="1">
                  <c:v>FY24</c:v>
                </c:pt>
                <c:pt idx="2">
                  <c:v>FY25E</c:v>
                </c:pt>
                <c:pt idx="3">
                  <c:v>FY26E</c:v>
                </c:pt>
                <c:pt idx="4">
                  <c:v>FY27E</c:v>
                </c:pt>
                <c:pt idx="5">
                  <c:v>FY28E</c:v>
                </c:pt>
                <c:pt idx="6">
                  <c:v>FY29E</c:v>
                </c:pt>
                <c:pt idx="7">
                  <c:v>FY30E</c:v>
                </c:pt>
              </c:strCache>
            </c:strRef>
          </c:cat>
          <c:val>
            <c:numRef>
              <c:f>Charts!$H$13:$O$13</c:f>
              <c:numCache>
                <c:formatCode>#,##0_);\(#,##0\)</c:formatCode>
                <c:ptCount val="8"/>
                <c:pt idx="0">
                  <c:v>16.939999999999998</c:v>
                </c:pt>
                <c:pt idx="1">
                  <c:v>18.27</c:v>
                </c:pt>
                <c:pt idx="2">
                  <c:v>17.5</c:v>
                </c:pt>
                <c:pt idx="3">
                  <c:v>20.79</c:v>
                </c:pt>
                <c:pt idx="4">
                  <c:v>22.259999999999998</c:v>
                </c:pt>
                <c:pt idx="5">
                  <c:v>22.33</c:v>
                </c:pt>
                <c:pt idx="6">
                  <c:v>23.659999999999997</c:v>
                </c:pt>
                <c:pt idx="7">
                  <c:v>24.919999999999998</c:v>
                </c:pt>
              </c:numCache>
            </c:numRef>
          </c:val>
          <c:extLst>
            <c:ext xmlns:c16="http://schemas.microsoft.com/office/drawing/2014/chart" uri="{C3380CC4-5D6E-409C-BE32-E72D297353CC}">
              <c16:uniqueId val="{00000001-C0E7-4BE7-82F6-572CFD97E0F2}"/>
            </c:ext>
          </c:extLst>
        </c:ser>
        <c:ser>
          <c:idx val="2"/>
          <c:order val="2"/>
          <c:tx>
            <c:strRef>
              <c:f>Charts!$B$14</c:f>
              <c:strCache>
                <c:ptCount val="1"/>
                <c:pt idx="0">
                  <c:v>Thermal Coal</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Charts!$H$11:$O$11</c:f>
              <c:strCache>
                <c:ptCount val="8"/>
                <c:pt idx="0">
                  <c:v>FY23</c:v>
                </c:pt>
                <c:pt idx="1">
                  <c:v>FY24</c:v>
                </c:pt>
                <c:pt idx="2">
                  <c:v>FY25E</c:v>
                </c:pt>
                <c:pt idx="3">
                  <c:v>FY26E</c:v>
                </c:pt>
                <c:pt idx="4">
                  <c:v>FY27E</c:v>
                </c:pt>
                <c:pt idx="5">
                  <c:v>FY28E</c:v>
                </c:pt>
                <c:pt idx="6">
                  <c:v>FY29E</c:v>
                </c:pt>
                <c:pt idx="7">
                  <c:v>FY30E</c:v>
                </c:pt>
              </c:strCache>
            </c:strRef>
          </c:cat>
          <c:val>
            <c:numRef>
              <c:f>Charts!$H$14:$O$14</c:f>
              <c:numCache>
                <c:formatCode>#,##0_);\(#,##0\)</c:formatCode>
                <c:ptCount val="8"/>
                <c:pt idx="0">
                  <c:v>19.36</c:v>
                </c:pt>
                <c:pt idx="1">
                  <c:v>20.880000000000003</c:v>
                </c:pt>
                <c:pt idx="2">
                  <c:v>20</c:v>
                </c:pt>
                <c:pt idx="3">
                  <c:v>23.760000000000005</c:v>
                </c:pt>
                <c:pt idx="4">
                  <c:v>25.439999999999998</c:v>
                </c:pt>
                <c:pt idx="5">
                  <c:v>25.52</c:v>
                </c:pt>
                <c:pt idx="6">
                  <c:v>27.04</c:v>
                </c:pt>
                <c:pt idx="7">
                  <c:v>28.480000000000004</c:v>
                </c:pt>
              </c:numCache>
            </c:numRef>
          </c:val>
          <c:extLst>
            <c:ext xmlns:c16="http://schemas.microsoft.com/office/drawing/2014/chart" uri="{C3380CC4-5D6E-409C-BE32-E72D297353CC}">
              <c16:uniqueId val="{00000002-C0E7-4BE7-82F6-572CFD97E0F2}"/>
            </c:ext>
          </c:extLst>
        </c:ser>
        <c:ser>
          <c:idx val="3"/>
          <c:order val="3"/>
          <c:tx>
            <c:v>Total</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Charts!$H$11:$O$11</c:f>
              <c:strCache>
                <c:ptCount val="8"/>
                <c:pt idx="0">
                  <c:v>FY23</c:v>
                </c:pt>
                <c:pt idx="1">
                  <c:v>FY24</c:v>
                </c:pt>
                <c:pt idx="2">
                  <c:v>FY25E</c:v>
                </c:pt>
                <c:pt idx="3">
                  <c:v>FY26E</c:v>
                </c:pt>
                <c:pt idx="4">
                  <c:v>FY27E</c:v>
                </c:pt>
                <c:pt idx="5">
                  <c:v>FY28E</c:v>
                </c:pt>
                <c:pt idx="6">
                  <c:v>FY29E</c:v>
                </c:pt>
                <c:pt idx="7">
                  <c:v>FY30E</c:v>
                </c:pt>
              </c:strCache>
            </c:strRef>
          </c:cat>
          <c:val>
            <c:numRef>
              <c:f>Charts!$H$15:$O$15</c:f>
              <c:numCache>
                <c:formatCode>#,##0_);\(#,##0\)</c:formatCode>
                <c:ptCount val="8"/>
                <c:pt idx="0">
                  <c:v>84.7</c:v>
                </c:pt>
                <c:pt idx="1">
                  <c:v>91.35</c:v>
                </c:pt>
                <c:pt idx="2">
                  <c:v>87.5</c:v>
                </c:pt>
                <c:pt idx="3">
                  <c:v>103.95</c:v>
                </c:pt>
                <c:pt idx="4">
                  <c:v>111.29999999999998</c:v>
                </c:pt>
                <c:pt idx="5">
                  <c:v>111.64999999999999</c:v>
                </c:pt>
                <c:pt idx="6">
                  <c:v>118.29999999999998</c:v>
                </c:pt>
                <c:pt idx="7">
                  <c:v>124.60000000000001</c:v>
                </c:pt>
              </c:numCache>
            </c:numRef>
          </c:val>
          <c:extLst>
            <c:ext xmlns:c16="http://schemas.microsoft.com/office/drawing/2014/chart" uri="{C3380CC4-5D6E-409C-BE32-E72D297353CC}">
              <c16:uniqueId val="{00000003-C0E7-4BE7-82F6-572CFD97E0F2}"/>
            </c:ext>
          </c:extLst>
        </c:ser>
        <c:dLbls>
          <c:dLblPos val="outEnd"/>
          <c:showLegendKey val="0"/>
          <c:showVal val="1"/>
          <c:showCatName val="0"/>
          <c:showSerName val="0"/>
          <c:showPercent val="0"/>
          <c:showBubbleSize val="0"/>
        </c:dLbls>
        <c:gapWidth val="30"/>
        <c:axId val="13801839"/>
        <c:axId val="13820559"/>
      </c:barChart>
      <c:catAx>
        <c:axId val="13801839"/>
        <c:scaling>
          <c:orientation val="minMax"/>
        </c:scaling>
        <c:delete val="0"/>
        <c:axPos val="b"/>
        <c:numFmt formatCode="General" sourceLinked="1"/>
        <c:majorTickMark val="none"/>
        <c:minorTickMark val="none"/>
        <c:tickLblPos val="nextTo"/>
        <c:crossAx val="13820559"/>
        <c:crosses val="autoZero"/>
        <c:auto val="1"/>
        <c:lblAlgn val="ctr"/>
        <c:lblOffset val="100"/>
        <c:noMultiLvlLbl val="0"/>
      </c:catAx>
      <c:valAx>
        <c:axId val="13820559"/>
        <c:scaling>
          <c:orientation val="minMax"/>
        </c:scaling>
        <c:delete val="1"/>
        <c:axPos val="l"/>
        <c:numFmt formatCode="#,##0_);\(#,##0\)" sourceLinked="1"/>
        <c:majorTickMark val="none"/>
        <c:minorTickMark val="none"/>
        <c:tickLblPos val="nextTo"/>
        <c:crossAx val="13801839"/>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Charts!$B$7</c:f>
          <c:strCache>
            <c:ptCount val="1"/>
            <c:pt idx="0">
              <c:v>JSW Steel Capacity and Production, MT</c:v>
            </c:pt>
          </c:strCache>
        </c:strRef>
      </c:tx>
      <c:overlay val="0"/>
    </c:title>
    <c:autoTitleDeleted val="0"/>
    <c:plotArea>
      <c:layout/>
      <c:barChart>
        <c:barDir val="col"/>
        <c:grouping val="clustered"/>
        <c:varyColors val="0"/>
        <c:ser>
          <c:idx val="0"/>
          <c:order val="0"/>
          <c:tx>
            <c:strRef>
              <c:f>Charts!$B$8</c:f>
              <c:strCache>
                <c:ptCount val="1"/>
                <c:pt idx="0">
                  <c:v>Capacity</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Charts!$H$7:$O$7</c:f>
              <c:strCache>
                <c:ptCount val="8"/>
                <c:pt idx="0">
                  <c:v>FY23</c:v>
                </c:pt>
                <c:pt idx="1">
                  <c:v>FY24</c:v>
                </c:pt>
                <c:pt idx="2">
                  <c:v>FY25E</c:v>
                </c:pt>
                <c:pt idx="3">
                  <c:v>FY26E</c:v>
                </c:pt>
                <c:pt idx="4">
                  <c:v>FY27E</c:v>
                </c:pt>
                <c:pt idx="5">
                  <c:v>FY28E</c:v>
                </c:pt>
                <c:pt idx="6">
                  <c:v>FY29E</c:v>
                </c:pt>
                <c:pt idx="7">
                  <c:v>FY30E</c:v>
                </c:pt>
              </c:strCache>
            </c:strRef>
          </c:cat>
          <c:val>
            <c:numRef>
              <c:f>Charts!$H$8:$O$8</c:f>
              <c:numCache>
                <c:formatCode>#,##0_);\(#,##0\)</c:formatCode>
                <c:ptCount val="8"/>
                <c:pt idx="0">
                  <c:v>29</c:v>
                </c:pt>
                <c:pt idx="1">
                  <c:v>30</c:v>
                </c:pt>
                <c:pt idx="2">
                  <c:v>35.5</c:v>
                </c:pt>
                <c:pt idx="3">
                  <c:v>35.5</c:v>
                </c:pt>
                <c:pt idx="4">
                  <c:v>37.5</c:v>
                </c:pt>
                <c:pt idx="5">
                  <c:v>44.5</c:v>
                </c:pt>
                <c:pt idx="6">
                  <c:v>44.5</c:v>
                </c:pt>
                <c:pt idx="7">
                  <c:v>51.5</c:v>
                </c:pt>
              </c:numCache>
            </c:numRef>
          </c:val>
          <c:extLst>
            <c:ext xmlns:c16="http://schemas.microsoft.com/office/drawing/2014/chart" uri="{C3380CC4-5D6E-409C-BE32-E72D297353CC}">
              <c16:uniqueId val="{00000000-16B9-4A6C-B92B-53E5043960C5}"/>
            </c:ext>
          </c:extLst>
        </c:ser>
        <c:ser>
          <c:idx val="1"/>
          <c:order val="1"/>
          <c:tx>
            <c:strRef>
              <c:f>Charts!$B$9</c:f>
              <c:strCache>
                <c:ptCount val="1"/>
                <c:pt idx="0">
                  <c:v>Production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Charts!$H$7:$O$7</c:f>
              <c:strCache>
                <c:ptCount val="8"/>
                <c:pt idx="0">
                  <c:v>FY23</c:v>
                </c:pt>
                <c:pt idx="1">
                  <c:v>FY24</c:v>
                </c:pt>
                <c:pt idx="2">
                  <c:v>FY25E</c:v>
                </c:pt>
                <c:pt idx="3">
                  <c:v>FY26E</c:v>
                </c:pt>
                <c:pt idx="4">
                  <c:v>FY27E</c:v>
                </c:pt>
                <c:pt idx="5">
                  <c:v>FY28E</c:v>
                </c:pt>
                <c:pt idx="6">
                  <c:v>FY29E</c:v>
                </c:pt>
                <c:pt idx="7">
                  <c:v>FY30E</c:v>
                </c:pt>
              </c:strCache>
            </c:strRef>
          </c:cat>
          <c:val>
            <c:numRef>
              <c:f>Charts!$H$9:$O$9</c:f>
              <c:numCache>
                <c:formatCode>#,##0_);\(#,##0\)</c:formatCode>
                <c:ptCount val="8"/>
                <c:pt idx="0">
                  <c:v>24.2</c:v>
                </c:pt>
                <c:pt idx="1">
                  <c:v>26.1</c:v>
                </c:pt>
                <c:pt idx="2">
                  <c:v>25</c:v>
                </c:pt>
                <c:pt idx="3">
                  <c:v>29.700000000000003</c:v>
                </c:pt>
                <c:pt idx="4">
                  <c:v>31.799999999999997</c:v>
                </c:pt>
                <c:pt idx="5">
                  <c:v>31.9</c:v>
                </c:pt>
                <c:pt idx="6">
                  <c:v>33.799999999999997</c:v>
                </c:pt>
                <c:pt idx="7">
                  <c:v>35.6</c:v>
                </c:pt>
              </c:numCache>
            </c:numRef>
          </c:val>
          <c:extLst>
            <c:ext xmlns:c16="http://schemas.microsoft.com/office/drawing/2014/chart" uri="{C3380CC4-5D6E-409C-BE32-E72D297353CC}">
              <c16:uniqueId val="{00000001-16B9-4A6C-B92B-53E5043960C5}"/>
            </c:ext>
          </c:extLst>
        </c:ser>
        <c:dLbls>
          <c:dLblPos val="outEnd"/>
          <c:showLegendKey val="0"/>
          <c:showVal val="1"/>
          <c:showCatName val="0"/>
          <c:showSerName val="0"/>
          <c:showPercent val="0"/>
          <c:showBubbleSize val="0"/>
        </c:dLbls>
        <c:gapWidth val="30"/>
        <c:axId val="13801839"/>
        <c:axId val="13820559"/>
      </c:barChart>
      <c:catAx>
        <c:axId val="13801839"/>
        <c:scaling>
          <c:orientation val="minMax"/>
        </c:scaling>
        <c:delete val="0"/>
        <c:axPos val="b"/>
        <c:numFmt formatCode="General" sourceLinked="1"/>
        <c:majorTickMark val="none"/>
        <c:minorTickMark val="none"/>
        <c:tickLblPos val="nextTo"/>
        <c:crossAx val="13820559"/>
        <c:crosses val="autoZero"/>
        <c:auto val="1"/>
        <c:lblAlgn val="ctr"/>
        <c:lblOffset val="100"/>
        <c:noMultiLvlLbl val="0"/>
      </c:catAx>
      <c:valAx>
        <c:axId val="13820559"/>
        <c:scaling>
          <c:orientation val="minMax"/>
        </c:scaling>
        <c:delete val="1"/>
        <c:axPos val="l"/>
        <c:numFmt formatCode="#,##0_);\(#,##0\)" sourceLinked="1"/>
        <c:majorTickMark val="none"/>
        <c:minorTickMark val="none"/>
        <c:tickLblPos val="nextTo"/>
        <c:crossAx val="13801839"/>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Charts!$B$148</c:f>
          <c:strCache>
            <c:ptCount val="1"/>
            <c:pt idx="0">
              <c:v>Total Capacity, MT</c:v>
            </c:pt>
          </c:strCache>
        </c:strRef>
      </c:tx>
      <c:overlay val="0"/>
    </c:title>
    <c:autoTitleDeleted val="0"/>
    <c:plotArea>
      <c:layout/>
      <c:barChart>
        <c:barDir val="col"/>
        <c:grouping val="clustered"/>
        <c:varyColors val="0"/>
        <c:ser>
          <c:idx val="0"/>
          <c:order val="0"/>
          <c:tx>
            <c:strRef>
              <c:f>Charts!$B$148</c:f>
              <c:strCache>
                <c:ptCount val="1"/>
                <c:pt idx="0">
                  <c:v>Total Capacity, MT</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Charts!$F$86:$O$86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Charts!$F$148:$O$148</c:f>
              <c:numCache>
                <c:formatCode>#,##0_);\(#,##0\)</c:formatCode>
                <c:ptCount val="10"/>
                <c:pt idx="0">
                  <c:v>111</c:v>
                </c:pt>
                <c:pt idx="1">
                  <c:v>154.19999999999999</c:v>
                </c:pt>
                <c:pt idx="2">
                  <c:v>158.39999999999998</c:v>
                </c:pt>
                <c:pt idx="3">
                  <c:v>169.99999999999997</c:v>
                </c:pt>
                <c:pt idx="4">
                  <c:v>176.89999999999998</c:v>
                </c:pt>
                <c:pt idx="5">
                  <c:v>182.79999999999998</c:v>
                </c:pt>
                <c:pt idx="6">
                  <c:v>197.62</c:v>
                </c:pt>
                <c:pt idx="7">
                  <c:v>299.92</c:v>
                </c:pt>
                <c:pt idx="8">
                  <c:v>341.92</c:v>
                </c:pt>
                <c:pt idx="9">
                  <c:v>401.92</c:v>
                </c:pt>
              </c:numCache>
            </c:numRef>
          </c:val>
          <c:extLst>
            <c:ext xmlns:c16="http://schemas.microsoft.com/office/drawing/2014/chart" uri="{C3380CC4-5D6E-409C-BE32-E72D297353CC}">
              <c16:uniqueId val="{00000000-47DF-4028-A9E0-31A27A7B7C9C}"/>
            </c:ext>
          </c:extLst>
        </c:ser>
        <c:dLbls>
          <c:dLblPos val="outEnd"/>
          <c:showLegendKey val="0"/>
          <c:showVal val="1"/>
          <c:showCatName val="0"/>
          <c:showSerName val="0"/>
          <c:showPercent val="0"/>
          <c:showBubbleSize val="0"/>
        </c:dLbls>
        <c:gapWidth val="30"/>
        <c:axId val="812975023"/>
        <c:axId val="812975503"/>
      </c:barChart>
      <c:catAx>
        <c:axId val="812975023"/>
        <c:scaling>
          <c:orientation val="minMax"/>
        </c:scaling>
        <c:delete val="0"/>
        <c:axPos val="b"/>
        <c:numFmt formatCode="General" sourceLinked="1"/>
        <c:majorTickMark val="none"/>
        <c:minorTickMark val="none"/>
        <c:tickLblPos val="nextTo"/>
        <c:crossAx val="812975503"/>
        <c:crosses val="autoZero"/>
        <c:auto val="1"/>
        <c:lblAlgn val="ctr"/>
        <c:lblOffset val="100"/>
        <c:noMultiLvlLbl val="0"/>
      </c:catAx>
      <c:valAx>
        <c:axId val="812975503"/>
        <c:scaling>
          <c:orientation val="minMax"/>
        </c:scaling>
        <c:delete val="0"/>
        <c:axPos val="l"/>
        <c:numFmt formatCode="#,##0_);\(#,##0\)" sourceLinked="1"/>
        <c:majorTickMark val="none"/>
        <c:minorTickMark val="none"/>
        <c:tickLblPos val="none"/>
        <c:spPr>
          <a:ln>
            <a:noFill/>
          </a:ln>
        </c:spPr>
        <c:crossAx val="812975023"/>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434893922807414"/>
          <c:y val="5.4693240006348266E-2"/>
        </c:manualLayout>
      </c:layout>
      <c:overlay val="0"/>
      <c:txPr>
        <a:bodyPr/>
        <a:lstStyle/>
        <a:p>
          <a:pPr>
            <a:defRPr sz="1000"/>
          </a:pPr>
          <a:endParaRPr lang="en-US"/>
        </a:p>
      </c:txPr>
    </c:title>
    <c:autoTitleDeleted val="0"/>
    <c:plotArea>
      <c:layout/>
      <c:lineChart>
        <c:grouping val="standard"/>
        <c:varyColors val="0"/>
        <c:ser>
          <c:idx val="0"/>
          <c:order val="0"/>
          <c:tx>
            <c:strRef>
              <c:f>Charts!$B$59</c:f>
              <c:strCache>
                <c:ptCount val="1"/>
                <c:pt idx="0">
                  <c:v>Revenue/tonne</c:v>
                </c:pt>
              </c:strCache>
            </c:strRef>
          </c:tx>
          <c:spPr>
            <a:ln w="38100"/>
            <a:effectLst>
              <a:outerShdw blurRad="50800" dist="38100" dir="2700000" algn="tl" rotWithShape="0">
                <a:prstClr val="black">
                  <a:alpha val="40000"/>
                </a:prstClr>
              </a:outerShdw>
            </a:effectLst>
          </c:spPr>
          <c:marker>
            <c:symbol val="none"/>
          </c:marker>
          <c:dLbls>
            <c:spPr>
              <a:noFill/>
              <a:ln>
                <a:noFill/>
              </a:ln>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Charts!$F$58:$L$58</c:f>
              <c:strCache>
                <c:ptCount val="7"/>
                <c:pt idx="0">
                  <c:v>FY21</c:v>
                </c:pt>
                <c:pt idx="1">
                  <c:v>FY22</c:v>
                </c:pt>
                <c:pt idx="2">
                  <c:v>FY23</c:v>
                </c:pt>
                <c:pt idx="3">
                  <c:v>FY24</c:v>
                </c:pt>
                <c:pt idx="4">
                  <c:v>FY25</c:v>
                </c:pt>
                <c:pt idx="5">
                  <c:v>FY26</c:v>
                </c:pt>
                <c:pt idx="6">
                  <c:v>FY27E</c:v>
                </c:pt>
              </c:strCache>
            </c:strRef>
          </c:cat>
          <c:val>
            <c:numRef>
              <c:f>Charts!$F$59:$L$59</c:f>
              <c:numCache>
                <c:formatCode>_(* #,##0_);_(* \(#,##0\);_(* "-"??_);_(@_)</c:formatCode>
                <c:ptCount val="7"/>
                <c:pt idx="0">
                  <c:v>352.13898282752865</c:v>
                </c:pt>
                <c:pt idx="1">
                  <c:v>366.84338529100262</c:v>
                </c:pt>
                <c:pt idx="2">
                  <c:v>345.14056307565369</c:v>
                </c:pt>
                <c:pt idx="3">
                  <c:v>351.54658058993141</c:v>
                </c:pt>
                <c:pt idx="4">
                  <c:v>361.23162393162391</c:v>
                </c:pt>
                <c:pt idx="5">
                  <c:v>427.18162095564458</c:v>
                </c:pt>
                <c:pt idx="6">
                  <c:v>443.73321724508804</c:v>
                </c:pt>
              </c:numCache>
            </c:numRef>
          </c:val>
          <c:smooth val="0"/>
          <c:extLst>
            <c:ext xmlns:c16="http://schemas.microsoft.com/office/drawing/2014/chart" uri="{C3380CC4-5D6E-409C-BE32-E72D297353CC}">
              <c16:uniqueId val="{00000000-F88D-4275-8343-CAFF85B898DF}"/>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none"/>
        <c:minorTickMark val="none"/>
        <c:tickLblPos val="nextTo"/>
        <c:crossAx val="591642735"/>
        <c:crosses val="autoZero"/>
        <c:auto val="1"/>
        <c:lblAlgn val="ctr"/>
        <c:lblOffset val="100"/>
        <c:noMultiLvlLbl val="0"/>
      </c:catAx>
      <c:valAx>
        <c:axId val="591642735"/>
        <c:scaling>
          <c:orientation val="minMax"/>
          <c:max val="500"/>
          <c:min val="300"/>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_(* #,##0_);_(* \(#,##0\);_(* &quot;-&quot;??_);_(@_)" sourceLinked="1"/>
        <c:majorTickMark val="out"/>
        <c:minorTickMark val="none"/>
        <c:tickLblPos val="nextTo"/>
        <c:spPr>
          <a:ln>
            <a:noFill/>
          </a:ln>
        </c:spPr>
        <c:crossAx val="591636495"/>
        <c:crosses val="autoZero"/>
        <c:crossBetween val="between"/>
        <c:majorUnit val="100"/>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Charts!$B$151</c:f>
              <c:strCache>
                <c:ptCount val="1"/>
                <c:pt idx="0">
                  <c:v>Capex, Rs. bn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Charts!$C$150:$O$150</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Charts!$C$151:$O$151</c:f>
              <c:numCache>
                <c:formatCode>#,##0_);\(#,##0\)</c:formatCode>
                <c:ptCount val="13"/>
                <c:pt idx="0">
                  <c:v>9.3780200000000011</c:v>
                </c:pt>
                <c:pt idx="1">
                  <c:v>5.5187590000000002</c:v>
                </c:pt>
                <c:pt idx="2">
                  <c:v>6.7378660000000004</c:v>
                </c:pt>
                <c:pt idx="3">
                  <c:v>17.226119999999998</c:v>
                </c:pt>
                <c:pt idx="4">
                  <c:v>5.09077</c:v>
                </c:pt>
                <c:pt idx="5">
                  <c:v>2.7935599999999998</c:v>
                </c:pt>
                <c:pt idx="6">
                  <c:v>2.4870999999999999</c:v>
                </c:pt>
                <c:pt idx="7">
                  <c:v>20.755700000000001</c:v>
                </c:pt>
                <c:pt idx="8">
                  <c:v>24.916400000000003</c:v>
                </c:pt>
                <c:pt idx="9">
                  <c:v>72.388516586806674</c:v>
                </c:pt>
                <c:pt idx="10">
                  <c:v>89.062124855980159</c:v>
                </c:pt>
                <c:pt idx="11">
                  <c:v>81.166634428177318</c:v>
                </c:pt>
                <c:pt idx="12">
                  <c:v>67.266454129035822</c:v>
                </c:pt>
              </c:numCache>
            </c:numRef>
          </c:val>
          <c:extLst>
            <c:ext xmlns:c16="http://schemas.microsoft.com/office/drawing/2014/chart" uri="{C3380CC4-5D6E-409C-BE32-E72D297353CC}">
              <c16:uniqueId val="{00000000-3B27-478B-9B45-09B31BDF874F}"/>
            </c:ext>
          </c:extLst>
        </c:ser>
        <c:dLbls>
          <c:dLblPos val="outEnd"/>
          <c:showLegendKey val="0"/>
          <c:showVal val="1"/>
          <c:showCatName val="0"/>
          <c:showSerName val="0"/>
          <c:showPercent val="0"/>
          <c:showBubbleSize val="0"/>
        </c:dLbls>
        <c:gapWidth val="30"/>
        <c:overlap val="-27"/>
        <c:axId val="1169831984"/>
        <c:axId val="1169826704"/>
      </c:barChart>
      <c:catAx>
        <c:axId val="1169831984"/>
        <c:scaling>
          <c:orientation val="minMax"/>
        </c:scaling>
        <c:delete val="0"/>
        <c:axPos val="b"/>
        <c:numFmt formatCode="General" sourceLinked="1"/>
        <c:majorTickMark val="none"/>
        <c:minorTickMark val="none"/>
        <c:tickLblPos val="nextTo"/>
        <c:crossAx val="1169826704"/>
        <c:crosses val="autoZero"/>
        <c:auto val="1"/>
        <c:lblAlgn val="ctr"/>
        <c:lblOffset val="100"/>
        <c:noMultiLvlLbl val="0"/>
      </c:catAx>
      <c:valAx>
        <c:axId val="1169826704"/>
        <c:scaling>
          <c:orientation val="minMax"/>
        </c:scaling>
        <c:delete val="1"/>
        <c:axPos val="l"/>
        <c:numFmt formatCode="#,##0_);\(#,##0\)" sourceLinked="1"/>
        <c:majorTickMark val="none"/>
        <c:minorTickMark val="none"/>
        <c:tickLblPos val="nextTo"/>
        <c:crossAx val="1169831984"/>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Charts!$B$154</c:f>
              <c:strCache>
                <c:ptCount val="1"/>
                <c:pt idx="0">
                  <c:v>Total Debt, Rs.bn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Charts!$C$150:$O$150</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Charts!$C$154:$O$154</c:f>
              <c:numCache>
                <c:formatCode>#,##0_);\(#,##0\)</c:formatCode>
                <c:ptCount val="13"/>
                <c:pt idx="0">
                  <c:v>16.799911000000002</c:v>
                </c:pt>
                <c:pt idx="1">
                  <c:v>20.001206</c:v>
                </c:pt>
                <c:pt idx="2">
                  <c:v>27.167159999999999</c:v>
                </c:pt>
                <c:pt idx="3">
                  <c:v>39.458179999999999</c:v>
                </c:pt>
                <c:pt idx="4">
                  <c:v>44.086940000000006</c:v>
                </c:pt>
                <c:pt idx="5">
                  <c:v>42.436980000000005</c:v>
                </c:pt>
                <c:pt idx="6">
                  <c:v>43.806800000000003</c:v>
                </c:pt>
                <c:pt idx="7">
                  <c:v>46.588299999999997</c:v>
                </c:pt>
                <c:pt idx="8">
                  <c:v>64.098500000000001</c:v>
                </c:pt>
                <c:pt idx="9">
                  <c:v>103.25789123008481</c:v>
                </c:pt>
                <c:pt idx="10">
                  <c:v>133.15867992260425</c:v>
                </c:pt>
                <c:pt idx="11">
                  <c:v>137.06513864899509</c:v>
                </c:pt>
                <c:pt idx="12">
                  <c:v>153.55457116598683</c:v>
                </c:pt>
              </c:numCache>
            </c:numRef>
          </c:val>
          <c:extLst>
            <c:ext xmlns:c16="http://schemas.microsoft.com/office/drawing/2014/chart" uri="{C3380CC4-5D6E-409C-BE32-E72D297353CC}">
              <c16:uniqueId val="{00000000-66E7-4D08-AC61-A831BC5BBC97}"/>
            </c:ext>
          </c:extLst>
        </c:ser>
        <c:dLbls>
          <c:dLblPos val="outEnd"/>
          <c:showLegendKey val="0"/>
          <c:showVal val="1"/>
          <c:showCatName val="0"/>
          <c:showSerName val="0"/>
          <c:showPercent val="0"/>
          <c:showBubbleSize val="0"/>
        </c:dLbls>
        <c:gapWidth val="30"/>
        <c:overlap val="-27"/>
        <c:axId val="1169831984"/>
        <c:axId val="1169826704"/>
      </c:barChart>
      <c:catAx>
        <c:axId val="1169831984"/>
        <c:scaling>
          <c:orientation val="minMax"/>
        </c:scaling>
        <c:delete val="0"/>
        <c:axPos val="b"/>
        <c:numFmt formatCode="General" sourceLinked="1"/>
        <c:majorTickMark val="none"/>
        <c:minorTickMark val="none"/>
        <c:tickLblPos val="nextTo"/>
        <c:crossAx val="1169826704"/>
        <c:crosses val="autoZero"/>
        <c:auto val="1"/>
        <c:lblAlgn val="ctr"/>
        <c:lblOffset val="100"/>
        <c:noMultiLvlLbl val="0"/>
      </c:catAx>
      <c:valAx>
        <c:axId val="1169826704"/>
        <c:scaling>
          <c:orientation val="minMax"/>
        </c:scaling>
        <c:delete val="1"/>
        <c:axPos val="l"/>
        <c:numFmt formatCode="#,##0_);\(#,##0\)" sourceLinked="1"/>
        <c:majorTickMark val="none"/>
        <c:minorTickMark val="none"/>
        <c:tickLblPos val="nextTo"/>
        <c:crossAx val="1169831984"/>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Charts!$B$156</c:f>
          <c:strCache>
            <c:ptCount val="1"/>
            <c:pt idx="0">
              <c:v>Return Metrics</c:v>
            </c:pt>
          </c:strCache>
        </c:strRef>
      </c:tx>
      <c:overlay val="0"/>
    </c:title>
    <c:autoTitleDeleted val="0"/>
    <c:plotArea>
      <c:layout/>
      <c:lineChart>
        <c:grouping val="standard"/>
        <c:varyColors val="0"/>
        <c:ser>
          <c:idx val="0"/>
          <c:order val="0"/>
          <c:tx>
            <c:strRef>
              <c:f>Charts!$B$157</c:f>
              <c:strCache>
                <c:ptCount val="1"/>
                <c:pt idx="0">
                  <c:v>Reported RoCE, %</c:v>
                </c:pt>
              </c:strCache>
            </c:strRef>
          </c:tx>
          <c:spPr>
            <a:ln w="38100"/>
            <a:effectLst>
              <a:outerShdw blurRad="50800" dist="38100" dir="2700000" algn="tl" rotWithShape="0">
                <a:prstClr val="black">
                  <a:alpha val="40000"/>
                </a:prstClr>
              </a:outerShdw>
            </a:effectLst>
          </c:spPr>
          <c:marker>
            <c:symbol val="none"/>
          </c:marker>
          <c:dLbls>
            <c:dLbl>
              <c:idx val="5"/>
              <c:layout>
                <c:manualLayout>
                  <c:x val="-2.9986043988428104E-2"/>
                  <c:y val="-3.5657095115425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CE-4F9D-94AE-AFED80778E90}"/>
                </c:ext>
              </c:extLst>
            </c:dLbl>
            <c:spPr>
              <a:noFill/>
              <a:ln>
                <a:noFill/>
              </a:ln>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Charts!$C$157:$O$157</c:f>
              <c:numCache>
                <c:formatCode>0%</c:formatCode>
                <c:ptCount val="13"/>
                <c:pt idx="0">
                  <c:v>7.9825280398223161E-2</c:v>
                </c:pt>
                <c:pt idx="1">
                  <c:v>8.3184228547020858E-2</c:v>
                </c:pt>
                <c:pt idx="2">
                  <c:v>7.0667832483507428E-2</c:v>
                </c:pt>
                <c:pt idx="3">
                  <c:v>5.7397405962590922E-2</c:v>
                </c:pt>
                <c:pt idx="4">
                  <c:v>7.4227294556233336E-2</c:v>
                </c:pt>
                <c:pt idx="5">
                  <c:v>0.14636346684270354</c:v>
                </c:pt>
                <c:pt idx="6">
                  <c:v>0.10780053031319661</c:v>
                </c:pt>
                <c:pt idx="7">
                  <c:v>0.11065758374088255</c:v>
                </c:pt>
                <c:pt idx="8">
                  <c:v>0.10223813388390543</c:v>
                </c:pt>
                <c:pt idx="9">
                  <c:v>6.5187404509055927E-2</c:v>
                </c:pt>
                <c:pt idx="10">
                  <c:v>8.5124082592965736E-2</c:v>
                </c:pt>
                <c:pt idx="11">
                  <c:v>8.7864621734563608E-2</c:v>
                </c:pt>
                <c:pt idx="12">
                  <c:v>9.5771964124638356E-2</c:v>
                </c:pt>
              </c:numCache>
            </c:numRef>
          </c:val>
          <c:smooth val="0"/>
          <c:extLst>
            <c:ext xmlns:c16="http://schemas.microsoft.com/office/drawing/2014/chart" uri="{C3380CC4-5D6E-409C-BE32-E72D297353CC}">
              <c16:uniqueId val="{00000000-68CE-4F9D-94AE-AFED80778E90}"/>
            </c:ext>
          </c:extLst>
        </c:ser>
        <c:ser>
          <c:idx val="1"/>
          <c:order val="1"/>
          <c:tx>
            <c:strRef>
              <c:f>Charts!$B$158</c:f>
              <c:strCache>
                <c:ptCount val="1"/>
                <c:pt idx="0">
                  <c:v>RoIC (Pre-Tax), %</c:v>
                </c:pt>
              </c:strCache>
            </c:strRef>
          </c:tx>
          <c:spPr>
            <a:ln w="38100"/>
            <a:effectLst>
              <a:outerShdw blurRad="50800" dist="38100" dir="2700000" algn="tl" rotWithShape="0">
                <a:prstClr val="black">
                  <a:alpha val="40000"/>
                </a:prstClr>
              </a:outerShdw>
            </a:effectLst>
          </c:spPr>
          <c:marker>
            <c:symbol val="none"/>
          </c:marker>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Charts!$C$158:$O$158</c:f>
              <c:numCache>
                <c:formatCode>0%</c:formatCode>
                <c:ptCount val="13"/>
                <c:pt idx="0">
                  <c:v>0.12321637951393519</c:v>
                </c:pt>
                <c:pt idx="1">
                  <c:v>9.737571603772896E-2</c:v>
                </c:pt>
                <c:pt idx="2">
                  <c:v>9.9630522905973171E-2</c:v>
                </c:pt>
                <c:pt idx="3">
                  <c:v>0.10774786287998174</c:v>
                </c:pt>
                <c:pt idx="4">
                  <c:v>0.11927532362055952</c:v>
                </c:pt>
                <c:pt idx="5">
                  <c:v>0.18744126191510233</c:v>
                </c:pt>
                <c:pt idx="6">
                  <c:v>0.21047912575460398</c:v>
                </c:pt>
                <c:pt idx="7">
                  <c:v>0.1839322605925911</c:v>
                </c:pt>
                <c:pt idx="8">
                  <c:v>0.17241084980114704</c:v>
                </c:pt>
                <c:pt idx="9">
                  <c:v>0.15631751573354791</c:v>
                </c:pt>
                <c:pt idx="10">
                  <c:v>0.16514072415133774</c:v>
                </c:pt>
                <c:pt idx="11">
                  <c:v>0.13582471004410138</c:v>
                </c:pt>
                <c:pt idx="12">
                  <c:v>0.13929477681831517</c:v>
                </c:pt>
              </c:numCache>
            </c:numRef>
          </c:val>
          <c:smooth val="0"/>
          <c:extLst>
            <c:ext xmlns:c16="http://schemas.microsoft.com/office/drawing/2014/chart" uri="{C3380CC4-5D6E-409C-BE32-E72D297353CC}">
              <c16:uniqueId val="{00000001-68CE-4F9D-94AE-AFED80778E90}"/>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30000000000000004"/>
          <c:min val="0"/>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0%" sourceLinked="1"/>
        <c:majorTickMark val="none"/>
        <c:minorTickMark val="none"/>
        <c:tickLblPos val="none"/>
        <c:spPr>
          <a:ln>
            <a:noFill/>
          </a:ln>
        </c:spPr>
        <c:crossAx val="591636495"/>
        <c:crosses val="autoZero"/>
        <c:crossBetween val="between"/>
        <c:majorUnit val="100"/>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Charts!$B$160</c:f>
          <c:strCache>
            <c:ptCount val="1"/>
            <c:pt idx="0">
              <c:v>JSW Infra Capacity Utilisation,%</c:v>
            </c:pt>
          </c:strCache>
        </c:strRef>
      </c:tx>
      <c:overlay val="0"/>
    </c:title>
    <c:autoTitleDeleted val="0"/>
    <c:plotArea>
      <c:layout/>
      <c:lineChart>
        <c:grouping val="standard"/>
        <c:varyColors val="0"/>
        <c:ser>
          <c:idx val="0"/>
          <c:order val="0"/>
          <c:tx>
            <c:strRef>
              <c:f>Charts!$B$161</c:f>
              <c:strCache>
                <c:ptCount val="1"/>
                <c:pt idx="0">
                  <c:v>JSW Infra Capacity Utilisation,%</c:v>
                </c:pt>
              </c:strCache>
            </c:strRef>
          </c:tx>
          <c:spPr>
            <a:ln w="38100"/>
            <a:effectLst>
              <a:outerShdw blurRad="50800" dist="38100" dir="2700000" algn="tl" rotWithShape="0">
                <a:prstClr val="black">
                  <a:alpha val="40000"/>
                </a:prstClr>
              </a:outerShdw>
            </a:effectLst>
          </c:spPr>
          <c:marker>
            <c:symbol val="none"/>
          </c:marker>
          <c:dLbls>
            <c:spPr>
              <a:noFill/>
              <a:ln>
                <a:noFill/>
              </a:ln>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Charts!$E$58:$O$58</c:f>
              <c:strCache>
                <c:ptCount val="11"/>
                <c:pt idx="0">
                  <c:v>FY20</c:v>
                </c:pt>
                <c:pt idx="1">
                  <c:v>FY21</c:v>
                </c:pt>
                <c:pt idx="2">
                  <c:v>FY22</c:v>
                </c:pt>
                <c:pt idx="3">
                  <c:v>FY23</c:v>
                </c:pt>
                <c:pt idx="4">
                  <c:v>FY24</c:v>
                </c:pt>
                <c:pt idx="5">
                  <c:v>FY25</c:v>
                </c:pt>
                <c:pt idx="6">
                  <c:v>FY26</c:v>
                </c:pt>
                <c:pt idx="7">
                  <c:v>FY27E</c:v>
                </c:pt>
                <c:pt idx="8">
                  <c:v>FY28E</c:v>
                </c:pt>
                <c:pt idx="9">
                  <c:v>FY29E</c:v>
                </c:pt>
                <c:pt idx="10">
                  <c:v>FY30E</c:v>
                </c:pt>
              </c:strCache>
            </c:strRef>
          </c:cat>
          <c:val>
            <c:numRef>
              <c:f>Charts!$E$161:$O$161</c:f>
              <c:numCache>
                <c:formatCode>0%</c:formatCode>
                <c:ptCount val="11"/>
                <c:pt idx="0">
                  <c:v>0.40012301190588234</c:v>
                </c:pt>
                <c:pt idx="1">
                  <c:v>0.41025225225225231</c:v>
                </c:pt>
                <c:pt idx="2">
                  <c:v>0.40183300399487676</c:v>
                </c:pt>
                <c:pt idx="3">
                  <c:v>0.58592801567689878</c:v>
                </c:pt>
                <c:pt idx="4">
                  <c:v>0.62963624967363674</c:v>
                </c:pt>
                <c:pt idx="5">
                  <c:v>0.66139061616732631</c:v>
                </c:pt>
                <c:pt idx="6">
                  <c:v>0.66050328227571109</c:v>
                </c:pt>
                <c:pt idx="7">
                  <c:v>0.64748562898492068</c:v>
                </c:pt>
                <c:pt idx="8">
                  <c:v>0.56197330788210198</c:v>
                </c:pt>
                <c:pt idx="9">
                  <c:v>0.57596605192735151</c:v>
                </c:pt>
                <c:pt idx="10">
                  <c:v>0.59064030935696166</c:v>
                </c:pt>
              </c:numCache>
            </c:numRef>
          </c:val>
          <c:smooth val="0"/>
          <c:extLst>
            <c:ext xmlns:c16="http://schemas.microsoft.com/office/drawing/2014/chart" uri="{C3380CC4-5D6E-409C-BE32-E72D297353CC}">
              <c16:uniqueId val="{00000001-05C4-4B6B-B5D1-C1BD67783F55}"/>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9"/>
          <c:min val="0.30000000000000004"/>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0%" sourceLinked="1"/>
        <c:majorTickMark val="none"/>
        <c:minorTickMark val="none"/>
        <c:tickLblPos val="none"/>
        <c:spPr>
          <a:ln>
            <a:noFill/>
          </a:ln>
        </c:spPr>
        <c:crossAx val="591636495"/>
        <c:crosses val="autoZero"/>
        <c:crossBetween val="between"/>
        <c:majorUnit val="100"/>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Charts!$B$163</c:f>
          <c:strCache>
            <c:ptCount val="1"/>
            <c:pt idx="0">
              <c:v>RoIC (Pre-Tax), %</c:v>
            </c:pt>
          </c:strCache>
        </c:strRef>
      </c:tx>
      <c:overlay val="0"/>
    </c:title>
    <c:autoTitleDeleted val="0"/>
    <c:plotArea>
      <c:layout/>
      <c:lineChart>
        <c:grouping val="standard"/>
        <c:varyColors val="0"/>
        <c:ser>
          <c:idx val="0"/>
          <c:order val="0"/>
          <c:tx>
            <c:strRef>
              <c:f>Charts!$B$164</c:f>
              <c:strCache>
                <c:ptCount val="1"/>
                <c:pt idx="0">
                  <c:v>JSW Infra</c:v>
                </c:pt>
              </c:strCache>
            </c:strRef>
          </c:tx>
          <c:spPr>
            <a:ln w="34925"/>
          </c:spPr>
          <c:marker>
            <c:symbol val="none"/>
          </c:marker>
          <c:dLbls>
            <c:spPr>
              <a:noFill/>
              <a:ln>
                <a:noFill/>
              </a:ln>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Charts!$C$58:$M$58</c:f>
              <c:strCache>
                <c:ptCount val="11"/>
                <c:pt idx="0">
                  <c:v>FY18</c:v>
                </c:pt>
                <c:pt idx="1">
                  <c:v>FY19</c:v>
                </c:pt>
                <c:pt idx="2">
                  <c:v>FY20</c:v>
                </c:pt>
                <c:pt idx="3">
                  <c:v>FY21</c:v>
                </c:pt>
                <c:pt idx="4">
                  <c:v>FY22</c:v>
                </c:pt>
                <c:pt idx="5">
                  <c:v>FY23</c:v>
                </c:pt>
                <c:pt idx="6">
                  <c:v>FY24</c:v>
                </c:pt>
                <c:pt idx="7">
                  <c:v>FY25</c:v>
                </c:pt>
                <c:pt idx="8">
                  <c:v>FY26</c:v>
                </c:pt>
                <c:pt idx="9">
                  <c:v>FY27E</c:v>
                </c:pt>
                <c:pt idx="10">
                  <c:v>FY28E</c:v>
                </c:pt>
              </c:strCache>
            </c:strRef>
          </c:cat>
          <c:val>
            <c:numRef>
              <c:f>Charts!$C$164:$M$164</c:f>
              <c:numCache>
                <c:formatCode>0%</c:formatCode>
                <c:ptCount val="11"/>
                <c:pt idx="0">
                  <c:v>0.12321637951393519</c:v>
                </c:pt>
                <c:pt idx="1">
                  <c:v>9.737571603772896E-2</c:v>
                </c:pt>
                <c:pt idx="2">
                  <c:v>9.9630522905973171E-2</c:v>
                </c:pt>
                <c:pt idx="3">
                  <c:v>0.10774786287998174</c:v>
                </c:pt>
                <c:pt idx="4">
                  <c:v>0.11927532362055952</c:v>
                </c:pt>
                <c:pt idx="5">
                  <c:v>0.18744126191510233</c:v>
                </c:pt>
                <c:pt idx="6">
                  <c:v>0.21047912575460398</c:v>
                </c:pt>
                <c:pt idx="7">
                  <c:v>0.1839322605925911</c:v>
                </c:pt>
                <c:pt idx="8">
                  <c:v>0.17241084980114704</c:v>
                </c:pt>
                <c:pt idx="9">
                  <c:v>0.15631751573354791</c:v>
                </c:pt>
                <c:pt idx="10">
                  <c:v>0.16514072415133774</c:v>
                </c:pt>
              </c:numCache>
            </c:numRef>
          </c:val>
          <c:smooth val="0"/>
          <c:extLst>
            <c:ext xmlns:c16="http://schemas.microsoft.com/office/drawing/2014/chart" uri="{C3380CC4-5D6E-409C-BE32-E72D297353CC}">
              <c16:uniqueId val="{00000001-583E-4B1A-A423-9A7F9E07B1A1}"/>
            </c:ext>
          </c:extLst>
        </c:ser>
        <c:ser>
          <c:idx val="1"/>
          <c:order val="1"/>
          <c:tx>
            <c:strRef>
              <c:f>Charts!$B$165</c:f>
              <c:strCache>
                <c:ptCount val="1"/>
                <c:pt idx="0">
                  <c:v>Adani Ports</c:v>
                </c:pt>
              </c:strCache>
            </c:strRef>
          </c:tx>
          <c:spPr>
            <a:ln w="34925"/>
          </c:spPr>
          <c:marker>
            <c:symbol val="none"/>
          </c:marker>
          <c:dLbls>
            <c:dLbl>
              <c:idx val="8"/>
              <c:layout>
                <c:manualLayout>
                  <c:x val="-3.6708727976894874E-2"/>
                  <c:y val="-1.36889860636565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9-4315-904A-C481EDE06EB7}"/>
                </c:ext>
              </c:extLst>
            </c:dLbl>
            <c:dLbl>
              <c:idx val="9"/>
              <c:layout>
                <c:manualLayout>
                  <c:x val="-3.4101388849632326E-2"/>
                  <c:y val="2.86810414533389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3E-4B1A-A423-9A7F9E07B1A1}"/>
                </c:ext>
              </c:extLst>
            </c:dLbl>
            <c:dLbl>
              <c:idx val="10"/>
              <c:layout>
                <c:manualLayout>
                  <c:x val="-2.9927412246250312E-2"/>
                  <c:y val="2.5474727975118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3E-4B1A-A423-9A7F9E07B1A1}"/>
                </c:ext>
              </c:extLst>
            </c:dLbl>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Charts!$C$58:$M$58</c:f>
              <c:strCache>
                <c:ptCount val="11"/>
                <c:pt idx="0">
                  <c:v>FY18</c:v>
                </c:pt>
                <c:pt idx="1">
                  <c:v>FY19</c:v>
                </c:pt>
                <c:pt idx="2">
                  <c:v>FY20</c:v>
                </c:pt>
                <c:pt idx="3">
                  <c:v>FY21</c:v>
                </c:pt>
                <c:pt idx="4">
                  <c:v>FY22</c:v>
                </c:pt>
                <c:pt idx="5">
                  <c:v>FY23</c:v>
                </c:pt>
                <c:pt idx="6">
                  <c:v>FY24</c:v>
                </c:pt>
                <c:pt idx="7">
                  <c:v>FY25</c:v>
                </c:pt>
                <c:pt idx="8">
                  <c:v>FY26</c:v>
                </c:pt>
                <c:pt idx="9">
                  <c:v>FY27E</c:v>
                </c:pt>
                <c:pt idx="10">
                  <c:v>FY28E</c:v>
                </c:pt>
              </c:strCache>
            </c:strRef>
          </c:cat>
          <c:val>
            <c:numRef>
              <c:f>Charts!$C$165:$M$165</c:f>
              <c:numCache>
                <c:formatCode>0%</c:formatCode>
                <c:ptCount val="11"/>
                <c:pt idx="0">
                  <c:v>0.18521811985831507</c:v>
                </c:pt>
                <c:pt idx="1">
                  <c:v>0.14177866185057716</c:v>
                </c:pt>
                <c:pt idx="2">
                  <c:v>0.10091766489822461</c:v>
                </c:pt>
                <c:pt idx="3">
                  <c:v>0.1290904061163487</c:v>
                </c:pt>
                <c:pt idx="4">
                  <c:v>9.4701093359315841E-2</c:v>
                </c:pt>
                <c:pt idx="5">
                  <c:v>9.6063322141895807E-2</c:v>
                </c:pt>
                <c:pt idx="6">
                  <c:v>0.13907076968563806</c:v>
                </c:pt>
                <c:pt idx="7">
                  <c:v>0.15111415695894173</c:v>
                </c:pt>
                <c:pt idx="8">
                  <c:v>0.14707606284673339</c:v>
                </c:pt>
                <c:pt idx="9">
                  <c:v>0.13492612766597772</c:v>
                </c:pt>
                <c:pt idx="10">
                  <c:v>0.14620579611500201</c:v>
                </c:pt>
              </c:numCache>
            </c:numRef>
          </c:val>
          <c:smooth val="0"/>
          <c:extLst>
            <c:ext xmlns:c16="http://schemas.microsoft.com/office/drawing/2014/chart" uri="{C3380CC4-5D6E-409C-BE32-E72D297353CC}">
              <c16:uniqueId val="{00000002-583E-4B1A-A423-9A7F9E07B1A1}"/>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30000000000000004"/>
          <c:min val="0"/>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0%" sourceLinked="1"/>
        <c:majorTickMark val="none"/>
        <c:minorTickMark val="none"/>
        <c:tickLblPos val="none"/>
        <c:spPr>
          <a:ln>
            <a:noFill/>
          </a:ln>
        </c:spPr>
        <c:crossAx val="591636495"/>
        <c:crosses val="autoZero"/>
        <c:crossBetween val="between"/>
        <c:majorUnit val="100"/>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Charts!$B$177</c:f>
          <c:strCache>
            <c:ptCount val="1"/>
            <c:pt idx="0">
              <c:v>Market Share, Capacity</c:v>
            </c:pt>
          </c:strCache>
        </c:strRef>
      </c:tx>
      <c:overlay val="0"/>
    </c:title>
    <c:autoTitleDeleted val="0"/>
    <c:plotArea>
      <c:layout/>
      <c:lineChart>
        <c:grouping val="standard"/>
        <c:varyColors val="0"/>
        <c:ser>
          <c:idx val="0"/>
          <c:order val="0"/>
          <c:tx>
            <c:strRef>
              <c:f>Charts!$B$178</c:f>
              <c:strCache>
                <c:ptCount val="1"/>
                <c:pt idx="0">
                  <c:v>JSW Infra</c:v>
                </c:pt>
              </c:strCache>
            </c:strRef>
          </c:tx>
          <c:spPr>
            <a:ln w="38100"/>
            <a:effectLst>
              <a:outerShdw blurRad="50800" dist="38100" dir="2700000" algn="tl" rotWithShape="0">
                <a:prstClr val="black">
                  <a:alpha val="40000"/>
                </a:prstClr>
              </a:outerShdw>
            </a:effectLst>
          </c:spPr>
          <c:marker>
            <c:symbol val="none"/>
          </c:marker>
          <c:dLbls>
            <c:spPr>
              <a:noFill/>
              <a:ln>
                <a:noFill/>
              </a:ln>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Charts!$C$58:$I$58</c:f>
              <c:strCache>
                <c:ptCount val="7"/>
                <c:pt idx="0">
                  <c:v>FY18</c:v>
                </c:pt>
                <c:pt idx="1">
                  <c:v>FY19</c:v>
                </c:pt>
                <c:pt idx="2">
                  <c:v>FY20</c:v>
                </c:pt>
                <c:pt idx="3">
                  <c:v>FY21</c:v>
                </c:pt>
                <c:pt idx="4">
                  <c:v>FY22</c:v>
                </c:pt>
                <c:pt idx="5">
                  <c:v>FY23</c:v>
                </c:pt>
                <c:pt idx="6">
                  <c:v>FY24</c:v>
                </c:pt>
              </c:strCache>
            </c:strRef>
          </c:cat>
          <c:val>
            <c:numRef>
              <c:f>Charts!$C$178:$I$178</c:f>
              <c:numCache>
                <c:formatCode>0%</c:formatCode>
                <c:ptCount val="7"/>
                <c:pt idx="0">
                  <c:v>1.4294439463048873E-2</c:v>
                </c:pt>
                <c:pt idx="1">
                  <c:v>1.3598041881968998E-2</c:v>
                </c:pt>
                <c:pt idx="2">
                  <c:v>3.4042348681760114E-2</c:v>
                </c:pt>
                <c:pt idx="3">
                  <c:v>4.434465786698201E-2</c:v>
                </c:pt>
                <c:pt idx="4">
                  <c:v>6.0928868904149634E-2</c:v>
                </c:pt>
                <c:pt idx="5">
                  <c:v>6.0298293832367698E-2</c:v>
                </c:pt>
                <c:pt idx="6">
                  <c:v>6.087684798128682E-2</c:v>
                </c:pt>
              </c:numCache>
            </c:numRef>
          </c:val>
          <c:smooth val="0"/>
          <c:extLst>
            <c:ext xmlns:c16="http://schemas.microsoft.com/office/drawing/2014/chart" uri="{C3380CC4-5D6E-409C-BE32-E72D297353CC}">
              <c16:uniqueId val="{00000001-31A0-491D-B3DD-A280FEA30622}"/>
            </c:ext>
          </c:extLst>
        </c:ser>
        <c:ser>
          <c:idx val="1"/>
          <c:order val="1"/>
          <c:tx>
            <c:strRef>
              <c:f>Charts!$B$179</c:f>
              <c:strCache>
                <c:ptCount val="1"/>
                <c:pt idx="0">
                  <c:v>Adani Ports</c:v>
                </c:pt>
              </c:strCache>
            </c:strRef>
          </c:tx>
          <c:spPr>
            <a:ln w="38100"/>
            <a:effectLst>
              <a:outerShdw blurRad="50800" dist="38100" dir="2700000" algn="tl" rotWithShape="0">
                <a:prstClr val="black">
                  <a:alpha val="40000"/>
                </a:prstClr>
              </a:outerShdw>
            </a:effectLst>
          </c:spPr>
          <c:marker>
            <c:symbol val="none"/>
          </c:marker>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Charts!$C$58:$I$58</c:f>
              <c:strCache>
                <c:ptCount val="7"/>
                <c:pt idx="0">
                  <c:v>FY18</c:v>
                </c:pt>
                <c:pt idx="1">
                  <c:v>FY19</c:v>
                </c:pt>
                <c:pt idx="2">
                  <c:v>FY20</c:v>
                </c:pt>
                <c:pt idx="3">
                  <c:v>FY21</c:v>
                </c:pt>
                <c:pt idx="4">
                  <c:v>FY22</c:v>
                </c:pt>
                <c:pt idx="5">
                  <c:v>FY23</c:v>
                </c:pt>
                <c:pt idx="6">
                  <c:v>FY24</c:v>
                </c:pt>
              </c:strCache>
            </c:strRef>
          </c:cat>
          <c:val>
            <c:numRef>
              <c:f>Charts!$C$179:$I$179</c:f>
              <c:numCache>
                <c:formatCode>0%</c:formatCode>
                <c:ptCount val="7"/>
                <c:pt idx="0">
                  <c:v>0.16157048241567362</c:v>
                </c:pt>
                <c:pt idx="1">
                  <c:v>0.16194031695799443</c:v>
                </c:pt>
                <c:pt idx="2">
                  <c:v>0.15732371069610596</c:v>
                </c:pt>
                <c:pt idx="3">
                  <c:v>0.18872846687334208</c:v>
                </c:pt>
                <c:pt idx="4">
                  <c:v>0.21257932211694233</c:v>
                </c:pt>
                <c:pt idx="5">
                  <c:v>0.21241444418220443</c:v>
                </c:pt>
                <c:pt idx="6">
                  <c:v>0.21583609738819876</c:v>
                </c:pt>
              </c:numCache>
            </c:numRef>
          </c:val>
          <c:smooth val="0"/>
          <c:extLst>
            <c:ext xmlns:c16="http://schemas.microsoft.com/office/drawing/2014/chart" uri="{C3380CC4-5D6E-409C-BE32-E72D297353CC}">
              <c16:uniqueId val="{00000002-31A0-491D-B3DD-A280FEA30622}"/>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30000000000000004"/>
          <c:min val="0"/>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0%" sourceLinked="1"/>
        <c:majorTickMark val="none"/>
        <c:minorTickMark val="none"/>
        <c:tickLblPos val="none"/>
        <c:spPr>
          <a:ln>
            <a:noFill/>
          </a:ln>
        </c:spPr>
        <c:crossAx val="591636495"/>
        <c:crosses val="autoZero"/>
        <c:crossBetween val="between"/>
        <c:majorUnit val="100"/>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Charts!$B$181</c:f>
          <c:strCache>
            <c:ptCount val="1"/>
            <c:pt idx="0">
              <c:v>Market Share, Volume</c:v>
            </c:pt>
          </c:strCache>
        </c:strRef>
      </c:tx>
      <c:overlay val="0"/>
    </c:title>
    <c:autoTitleDeleted val="0"/>
    <c:plotArea>
      <c:layout/>
      <c:lineChart>
        <c:grouping val="standard"/>
        <c:varyColors val="0"/>
        <c:ser>
          <c:idx val="0"/>
          <c:order val="0"/>
          <c:tx>
            <c:strRef>
              <c:f>Charts!$B$182</c:f>
              <c:strCache>
                <c:ptCount val="1"/>
                <c:pt idx="0">
                  <c:v>JSW Infra</c:v>
                </c:pt>
              </c:strCache>
            </c:strRef>
          </c:tx>
          <c:spPr>
            <a:ln w="38100"/>
            <a:effectLst>
              <a:outerShdw blurRad="50800" dist="38100" dir="2700000" algn="tl" rotWithShape="0">
                <a:prstClr val="black">
                  <a:alpha val="40000"/>
                </a:prstClr>
              </a:outerShdw>
            </a:effectLst>
          </c:spPr>
          <c:marker>
            <c:symbol val="none"/>
          </c:marker>
          <c:dLbls>
            <c:spPr>
              <a:noFill/>
              <a:ln>
                <a:noFill/>
              </a:ln>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Charts!$C$58:$I$58</c:f>
              <c:strCache>
                <c:ptCount val="7"/>
                <c:pt idx="0">
                  <c:v>FY18</c:v>
                </c:pt>
                <c:pt idx="1">
                  <c:v>FY19</c:v>
                </c:pt>
                <c:pt idx="2">
                  <c:v>FY20</c:v>
                </c:pt>
                <c:pt idx="3">
                  <c:v>FY21</c:v>
                </c:pt>
                <c:pt idx="4">
                  <c:v>FY22</c:v>
                </c:pt>
                <c:pt idx="5">
                  <c:v>FY23</c:v>
                </c:pt>
                <c:pt idx="6">
                  <c:v>FY24</c:v>
                </c:pt>
              </c:strCache>
            </c:strRef>
          </c:cat>
          <c:val>
            <c:numRef>
              <c:f>Charts!$C$182:$I$182</c:f>
              <c:numCache>
                <c:formatCode>0%</c:formatCode>
                <c:ptCount val="7"/>
                <c:pt idx="0">
                  <c:v>2.6558880943889137E-2</c:v>
                </c:pt>
                <c:pt idx="1">
                  <c:v>2.7594460511523439E-2</c:v>
                </c:pt>
                <c:pt idx="2">
                  <c:v>2.5767097662127491E-2</c:v>
                </c:pt>
                <c:pt idx="3">
                  <c:v>3.6387986163328029E-2</c:v>
                </c:pt>
                <c:pt idx="4">
                  <c:v>4.697784433985909E-2</c:v>
                </c:pt>
                <c:pt idx="5">
                  <c:v>6.471309119226766E-2</c:v>
                </c:pt>
                <c:pt idx="6">
                  <c:v>6.8194377140537304E-2</c:v>
                </c:pt>
              </c:numCache>
            </c:numRef>
          </c:val>
          <c:smooth val="0"/>
          <c:extLst>
            <c:ext xmlns:c16="http://schemas.microsoft.com/office/drawing/2014/chart" uri="{C3380CC4-5D6E-409C-BE32-E72D297353CC}">
              <c16:uniqueId val="{00000000-BC75-4390-A7AB-649CC7478B74}"/>
            </c:ext>
          </c:extLst>
        </c:ser>
        <c:ser>
          <c:idx val="1"/>
          <c:order val="1"/>
          <c:tx>
            <c:strRef>
              <c:f>Charts!$B$183</c:f>
              <c:strCache>
                <c:ptCount val="1"/>
                <c:pt idx="0">
                  <c:v>Adani Ports</c:v>
                </c:pt>
              </c:strCache>
            </c:strRef>
          </c:tx>
          <c:spPr>
            <a:ln w="38100"/>
            <a:effectLst>
              <a:outerShdw blurRad="50800" dist="38100" dir="2700000" algn="tl" rotWithShape="0">
                <a:prstClr val="black">
                  <a:alpha val="40000"/>
                </a:prstClr>
              </a:outerShdw>
            </a:effectLst>
          </c:spPr>
          <c:marker>
            <c:symbol val="none"/>
          </c:marker>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Charts!$C$58:$I$58</c:f>
              <c:strCache>
                <c:ptCount val="7"/>
                <c:pt idx="0">
                  <c:v>FY18</c:v>
                </c:pt>
                <c:pt idx="1">
                  <c:v>FY19</c:v>
                </c:pt>
                <c:pt idx="2">
                  <c:v>FY20</c:v>
                </c:pt>
                <c:pt idx="3">
                  <c:v>FY21</c:v>
                </c:pt>
                <c:pt idx="4">
                  <c:v>FY22</c:v>
                </c:pt>
                <c:pt idx="5">
                  <c:v>FY23</c:v>
                </c:pt>
                <c:pt idx="6">
                  <c:v>FY24</c:v>
                </c:pt>
              </c:strCache>
            </c:strRef>
          </c:cat>
          <c:val>
            <c:numRef>
              <c:f>Charts!$C$183:$I$183</c:f>
              <c:numCache>
                <c:formatCode>0%</c:formatCode>
                <c:ptCount val="7"/>
                <c:pt idx="0">
                  <c:v>0.14870358402147546</c:v>
                </c:pt>
                <c:pt idx="1">
                  <c:v>0.16262781253978978</c:v>
                </c:pt>
                <c:pt idx="2">
                  <c:v>0.16878526223144158</c:v>
                </c:pt>
                <c:pt idx="3">
                  <c:v>0.19801050394779846</c:v>
                </c:pt>
                <c:pt idx="4">
                  <c:v>0.21414486808694783</c:v>
                </c:pt>
                <c:pt idx="5">
                  <c:v>0.23470505930155</c:v>
                </c:pt>
                <c:pt idx="6">
                  <c:v>0.26511469956098782</c:v>
                </c:pt>
              </c:numCache>
            </c:numRef>
          </c:val>
          <c:smooth val="0"/>
          <c:extLst>
            <c:ext xmlns:c16="http://schemas.microsoft.com/office/drawing/2014/chart" uri="{C3380CC4-5D6E-409C-BE32-E72D297353CC}">
              <c16:uniqueId val="{00000001-BC75-4390-A7AB-649CC7478B74}"/>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30000000000000004"/>
          <c:min val="0"/>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0%" sourceLinked="1"/>
        <c:majorTickMark val="none"/>
        <c:minorTickMark val="none"/>
        <c:tickLblPos val="none"/>
        <c:spPr>
          <a:ln>
            <a:noFill/>
          </a:ln>
        </c:spPr>
        <c:crossAx val="591636495"/>
        <c:crosses val="autoZero"/>
        <c:crossBetween val="between"/>
        <c:majorUnit val="100"/>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Charts!$B$185</c:f>
          <c:strCache>
            <c:ptCount val="1"/>
            <c:pt idx="0">
              <c:v>Concession Period left, Years</c:v>
            </c:pt>
          </c:strCache>
        </c:strRef>
      </c:tx>
      <c:overlay val="0"/>
    </c:title>
    <c:autoTitleDeleted val="0"/>
    <c:plotArea>
      <c:layout/>
      <c:lineChart>
        <c:grouping val="standard"/>
        <c:varyColors val="0"/>
        <c:ser>
          <c:idx val="0"/>
          <c:order val="0"/>
          <c:spPr>
            <a:ln w="38100"/>
          </c:spPr>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Charts!$B$186:$B$188</c:f>
              <c:strCache>
                <c:ptCount val="3"/>
                <c:pt idx="0">
                  <c:v>JSW Infra</c:v>
                </c:pt>
                <c:pt idx="1">
                  <c:v>Adani Ports</c:v>
                </c:pt>
                <c:pt idx="2">
                  <c:v>Gujarat Pipavav</c:v>
                </c:pt>
              </c:strCache>
            </c:strRef>
          </c:cat>
          <c:val>
            <c:numRef>
              <c:f>Charts!$C$186:$C$188</c:f>
              <c:numCache>
                <c:formatCode>_(* #,##0_);_(* \(#,##0\);_(* "-"??_);_(@_)</c:formatCode>
                <c:ptCount val="3"/>
                <c:pt idx="0">
                  <c:v>20</c:v>
                </c:pt>
                <c:pt idx="1">
                  <c:v>15</c:v>
                </c:pt>
                <c:pt idx="2">
                  <c:v>4</c:v>
                </c:pt>
              </c:numCache>
            </c:numRef>
          </c:val>
          <c:smooth val="0"/>
          <c:extLst>
            <c:ext xmlns:c16="http://schemas.microsoft.com/office/drawing/2014/chart" uri="{C3380CC4-5D6E-409C-BE32-E72D297353CC}">
              <c16:uniqueId val="{00000000-00C2-4FCD-9ECF-D7A7C22D3A6E}"/>
            </c:ext>
          </c:extLst>
        </c:ser>
        <c:dLbls>
          <c:dLblPos val="t"/>
          <c:showLegendKey val="0"/>
          <c:showVal val="1"/>
          <c:showCatName val="0"/>
          <c:showSerName val="0"/>
          <c:showPercent val="0"/>
          <c:showBubbleSize val="0"/>
        </c:dLbls>
        <c:marker val="1"/>
        <c:smooth val="0"/>
        <c:axId val="19937504"/>
        <c:axId val="19922144"/>
      </c:lineChart>
      <c:catAx>
        <c:axId val="19937504"/>
        <c:scaling>
          <c:orientation val="minMax"/>
        </c:scaling>
        <c:delete val="0"/>
        <c:axPos val="b"/>
        <c:numFmt formatCode="General" sourceLinked="1"/>
        <c:majorTickMark val="none"/>
        <c:minorTickMark val="none"/>
        <c:tickLblPos val="nextTo"/>
        <c:crossAx val="19922144"/>
        <c:crosses val="autoZero"/>
        <c:auto val="1"/>
        <c:lblAlgn val="ctr"/>
        <c:lblOffset val="100"/>
        <c:noMultiLvlLbl val="0"/>
      </c:catAx>
      <c:valAx>
        <c:axId val="19922144"/>
        <c:scaling>
          <c:orientation val="minMax"/>
        </c:scaling>
        <c:delete val="0"/>
        <c:axPos val="l"/>
        <c:majorGridlines>
          <c:spPr>
            <a:ln w="3175" cap="flat" cmpd="sng" algn="ctr">
              <a:solidFill>
                <a:srgbClr val="FFFFFF">
                  <a:lumMod val="75000"/>
                </a:srgbClr>
              </a:solidFill>
              <a:prstDash val="dash"/>
              <a:round/>
              <a:headEnd type="none" w="med" len="med"/>
              <a:tailEnd type="none" w="med" len="med"/>
            </a:ln>
          </c:spPr>
        </c:majorGridlines>
        <c:numFmt formatCode="_(* #,##0_);_(* \(#,##0\);_(* &quot;-&quot;??_);_(@_)" sourceLinked="1"/>
        <c:majorTickMark val="out"/>
        <c:minorTickMark val="none"/>
        <c:tickLblPos val="nextTo"/>
        <c:crossAx val="1993750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Charts!$B$177</c:f>
          <c:strCache>
            <c:ptCount val="1"/>
            <c:pt idx="0">
              <c:v>Market Share, Capacity</c:v>
            </c:pt>
          </c:strCache>
        </c:strRef>
      </c:tx>
      <c:overlay val="0"/>
      <c:txPr>
        <a:bodyPr/>
        <a:lstStyle/>
        <a:p>
          <a:pPr>
            <a:defRPr sz="1200"/>
          </a:pPr>
          <a:endParaRPr lang="en-US"/>
        </a:p>
      </c:txPr>
    </c:title>
    <c:autoTitleDeleted val="0"/>
    <c:plotArea>
      <c:layout/>
      <c:lineChart>
        <c:grouping val="standard"/>
        <c:varyColors val="0"/>
        <c:ser>
          <c:idx val="0"/>
          <c:order val="0"/>
          <c:tx>
            <c:strRef>
              <c:f>Charts!$B$178</c:f>
              <c:strCache>
                <c:ptCount val="1"/>
                <c:pt idx="0">
                  <c:v>JSW Infra</c:v>
                </c:pt>
              </c:strCache>
            </c:strRef>
          </c:tx>
          <c:spPr>
            <a:ln w="38100"/>
            <a:effectLst>
              <a:outerShdw blurRad="50800" dist="38100" dir="2700000" algn="tl" rotWithShape="0">
                <a:prstClr val="black">
                  <a:alpha val="40000"/>
                </a:prstClr>
              </a:outerShdw>
            </a:effectLst>
          </c:spPr>
          <c:marker>
            <c:symbol val="none"/>
          </c:marker>
          <c:dLbls>
            <c:spPr>
              <a:solidFill>
                <a:schemeClr val="accent1"/>
              </a:solidFill>
              <a:ln>
                <a:noFill/>
              </a:ln>
            </c:spPr>
            <c:txPr>
              <a:bodyPr/>
              <a:lstStyle/>
              <a:p>
                <a:pPr>
                  <a:defRPr b="1">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Charts!$C$178:$O$178</c:f>
              <c:numCache>
                <c:formatCode>0%</c:formatCode>
                <c:ptCount val="13"/>
                <c:pt idx="0">
                  <c:v>1.4294439463048873E-2</c:v>
                </c:pt>
                <c:pt idx="1">
                  <c:v>1.3598041881968998E-2</c:v>
                </c:pt>
                <c:pt idx="2">
                  <c:v>3.4042348681760114E-2</c:v>
                </c:pt>
                <c:pt idx="3">
                  <c:v>4.434465786698201E-2</c:v>
                </c:pt>
                <c:pt idx="4">
                  <c:v>6.0928868904149634E-2</c:v>
                </c:pt>
                <c:pt idx="5">
                  <c:v>6.0298293832367698E-2</c:v>
                </c:pt>
                <c:pt idx="6">
                  <c:v>6.087684798128682E-2</c:v>
                </c:pt>
                <c:pt idx="7">
                  <c:v>6.2034694680317415E-2</c:v>
                </c:pt>
                <c:pt idx="8">
                  <c:v>6.1696025832105178E-2</c:v>
                </c:pt>
                <c:pt idx="12">
                  <c:v>0.1097235595906285</c:v>
                </c:pt>
              </c:numCache>
            </c:numRef>
          </c:val>
          <c:smooth val="0"/>
          <c:extLst>
            <c:ext xmlns:c16="http://schemas.microsoft.com/office/drawing/2014/chart" uri="{C3380CC4-5D6E-409C-BE32-E72D297353CC}">
              <c16:uniqueId val="{00000000-497B-4764-B8EE-7557B0398112}"/>
            </c:ext>
          </c:extLst>
        </c:ser>
        <c:ser>
          <c:idx val="1"/>
          <c:order val="1"/>
          <c:tx>
            <c:strRef>
              <c:f>Charts!$B$179</c:f>
              <c:strCache>
                <c:ptCount val="1"/>
                <c:pt idx="0">
                  <c:v>Adani Ports</c:v>
                </c:pt>
              </c:strCache>
            </c:strRef>
          </c:tx>
          <c:spPr>
            <a:ln w="38100"/>
            <a:effectLst>
              <a:outerShdw blurRad="50800" dist="38100" dir="2700000" algn="tl" rotWithShape="0">
                <a:prstClr val="black">
                  <a:alpha val="40000"/>
                </a:prstClr>
              </a:outerShdw>
            </a:effectLst>
          </c:spPr>
          <c:marker>
            <c:symbol val="none"/>
          </c:marker>
          <c:dLbls>
            <c:spPr>
              <a:solidFill>
                <a:schemeClr val="accent2"/>
              </a:solidFill>
              <a:ln>
                <a:noFill/>
              </a:ln>
              <a:effectLst/>
            </c:spPr>
            <c:txPr>
              <a:bodyPr wrap="square" lIns="38100" tIns="19050" rIns="38100" bIns="19050" anchor="ctr">
                <a:spAutoFit/>
              </a:bodyPr>
              <a:lstStyle/>
              <a:p>
                <a:pPr>
                  <a:defRPr b="1">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Charts!$C$179:$O$179</c:f>
              <c:numCache>
                <c:formatCode>0%</c:formatCode>
                <c:ptCount val="13"/>
                <c:pt idx="0">
                  <c:v>0.16157048241567362</c:v>
                </c:pt>
                <c:pt idx="1">
                  <c:v>0.16194031695799443</c:v>
                </c:pt>
                <c:pt idx="2">
                  <c:v>0.15732371069610596</c:v>
                </c:pt>
                <c:pt idx="3">
                  <c:v>0.18872846687334208</c:v>
                </c:pt>
                <c:pt idx="4">
                  <c:v>0.21257932211694233</c:v>
                </c:pt>
                <c:pt idx="5">
                  <c:v>0.21241444418220443</c:v>
                </c:pt>
                <c:pt idx="6">
                  <c:v>0.21583609738819876</c:v>
                </c:pt>
                <c:pt idx="7">
                  <c:v>0.22482614767793924</c:v>
                </c:pt>
                <c:pt idx="8">
                  <c:v>0.2244166914885023</c:v>
                </c:pt>
                <c:pt idx="12">
                  <c:v>0.28553292474863062</c:v>
                </c:pt>
              </c:numCache>
            </c:numRef>
          </c:val>
          <c:smooth val="0"/>
          <c:extLst>
            <c:ext xmlns:c16="http://schemas.microsoft.com/office/drawing/2014/chart" uri="{C3380CC4-5D6E-409C-BE32-E72D297353CC}">
              <c16:uniqueId val="{00000001-497B-4764-B8EE-7557B0398112}"/>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75000000000000011"/>
          <c:min val="0"/>
        </c:scaling>
        <c:delete val="0"/>
        <c:axPos val="l"/>
        <c:majorGridlines>
          <c:spPr>
            <a:ln w="3175" cap="flat" cmpd="sng" algn="ctr">
              <a:noFill/>
              <a:prstDash val="solid"/>
              <a:round/>
              <a:headEnd type="none" w="med" len="med"/>
              <a:tailEnd type="none" w="med" len="med"/>
            </a:ln>
          </c:spPr>
        </c:majorGridlines>
        <c:numFmt formatCode="0%" sourceLinked="1"/>
        <c:majorTickMark val="none"/>
        <c:minorTickMark val="none"/>
        <c:tickLblPos val="none"/>
        <c:spPr>
          <a:ln>
            <a:noFill/>
          </a:ln>
        </c:spPr>
        <c:crossAx val="591636495"/>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Charts!$B$181</c:f>
          <c:strCache>
            <c:ptCount val="1"/>
            <c:pt idx="0">
              <c:v>Market Share, Volume</c:v>
            </c:pt>
          </c:strCache>
        </c:strRef>
      </c:tx>
      <c:overlay val="0"/>
      <c:txPr>
        <a:bodyPr/>
        <a:lstStyle/>
        <a:p>
          <a:pPr>
            <a:defRPr sz="1200"/>
          </a:pPr>
          <a:endParaRPr lang="en-US"/>
        </a:p>
      </c:txPr>
    </c:title>
    <c:autoTitleDeleted val="0"/>
    <c:plotArea>
      <c:layout/>
      <c:lineChart>
        <c:grouping val="standard"/>
        <c:varyColors val="0"/>
        <c:ser>
          <c:idx val="0"/>
          <c:order val="0"/>
          <c:tx>
            <c:strRef>
              <c:f>Charts!$B$182</c:f>
              <c:strCache>
                <c:ptCount val="1"/>
                <c:pt idx="0">
                  <c:v>JSW Infra</c:v>
                </c:pt>
              </c:strCache>
            </c:strRef>
          </c:tx>
          <c:spPr>
            <a:ln w="38100"/>
            <a:effectLst>
              <a:outerShdw blurRad="50800" dist="38100" dir="2700000" algn="tl" rotWithShape="0">
                <a:prstClr val="black">
                  <a:alpha val="40000"/>
                </a:prstClr>
              </a:outerShdw>
            </a:effectLst>
          </c:spPr>
          <c:marker>
            <c:symbol val="none"/>
          </c:marker>
          <c:dLbls>
            <c:spPr>
              <a:solidFill>
                <a:schemeClr val="accent1"/>
              </a:solidFill>
              <a:ln>
                <a:noFill/>
              </a:ln>
            </c:spPr>
            <c:txPr>
              <a:bodyPr/>
              <a:lstStyle/>
              <a:p>
                <a:pPr>
                  <a:defRPr b="1">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Charts!$C$182:$O$182</c:f>
              <c:numCache>
                <c:formatCode>0%</c:formatCode>
                <c:ptCount val="13"/>
                <c:pt idx="0">
                  <c:v>2.6558880943889137E-2</c:v>
                </c:pt>
                <c:pt idx="1">
                  <c:v>2.7594460511523439E-2</c:v>
                </c:pt>
                <c:pt idx="2">
                  <c:v>2.5767097662127491E-2</c:v>
                </c:pt>
                <c:pt idx="3">
                  <c:v>3.6387986163328029E-2</c:v>
                </c:pt>
                <c:pt idx="4">
                  <c:v>4.697784433985909E-2</c:v>
                </c:pt>
                <c:pt idx="5">
                  <c:v>6.471309119226766E-2</c:v>
                </c:pt>
                <c:pt idx="6">
                  <c:v>6.8194377140537304E-2</c:v>
                </c:pt>
                <c:pt idx="7">
                  <c:v>6.8452633523195278E-2</c:v>
                </c:pt>
                <c:pt idx="8">
                  <c:v>6.9052849896118096E-2</c:v>
                </c:pt>
                <c:pt idx="12">
                  <c:v>0.11307320721110728</c:v>
                </c:pt>
              </c:numCache>
            </c:numRef>
          </c:val>
          <c:smooth val="0"/>
          <c:extLst>
            <c:ext xmlns:c16="http://schemas.microsoft.com/office/drawing/2014/chart" uri="{C3380CC4-5D6E-409C-BE32-E72D297353CC}">
              <c16:uniqueId val="{00000000-0800-4398-9F52-909BDD373C8A}"/>
            </c:ext>
          </c:extLst>
        </c:ser>
        <c:ser>
          <c:idx val="1"/>
          <c:order val="1"/>
          <c:tx>
            <c:strRef>
              <c:f>Charts!$B$183</c:f>
              <c:strCache>
                <c:ptCount val="1"/>
                <c:pt idx="0">
                  <c:v>Adani Ports</c:v>
                </c:pt>
              </c:strCache>
            </c:strRef>
          </c:tx>
          <c:spPr>
            <a:ln w="38100"/>
            <a:effectLst>
              <a:outerShdw blurRad="50800" dist="38100" dir="2700000" algn="tl" rotWithShape="0">
                <a:prstClr val="black">
                  <a:alpha val="40000"/>
                </a:prstClr>
              </a:outerShdw>
            </a:effectLst>
          </c:spPr>
          <c:marker>
            <c:symbol val="none"/>
          </c:marker>
          <c:dLbls>
            <c:spPr>
              <a:solidFill>
                <a:schemeClr val="accent2"/>
              </a:solidFill>
              <a:ln>
                <a:noFill/>
              </a:ln>
              <a:effectLst/>
            </c:spPr>
            <c:txPr>
              <a:bodyPr wrap="square" lIns="38100" tIns="19050" rIns="38100" bIns="19050" anchor="ctr">
                <a:spAutoFit/>
              </a:bodyPr>
              <a:lstStyle/>
              <a:p>
                <a:pPr>
                  <a:defRPr b="1">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Charts!$C$183:$O$183</c:f>
              <c:numCache>
                <c:formatCode>0%</c:formatCode>
                <c:ptCount val="13"/>
                <c:pt idx="0">
                  <c:v>0.14870358402147546</c:v>
                </c:pt>
                <c:pt idx="1">
                  <c:v>0.16262781253978978</c:v>
                </c:pt>
                <c:pt idx="2">
                  <c:v>0.16878526223144158</c:v>
                </c:pt>
                <c:pt idx="3">
                  <c:v>0.19801050394779846</c:v>
                </c:pt>
                <c:pt idx="4">
                  <c:v>0.21414486808694783</c:v>
                </c:pt>
                <c:pt idx="5">
                  <c:v>0.23470505930155</c:v>
                </c:pt>
                <c:pt idx="6">
                  <c:v>0.26511469956098782</c:v>
                </c:pt>
                <c:pt idx="7">
                  <c:v>0.26856572581066135</c:v>
                </c:pt>
                <c:pt idx="8">
                  <c:v>0.27043149797423621</c:v>
                </c:pt>
                <c:pt idx="12">
                  <c:v>0.35383735063300675</c:v>
                </c:pt>
              </c:numCache>
            </c:numRef>
          </c:val>
          <c:smooth val="0"/>
          <c:extLst>
            <c:ext xmlns:c16="http://schemas.microsoft.com/office/drawing/2014/chart" uri="{C3380CC4-5D6E-409C-BE32-E72D297353CC}">
              <c16:uniqueId val="{00000001-0800-4398-9F52-909BDD373C8A}"/>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75000000000000011"/>
        </c:scaling>
        <c:delete val="0"/>
        <c:axPos val="l"/>
        <c:majorGridlines>
          <c:spPr>
            <a:ln w="3175" cap="flat" cmpd="sng" algn="ctr">
              <a:noFill/>
              <a:prstDash val="solid"/>
              <a:round/>
              <a:headEnd type="none" w="med" len="med"/>
              <a:tailEnd type="none" w="med" len="med"/>
            </a:ln>
          </c:spPr>
        </c:majorGridlines>
        <c:numFmt formatCode="0%" sourceLinked="1"/>
        <c:majorTickMark val="none"/>
        <c:minorTickMark val="none"/>
        <c:tickLblPos val="none"/>
        <c:spPr>
          <a:ln>
            <a:noFill/>
          </a:ln>
        </c:spPr>
        <c:crossAx val="591636495"/>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Charts!$B$2</c:f>
          <c:strCache>
            <c:ptCount val="1"/>
            <c:pt idx="0">
              <c:v>Cargo - Customer Wise, MT</c:v>
            </c:pt>
          </c:strCache>
        </c:strRef>
      </c:tx>
      <c:overlay val="0"/>
      <c:txPr>
        <a:bodyPr/>
        <a:lstStyle/>
        <a:p>
          <a:pPr>
            <a:defRPr sz="1200"/>
          </a:pPr>
          <a:endParaRPr lang="en-US"/>
        </a:p>
      </c:txPr>
    </c:title>
    <c:autoTitleDeleted val="0"/>
    <c:plotArea>
      <c:layout/>
      <c:barChart>
        <c:barDir val="col"/>
        <c:grouping val="stacked"/>
        <c:varyColors val="0"/>
        <c:ser>
          <c:idx val="0"/>
          <c:order val="0"/>
          <c:tx>
            <c:strRef>
              <c:f>Charts!$B$5</c:f>
              <c:strCache>
                <c:ptCount val="1"/>
                <c:pt idx="0">
                  <c:v>Total</c:v>
                </c:pt>
              </c:strCache>
            </c:strRef>
          </c:tx>
          <c:spPr>
            <a:solidFill>
              <a:schemeClr val="accent1"/>
            </a:solidFill>
            <a:ln w="25400">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Charts!$F$2:$O$2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Charts!$F$5:$O$5</c:f>
              <c:numCache>
                <c:formatCode>#,##0_);\(#,##0\)</c:formatCode>
                <c:ptCount val="10"/>
                <c:pt idx="0">
                  <c:v>45.540000000000006</c:v>
                </c:pt>
                <c:pt idx="1">
                  <c:v>61.97</c:v>
                </c:pt>
                <c:pt idx="2">
                  <c:v>92.830000000000013</c:v>
                </c:pt>
                <c:pt idx="3" formatCode="_(* #,##0_);_(* \(#,##0\);_(* &quot;-&quot;??_);_(@_)">
                  <c:v>107.46816244451827</c:v>
                </c:pt>
                <c:pt idx="4" formatCode="_(* #,##0_);_(* \(#,##0\);_(* &quot;-&quot;??_);_(@_)">
                  <c:v>117</c:v>
                </c:pt>
                <c:pt idx="5" formatCode="_(* #,##0_);_(* \(#,##0\);_(* &quot;-&quot;??_);_(@_)">
                  <c:v>120.72499999999999</c:v>
                </c:pt>
                <c:pt idx="6" formatCode="_(* #,##0_);_(* \(#,##0\);_(* &quot;-&quot;??_);_(@_)">
                  <c:v>127.95611000000002</c:v>
                </c:pt>
                <c:pt idx="7" formatCode="_(* #,##0_);_(* \(#,##0\);_(* &quot;-&quot;??_);_(@_)">
                  <c:v>168.54703450000002</c:v>
                </c:pt>
                <c:pt idx="8" formatCode="_(* #,##0_);_(* \(#,##0\);_(* &quot;-&quot;??_);_(@_)">
                  <c:v>196.93431247500001</c:v>
                </c:pt>
                <c:pt idx="9" formatCode="_(* #,##0_);_(* \(#,##0\);_(* &quot;-&quot;??_);_(@_)">
                  <c:v>237.39015313675003</c:v>
                </c:pt>
              </c:numCache>
            </c:numRef>
          </c:val>
          <c:extLst>
            <c:ext xmlns:c16="http://schemas.microsoft.com/office/drawing/2014/chart" uri="{C3380CC4-5D6E-409C-BE32-E72D297353CC}">
              <c16:uniqueId val="{00000000-D794-4DB9-8115-2EC7AB7FBB49}"/>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crossAx val="327558928"/>
        <c:crosses val="autoZero"/>
        <c:auto val="1"/>
        <c:lblAlgn val="ctr"/>
        <c:lblOffset val="100"/>
        <c:noMultiLvlLbl val="0"/>
      </c:catAx>
      <c:valAx>
        <c:axId val="327558928"/>
        <c:scaling>
          <c:orientation val="minMax"/>
          <c:max val="300"/>
        </c:scaling>
        <c:delete val="1"/>
        <c:axPos val="l"/>
        <c:numFmt formatCode="#,##0_);\(#,##0\)" sourceLinked="1"/>
        <c:majorTickMark val="out"/>
        <c:minorTickMark val="none"/>
        <c:tickLblPos val="nextTo"/>
        <c:crossAx val="327560848"/>
        <c:crosses val="autoZero"/>
        <c:crossBetween val="between"/>
      </c:valAx>
    </c:plotArea>
    <c:legend>
      <c:legendPos val="b"/>
      <c:overlay val="0"/>
    </c:legend>
    <c:plotVisOnly val="1"/>
    <c:dispBlanksAs val="gap"/>
    <c:showDLblsOverMax val="0"/>
  </c:chart>
  <c:spPr>
    <a:ln w="3175">
      <a:noFill/>
    </a:ln>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434893922807414"/>
          <c:y val="5.4693240006348266E-2"/>
        </c:manualLayout>
      </c:layout>
      <c:overlay val="0"/>
      <c:txPr>
        <a:bodyPr/>
        <a:lstStyle/>
        <a:p>
          <a:pPr>
            <a:defRPr sz="1000"/>
          </a:pPr>
          <a:endParaRPr lang="en-US"/>
        </a:p>
      </c:txPr>
    </c:title>
    <c:autoTitleDeleted val="0"/>
    <c:plotArea>
      <c:layout/>
      <c:lineChart>
        <c:grouping val="standard"/>
        <c:varyColors val="0"/>
        <c:ser>
          <c:idx val="0"/>
          <c:order val="0"/>
          <c:tx>
            <c:strRef>
              <c:f>Charts!$B$59</c:f>
              <c:strCache>
                <c:ptCount val="1"/>
                <c:pt idx="0">
                  <c:v>Revenue/tonne</c:v>
                </c:pt>
              </c:strCache>
            </c:strRef>
          </c:tx>
          <c:spPr>
            <a:ln w="38100"/>
            <a:effectLst>
              <a:outerShdw blurRad="50800" dist="38100" dir="2700000" algn="tl" rotWithShape="0">
                <a:prstClr val="black">
                  <a:alpha val="40000"/>
                </a:prstClr>
              </a:outerShdw>
            </a:effectLst>
          </c:spPr>
          <c:marker>
            <c:symbol val="none"/>
          </c:marker>
          <c:dLbls>
            <c:spPr>
              <a:noFill/>
              <a:ln>
                <a:noFill/>
              </a:ln>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Charts!$C$59:$O$59</c:f>
              <c:numCache>
                <c:formatCode>_(* #,##0_);_(* \(#,##0\);_(* "-"??_);_(@_)</c:formatCode>
                <c:ptCount val="13"/>
                <c:pt idx="0">
                  <c:v>310.9810250817884</c:v>
                </c:pt>
                <c:pt idx="1">
                  <c:v>305.41707661860335</c:v>
                </c:pt>
                <c:pt idx="2">
                  <c:v>336.11584025708476</c:v>
                </c:pt>
                <c:pt idx="3">
                  <c:v>352.13898282752865</c:v>
                </c:pt>
                <c:pt idx="4">
                  <c:v>366.84338529100262</c:v>
                </c:pt>
                <c:pt idx="5">
                  <c:v>345.14056307565369</c:v>
                </c:pt>
                <c:pt idx="6">
                  <c:v>351.54658058993141</c:v>
                </c:pt>
                <c:pt idx="7">
                  <c:v>361.23162393162391</c:v>
                </c:pt>
                <c:pt idx="8">
                  <c:v>427.18162095564458</c:v>
                </c:pt>
                <c:pt idx="9">
                  <c:v>443.73321724508804</c:v>
                </c:pt>
                <c:pt idx="10">
                  <c:v>478.4597087245553</c:v>
                </c:pt>
                <c:pt idx="11">
                  <c:v>462.31415919190408</c:v>
                </c:pt>
                <c:pt idx="12">
                  <c:v>473.21196592813391</c:v>
                </c:pt>
              </c:numCache>
            </c:numRef>
          </c:val>
          <c:smooth val="0"/>
          <c:extLst>
            <c:ext xmlns:c16="http://schemas.microsoft.com/office/drawing/2014/chart" uri="{C3380CC4-5D6E-409C-BE32-E72D297353CC}">
              <c16:uniqueId val="{00000000-933C-4569-A11A-A2F05C3557C5}"/>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none"/>
        <c:minorTickMark val="none"/>
        <c:tickLblPos val="nextTo"/>
        <c:crossAx val="591642735"/>
        <c:crosses val="autoZero"/>
        <c:auto val="1"/>
        <c:lblAlgn val="ctr"/>
        <c:lblOffset val="100"/>
        <c:noMultiLvlLbl val="0"/>
      </c:catAx>
      <c:valAx>
        <c:axId val="591642735"/>
        <c:scaling>
          <c:orientation val="minMax"/>
          <c:max val="500"/>
          <c:min val="300"/>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_(* #,##0_);_(* \(#,##0\);_(* &quot;-&quot;??_);_(@_)" sourceLinked="1"/>
        <c:majorTickMark val="out"/>
        <c:minorTickMark val="none"/>
        <c:tickLblPos val="nextTo"/>
        <c:spPr>
          <a:ln>
            <a:noFill/>
          </a:ln>
        </c:spPr>
        <c:crossAx val="591636495"/>
        <c:crosses val="autoZero"/>
        <c:crossBetween val="between"/>
        <c:majorUnit val="100"/>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Realisations,</a:t>
            </a:r>
            <a:r>
              <a:rPr lang="en-IN" baseline="0"/>
              <a:t> Rs./tonne</a:t>
            </a:r>
            <a:endParaRPr lang="en-IN"/>
          </a:p>
        </c:rich>
      </c:tx>
      <c:overlay val="0"/>
    </c:title>
    <c:autoTitleDeleted val="0"/>
    <c:plotArea>
      <c:layout/>
      <c:lineChart>
        <c:grouping val="standard"/>
        <c:varyColors val="0"/>
        <c:ser>
          <c:idx val="0"/>
          <c:order val="0"/>
          <c:tx>
            <c:strRef>
              <c:f>Charts!$B$59</c:f>
              <c:strCache>
                <c:ptCount val="1"/>
                <c:pt idx="0">
                  <c:v>Revenue/tonne</c:v>
                </c:pt>
              </c:strCache>
            </c:strRef>
          </c:tx>
          <c:spPr>
            <a:ln w="34925"/>
            <a:effectLst>
              <a:outerShdw blurRad="50800" dist="38100" dir="2700000" algn="tl" rotWithShape="0">
                <a:prstClr val="black">
                  <a:alpha val="40000"/>
                </a:prstClr>
              </a:outerShdw>
            </a:effectLst>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Charts!$F$58:$L$58</c:f>
              <c:strCache>
                <c:ptCount val="7"/>
                <c:pt idx="0">
                  <c:v>FY21</c:v>
                </c:pt>
                <c:pt idx="1">
                  <c:v>FY22</c:v>
                </c:pt>
                <c:pt idx="2">
                  <c:v>FY23</c:v>
                </c:pt>
                <c:pt idx="3">
                  <c:v>FY24</c:v>
                </c:pt>
                <c:pt idx="4">
                  <c:v>FY25</c:v>
                </c:pt>
                <c:pt idx="5">
                  <c:v>FY26</c:v>
                </c:pt>
                <c:pt idx="6">
                  <c:v>FY27E</c:v>
                </c:pt>
              </c:strCache>
            </c:strRef>
          </c:cat>
          <c:val>
            <c:numRef>
              <c:f>Charts!$F$59:$L$59</c:f>
              <c:numCache>
                <c:formatCode>_(* #,##0_);_(* \(#,##0\);_(* "-"??_);_(@_)</c:formatCode>
                <c:ptCount val="7"/>
                <c:pt idx="0">
                  <c:v>352.13898282752865</c:v>
                </c:pt>
                <c:pt idx="1">
                  <c:v>366.84338529100262</c:v>
                </c:pt>
                <c:pt idx="2">
                  <c:v>345.14056307565369</c:v>
                </c:pt>
                <c:pt idx="3">
                  <c:v>351.54658058993141</c:v>
                </c:pt>
                <c:pt idx="4">
                  <c:v>361.23162393162391</c:v>
                </c:pt>
                <c:pt idx="5">
                  <c:v>427.18162095564458</c:v>
                </c:pt>
                <c:pt idx="6">
                  <c:v>443.73321724508804</c:v>
                </c:pt>
              </c:numCache>
            </c:numRef>
          </c:val>
          <c:smooth val="0"/>
          <c:extLst>
            <c:ext xmlns:c16="http://schemas.microsoft.com/office/drawing/2014/chart" uri="{C3380CC4-5D6E-409C-BE32-E72D297353CC}">
              <c16:uniqueId val="{00000000-F35D-42B4-9F79-DDA96C74BC85}"/>
            </c:ext>
          </c:extLst>
        </c:ser>
        <c:ser>
          <c:idx val="1"/>
          <c:order val="1"/>
          <c:tx>
            <c:strRef>
              <c:f>Charts!$B$60</c:f>
              <c:strCache>
                <c:ptCount val="1"/>
                <c:pt idx="0">
                  <c:v>EBITDA/tonne</c:v>
                </c:pt>
              </c:strCache>
            </c:strRef>
          </c:tx>
          <c:spPr>
            <a:ln w="34925"/>
            <a:effectLst>
              <a:outerShdw blurRad="50800" dist="38100" dir="2700000" algn="tl" rotWithShape="0">
                <a:prstClr val="black">
                  <a:alpha val="40000"/>
                </a:prstClr>
              </a:outerShdw>
            </a:effectLst>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Charts!$F$58:$L$58</c:f>
              <c:strCache>
                <c:ptCount val="7"/>
                <c:pt idx="0">
                  <c:v>FY21</c:v>
                </c:pt>
                <c:pt idx="1">
                  <c:v>FY22</c:v>
                </c:pt>
                <c:pt idx="2">
                  <c:v>FY23</c:v>
                </c:pt>
                <c:pt idx="3">
                  <c:v>FY24</c:v>
                </c:pt>
                <c:pt idx="4">
                  <c:v>FY25</c:v>
                </c:pt>
                <c:pt idx="5">
                  <c:v>FY26</c:v>
                </c:pt>
                <c:pt idx="6">
                  <c:v>FY27E</c:v>
                </c:pt>
              </c:strCache>
            </c:strRef>
          </c:cat>
          <c:val>
            <c:numRef>
              <c:f>Charts!$F$60:$L$60</c:f>
              <c:numCache>
                <c:formatCode>_(* #,##0_);_(* \(#,##0\);_(* "-"??_);_(@_)</c:formatCode>
                <c:ptCount val="7"/>
                <c:pt idx="0">
                  <c:v>179.28751811673766</c:v>
                </c:pt>
                <c:pt idx="1">
                  <c:v>179.04831604800773</c:v>
                </c:pt>
                <c:pt idx="2">
                  <c:v>174.56870849831552</c:v>
                </c:pt>
                <c:pt idx="3">
                  <c:v>183.53827785658245</c:v>
                </c:pt>
                <c:pt idx="4">
                  <c:v>183.5664404977376</c:v>
                </c:pt>
                <c:pt idx="5">
                  <c:v>197.32024429342516</c:v>
                </c:pt>
                <c:pt idx="6">
                  <c:v>200.04312420981171</c:v>
                </c:pt>
              </c:numCache>
            </c:numRef>
          </c:val>
          <c:smooth val="0"/>
          <c:extLst>
            <c:ext xmlns:c16="http://schemas.microsoft.com/office/drawing/2014/chart" uri="{C3380CC4-5D6E-409C-BE32-E72D297353CC}">
              <c16:uniqueId val="{00000001-F35D-42B4-9F79-DDA96C74BC85}"/>
            </c:ext>
          </c:extLst>
        </c:ser>
        <c:dLbls>
          <c:dLblPos val="t"/>
          <c:showLegendKey val="0"/>
          <c:showVal val="1"/>
          <c:showCatName val="0"/>
          <c:showSerName val="0"/>
          <c:showPercent val="0"/>
          <c:showBubbleSize val="0"/>
        </c:dLbls>
        <c:smooth val="0"/>
        <c:axId val="1744368079"/>
        <c:axId val="1744371919"/>
      </c:lineChart>
      <c:catAx>
        <c:axId val="1744368079"/>
        <c:scaling>
          <c:orientation val="minMax"/>
        </c:scaling>
        <c:delete val="0"/>
        <c:axPos val="b"/>
        <c:numFmt formatCode="General" sourceLinked="1"/>
        <c:majorTickMark val="none"/>
        <c:minorTickMark val="none"/>
        <c:tickLblPos val="nextTo"/>
        <c:crossAx val="1744371919"/>
        <c:crosses val="autoZero"/>
        <c:auto val="1"/>
        <c:lblAlgn val="ctr"/>
        <c:lblOffset val="100"/>
        <c:noMultiLvlLbl val="0"/>
      </c:catAx>
      <c:valAx>
        <c:axId val="1744371919"/>
        <c:scaling>
          <c:orientation val="minMax"/>
        </c:scaling>
        <c:delete val="1"/>
        <c:axPos val="l"/>
        <c:majorGridlines>
          <c:spPr>
            <a:ln w="3175" cap="flat" cmpd="sng" algn="ctr">
              <a:solidFill>
                <a:srgbClr val="FFFFFF">
                  <a:lumMod val="75000"/>
                </a:srgbClr>
              </a:solidFill>
              <a:prstDash val="dash"/>
              <a:round/>
              <a:headEnd type="none" w="med" len="med"/>
              <a:tailEnd type="none" w="med" len="med"/>
            </a:ln>
          </c:spPr>
        </c:majorGridlines>
        <c:numFmt formatCode="_(* #,##0_);_(* \(#,##0\);_(* &quot;-&quot;??_);_(@_)" sourceLinked="1"/>
        <c:majorTickMark val="out"/>
        <c:minorTickMark val="none"/>
        <c:tickLblPos val="nextTo"/>
        <c:crossAx val="1744368079"/>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JSW Infra Volume Growth, yoy</a:t>
            </a:r>
          </a:p>
        </c:rich>
      </c:tx>
      <c:overlay val="0"/>
    </c:title>
    <c:autoTitleDeleted val="0"/>
    <c:plotArea>
      <c:layout/>
      <c:lineChart>
        <c:grouping val="standard"/>
        <c:varyColors val="0"/>
        <c:ser>
          <c:idx val="0"/>
          <c:order val="0"/>
          <c:spPr>
            <a:ln w="31750"/>
            <a:effectLst>
              <a:outerShdw blurRad="50800" dist="38100" dir="2700000" algn="tl" rotWithShape="0">
                <a:prstClr val="black">
                  <a:alpha val="40000"/>
                </a:prstClr>
              </a:outerShdw>
            </a:effectLst>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Charts!$G$2:$L$2</c:f>
              <c:strCache>
                <c:ptCount val="6"/>
                <c:pt idx="0">
                  <c:v>FY22</c:v>
                </c:pt>
                <c:pt idx="1">
                  <c:v>FY23</c:v>
                </c:pt>
                <c:pt idx="2">
                  <c:v>FY24</c:v>
                </c:pt>
                <c:pt idx="3">
                  <c:v>FY25</c:v>
                </c:pt>
                <c:pt idx="4">
                  <c:v>FY26</c:v>
                </c:pt>
                <c:pt idx="5">
                  <c:v>FY27E</c:v>
                </c:pt>
              </c:strCache>
            </c:strRef>
          </c:cat>
          <c:val>
            <c:numRef>
              <c:f>Charts!$G$6:$L$6</c:f>
              <c:numCache>
                <c:formatCode>0%</c:formatCode>
                <c:ptCount val="6"/>
                <c:pt idx="0">
                  <c:v>0.3607817303469476</c:v>
                </c:pt>
                <c:pt idx="1">
                  <c:v>0.49798289494916914</c:v>
                </c:pt>
                <c:pt idx="2" formatCode="0.0%">
                  <c:v>0.15768784277192993</c:v>
                </c:pt>
                <c:pt idx="3" formatCode="0.0%">
                  <c:v>8.8694524393702734E-2</c:v>
                </c:pt>
                <c:pt idx="4" formatCode="0.0%">
                  <c:v>3.1837606837606724E-2</c:v>
                </c:pt>
                <c:pt idx="5" formatCode="0.0%">
                  <c:v>5.9897370055912447E-2</c:v>
                </c:pt>
              </c:numCache>
            </c:numRef>
          </c:val>
          <c:smooth val="0"/>
          <c:extLst>
            <c:ext xmlns:c16="http://schemas.microsoft.com/office/drawing/2014/chart" uri="{C3380CC4-5D6E-409C-BE32-E72D297353CC}">
              <c16:uniqueId val="{00000000-548A-4519-A928-881ED7E77A1D}"/>
            </c:ext>
          </c:extLst>
        </c:ser>
        <c:dLbls>
          <c:dLblPos val="t"/>
          <c:showLegendKey val="0"/>
          <c:showVal val="1"/>
          <c:showCatName val="0"/>
          <c:showSerName val="0"/>
          <c:showPercent val="0"/>
          <c:showBubbleSize val="0"/>
        </c:dLbls>
        <c:smooth val="0"/>
        <c:axId val="1538726399"/>
        <c:axId val="1538726879"/>
      </c:lineChart>
      <c:catAx>
        <c:axId val="1538726399"/>
        <c:scaling>
          <c:orientation val="minMax"/>
        </c:scaling>
        <c:delete val="0"/>
        <c:axPos val="b"/>
        <c:numFmt formatCode="General" sourceLinked="1"/>
        <c:majorTickMark val="none"/>
        <c:minorTickMark val="none"/>
        <c:tickLblPos val="nextTo"/>
        <c:crossAx val="1538726879"/>
        <c:crosses val="autoZero"/>
        <c:auto val="1"/>
        <c:lblAlgn val="ctr"/>
        <c:lblOffset val="100"/>
        <c:noMultiLvlLbl val="0"/>
      </c:catAx>
      <c:valAx>
        <c:axId val="1538726879"/>
        <c:scaling>
          <c:orientation val="minMax"/>
        </c:scaling>
        <c:delete val="1"/>
        <c:axPos val="l"/>
        <c:majorGridlines>
          <c:spPr>
            <a:ln w="3175" cap="flat" cmpd="sng" algn="ctr">
              <a:solidFill>
                <a:srgbClr val="FFFFFF">
                  <a:lumMod val="75000"/>
                </a:srgbClr>
              </a:solidFill>
              <a:prstDash val="dash"/>
              <a:round/>
              <a:headEnd type="none" w="med" len="med"/>
              <a:tailEnd type="none" w="med" len="med"/>
            </a:ln>
          </c:spPr>
        </c:majorGridlines>
        <c:numFmt formatCode="0%" sourceLinked="1"/>
        <c:majorTickMark val="out"/>
        <c:minorTickMark val="none"/>
        <c:tickLblPos val="nextTo"/>
        <c:crossAx val="1538726399"/>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Charts!$B$126</c:f>
          <c:strCache>
            <c:ptCount val="1"/>
            <c:pt idx="0">
              <c:v>Capacity - Portwise, MT</c:v>
            </c:pt>
          </c:strCache>
        </c:strRef>
      </c:tx>
      <c:layout>
        <c:manualLayout>
          <c:xMode val="edge"/>
          <c:yMode val="edge"/>
          <c:x val="0.39069738155044942"/>
          <c:y val="2.3513390763966599E-3"/>
        </c:manualLayout>
      </c:layout>
      <c:overlay val="0"/>
    </c:title>
    <c:autoTitleDeleted val="0"/>
    <c:plotArea>
      <c:layout>
        <c:manualLayout>
          <c:layoutTarget val="inner"/>
          <c:xMode val="edge"/>
          <c:yMode val="edge"/>
          <c:x val="1.5338534057824436E-3"/>
          <c:y val="0.10950133532836437"/>
          <c:w val="0.97917719994299668"/>
          <c:h val="0.60202787173608663"/>
        </c:manualLayout>
      </c:layout>
      <c:barChart>
        <c:barDir val="col"/>
        <c:grouping val="stacked"/>
        <c:varyColors val="0"/>
        <c:ser>
          <c:idx val="0"/>
          <c:order val="0"/>
          <c:tx>
            <c:strRef>
              <c:f>Charts!$B$127</c:f>
              <c:strCache>
                <c:ptCount val="1"/>
                <c:pt idx="0">
                  <c:v>Jaigarh</c:v>
                </c:pt>
              </c:strCache>
            </c:strRef>
          </c:tx>
          <c:invertIfNegative val="0"/>
          <c:cat>
            <c:strRef>
              <c:f>Charts!$I$126:$M$126</c:f>
              <c:strCache>
                <c:ptCount val="5"/>
                <c:pt idx="0">
                  <c:v>FY24</c:v>
                </c:pt>
                <c:pt idx="1">
                  <c:v>FY25</c:v>
                </c:pt>
                <c:pt idx="2">
                  <c:v>FY26</c:v>
                </c:pt>
                <c:pt idx="3">
                  <c:v>FY27E</c:v>
                </c:pt>
                <c:pt idx="4">
                  <c:v>FY28E</c:v>
                </c:pt>
              </c:strCache>
            </c:strRef>
          </c:cat>
          <c:val>
            <c:numRef>
              <c:f>Charts!$I$127:$M$127</c:f>
              <c:numCache>
                <c:formatCode>#,##0_);\(#,##0\)</c:formatCode>
                <c:ptCount val="5"/>
                <c:pt idx="0">
                  <c:v>55</c:v>
                </c:pt>
                <c:pt idx="1">
                  <c:v>55</c:v>
                </c:pt>
                <c:pt idx="2">
                  <c:v>55</c:v>
                </c:pt>
                <c:pt idx="3">
                  <c:v>57</c:v>
                </c:pt>
                <c:pt idx="4">
                  <c:v>77</c:v>
                </c:pt>
              </c:numCache>
            </c:numRef>
          </c:val>
          <c:extLst>
            <c:ext xmlns:c16="http://schemas.microsoft.com/office/drawing/2014/chart" uri="{C3380CC4-5D6E-409C-BE32-E72D297353CC}">
              <c16:uniqueId val="{00000000-3238-4D3B-811A-AE0148997163}"/>
            </c:ext>
          </c:extLst>
        </c:ser>
        <c:ser>
          <c:idx val="1"/>
          <c:order val="1"/>
          <c:tx>
            <c:strRef>
              <c:f>Charts!$B$128</c:f>
              <c:strCache>
                <c:ptCount val="1"/>
                <c:pt idx="0">
                  <c:v>Dharmatar</c:v>
                </c:pt>
              </c:strCache>
            </c:strRef>
          </c:tx>
          <c:invertIfNegative val="0"/>
          <c:cat>
            <c:strRef>
              <c:f>Charts!$I$126:$M$126</c:f>
              <c:strCache>
                <c:ptCount val="5"/>
                <c:pt idx="0">
                  <c:v>FY24</c:v>
                </c:pt>
                <c:pt idx="1">
                  <c:v>FY25</c:v>
                </c:pt>
                <c:pt idx="2">
                  <c:v>FY26</c:v>
                </c:pt>
                <c:pt idx="3">
                  <c:v>FY27E</c:v>
                </c:pt>
                <c:pt idx="4">
                  <c:v>FY28E</c:v>
                </c:pt>
              </c:strCache>
            </c:strRef>
          </c:cat>
          <c:val>
            <c:numRef>
              <c:f>Charts!$I$128:$M$128</c:f>
              <c:numCache>
                <c:formatCode>#,##0_);\(#,##0\)</c:formatCode>
                <c:ptCount val="5"/>
                <c:pt idx="0">
                  <c:v>34</c:v>
                </c:pt>
                <c:pt idx="1">
                  <c:v>34</c:v>
                </c:pt>
                <c:pt idx="2">
                  <c:v>34</c:v>
                </c:pt>
                <c:pt idx="3">
                  <c:v>34</c:v>
                </c:pt>
                <c:pt idx="4">
                  <c:v>50</c:v>
                </c:pt>
              </c:numCache>
            </c:numRef>
          </c:val>
          <c:extLst>
            <c:ext xmlns:c16="http://schemas.microsoft.com/office/drawing/2014/chart" uri="{C3380CC4-5D6E-409C-BE32-E72D297353CC}">
              <c16:uniqueId val="{00000001-3238-4D3B-811A-AE0148997163}"/>
            </c:ext>
          </c:extLst>
        </c:ser>
        <c:ser>
          <c:idx val="2"/>
          <c:order val="2"/>
          <c:tx>
            <c:strRef>
              <c:f>Charts!$B$129</c:f>
              <c:strCache>
                <c:ptCount val="1"/>
                <c:pt idx="0">
                  <c:v>Goa</c:v>
                </c:pt>
              </c:strCache>
            </c:strRef>
          </c:tx>
          <c:invertIfNegative val="0"/>
          <c:cat>
            <c:strRef>
              <c:f>Charts!$I$126:$M$126</c:f>
              <c:strCache>
                <c:ptCount val="5"/>
                <c:pt idx="0">
                  <c:v>FY24</c:v>
                </c:pt>
                <c:pt idx="1">
                  <c:v>FY25</c:v>
                </c:pt>
                <c:pt idx="2">
                  <c:v>FY26</c:v>
                </c:pt>
                <c:pt idx="3">
                  <c:v>FY27E</c:v>
                </c:pt>
                <c:pt idx="4">
                  <c:v>FY28E</c:v>
                </c:pt>
              </c:strCache>
            </c:strRef>
          </c:cat>
          <c:val>
            <c:numRef>
              <c:f>Charts!$I$129:$M$129</c:f>
              <c:numCache>
                <c:formatCode>#,##0_);\(#,##0\)</c:formatCode>
                <c:ptCount val="5"/>
                <c:pt idx="0">
                  <c:v>8.5</c:v>
                </c:pt>
                <c:pt idx="1">
                  <c:v>11</c:v>
                </c:pt>
                <c:pt idx="2">
                  <c:v>11</c:v>
                </c:pt>
                <c:pt idx="3">
                  <c:v>15</c:v>
                </c:pt>
                <c:pt idx="4">
                  <c:v>15</c:v>
                </c:pt>
              </c:numCache>
            </c:numRef>
          </c:val>
          <c:extLst>
            <c:ext xmlns:c16="http://schemas.microsoft.com/office/drawing/2014/chart" uri="{C3380CC4-5D6E-409C-BE32-E72D297353CC}">
              <c16:uniqueId val="{00000002-3238-4D3B-811A-AE0148997163}"/>
            </c:ext>
          </c:extLst>
        </c:ser>
        <c:ser>
          <c:idx val="3"/>
          <c:order val="3"/>
          <c:tx>
            <c:strRef>
              <c:f>Charts!$B$130</c:f>
              <c:strCache>
                <c:ptCount val="1"/>
                <c:pt idx="0">
                  <c:v>Paradip Iron Ore</c:v>
                </c:pt>
              </c:strCache>
            </c:strRef>
          </c:tx>
          <c:invertIfNegative val="0"/>
          <c:cat>
            <c:strRef>
              <c:f>Charts!$I$126:$M$126</c:f>
              <c:strCache>
                <c:ptCount val="5"/>
                <c:pt idx="0">
                  <c:v>FY24</c:v>
                </c:pt>
                <c:pt idx="1">
                  <c:v>FY25</c:v>
                </c:pt>
                <c:pt idx="2">
                  <c:v>FY26</c:v>
                </c:pt>
                <c:pt idx="3">
                  <c:v>FY27E</c:v>
                </c:pt>
                <c:pt idx="4">
                  <c:v>FY28E</c:v>
                </c:pt>
              </c:strCache>
            </c:strRef>
          </c:cat>
          <c:val>
            <c:numRef>
              <c:f>Charts!$I$130:$M$130</c:f>
              <c:numCache>
                <c:formatCode>#,##0_);\(#,##0\)</c:formatCode>
                <c:ptCount val="5"/>
                <c:pt idx="0">
                  <c:v>10</c:v>
                </c:pt>
                <c:pt idx="1">
                  <c:v>10</c:v>
                </c:pt>
                <c:pt idx="2">
                  <c:v>10</c:v>
                </c:pt>
                <c:pt idx="3">
                  <c:v>10</c:v>
                </c:pt>
                <c:pt idx="4">
                  <c:v>10</c:v>
                </c:pt>
              </c:numCache>
            </c:numRef>
          </c:val>
          <c:extLst>
            <c:ext xmlns:c16="http://schemas.microsoft.com/office/drawing/2014/chart" uri="{C3380CC4-5D6E-409C-BE32-E72D297353CC}">
              <c16:uniqueId val="{00000003-3238-4D3B-811A-AE0148997163}"/>
            </c:ext>
          </c:extLst>
        </c:ser>
        <c:ser>
          <c:idx val="4"/>
          <c:order val="4"/>
          <c:tx>
            <c:strRef>
              <c:f>Charts!$B$131</c:f>
              <c:strCache>
                <c:ptCount val="1"/>
                <c:pt idx="0">
                  <c:v>Paradip Coal</c:v>
                </c:pt>
              </c:strCache>
            </c:strRef>
          </c:tx>
          <c:invertIfNegative val="0"/>
          <c:cat>
            <c:strRef>
              <c:f>Charts!$I$126:$M$126</c:f>
              <c:strCache>
                <c:ptCount val="5"/>
                <c:pt idx="0">
                  <c:v>FY24</c:v>
                </c:pt>
                <c:pt idx="1">
                  <c:v>FY25</c:v>
                </c:pt>
                <c:pt idx="2">
                  <c:v>FY26</c:v>
                </c:pt>
                <c:pt idx="3">
                  <c:v>FY27E</c:v>
                </c:pt>
                <c:pt idx="4">
                  <c:v>FY28E</c:v>
                </c:pt>
              </c:strCache>
            </c:strRef>
          </c:cat>
          <c:val>
            <c:numRef>
              <c:f>Charts!$I$131:$M$131</c:f>
              <c:numCache>
                <c:formatCode>#,##0_);\(#,##0\)</c:formatCode>
                <c:ptCount val="5"/>
                <c:pt idx="0">
                  <c:v>30</c:v>
                </c:pt>
                <c:pt idx="1">
                  <c:v>30</c:v>
                </c:pt>
                <c:pt idx="2">
                  <c:v>30</c:v>
                </c:pt>
                <c:pt idx="3">
                  <c:v>30</c:v>
                </c:pt>
                <c:pt idx="4">
                  <c:v>30</c:v>
                </c:pt>
              </c:numCache>
            </c:numRef>
          </c:val>
          <c:extLst>
            <c:ext xmlns:c16="http://schemas.microsoft.com/office/drawing/2014/chart" uri="{C3380CC4-5D6E-409C-BE32-E72D297353CC}">
              <c16:uniqueId val="{00000004-3238-4D3B-811A-AE0148997163}"/>
            </c:ext>
          </c:extLst>
        </c:ser>
        <c:ser>
          <c:idx val="5"/>
          <c:order val="5"/>
          <c:tx>
            <c:strRef>
              <c:f>Charts!$B$132</c:f>
              <c:strCache>
                <c:ptCount val="1"/>
                <c:pt idx="0">
                  <c:v>Ennore Coal</c:v>
                </c:pt>
              </c:strCache>
            </c:strRef>
          </c:tx>
          <c:invertIfNegative val="0"/>
          <c:cat>
            <c:strRef>
              <c:f>Charts!$I$126:$M$126</c:f>
              <c:strCache>
                <c:ptCount val="5"/>
                <c:pt idx="0">
                  <c:v>FY24</c:v>
                </c:pt>
                <c:pt idx="1">
                  <c:v>FY25</c:v>
                </c:pt>
                <c:pt idx="2">
                  <c:v>FY26</c:v>
                </c:pt>
                <c:pt idx="3">
                  <c:v>FY27E</c:v>
                </c:pt>
                <c:pt idx="4">
                  <c:v>FY28E</c:v>
                </c:pt>
              </c:strCache>
            </c:strRef>
          </c:cat>
          <c:val>
            <c:numRef>
              <c:f>Charts!$I$132:$M$132</c:f>
              <c:numCache>
                <c:formatCode>#,##0_);\(#,##0\)</c:formatCode>
                <c:ptCount val="5"/>
                <c:pt idx="0">
                  <c:v>9.6</c:v>
                </c:pt>
                <c:pt idx="1">
                  <c:v>9.6</c:v>
                </c:pt>
                <c:pt idx="2">
                  <c:v>11</c:v>
                </c:pt>
                <c:pt idx="3">
                  <c:v>11</c:v>
                </c:pt>
                <c:pt idx="4">
                  <c:v>11</c:v>
                </c:pt>
              </c:numCache>
            </c:numRef>
          </c:val>
          <c:extLst>
            <c:ext xmlns:c16="http://schemas.microsoft.com/office/drawing/2014/chart" uri="{C3380CC4-5D6E-409C-BE32-E72D297353CC}">
              <c16:uniqueId val="{00000005-3238-4D3B-811A-AE0148997163}"/>
            </c:ext>
          </c:extLst>
        </c:ser>
        <c:ser>
          <c:idx val="6"/>
          <c:order val="6"/>
          <c:tx>
            <c:strRef>
              <c:f>Charts!$B$133</c:f>
              <c:strCache>
                <c:ptCount val="1"/>
                <c:pt idx="0">
                  <c:v>Ennore Bulk</c:v>
                </c:pt>
              </c:strCache>
            </c:strRef>
          </c:tx>
          <c:invertIfNegative val="0"/>
          <c:cat>
            <c:strRef>
              <c:f>Charts!$I$126:$M$126</c:f>
              <c:strCache>
                <c:ptCount val="5"/>
                <c:pt idx="0">
                  <c:v>FY24</c:v>
                </c:pt>
                <c:pt idx="1">
                  <c:v>FY25</c:v>
                </c:pt>
                <c:pt idx="2">
                  <c:v>FY26</c:v>
                </c:pt>
                <c:pt idx="3">
                  <c:v>FY27E</c:v>
                </c:pt>
                <c:pt idx="4">
                  <c:v>FY28E</c:v>
                </c:pt>
              </c:strCache>
            </c:strRef>
          </c:cat>
          <c:val>
            <c:numRef>
              <c:f>Charts!$I$133:$M$133</c:f>
              <c:numCache>
                <c:formatCode>#,##0_);\(#,##0\)</c:formatCode>
                <c:ptCount val="5"/>
                <c:pt idx="0">
                  <c:v>2</c:v>
                </c:pt>
                <c:pt idx="1">
                  <c:v>2</c:v>
                </c:pt>
                <c:pt idx="2">
                  <c:v>2</c:v>
                </c:pt>
                <c:pt idx="3">
                  <c:v>2</c:v>
                </c:pt>
                <c:pt idx="4">
                  <c:v>2</c:v>
                </c:pt>
              </c:numCache>
            </c:numRef>
          </c:val>
          <c:extLst>
            <c:ext xmlns:c16="http://schemas.microsoft.com/office/drawing/2014/chart" uri="{C3380CC4-5D6E-409C-BE32-E72D297353CC}">
              <c16:uniqueId val="{00000006-3238-4D3B-811A-AE0148997163}"/>
            </c:ext>
          </c:extLst>
        </c:ser>
        <c:ser>
          <c:idx val="7"/>
          <c:order val="7"/>
          <c:tx>
            <c:strRef>
              <c:f>Charts!$B$134</c:f>
              <c:strCache>
                <c:ptCount val="1"/>
                <c:pt idx="0">
                  <c:v>Mangalore Coal</c:v>
                </c:pt>
              </c:strCache>
            </c:strRef>
          </c:tx>
          <c:invertIfNegative val="0"/>
          <c:cat>
            <c:strRef>
              <c:f>Charts!$I$126:$M$126</c:f>
              <c:strCache>
                <c:ptCount val="5"/>
                <c:pt idx="0">
                  <c:v>FY24</c:v>
                </c:pt>
                <c:pt idx="1">
                  <c:v>FY25</c:v>
                </c:pt>
                <c:pt idx="2">
                  <c:v>FY26</c:v>
                </c:pt>
                <c:pt idx="3">
                  <c:v>FY27E</c:v>
                </c:pt>
                <c:pt idx="4">
                  <c:v>FY28E</c:v>
                </c:pt>
              </c:strCache>
            </c:strRef>
          </c:cat>
          <c:val>
            <c:numRef>
              <c:f>Charts!$I$134:$M$134</c:f>
              <c:numCache>
                <c:formatCode>#,##0_);\(#,##0\)</c:formatCode>
                <c:ptCount val="5"/>
                <c:pt idx="0">
                  <c:v>6.7</c:v>
                </c:pt>
                <c:pt idx="1">
                  <c:v>8.1</c:v>
                </c:pt>
                <c:pt idx="2">
                  <c:v>8.1</c:v>
                </c:pt>
                <c:pt idx="3">
                  <c:v>8.1</c:v>
                </c:pt>
                <c:pt idx="4">
                  <c:v>8.1</c:v>
                </c:pt>
              </c:numCache>
            </c:numRef>
          </c:val>
          <c:extLst>
            <c:ext xmlns:c16="http://schemas.microsoft.com/office/drawing/2014/chart" uri="{C3380CC4-5D6E-409C-BE32-E72D297353CC}">
              <c16:uniqueId val="{00000007-3238-4D3B-811A-AE0148997163}"/>
            </c:ext>
          </c:extLst>
        </c:ser>
        <c:ser>
          <c:idx val="8"/>
          <c:order val="8"/>
          <c:tx>
            <c:strRef>
              <c:f>Charts!$B$135</c:f>
              <c:strCache>
                <c:ptCount val="1"/>
                <c:pt idx="0">
                  <c:v>Mangalore Container</c:v>
                </c:pt>
              </c:strCache>
            </c:strRef>
          </c:tx>
          <c:invertIfNegative val="0"/>
          <c:cat>
            <c:strRef>
              <c:f>Charts!$I$126:$M$126</c:f>
              <c:strCache>
                <c:ptCount val="5"/>
                <c:pt idx="0">
                  <c:v>FY24</c:v>
                </c:pt>
                <c:pt idx="1">
                  <c:v>FY25</c:v>
                </c:pt>
                <c:pt idx="2">
                  <c:v>FY26</c:v>
                </c:pt>
                <c:pt idx="3">
                  <c:v>FY27E</c:v>
                </c:pt>
                <c:pt idx="4">
                  <c:v>FY28E</c:v>
                </c:pt>
              </c:strCache>
            </c:strRef>
          </c:cat>
          <c:val>
            <c:numRef>
              <c:f>Charts!$I$135:$M$135</c:f>
              <c:numCache>
                <c:formatCode>#,##0_);\(#,##0\)</c:formatCode>
                <c:ptCount val="5"/>
                <c:pt idx="0">
                  <c:v>4.2</c:v>
                </c:pt>
                <c:pt idx="1">
                  <c:v>4.2</c:v>
                </c:pt>
                <c:pt idx="2">
                  <c:v>4.2</c:v>
                </c:pt>
                <c:pt idx="3">
                  <c:v>6.0200000000000005</c:v>
                </c:pt>
                <c:pt idx="4">
                  <c:v>6.0200000000000005</c:v>
                </c:pt>
              </c:numCache>
            </c:numRef>
          </c:val>
          <c:extLst>
            <c:ext xmlns:c16="http://schemas.microsoft.com/office/drawing/2014/chart" uri="{C3380CC4-5D6E-409C-BE32-E72D297353CC}">
              <c16:uniqueId val="{00000008-3238-4D3B-811A-AE0148997163}"/>
            </c:ext>
          </c:extLst>
        </c:ser>
        <c:ser>
          <c:idx val="9"/>
          <c:order val="9"/>
          <c:tx>
            <c:strRef>
              <c:f>Charts!$B$136</c:f>
              <c:strCache>
                <c:ptCount val="1"/>
                <c:pt idx="0">
                  <c:v>PNP Port</c:v>
                </c:pt>
              </c:strCache>
            </c:strRef>
          </c:tx>
          <c:invertIfNegative val="0"/>
          <c:cat>
            <c:strRef>
              <c:f>Charts!$I$126:$M$126</c:f>
              <c:strCache>
                <c:ptCount val="5"/>
                <c:pt idx="0">
                  <c:v>FY24</c:v>
                </c:pt>
                <c:pt idx="1">
                  <c:v>FY25</c:v>
                </c:pt>
                <c:pt idx="2">
                  <c:v>FY26</c:v>
                </c:pt>
                <c:pt idx="3">
                  <c:v>FY27E</c:v>
                </c:pt>
                <c:pt idx="4">
                  <c:v>FY28E</c:v>
                </c:pt>
              </c:strCache>
            </c:strRef>
          </c:cat>
          <c:val>
            <c:numRef>
              <c:f>Charts!$I$136:$M$136</c:f>
              <c:numCache>
                <c:formatCode>#,##0_);\(#,##0\)</c:formatCode>
                <c:ptCount val="5"/>
                <c:pt idx="0">
                  <c:v>5</c:v>
                </c:pt>
                <c:pt idx="1">
                  <c:v>8</c:v>
                </c:pt>
                <c:pt idx="2">
                  <c:v>8</c:v>
                </c:pt>
                <c:pt idx="3">
                  <c:v>8</c:v>
                </c:pt>
                <c:pt idx="4">
                  <c:v>8</c:v>
                </c:pt>
              </c:numCache>
            </c:numRef>
          </c:val>
          <c:extLst>
            <c:ext xmlns:c16="http://schemas.microsoft.com/office/drawing/2014/chart" uri="{C3380CC4-5D6E-409C-BE32-E72D297353CC}">
              <c16:uniqueId val="{00000009-3238-4D3B-811A-AE0148997163}"/>
            </c:ext>
          </c:extLst>
        </c:ser>
        <c:ser>
          <c:idx val="10"/>
          <c:order val="10"/>
          <c:tx>
            <c:strRef>
              <c:f>Charts!$B$137</c:f>
              <c:strCache>
                <c:ptCount val="1"/>
                <c:pt idx="0">
                  <c:v>Fujairah Liquid Storage</c:v>
                </c:pt>
              </c:strCache>
            </c:strRef>
          </c:tx>
          <c:invertIfNegative val="0"/>
          <c:cat>
            <c:strRef>
              <c:f>Charts!$I$126:$M$126</c:f>
              <c:strCache>
                <c:ptCount val="5"/>
                <c:pt idx="0">
                  <c:v>FY24</c:v>
                </c:pt>
                <c:pt idx="1">
                  <c:v>FY25</c:v>
                </c:pt>
                <c:pt idx="2">
                  <c:v>FY26</c:v>
                </c:pt>
                <c:pt idx="3">
                  <c:v>FY27E</c:v>
                </c:pt>
                <c:pt idx="4">
                  <c:v>FY28E</c:v>
                </c:pt>
              </c:strCache>
            </c:strRef>
          </c:cat>
          <c:val>
            <c:numRef>
              <c:f>Charts!$I$137:$M$137</c:f>
              <c:numCache>
                <c:formatCode>#,##0_);\(#,##0\)</c:formatCode>
                <c:ptCount val="5"/>
                <c:pt idx="0">
                  <c:v>5</c:v>
                </c:pt>
                <c:pt idx="1">
                  <c:v>5</c:v>
                </c:pt>
                <c:pt idx="2">
                  <c:v>5</c:v>
                </c:pt>
                <c:pt idx="3">
                  <c:v>5</c:v>
                </c:pt>
                <c:pt idx="4">
                  <c:v>5</c:v>
                </c:pt>
              </c:numCache>
            </c:numRef>
          </c:val>
          <c:extLst>
            <c:ext xmlns:c16="http://schemas.microsoft.com/office/drawing/2014/chart" uri="{C3380CC4-5D6E-409C-BE32-E72D297353CC}">
              <c16:uniqueId val="{0000000A-3238-4D3B-811A-AE0148997163}"/>
            </c:ext>
          </c:extLst>
        </c:ser>
        <c:ser>
          <c:idx val="11"/>
          <c:order val="11"/>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Charts!$I$126:$M$126</c:f>
              <c:strCache>
                <c:ptCount val="5"/>
                <c:pt idx="0">
                  <c:v>FY24</c:v>
                </c:pt>
                <c:pt idx="1">
                  <c:v>FY25</c:v>
                </c:pt>
                <c:pt idx="2">
                  <c:v>FY26</c:v>
                </c:pt>
                <c:pt idx="3">
                  <c:v>FY27E</c:v>
                </c:pt>
                <c:pt idx="4">
                  <c:v>FY28E</c:v>
                </c:pt>
              </c:strCache>
            </c:strRef>
          </c:cat>
          <c:val>
            <c:numRef>
              <c:f>Charts!$I$148:$M$148</c:f>
              <c:numCache>
                <c:formatCode>#,##0_);\(#,##0\)</c:formatCode>
                <c:ptCount val="5"/>
                <c:pt idx="0">
                  <c:v>169.99999999999997</c:v>
                </c:pt>
                <c:pt idx="1">
                  <c:v>176.89999999999998</c:v>
                </c:pt>
                <c:pt idx="2">
                  <c:v>182.79999999999998</c:v>
                </c:pt>
                <c:pt idx="3">
                  <c:v>197.62</c:v>
                </c:pt>
                <c:pt idx="4">
                  <c:v>299.92</c:v>
                </c:pt>
              </c:numCache>
            </c:numRef>
          </c:val>
          <c:extLst>
            <c:ext xmlns:c16="http://schemas.microsoft.com/office/drawing/2014/chart" uri="{C3380CC4-5D6E-409C-BE32-E72D297353CC}">
              <c16:uniqueId val="{0000000B-3238-4D3B-811A-AE0148997163}"/>
            </c:ext>
          </c:extLst>
        </c:ser>
        <c:ser>
          <c:idx val="12"/>
          <c:order val="12"/>
          <c:tx>
            <c:strRef>
              <c:f>Charts!$B$138</c:f>
              <c:strCache>
                <c:ptCount val="1"/>
                <c:pt idx="0">
                  <c:v>Tuticorin Dry Bulk</c:v>
                </c:pt>
              </c:strCache>
            </c:strRef>
          </c:tx>
          <c:invertIfNegative val="0"/>
          <c:cat>
            <c:strRef>
              <c:f>Charts!$I$126:$M$126</c:f>
              <c:strCache>
                <c:ptCount val="5"/>
                <c:pt idx="0">
                  <c:v>FY24</c:v>
                </c:pt>
                <c:pt idx="1">
                  <c:v>FY25</c:v>
                </c:pt>
                <c:pt idx="2">
                  <c:v>FY26</c:v>
                </c:pt>
                <c:pt idx="3">
                  <c:v>FY27E</c:v>
                </c:pt>
                <c:pt idx="4">
                  <c:v>FY28E</c:v>
                </c:pt>
              </c:strCache>
            </c:strRef>
          </c:cat>
          <c:val>
            <c:numRef>
              <c:f>Charts!$I$138:$M$138</c:f>
              <c:numCache>
                <c:formatCode>#,##0_);\(#,##0\)</c:formatCode>
                <c:ptCount val="5"/>
                <c:pt idx="0">
                  <c:v>0</c:v>
                </c:pt>
                <c:pt idx="1">
                  <c:v>0</c:v>
                </c:pt>
                <c:pt idx="2">
                  <c:v>0</c:v>
                </c:pt>
                <c:pt idx="3">
                  <c:v>7</c:v>
                </c:pt>
                <c:pt idx="4">
                  <c:v>7</c:v>
                </c:pt>
              </c:numCache>
            </c:numRef>
          </c:val>
          <c:extLst>
            <c:ext xmlns:c16="http://schemas.microsoft.com/office/drawing/2014/chart" uri="{C3380CC4-5D6E-409C-BE32-E72D297353CC}">
              <c16:uniqueId val="{00000000-3D60-4E7B-ABAF-A4CF98B33DC9}"/>
            </c:ext>
          </c:extLst>
        </c:ser>
        <c:ser>
          <c:idx val="13"/>
          <c:order val="13"/>
          <c:tx>
            <c:strRef>
              <c:f>Charts!$B$139</c:f>
              <c:strCache>
                <c:ptCount val="1"/>
                <c:pt idx="0">
                  <c:v>JNPT Liquid</c:v>
                </c:pt>
              </c:strCache>
            </c:strRef>
          </c:tx>
          <c:invertIfNegative val="0"/>
          <c:cat>
            <c:strRef>
              <c:f>Charts!$I$126:$M$126</c:f>
              <c:strCache>
                <c:ptCount val="5"/>
                <c:pt idx="0">
                  <c:v>FY24</c:v>
                </c:pt>
                <c:pt idx="1">
                  <c:v>FY25</c:v>
                </c:pt>
                <c:pt idx="2">
                  <c:v>FY26</c:v>
                </c:pt>
                <c:pt idx="3">
                  <c:v>FY27E</c:v>
                </c:pt>
                <c:pt idx="4">
                  <c:v>FY28E</c:v>
                </c:pt>
              </c:strCache>
            </c:strRef>
          </c:cat>
          <c:val>
            <c:numRef>
              <c:f>Charts!$I$139:$M$139</c:f>
              <c:numCache>
                <c:formatCode>#,##0_);\(#,##0\)</c:formatCode>
                <c:ptCount val="5"/>
                <c:pt idx="0">
                  <c:v>0</c:v>
                </c:pt>
                <c:pt idx="1">
                  <c:v>0</c:v>
                </c:pt>
                <c:pt idx="2">
                  <c:v>4.5</c:v>
                </c:pt>
                <c:pt idx="3">
                  <c:v>4.5</c:v>
                </c:pt>
                <c:pt idx="4">
                  <c:v>4.5</c:v>
                </c:pt>
              </c:numCache>
            </c:numRef>
          </c:val>
          <c:extLst>
            <c:ext xmlns:c16="http://schemas.microsoft.com/office/drawing/2014/chart" uri="{C3380CC4-5D6E-409C-BE32-E72D297353CC}">
              <c16:uniqueId val="{00000001-3D60-4E7B-ABAF-A4CF98B33DC9}"/>
            </c:ext>
          </c:extLst>
        </c:ser>
        <c:ser>
          <c:idx val="14"/>
          <c:order val="14"/>
          <c:tx>
            <c:strRef>
              <c:f>Charts!$B$141</c:f>
              <c:strCache>
                <c:ptCount val="1"/>
                <c:pt idx="0">
                  <c:v>Jatadhar</c:v>
                </c:pt>
              </c:strCache>
            </c:strRef>
          </c:tx>
          <c:invertIfNegative val="0"/>
          <c:cat>
            <c:strRef>
              <c:f>Charts!$I$126:$M$126</c:f>
              <c:strCache>
                <c:ptCount val="5"/>
                <c:pt idx="0">
                  <c:v>FY24</c:v>
                </c:pt>
                <c:pt idx="1">
                  <c:v>FY25</c:v>
                </c:pt>
                <c:pt idx="2">
                  <c:v>FY26</c:v>
                </c:pt>
                <c:pt idx="3">
                  <c:v>FY27E</c:v>
                </c:pt>
                <c:pt idx="4">
                  <c:v>FY28E</c:v>
                </c:pt>
              </c:strCache>
            </c:strRef>
          </c:cat>
          <c:val>
            <c:numRef>
              <c:f>Charts!$I$141:$M$141</c:f>
              <c:numCache>
                <c:formatCode>#,##0_);\(#,##0\)</c:formatCode>
                <c:ptCount val="5"/>
                <c:pt idx="0">
                  <c:v>0</c:v>
                </c:pt>
                <c:pt idx="1">
                  <c:v>0</c:v>
                </c:pt>
                <c:pt idx="2">
                  <c:v>0</c:v>
                </c:pt>
                <c:pt idx="3">
                  <c:v>0</c:v>
                </c:pt>
                <c:pt idx="4">
                  <c:v>30</c:v>
                </c:pt>
              </c:numCache>
            </c:numRef>
          </c:val>
          <c:extLst>
            <c:ext xmlns:c16="http://schemas.microsoft.com/office/drawing/2014/chart" uri="{C3380CC4-5D6E-409C-BE32-E72D297353CC}">
              <c16:uniqueId val="{00000002-3D60-4E7B-ABAF-A4CF98B33DC9}"/>
            </c:ext>
          </c:extLst>
        </c:ser>
        <c:ser>
          <c:idx val="15"/>
          <c:order val="15"/>
          <c:tx>
            <c:strRef>
              <c:f>Charts!$B$142</c:f>
              <c:strCache>
                <c:ptCount val="1"/>
                <c:pt idx="0">
                  <c:v>Slurry Pipeline Phase I</c:v>
                </c:pt>
              </c:strCache>
            </c:strRef>
          </c:tx>
          <c:invertIfNegative val="0"/>
          <c:cat>
            <c:strRef>
              <c:f>Charts!$I$126:$M$126</c:f>
              <c:strCache>
                <c:ptCount val="5"/>
                <c:pt idx="0">
                  <c:v>FY24</c:v>
                </c:pt>
                <c:pt idx="1">
                  <c:v>FY25</c:v>
                </c:pt>
                <c:pt idx="2">
                  <c:v>FY26</c:v>
                </c:pt>
                <c:pt idx="3">
                  <c:v>FY27E</c:v>
                </c:pt>
                <c:pt idx="4">
                  <c:v>FY28E</c:v>
                </c:pt>
              </c:strCache>
            </c:strRef>
          </c:cat>
          <c:val>
            <c:numRef>
              <c:f>Charts!$I$142:$M$142</c:f>
              <c:numCache>
                <c:formatCode>#,##0_);\(#,##0\)</c:formatCode>
                <c:ptCount val="5"/>
                <c:pt idx="0">
                  <c:v>0</c:v>
                </c:pt>
                <c:pt idx="1">
                  <c:v>0</c:v>
                </c:pt>
                <c:pt idx="2">
                  <c:v>0</c:v>
                </c:pt>
                <c:pt idx="3">
                  <c:v>0</c:v>
                </c:pt>
                <c:pt idx="4">
                  <c:v>30</c:v>
                </c:pt>
              </c:numCache>
            </c:numRef>
          </c:val>
          <c:extLst>
            <c:ext xmlns:c16="http://schemas.microsoft.com/office/drawing/2014/chart" uri="{C3380CC4-5D6E-409C-BE32-E72D297353CC}">
              <c16:uniqueId val="{00000003-3D60-4E7B-ABAF-A4CF98B33DC9}"/>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250"/>
        </c:scaling>
        <c:delete val="1"/>
        <c:axPos val="l"/>
        <c:numFmt formatCode="#,##0_);\(#,##0\)" sourceLinked="1"/>
        <c:majorTickMark val="out"/>
        <c:minorTickMark val="none"/>
        <c:tickLblPos val="nextTo"/>
        <c:crossAx val="41707423"/>
        <c:crosses val="autoZero"/>
        <c:crossBetween val="between"/>
      </c:valAx>
    </c:plotArea>
    <c:legend>
      <c:legendPos val="b"/>
      <c:legendEntry>
        <c:idx val="11"/>
        <c:delete val="1"/>
      </c:legendEntry>
      <c:layout>
        <c:manualLayout>
          <c:xMode val="edge"/>
          <c:yMode val="edge"/>
          <c:x val="3.2435496639221767E-2"/>
          <c:y val="0.75896220660623748"/>
          <c:w val="0.86681612442095801"/>
          <c:h val="0.22274824662499412"/>
        </c:manualLayout>
      </c:layout>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JSW Infra Market Share</a:t>
            </a:r>
          </a:p>
        </c:rich>
      </c:tx>
      <c:overlay val="0"/>
    </c:title>
    <c:autoTitleDeleted val="0"/>
    <c:plotArea>
      <c:layout/>
      <c:lineChart>
        <c:grouping val="standard"/>
        <c:varyColors val="0"/>
        <c:ser>
          <c:idx val="0"/>
          <c:order val="0"/>
          <c:tx>
            <c:strRef>
              <c:f>Charts!$B$204</c:f>
              <c:strCache>
                <c:ptCount val="1"/>
                <c:pt idx="0">
                  <c:v>Volume</c:v>
                </c:pt>
              </c:strCache>
            </c:strRef>
          </c:tx>
          <c:spPr>
            <a:ln w="31750"/>
            <a:effectLst>
              <a:outerShdw blurRad="50800" dist="38100" dir="2700000" algn="tl" rotWithShape="0">
                <a:prstClr val="black">
                  <a:alpha val="40000"/>
                </a:prstClr>
              </a:outerShdw>
            </a:effectLst>
          </c:spPr>
          <c:marker>
            <c:symbol val="none"/>
          </c:marker>
          <c:dLbls>
            <c:delete val="1"/>
          </c:dLbls>
          <c:cat>
            <c:strRef>
              <c:f>Charts!$C$58:$K$58</c:f>
              <c:strCache>
                <c:ptCount val="9"/>
                <c:pt idx="0">
                  <c:v>FY18</c:v>
                </c:pt>
                <c:pt idx="1">
                  <c:v>FY19</c:v>
                </c:pt>
                <c:pt idx="2">
                  <c:v>FY20</c:v>
                </c:pt>
                <c:pt idx="3">
                  <c:v>FY21</c:v>
                </c:pt>
                <c:pt idx="4">
                  <c:v>FY22</c:v>
                </c:pt>
                <c:pt idx="5">
                  <c:v>FY23</c:v>
                </c:pt>
                <c:pt idx="6">
                  <c:v>FY24</c:v>
                </c:pt>
                <c:pt idx="7">
                  <c:v>FY25</c:v>
                </c:pt>
                <c:pt idx="8">
                  <c:v>FY26</c:v>
                </c:pt>
              </c:strCache>
            </c:strRef>
          </c:cat>
          <c:val>
            <c:numRef>
              <c:f>Charts!$C$204:$K$204</c:f>
              <c:numCache>
                <c:formatCode>0%</c:formatCode>
                <c:ptCount val="9"/>
                <c:pt idx="0">
                  <c:v>2.6558880943889137E-2</c:v>
                </c:pt>
                <c:pt idx="1">
                  <c:v>2.7594460511523439E-2</c:v>
                </c:pt>
                <c:pt idx="2">
                  <c:v>2.5767097662127491E-2</c:v>
                </c:pt>
                <c:pt idx="3">
                  <c:v>3.6387986163328029E-2</c:v>
                </c:pt>
                <c:pt idx="4">
                  <c:v>4.697784433985909E-2</c:v>
                </c:pt>
                <c:pt idx="5">
                  <c:v>6.471309119226766E-2</c:v>
                </c:pt>
                <c:pt idx="6">
                  <c:v>6.8194377140537304E-2</c:v>
                </c:pt>
                <c:pt idx="7">
                  <c:v>6.8452633523195278E-2</c:v>
                </c:pt>
                <c:pt idx="8">
                  <c:v>6.9052849896118096E-2</c:v>
                </c:pt>
              </c:numCache>
            </c:numRef>
          </c:val>
          <c:smooth val="0"/>
          <c:extLst>
            <c:ext xmlns:c16="http://schemas.microsoft.com/office/drawing/2014/chart" uri="{C3380CC4-5D6E-409C-BE32-E72D297353CC}">
              <c16:uniqueId val="{00000000-4A9B-4B70-AE5B-C3184FC87D10}"/>
            </c:ext>
          </c:extLst>
        </c:ser>
        <c:ser>
          <c:idx val="1"/>
          <c:order val="1"/>
          <c:tx>
            <c:strRef>
              <c:f>Charts!$B$205</c:f>
              <c:strCache>
                <c:ptCount val="1"/>
                <c:pt idx="0">
                  <c:v>Capacity</c:v>
                </c:pt>
              </c:strCache>
            </c:strRef>
          </c:tx>
          <c:spPr>
            <a:ln w="31750"/>
            <a:effectLst>
              <a:outerShdw blurRad="50800" dist="38100" dir="2700000" algn="tl" rotWithShape="0">
                <a:prstClr val="black">
                  <a:alpha val="40000"/>
                </a:prstClr>
              </a:outerShdw>
            </a:effectLst>
          </c:spPr>
          <c:marker>
            <c:symbol val="none"/>
          </c:marker>
          <c:dLbls>
            <c:delete val="1"/>
          </c:dLbls>
          <c:cat>
            <c:strRef>
              <c:f>Charts!$C$58:$K$58</c:f>
              <c:strCache>
                <c:ptCount val="9"/>
                <c:pt idx="0">
                  <c:v>FY18</c:v>
                </c:pt>
                <c:pt idx="1">
                  <c:v>FY19</c:v>
                </c:pt>
                <c:pt idx="2">
                  <c:v>FY20</c:v>
                </c:pt>
                <c:pt idx="3">
                  <c:v>FY21</c:v>
                </c:pt>
                <c:pt idx="4">
                  <c:v>FY22</c:v>
                </c:pt>
                <c:pt idx="5">
                  <c:v>FY23</c:v>
                </c:pt>
                <c:pt idx="6">
                  <c:v>FY24</c:v>
                </c:pt>
                <c:pt idx="7">
                  <c:v>FY25</c:v>
                </c:pt>
                <c:pt idx="8">
                  <c:v>FY26</c:v>
                </c:pt>
              </c:strCache>
            </c:strRef>
          </c:cat>
          <c:val>
            <c:numRef>
              <c:f>Charts!$C$205:$K$205</c:f>
              <c:numCache>
                <c:formatCode>0%</c:formatCode>
                <c:ptCount val="9"/>
                <c:pt idx="0">
                  <c:v>1.4294439463048873E-2</c:v>
                </c:pt>
                <c:pt idx="1">
                  <c:v>1.3598041881968998E-2</c:v>
                </c:pt>
                <c:pt idx="2">
                  <c:v>3.4042348681760114E-2</c:v>
                </c:pt>
                <c:pt idx="3">
                  <c:v>4.434465786698201E-2</c:v>
                </c:pt>
                <c:pt idx="4">
                  <c:v>6.0928868904149634E-2</c:v>
                </c:pt>
                <c:pt idx="5">
                  <c:v>6.0298293832367698E-2</c:v>
                </c:pt>
                <c:pt idx="6">
                  <c:v>6.087684798128682E-2</c:v>
                </c:pt>
                <c:pt idx="7">
                  <c:v>6.2034694680317415E-2</c:v>
                </c:pt>
                <c:pt idx="8">
                  <c:v>6.1696025832105178E-2</c:v>
                </c:pt>
              </c:numCache>
            </c:numRef>
          </c:val>
          <c:smooth val="0"/>
          <c:extLst>
            <c:ext xmlns:c16="http://schemas.microsoft.com/office/drawing/2014/chart" uri="{C3380CC4-5D6E-409C-BE32-E72D297353CC}">
              <c16:uniqueId val="{00000001-4A9B-4B70-AE5B-C3184FC87D10}"/>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1"/>
          <c:min val="0"/>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0%" sourceLinked="1"/>
        <c:majorTickMark val="out"/>
        <c:minorTickMark val="none"/>
        <c:tickLblPos val="nextTo"/>
        <c:spPr>
          <a:ln>
            <a:noFill/>
          </a:ln>
        </c:spPr>
        <c:crossAx val="591636495"/>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alibri" panose="020F0502020204030204" pitchFamily="34" charset="0"/>
                <a:cs typeface="Calibri" panose="020F0502020204030204" pitchFamily="34" charset="0"/>
              </a:defRPr>
            </a:pPr>
            <a:r>
              <a:rPr lang="en-IN" sz="1080">
                <a:latin typeface="Calibri" panose="020F0502020204030204" pitchFamily="34" charset="0"/>
                <a:cs typeface="Calibri" panose="020F0502020204030204" pitchFamily="34" charset="0"/>
              </a:rPr>
              <a:t>Total Cargo,</a:t>
            </a:r>
            <a:r>
              <a:rPr lang="en-IN" sz="1080" baseline="0">
                <a:latin typeface="Calibri" panose="020F0502020204030204" pitchFamily="34" charset="0"/>
                <a:cs typeface="Calibri" panose="020F0502020204030204" pitchFamily="34" charset="0"/>
              </a:rPr>
              <a:t> MT</a:t>
            </a:r>
            <a:endParaRPr lang="en-IN" sz="1080">
              <a:latin typeface="Calibri" panose="020F0502020204030204" pitchFamily="34" charset="0"/>
              <a:cs typeface="Calibri" panose="020F0502020204030204" pitchFamily="34" charset="0"/>
            </a:endParaRPr>
          </a:p>
        </c:rich>
      </c:tx>
      <c:overlay val="0"/>
    </c:title>
    <c:autoTitleDeleted val="0"/>
    <c:plotArea>
      <c:layout/>
      <c:barChart>
        <c:barDir val="col"/>
        <c:grouping val="stacked"/>
        <c:varyColors val="0"/>
        <c:ser>
          <c:idx val="0"/>
          <c:order val="0"/>
          <c:tx>
            <c:strRef>
              <c:f>Charts!$B$5</c:f>
              <c:strCache>
                <c:ptCount val="1"/>
                <c:pt idx="0">
                  <c:v>Total</c:v>
                </c:pt>
              </c:strCache>
            </c:strRef>
          </c:tx>
          <c:spPr>
            <a:solidFill>
              <a:schemeClr val="accent1"/>
            </a:solidFill>
            <a:ln w="25400">
              <a:noFill/>
            </a:ln>
          </c:spPr>
          <c:invertIfNegative val="0"/>
          <c:dLbls>
            <c:spPr>
              <a:noFill/>
              <a:ln>
                <a:noFill/>
              </a:ln>
              <a:effectLst/>
            </c:spPr>
            <c:txPr>
              <a:bodyPr wrap="square" lIns="38100" tIns="19050" rIns="38100" bIns="19050" anchor="ctr">
                <a:spAutoFit/>
              </a:bodyPr>
              <a:lstStyle/>
              <a:p>
                <a:pPr>
                  <a:defRPr>
                    <a:solidFill>
                      <a:schemeClr val="bg1"/>
                    </a:solidFill>
                    <a:latin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Charts!$F$2:$M$2</c:f>
              <c:strCache>
                <c:ptCount val="8"/>
                <c:pt idx="0">
                  <c:v>FY21</c:v>
                </c:pt>
                <c:pt idx="1">
                  <c:v>FY22</c:v>
                </c:pt>
                <c:pt idx="2">
                  <c:v>FY23</c:v>
                </c:pt>
                <c:pt idx="3">
                  <c:v>FY24</c:v>
                </c:pt>
                <c:pt idx="4">
                  <c:v>FY25</c:v>
                </c:pt>
                <c:pt idx="5">
                  <c:v>FY26</c:v>
                </c:pt>
                <c:pt idx="6">
                  <c:v>FY27E</c:v>
                </c:pt>
                <c:pt idx="7">
                  <c:v>FY28E</c:v>
                </c:pt>
              </c:strCache>
            </c:strRef>
          </c:cat>
          <c:val>
            <c:numRef>
              <c:f>Charts!$F$5:$M$5</c:f>
              <c:numCache>
                <c:formatCode>#,##0_);\(#,##0\)</c:formatCode>
                <c:ptCount val="8"/>
                <c:pt idx="0">
                  <c:v>45.540000000000006</c:v>
                </c:pt>
                <c:pt idx="1">
                  <c:v>61.97</c:v>
                </c:pt>
                <c:pt idx="2">
                  <c:v>92.830000000000013</c:v>
                </c:pt>
                <c:pt idx="3" formatCode="_(* #,##0_);_(* \(#,##0\);_(* &quot;-&quot;??_);_(@_)">
                  <c:v>107.46816244451827</c:v>
                </c:pt>
                <c:pt idx="4" formatCode="_(* #,##0_);_(* \(#,##0\);_(* &quot;-&quot;??_);_(@_)">
                  <c:v>117</c:v>
                </c:pt>
                <c:pt idx="5" formatCode="_(* #,##0_);_(* \(#,##0\);_(* &quot;-&quot;??_);_(@_)">
                  <c:v>120.72499999999999</c:v>
                </c:pt>
                <c:pt idx="6" formatCode="_(* #,##0_);_(* \(#,##0\);_(* &quot;-&quot;??_);_(@_)">
                  <c:v>127.95611000000002</c:v>
                </c:pt>
                <c:pt idx="7" formatCode="_(* #,##0_);_(* \(#,##0\);_(* &quot;-&quot;??_);_(@_)">
                  <c:v>168.54703450000002</c:v>
                </c:pt>
              </c:numCache>
            </c:numRef>
          </c:val>
          <c:extLst>
            <c:ext xmlns:c16="http://schemas.microsoft.com/office/drawing/2014/chart" uri="{C3380CC4-5D6E-409C-BE32-E72D297353CC}">
              <c16:uniqueId val="{00000000-532B-4B2D-BE8C-2CFF01DEDF1D}"/>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txPr>
          <a:bodyPr/>
          <a:lstStyle/>
          <a:p>
            <a:pPr>
              <a:defRPr>
                <a:latin typeface="Calibri" panose="020F0502020204030204" pitchFamily="34" charset="0"/>
                <a:cs typeface="Calibri" panose="020F0502020204030204" pitchFamily="34" charset="0"/>
              </a:defRPr>
            </a:pPr>
            <a:endParaRPr lang="en-US"/>
          </a:p>
        </c:txPr>
        <c:crossAx val="327558928"/>
        <c:crosses val="autoZero"/>
        <c:auto val="1"/>
        <c:lblAlgn val="ctr"/>
        <c:lblOffset val="100"/>
        <c:noMultiLvlLbl val="0"/>
      </c:catAx>
      <c:valAx>
        <c:axId val="327558928"/>
        <c:scaling>
          <c:orientation val="minMax"/>
          <c:max val="200"/>
        </c:scaling>
        <c:delete val="1"/>
        <c:axPos val="l"/>
        <c:numFmt formatCode="#,##0_);\(#,##0\)" sourceLinked="1"/>
        <c:majorTickMark val="out"/>
        <c:minorTickMark val="none"/>
        <c:tickLblPos val="nextTo"/>
        <c:crossAx val="327560848"/>
        <c:crosses val="autoZero"/>
        <c:crossBetween val="between"/>
      </c:valAx>
    </c:plotArea>
    <c:plotVisOnly val="1"/>
    <c:dispBlanksAs val="gap"/>
    <c:showDLblsOverMax val="0"/>
  </c:chart>
  <c:spPr>
    <a:ln w="3175">
      <a:solidFill>
        <a:schemeClr val="accent1"/>
      </a:solidFill>
    </a:ln>
  </c:sp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Charts!$B$148</c:f>
          <c:strCache>
            <c:ptCount val="1"/>
            <c:pt idx="0">
              <c:v>Total Capacity, MT</c:v>
            </c:pt>
          </c:strCache>
        </c:strRef>
      </c:tx>
      <c:overlay val="0"/>
    </c:title>
    <c:autoTitleDeleted val="0"/>
    <c:plotArea>
      <c:layout/>
      <c:barChart>
        <c:barDir val="col"/>
        <c:grouping val="clustered"/>
        <c:varyColors val="0"/>
        <c:ser>
          <c:idx val="0"/>
          <c:order val="0"/>
          <c:tx>
            <c:strRef>
              <c:f>Charts!$B$148</c:f>
              <c:strCache>
                <c:ptCount val="1"/>
                <c:pt idx="0">
                  <c:v>Total Capacity, MT</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Charts!$F$86:$M$86</c:f>
              <c:strCache>
                <c:ptCount val="8"/>
                <c:pt idx="0">
                  <c:v>FY21</c:v>
                </c:pt>
                <c:pt idx="1">
                  <c:v>FY22</c:v>
                </c:pt>
                <c:pt idx="2">
                  <c:v>FY23</c:v>
                </c:pt>
                <c:pt idx="3">
                  <c:v>FY24</c:v>
                </c:pt>
                <c:pt idx="4">
                  <c:v>FY25</c:v>
                </c:pt>
                <c:pt idx="5">
                  <c:v>FY26</c:v>
                </c:pt>
                <c:pt idx="6">
                  <c:v>FY27E</c:v>
                </c:pt>
                <c:pt idx="7">
                  <c:v>FY28E</c:v>
                </c:pt>
              </c:strCache>
            </c:strRef>
          </c:cat>
          <c:val>
            <c:numRef>
              <c:f>Charts!$F$148:$M$148</c:f>
              <c:numCache>
                <c:formatCode>#,##0_);\(#,##0\)</c:formatCode>
                <c:ptCount val="8"/>
                <c:pt idx="0">
                  <c:v>111</c:v>
                </c:pt>
                <c:pt idx="1">
                  <c:v>154.19999999999999</c:v>
                </c:pt>
                <c:pt idx="2">
                  <c:v>158.39999999999998</c:v>
                </c:pt>
                <c:pt idx="3">
                  <c:v>169.99999999999997</c:v>
                </c:pt>
                <c:pt idx="4">
                  <c:v>176.89999999999998</c:v>
                </c:pt>
                <c:pt idx="5">
                  <c:v>182.79999999999998</c:v>
                </c:pt>
                <c:pt idx="6">
                  <c:v>197.62</c:v>
                </c:pt>
                <c:pt idx="7">
                  <c:v>299.92</c:v>
                </c:pt>
              </c:numCache>
            </c:numRef>
          </c:val>
          <c:extLst>
            <c:ext xmlns:c16="http://schemas.microsoft.com/office/drawing/2014/chart" uri="{C3380CC4-5D6E-409C-BE32-E72D297353CC}">
              <c16:uniqueId val="{00000000-1B4C-46DB-B297-59A4E913A730}"/>
            </c:ext>
          </c:extLst>
        </c:ser>
        <c:dLbls>
          <c:dLblPos val="outEnd"/>
          <c:showLegendKey val="0"/>
          <c:showVal val="1"/>
          <c:showCatName val="0"/>
          <c:showSerName val="0"/>
          <c:showPercent val="0"/>
          <c:showBubbleSize val="0"/>
        </c:dLbls>
        <c:gapWidth val="30"/>
        <c:axId val="812975023"/>
        <c:axId val="812975503"/>
      </c:barChart>
      <c:catAx>
        <c:axId val="812975023"/>
        <c:scaling>
          <c:orientation val="minMax"/>
        </c:scaling>
        <c:delete val="0"/>
        <c:axPos val="b"/>
        <c:numFmt formatCode="General" sourceLinked="1"/>
        <c:majorTickMark val="none"/>
        <c:minorTickMark val="none"/>
        <c:tickLblPos val="nextTo"/>
        <c:crossAx val="812975503"/>
        <c:crosses val="autoZero"/>
        <c:auto val="1"/>
        <c:lblAlgn val="ctr"/>
        <c:lblOffset val="100"/>
        <c:noMultiLvlLbl val="0"/>
      </c:catAx>
      <c:valAx>
        <c:axId val="812975503"/>
        <c:scaling>
          <c:orientation val="minMax"/>
        </c:scaling>
        <c:delete val="0"/>
        <c:axPos val="l"/>
        <c:numFmt formatCode="#,##0_);\(#,##0\)" sourceLinked="1"/>
        <c:majorTickMark val="none"/>
        <c:minorTickMark val="none"/>
        <c:tickLblPos val="none"/>
        <c:spPr>
          <a:ln>
            <a:noFill/>
          </a:ln>
        </c:spPr>
        <c:crossAx val="812975023"/>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Charts!$B$148</c:f>
          <c:strCache>
            <c:ptCount val="1"/>
            <c:pt idx="0">
              <c:v>Total Capacity, MT</c:v>
            </c:pt>
          </c:strCache>
        </c:strRef>
      </c:tx>
      <c:overlay val="0"/>
    </c:title>
    <c:autoTitleDeleted val="0"/>
    <c:plotArea>
      <c:layout/>
      <c:barChart>
        <c:barDir val="col"/>
        <c:grouping val="clustered"/>
        <c:varyColors val="0"/>
        <c:ser>
          <c:idx val="0"/>
          <c:order val="0"/>
          <c:tx>
            <c:strRef>
              <c:f>Charts!$B$148</c:f>
              <c:strCache>
                <c:ptCount val="1"/>
                <c:pt idx="0">
                  <c:v>Total Capacity, MT</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Charts!$F$86:$M$86</c:f>
              <c:strCache>
                <c:ptCount val="8"/>
                <c:pt idx="0">
                  <c:v>FY21</c:v>
                </c:pt>
                <c:pt idx="1">
                  <c:v>FY22</c:v>
                </c:pt>
                <c:pt idx="2">
                  <c:v>FY23</c:v>
                </c:pt>
                <c:pt idx="3">
                  <c:v>FY24</c:v>
                </c:pt>
                <c:pt idx="4">
                  <c:v>FY25</c:v>
                </c:pt>
                <c:pt idx="5">
                  <c:v>FY26</c:v>
                </c:pt>
                <c:pt idx="6">
                  <c:v>FY27E</c:v>
                </c:pt>
                <c:pt idx="7">
                  <c:v>FY28E</c:v>
                </c:pt>
              </c:strCache>
            </c:strRef>
          </c:cat>
          <c:val>
            <c:numRef>
              <c:f>Charts!$F$148:$M$148</c:f>
              <c:numCache>
                <c:formatCode>#,##0_);\(#,##0\)</c:formatCode>
                <c:ptCount val="8"/>
                <c:pt idx="0">
                  <c:v>111</c:v>
                </c:pt>
                <c:pt idx="1">
                  <c:v>154.19999999999999</c:v>
                </c:pt>
                <c:pt idx="2">
                  <c:v>158.39999999999998</c:v>
                </c:pt>
                <c:pt idx="3">
                  <c:v>169.99999999999997</c:v>
                </c:pt>
                <c:pt idx="4">
                  <c:v>176.89999999999998</c:v>
                </c:pt>
                <c:pt idx="5">
                  <c:v>182.79999999999998</c:v>
                </c:pt>
                <c:pt idx="6">
                  <c:v>197.62</c:v>
                </c:pt>
                <c:pt idx="7">
                  <c:v>299.92</c:v>
                </c:pt>
              </c:numCache>
            </c:numRef>
          </c:val>
          <c:extLst>
            <c:ext xmlns:c16="http://schemas.microsoft.com/office/drawing/2014/chart" uri="{C3380CC4-5D6E-409C-BE32-E72D297353CC}">
              <c16:uniqueId val="{00000000-AAC2-4349-8DB4-C30057CFA263}"/>
            </c:ext>
          </c:extLst>
        </c:ser>
        <c:dLbls>
          <c:dLblPos val="outEnd"/>
          <c:showLegendKey val="0"/>
          <c:showVal val="1"/>
          <c:showCatName val="0"/>
          <c:showSerName val="0"/>
          <c:showPercent val="0"/>
          <c:showBubbleSize val="0"/>
        </c:dLbls>
        <c:gapWidth val="30"/>
        <c:axId val="812975023"/>
        <c:axId val="812975503"/>
      </c:barChart>
      <c:catAx>
        <c:axId val="812975023"/>
        <c:scaling>
          <c:orientation val="minMax"/>
        </c:scaling>
        <c:delete val="0"/>
        <c:axPos val="b"/>
        <c:numFmt formatCode="General" sourceLinked="1"/>
        <c:majorTickMark val="none"/>
        <c:minorTickMark val="none"/>
        <c:tickLblPos val="nextTo"/>
        <c:crossAx val="812975503"/>
        <c:crosses val="autoZero"/>
        <c:auto val="1"/>
        <c:lblAlgn val="ctr"/>
        <c:lblOffset val="100"/>
        <c:noMultiLvlLbl val="0"/>
      </c:catAx>
      <c:valAx>
        <c:axId val="812975503"/>
        <c:scaling>
          <c:orientation val="minMax"/>
        </c:scaling>
        <c:delete val="0"/>
        <c:axPos val="l"/>
        <c:numFmt formatCode="#,##0_);\(#,##0\)" sourceLinked="1"/>
        <c:majorTickMark val="none"/>
        <c:minorTickMark val="none"/>
        <c:tickLblPos val="none"/>
        <c:spPr>
          <a:ln>
            <a:noFill/>
          </a:ln>
        </c:spPr>
        <c:crossAx val="812975023"/>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JSW Infra Volume Growth, yoy</a:t>
            </a:r>
          </a:p>
        </c:rich>
      </c:tx>
      <c:overlay val="0"/>
    </c:title>
    <c:autoTitleDeleted val="0"/>
    <c:plotArea>
      <c:layout/>
      <c:lineChart>
        <c:grouping val="standard"/>
        <c:varyColors val="0"/>
        <c:ser>
          <c:idx val="0"/>
          <c:order val="0"/>
          <c:spPr>
            <a:ln w="31750"/>
            <a:effectLst>
              <a:outerShdw blurRad="50800" dist="38100" dir="2700000" algn="tl" rotWithShape="0">
                <a:prstClr val="black">
                  <a:alpha val="40000"/>
                </a:prstClr>
              </a:outerShdw>
            </a:effectLst>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Charts!$G$2:$M$2</c:f>
              <c:strCache>
                <c:ptCount val="7"/>
                <c:pt idx="0">
                  <c:v>FY22</c:v>
                </c:pt>
                <c:pt idx="1">
                  <c:v>FY23</c:v>
                </c:pt>
                <c:pt idx="2">
                  <c:v>FY24</c:v>
                </c:pt>
                <c:pt idx="3">
                  <c:v>FY25</c:v>
                </c:pt>
                <c:pt idx="4">
                  <c:v>FY26</c:v>
                </c:pt>
                <c:pt idx="5">
                  <c:v>FY27E</c:v>
                </c:pt>
                <c:pt idx="6">
                  <c:v>FY28E</c:v>
                </c:pt>
              </c:strCache>
            </c:strRef>
          </c:cat>
          <c:val>
            <c:numRef>
              <c:f>Charts!$G$6:$M$6</c:f>
              <c:numCache>
                <c:formatCode>0%</c:formatCode>
                <c:ptCount val="7"/>
                <c:pt idx="0">
                  <c:v>0.3607817303469476</c:v>
                </c:pt>
                <c:pt idx="1">
                  <c:v>0.49798289494916914</c:v>
                </c:pt>
                <c:pt idx="2" formatCode="0.0%">
                  <c:v>0.15768784277192993</c:v>
                </c:pt>
                <c:pt idx="3" formatCode="0.0%">
                  <c:v>8.8694524393702734E-2</c:v>
                </c:pt>
                <c:pt idx="4" formatCode="0.0%">
                  <c:v>3.1837606837606724E-2</c:v>
                </c:pt>
                <c:pt idx="5" formatCode="0.0%">
                  <c:v>5.9897370055912447E-2</c:v>
                </c:pt>
                <c:pt idx="6" formatCode="0.0%">
                  <c:v>0.31722537126206785</c:v>
                </c:pt>
              </c:numCache>
            </c:numRef>
          </c:val>
          <c:smooth val="0"/>
          <c:extLst>
            <c:ext xmlns:c16="http://schemas.microsoft.com/office/drawing/2014/chart" uri="{C3380CC4-5D6E-409C-BE32-E72D297353CC}">
              <c16:uniqueId val="{00000000-A927-40BA-B213-0174998C449E}"/>
            </c:ext>
          </c:extLst>
        </c:ser>
        <c:dLbls>
          <c:dLblPos val="t"/>
          <c:showLegendKey val="0"/>
          <c:showVal val="1"/>
          <c:showCatName val="0"/>
          <c:showSerName val="0"/>
          <c:showPercent val="0"/>
          <c:showBubbleSize val="0"/>
        </c:dLbls>
        <c:smooth val="0"/>
        <c:axId val="1538726399"/>
        <c:axId val="1538726879"/>
      </c:lineChart>
      <c:catAx>
        <c:axId val="1538726399"/>
        <c:scaling>
          <c:orientation val="minMax"/>
        </c:scaling>
        <c:delete val="0"/>
        <c:axPos val="b"/>
        <c:numFmt formatCode="General" sourceLinked="1"/>
        <c:majorTickMark val="none"/>
        <c:minorTickMark val="none"/>
        <c:tickLblPos val="nextTo"/>
        <c:crossAx val="1538726879"/>
        <c:crosses val="autoZero"/>
        <c:auto val="1"/>
        <c:lblAlgn val="ctr"/>
        <c:lblOffset val="100"/>
        <c:noMultiLvlLbl val="0"/>
      </c:catAx>
      <c:valAx>
        <c:axId val="1538726879"/>
        <c:scaling>
          <c:orientation val="minMax"/>
        </c:scaling>
        <c:delete val="1"/>
        <c:axPos val="l"/>
        <c:majorGridlines>
          <c:spPr>
            <a:ln w="3175" cap="flat" cmpd="sng" algn="ctr">
              <a:solidFill>
                <a:srgbClr val="FFFFFF">
                  <a:lumMod val="75000"/>
                </a:srgbClr>
              </a:solidFill>
              <a:prstDash val="dash"/>
              <a:round/>
              <a:headEnd type="none" w="med" len="med"/>
              <a:tailEnd type="none" w="med" len="med"/>
            </a:ln>
          </c:spPr>
        </c:majorGridlines>
        <c:numFmt formatCode="0%" sourceLinked="1"/>
        <c:majorTickMark val="out"/>
        <c:minorTickMark val="none"/>
        <c:tickLblPos val="nextTo"/>
        <c:crossAx val="1538726399"/>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Realisations,</a:t>
            </a:r>
            <a:r>
              <a:rPr lang="en-IN" baseline="0"/>
              <a:t> Rs./tonne</a:t>
            </a:r>
            <a:endParaRPr lang="en-IN"/>
          </a:p>
        </c:rich>
      </c:tx>
      <c:overlay val="0"/>
    </c:title>
    <c:autoTitleDeleted val="0"/>
    <c:plotArea>
      <c:layout/>
      <c:lineChart>
        <c:grouping val="standard"/>
        <c:varyColors val="0"/>
        <c:ser>
          <c:idx val="0"/>
          <c:order val="0"/>
          <c:tx>
            <c:strRef>
              <c:f>Charts!$B$59</c:f>
              <c:strCache>
                <c:ptCount val="1"/>
                <c:pt idx="0">
                  <c:v>Revenue/tonne</c:v>
                </c:pt>
              </c:strCache>
            </c:strRef>
          </c:tx>
          <c:spPr>
            <a:ln w="34925"/>
            <a:effectLst>
              <a:outerShdw blurRad="50800" dist="38100" dir="2700000" algn="tl" rotWithShape="0">
                <a:prstClr val="black">
                  <a:alpha val="40000"/>
                </a:prstClr>
              </a:outerShdw>
            </a:effectLst>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Charts!$F$58:$M$58</c:f>
              <c:strCache>
                <c:ptCount val="8"/>
                <c:pt idx="0">
                  <c:v>FY21</c:v>
                </c:pt>
                <c:pt idx="1">
                  <c:v>FY22</c:v>
                </c:pt>
                <c:pt idx="2">
                  <c:v>FY23</c:v>
                </c:pt>
                <c:pt idx="3">
                  <c:v>FY24</c:v>
                </c:pt>
                <c:pt idx="4">
                  <c:v>FY25</c:v>
                </c:pt>
                <c:pt idx="5">
                  <c:v>FY26</c:v>
                </c:pt>
                <c:pt idx="6">
                  <c:v>FY27E</c:v>
                </c:pt>
                <c:pt idx="7">
                  <c:v>FY28E</c:v>
                </c:pt>
              </c:strCache>
            </c:strRef>
          </c:cat>
          <c:val>
            <c:numRef>
              <c:f>Charts!$F$59:$M$59</c:f>
              <c:numCache>
                <c:formatCode>_(* #,##0_);_(* \(#,##0\);_(* "-"??_);_(@_)</c:formatCode>
                <c:ptCount val="8"/>
                <c:pt idx="0">
                  <c:v>352.13898282752865</c:v>
                </c:pt>
                <c:pt idx="1">
                  <c:v>366.84338529100262</c:v>
                </c:pt>
                <c:pt idx="2">
                  <c:v>345.14056307565369</c:v>
                </c:pt>
                <c:pt idx="3">
                  <c:v>351.54658058993141</c:v>
                </c:pt>
                <c:pt idx="4">
                  <c:v>361.23162393162391</c:v>
                </c:pt>
                <c:pt idx="5">
                  <c:v>427.18162095564458</c:v>
                </c:pt>
                <c:pt idx="6">
                  <c:v>443.73321724508804</c:v>
                </c:pt>
                <c:pt idx="7">
                  <c:v>478.4597087245553</c:v>
                </c:pt>
              </c:numCache>
            </c:numRef>
          </c:val>
          <c:smooth val="0"/>
          <c:extLst>
            <c:ext xmlns:c16="http://schemas.microsoft.com/office/drawing/2014/chart" uri="{C3380CC4-5D6E-409C-BE32-E72D297353CC}">
              <c16:uniqueId val="{00000000-8CEB-4C51-A82E-C5E16E8366E2}"/>
            </c:ext>
          </c:extLst>
        </c:ser>
        <c:ser>
          <c:idx val="1"/>
          <c:order val="1"/>
          <c:tx>
            <c:strRef>
              <c:f>Charts!$B$60</c:f>
              <c:strCache>
                <c:ptCount val="1"/>
                <c:pt idx="0">
                  <c:v>EBITDA/tonne</c:v>
                </c:pt>
              </c:strCache>
            </c:strRef>
          </c:tx>
          <c:spPr>
            <a:ln w="34925"/>
            <a:effectLst>
              <a:outerShdw blurRad="50800" dist="38100" dir="2700000" algn="tl" rotWithShape="0">
                <a:prstClr val="black">
                  <a:alpha val="40000"/>
                </a:prstClr>
              </a:outerShdw>
            </a:effectLst>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Charts!$F$58:$M$58</c:f>
              <c:strCache>
                <c:ptCount val="8"/>
                <c:pt idx="0">
                  <c:v>FY21</c:v>
                </c:pt>
                <c:pt idx="1">
                  <c:v>FY22</c:v>
                </c:pt>
                <c:pt idx="2">
                  <c:v>FY23</c:v>
                </c:pt>
                <c:pt idx="3">
                  <c:v>FY24</c:v>
                </c:pt>
                <c:pt idx="4">
                  <c:v>FY25</c:v>
                </c:pt>
                <c:pt idx="5">
                  <c:v>FY26</c:v>
                </c:pt>
                <c:pt idx="6">
                  <c:v>FY27E</c:v>
                </c:pt>
                <c:pt idx="7">
                  <c:v>FY28E</c:v>
                </c:pt>
              </c:strCache>
            </c:strRef>
          </c:cat>
          <c:val>
            <c:numRef>
              <c:f>Charts!$F$60:$M$60</c:f>
              <c:numCache>
                <c:formatCode>_(* #,##0_);_(* \(#,##0\);_(* "-"??_);_(@_)</c:formatCode>
                <c:ptCount val="8"/>
                <c:pt idx="0">
                  <c:v>179.28751811673766</c:v>
                </c:pt>
                <c:pt idx="1">
                  <c:v>179.04831604800773</c:v>
                </c:pt>
                <c:pt idx="2">
                  <c:v>174.56870849831552</c:v>
                </c:pt>
                <c:pt idx="3">
                  <c:v>183.53827785658245</c:v>
                </c:pt>
                <c:pt idx="4">
                  <c:v>183.5664404977376</c:v>
                </c:pt>
                <c:pt idx="5">
                  <c:v>197.32024429342516</c:v>
                </c:pt>
                <c:pt idx="6">
                  <c:v>200.04312420981171</c:v>
                </c:pt>
                <c:pt idx="7">
                  <c:v>242.57191178905629</c:v>
                </c:pt>
              </c:numCache>
            </c:numRef>
          </c:val>
          <c:smooth val="0"/>
          <c:extLst>
            <c:ext xmlns:c16="http://schemas.microsoft.com/office/drawing/2014/chart" uri="{C3380CC4-5D6E-409C-BE32-E72D297353CC}">
              <c16:uniqueId val="{00000001-8CEB-4C51-A82E-C5E16E8366E2}"/>
            </c:ext>
          </c:extLst>
        </c:ser>
        <c:dLbls>
          <c:dLblPos val="t"/>
          <c:showLegendKey val="0"/>
          <c:showVal val="1"/>
          <c:showCatName val="0"/>
          <c:showSerName val="0"/>
          <c:showPercent val="0"/>
          <c:showBubbleSize val="0"/>
        </c:dLbls>
        <c:smooth val="0"/>
        <c:axId val="1744368079"/>
        <c:axId val="1744371919"/>
      </c:lineChart>
      <c:catAx>
        <c:axId val="1744368079"/>
        <c:scaling>
          <c:orientation val="minMax"/>
        </c:scaling>
        <c:delete val="0"/>
        <c:axPos val="b"/>
        <c:numFmt formatCode="General" sourceLinked="1"/>
        <c:majorTickMark val="none"/>
        <c:minorTickMark val="none"/>
        <c:tickLblPos val="nextTo"/>
        <c:crossAx val="1744371919"/>
        <c:crosses val="autoZero"/>
        <c:auto val="1"/>
        <c:lblAlgn val="ctr"/>
        <c:lblOffset val="100"/>
        <c:noMultiLvlLbl val="0"/>
      </c:catAx>
      <c:valAx>
        <c:axId val="1744371919"/>
        <c:scaling>
          <c:orientation val="minMax"/>
        </c:scaling>
        <c:delete val="1"/>
        <c:axPos val="l"/>
        <c:majorGridlines>
          <c:spPr>
            <a:ln w="3175" cap="flat" cmpd="sng" algn="ctr">
              <a:solidFill>
                <a:srgbClr val="FFFFFF">
                  <a:lumMod val="75000"/>
                </a:srgbClr>
              </a:solidFill>
              <a:prstDash val="dash"/>
              <a:round/>
              <a:headEnd type="none" w="med" len="med"/>
              <a:tailEnd type="none" w="med" len="med"/>
            </a:ln>
          </c:spPr>
        </c:majorGridlines>
        <c:numFmt formatCode="_(* #,##0_);_(* \(#,##0\);_(* &quot;-&quot;??_);_(@_)" sourceLinked="1"/>
        <c:majorTickMark val="out"/>
        <c:minorTickMark val="none"/>
        <c:tickLblPos val="nextTo"/>
        <c:crossAx val="1744368079"/>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JSW Infra Market Share</a:t>
            </a:r>
          </a:p>
        </c:rich>
      </c:tx>
      <c:overlay val="0"/>
    </c:title>
    <c:autoTitleDeleted val="0"/>
    <c:plotArea>
      <c:layout/>
      <c:lineChart>
        <c:grouping val="standard"/>
        <c:varyColors val="0"/>
        <c:ser>
          <c:idx val="0"/>
          <c:order val="0"/>
          <c:tx>
            <c:strRef>
              <c:f>Charts!$B$204</c:f>
              <c:strCache>
                <c:ptCount val="1"/>
                <c:pt idx="0">
                  <c:v>Volume</c:v>
                </c:pt>
              </c:strCache>
            </c:strRef>
          </c:tx>
          <c:spPr>
            <a:ln w="31750"/>
            <a:effectLst>
              <a:outerShdw blurRad="50800" dist="38100" dir="2700000" algn="tl" rotWithShape="0">
                <a:prstClr val="black">
                  <a:alpha val="40000"/>
                </a:prstClr>
              </a:outerShdw>
            </a:effectLst>
          </c:spPr>
          <c:marker>
            <c:symbol val="none"/>
          </c:marker>
          <c:dLbls>
            <c:delete val="1"/>
          </c:dLbls>
          <c:cat>
            <c:strRef>
              <c:f>Charts!$C$58:$J$58</c:f>
              <c:strCache>
                <c:ptCount val="8"/>
                <c:pt idx="0">
                  <c:v>FY18</c:v>
                </c:pt>
                <c:pt idx="1">
                  <c:v>FY19</c:v>
                </c:pt>
                <c:pt idx="2">
                  <c:v>FY20</c:v>
                </c:pt>
                <c:pt idx="3">
                  <c:v>FY21</c:v>
                </c:pt>
                <c:pt idx="4">
                  <c:v>FY22</c:v>
                </c:pt>
                <c:pt idx="5">
                  <c:v>FY23</c:v>
                </c:pt>
                <c:pt idx="6">
                  <c:v>FY24</c:v>
                </c:pt>
                <c:pt idx="7">
                  <c:v>FY25</c:v>
                </c:pt>
              </c:strCache>
            </c:strRef>
          </c:cat>
          <c:val>
            <c:numRef>
              <c:f>Charts!$C$204:$J$204</c:f>
              <c:numCache>
                <c:formatCode>0%</c:formatCode>
                <c:ptCount val="8"/>
                <c:pt idx="0">
                  <c:v>2.6558880943889137E-2</c:v>
                </c:pt>
                <c:pt idx="1">
                  <c:v>2.7594460511523439E-2</c:v>
                </c:pt>
                <c:pt idx="2">
                  <c:v>2.5767097662127491E-2</c:v>
                </c:pt>
                <c:pt idx="3">
                  <c:v>3.6387986163328029E-2</c:v>
                </c:pt>
                <c:pt idx="4">
                  <c:v>4.697784433985909E-2</c:v>
                </c:pt>
                <c:pt idx="5">
                  <c:v>6.471309119226766E-2</c:v>
                </c:pt>
                <c:pt idx="6">
                  <c:v>6.8194377140537304E-2</c:v>
                </c:pt>
                <c:pt idx="7">
                  <c:v>6.8452633523195278E-2</c:v>
                </c:pt>
              </c:numCache>
            </c:numRef>
          </c:val>
          <c:smooth val="0"/>
          <c:extLst>
            <c:ext xmlns:c16="http://schemas.microsoft.com/office/drawing/2014/chart" uri="{C3380CC4-5D6E-409C-BE32-E72D297353CC}">
              <c16:uniqueId val="{00000000-CBB9-4F72-86E9-15C0F1753D9F}"/>
            </c:ext>
          </c:extLst>
        </c:ser>
        <c:ser>
          <c:idx val="1"/>
          <c:order val="1"/>
          <c:tx>
            <c:strRef>
              <c:f>Charts!$B$205</c:f>
              <c:strCache>
                <c:ptCount val="1"/>
                <c:pt idx="0">
                  <c:v>Capacity</c:v>
                </c:pt>
              </c:strCache>
            </c:strRef>
          </c:tx>
          <c:spPr>
            <a:ln w="31750"/>
            <a:effectLst>
              <a:outerShdw blurRad="50800" dist="38100" dir="2700000" algn="tl" rotWithShape="0">
                <a:prstClr val="black">
                  <a:alpha val="40000"/>
                </a:prstClr>
              </a:outerShdw>
            </a:effectLst>
          </c:spPr>
          <c:marker>
            <c:symbol val="none"/>
          </c:marker>
          <c:dLbls>
            <c:delete val="1"/>
          </c:dLbls>
          <c:cat>
            <c:strRef>
              <c:f>Charts!$C$58:$J$58</c:f>
              <c:strCache>
                <c:ptCount val="8"/>
                <c:pt idx="0">
                  <c:v>FY18</c:v>
                </c:pt>
                <c:pt idx="1">
                  <c:v>FY19</c:v>
                </c:pt>
                <c:pt idx="2">
                  <c:v>FY20</c:v>
                </c:pt>
                <c:pt idx="3">
                  <c:v>FY21</c:v>
                </c:pt>
                <c:pt idx="4">
                  <c:v>FY22</c:v>
                </c:pt>
                <c:pt idx="5">
                  <c:v>FY23</c:v>
                </c:pt>
                <c:pt idx="6">
                  <c:v>FY24</c:v>
                </c:pt>
                <c:pt idx="7">
                  <c:v>FY25</c:v>
                </c:pt>
              </c:strCache>
            </c:strRef>
          </c:cat>
          <c:val>
            <c:numRef>
              <c:f>Charts!$C$205:$J$205</c:f>
              <c:numCache>
                <c:formatCode>0%</c:formatCode>
                <c:ptCount val="8"/>
                <c:pt idx="0">
                  <c:v>1.4294439463048873E-2</c:v>
                </c:pt>
                <c:pt idx="1">
                  <c:v>1.3598041881968998E-2</c:v>
                </c:pt>
                <c:pt idx="2">
                  <c:v>3.4042348681760114E-2</c:v>
                </c:pt>
                <c:pt idx="3">
                  <c:v>4.434465786698201E-2</c:v>
                </c:pt>
                <c:pt idx="4">
                  <c:v>6.0928868904149634E-2</c:v>
                </c:pt>
                <c:pt idx="5">
                  <c:v>6.0298293832367698E-2</c:v>
                </c:pt>
                <c:pt idx="6">
                  <c:v>6.087684798128682E-2</c:v>
                </c:pt>
                <c:pt idx="7">
                  <c:v>6.2034694680317415E-2</c:v>
                </c:pt>
              </c:numCache>
            </c:numRef>
          </c:val>
          <c:smooth val="0"/>
          <c:extLst>
            <c:ext xmlns:c16="http://schemas.microsoft.com/office/drawing/2014/chart" uri="{C3380CC4-5D6E-409C-BE32-E72D297353CC}">
              <c16:uniqueId val="{00000001-CBB9-4F72-86E9-15C0F1753D9F}"/>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1"/>
          <c:min val="0"/>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0%" sourceLinked="1"/>
        <c:majorTickMark val="out"/>
        <c:minorTickMark val="none"/>
        <c:tickLblPos val="nextTo"/>
        <c:spPr>
          <a:ln>
            <a:noFill/>
          </a:ln>
        </c:spPr>
        <c:crossAx val="591636495"/>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Charts!$B$16</c:f>
          <c:strCache>
            <c:ptCount val="1"/>
            <c:pt idx="0">
              <c:v>Volumes - Portwise, MT</c:v>
            </c:pt>
          </c:strCache>
        </c:strRef>
      </c:tx>
      <c:layout>
        <c:manualLayout>
          <c:xMode val="edge"/>
          <c:yMode val="edge"/>
          <c:x val="0.39183332312230146"/>
          <c:y val="2.0453432952681781E-2"/>
        </c:manualLayout>
      </c:layout>
      <c:overlay val="0"/>
    </c:title>
    <c:autoTitleDeleted val="0"/>
    <c:plotArea>
      <c:layout>
        <c:manualLayout>
          <c:layoutTarget val="inner"/>
          <c:xMode val="edge"/>
          <c:yMode val="edge"/>
          <c:x val="1.2109198795771818E-2"/>
          <c:y val="4.185276282588888E-2"/>
          <c:w val="0.97578160240845635"/>
          <c:h val="0.64656844755894283"/>
        </c:manualLayout>
      </c:layout>
      <c:barChart>
        <c:barDir val="col"/>
        <c:grouping val="stacked"/>
        <c:varyColors val="0"/>
        <c:ser>
          <c:idx val="0"/>
          <c:order val="0"/>
          <c:tx>
            <c:strRef>
              <c:f>Charts!$B$17</c:f>
              <c:strCache>
                <c:ptCount val="1"/>
                <c:pt idx="0">
                  <c:v>Jaigarh</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Charts!$C$17:$J$17</c:f>
              <c:numCache>
                <c:formatCode>_(* #,##0_);_(* \(#,##0\);_(* "-"??_);_(@_)</c:formatCode>
                <c:ptCount val="8"/>
                <c:pt idx="0">
                  <c:v>9.5350000000000001</c:v>
                </c:pt>
                <c:pt idx="1">
                  <c:v>13.05</c:v>
                </c:pt>
                <c:pt idx="2">
                  <c:v>10.370318747000001</c:v>
                </c:pt>
                <c:pt idx="3">
                  <c:v>9.2379999999999995</c:v>
                </c:pt>
                <c:pt idx="4">
                  <c:v>14.019483999999999</c:v>
                </c:pt>
                <c:pt idx="5">
                  <c:v>20.237000000000002</c:v>
                </c:pt>
                <c:pt idx="6">
                  <c:v>21.51</c:v>
                </c:pt>
                <c:pt idx="7">
                  <c:v>19.899999999999999</c:v>
                </c:pt>
              </c:numCache>
              <c:extLst/>
            </c:numRef>
          </c:val>
          <c:extLst>
            <c:ext xmlns:c16="http://schemas.microsoft.com/office/drawing/2014/chart" uri="{C3380CC4-5D6E-409C-BE32-E72D297353CC}">
              <c16:uniqueId val="{00000000-2D56-4373-8E24-5560744BCA7F}"/>
            </c:ext>
          </c:extLst>
        </c:ser>
        <c:ser>
          <c:idx val="1"/>
          <c:order val="1"/>
          <c:tx>
            <c:strRef>
              <c:f>Charts!$B$18</c:f>
              <c:strCache>
                <c:ptCount val="1"/>
                <c:pt idx="0">
                  <c:v>Dharmatar</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Charts!$C$18:$J$18</c:f>
              <c:numCache>
                <c:formatCode>_(* #,##0_);_(* \(#,##0\);_(* "-"??_);_(@_)</c:formatCode>
                <c:ptCount val="8"/>
                <c:pt idx="0">
                  <c:v>11.66</c:v>
                </c:pt>
                <c:pt idx="1">
                  <c:v>12.88</c:v>
                </c:pt>
                <c:pt idx="2">
                  <c:v>12.840225999999999</c:v>
                </c:pt>
                <c:pt idx="3">
                  <c:v>12.9</c:v>
                </c:pt>
                <c:pt idx="4">
                  <c:v>17.209493327000001</c:v>
                </c:pt>
                <c:pt idx="5">
                  <c:v>24.029999999999998</c:v>
                </c:pt>
                <c:pt idx="6">
                  <c:v>25.14</c:v>
                </c:pt>
                <c:pt idx="7">
                  <c:v>23.1</c:v>
                </c:pt>
              </c:numCache>
              <c:extLst/>
            </c:numRef>
          </c:val>
          <c:extLst>
            <c:ext xmlns:c16="http://schemas.microsoft.com/office/drawing/2014/chart" uri="{C3380CC4-5D6E-409C-BE32-E72D297353CC}">
              <c16:uniqueId val="{00000001-2D56-4373-8E24-5560744BCA7F}"/>
            </c:ext>
          </c:extLst>
        </c:ser>
        <c:ser>
          <c:idx val="2"/>
          <c:order val="2"/>
          <c:tx>
            <c:strRef>
              <c:f>Charts!$B$19</c:f>
              <c:strCache>
                <c:ptCount val="1"/>
                <c:pt idx="0">
                  <c:v>Paradip Coal</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Charts!$C$19:$J$19</c:f>
              <c:numCache>
                <c:formatCode>_(* #,##0_);_(* \(#,##0\);_(* "-"??_);_(@_)</c:formatCode>
                <c:ptCount val="8"/>
                <c:pt idx="0">
                  <c:v>0</c:v>
                </c:pt>
                <c:pt idx="1">
                  <c:v>0</c:v>
                </c:pt>
                <c:pt idx="2">
                  <c:v>0</c:v>
                </c:pt>
                <c:pt idx="3">
                  <c:v>0</c:v>
                </c:pt>
                <c:pt idx="4">
                  <c:v>0.28067500000000001</c:v>
                </c:pt>
                <c:pt idx="5">
                  <c:v>12.034000000000001</c:v>
                </c:pt>
                <c:pt idx="6">
                  <c:v>16.77</c:v>
                </c:pt>
                <c:pt idx="7">
                  <c:v>18.899999999999999</c:v>
                </c:pt>
              </c:numCache>
              <c:extLst/>
            </c:numRef>
          </c:val>
          <c:extLst>
            <c:ext xmlns:c16="http://schemas.microsoft.com/office/drawing/2014/chart" uri="{C3380CC4-5D6E-409C-BE32-E72D297353CC}">
              <c16:uniqueId val="{00000002-2D56-4373-8E24-5560744BCA7F}"/>
            </c:ext>
          </c:extLst>
        </c:ser>
        <c:ser>
          <c:idx val="8"/>
          <c:order val="3"/>
          <c:tx>
            <c:strRef>
              <c:f>Charts!$B$25</c:f>
              <c:strCache>
                <c:ptCount val="1"/>
                <c:pt idx="0">
                  <c:v>Paradip Iron Ore</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Charts!$C$25:$J$25</c:f>
              <c:numCache>
                <c:formatCode>_(* #,##0_);_(* \(#,##0\);_(* "-"??_);_(@_)</c:formatCode>
                <c:ptCount val="8"/>
                <c:pt idx="0">
                  <c:v>0</c:v>
                </c:pt>
                <c:pt idx="1">
                  <c:v>0</c:v>
                </c:pt>
                <c:pt idx="2">
                  <c:v>1.0129999999999999</c:v>
                </c:pt>
                <c:pt idx="3">
                  <c:v>8.43</c:v>
                </c:pt>
                <c:pt idx="4">
                  <c:v>7.5161150000000001</c:v>
                </c:pt>
                <c:pt idx="5">
                  <c:v>9.52</c:v>
                </c:pt>
                <c:pt idx="6">
                  <c:v>12.37</c:v>
                </c:pt>
                <c:pt idx="7">
                  <c:v>11.4</c:v>
                </c:pt>
              </c:numCache>
              <c:extLst/>
            </c:numRef>
          </c:val>
          <c:extLst>
            <c:ext xmlns:c16="http://schemas.microsoft.com/office/drawing/2014/chart" uri="{C3380CC4-5D6E-409C-BE32-E72D297353CC}">
              <c16:uniqueId val="{00000003-2D56-4373-8E24-5560744BCA7F}"/>
            </c:ext>
          </c:extLst>
        </c:ser>
        <c:ser>
          <c:idx val="10"/>
          <c:order val="4"/>
          <c:tx>
            <c:strRef>
              <c:f>Charts!$B$27</c:f>
              <c:strCache>
                <c:ptCount val="1"/>
                <c:pt idx="0">
                  <c:v>Ennore Coal</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Charts!$C$27:$J$27</c:f>
              <c:numCache>
                <c:formatCode>_(* #,##0_);_(* \(#,##0\);_(* "-"??_);_(@_)</c:formatCode>
                <c:ptCount val="8"/>
                <c:pt idx="0">
                  <c:v>0</c:v>
                </c:pt>
                <c:pt idx="1">
                  <c:v>0</c:v>
                </c:pt>
                <c:pt idx="2">
                  <c:v>0</c:v>
                </c:pt>
                <c:pt idx="3">
                  <c:v>3.14</c:v>
                </c:pt>
                <c:pt idx="4">
                  <c:v>8.0324159999999996</c:v>
                </c:pt>
                <c:pt idx="5">
                  <c:v>8.7040000000000006</c:v>
                </c:pt>
                <c:pt idx="6">
                  <c:v>9.31</c:v>
                </c:pt>
                <c:pt idx="7">
                  <c:v>10.199999999999999</c:v>
                </c:pt>
              </c:numCache>
              <c:extLst/>
            </c:numRef>
          </c:val>
          <c:extLst>
            <c:ext xmlns:c16="http://schemas.microsoft.com/office/drawing/2014/chart" uri="{C3380CC4-5D6E-409C-BE32-E72D297353CC}">
              <c16:uniqueId val="{00000004-2D56-4373-8E24-5560744BCA7F}"/>
            </c:ext>
          </c:extLst>
        </c:ser>
        <c:ser>
          <c:idx val="11"/>
          <c:order val="5"/>
          <c:tx>
            <c:strRef>
              <c:f>Charts!$B$28</c:f>
              <c:strCache>
                <c:ptCount val="1"/>
                <c:pt idx="0">
                  <c:v>Goa</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Charts!$C$28:$J$28</c:f>
              <c:numCache>
                <c:formatCode>_(* #,##0_);_(* \(#,##0\);_(* "-"??_);_(@_)</c:formatCode>
                <c:ptCount val="8"/>
                <c:pt idx="0">
                  <c:v>10.899999999999999</c:v>
                </c:pt>
                <c:pt idx="1">
                  <c:v>5.25</c:v>
                </c:pt>
                <c:pt idx="2">
                  <c:v>6.6109790000000004</c:v>
                </c:pt>
                <c:pt idx="3">
                  <c:v>6.83</c:v>
                </c:pt>
                <c:pt idx="4">
                  <c:v>6.9256087389999994</c:v>
                </c:pt>
                <c:pt idx="5">
                  <c:v>7.0679999999999996</c:v>
                </c:pt>
                <c:pt idx="6">
                  <c:v>7.1559999999999997</c:v>
                </c:pt>
                <c:pt idx="7">
                  <c:v>6.4</c:v>
                </c:pt>
              </c:numCache>
              <c:extLst/>
            </c:numRef>
          </c:val>
          <c:extLst>
            <c:ext xmlns:c16="http://schemas.microsoft.com/office/drawing/2014/chart" uri="{C3380CC4-5D6E-409C-BE32-E72D297353CC}">
              <c16:uniqueId val="{00000005-2D56-4373-8E24-5560744BCA7F}"/>
            </c:ext>
          </c:extLst>
        </c:ser>
        <c:ser>
          <c:idx val="12"/>
          <c:order val="6"/>
          <c:tx>
            <c:strRef>
              <c:f>Charts!$B$29</c:f>
              <c:strCache>
                <c:ptCount val="1"/>
                <c:pt idx="0">
                  <c:v>Mangalore Coal</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Charts!$C$29:$J$29</c:f>
              <c:numCache>
                <c:formatCode>_(* #,##0_);_(* \(#,##0\);_(* "-"??_);_(@_)</c:formatCode>
                <c:ptCount val="8"/>
                <c:pt idx="0">
                  <c:v>0</c:v>
                </c:pt>
                <c:pt idx="1">
                  <c:v>0</c:v>
                </c:pt>
                <c:pt idx="2">
                  <c:v>0</c:v>
                </c:pt>
                <c:pt idx="3">
                  <c:v>1.02</c:v>
                </c:pt>
                <c:pt idx="4">
                  <c:v>3.7909014610000002</c:v>
                </c:pt>
                <c:pt idx="5">
                  <c:v>4.4539999999999997</c:v>
                </c:pt>
                <c:pt idx="6">
                  <c:v>4.7699999999999996</c:v>
                </c:pt>
                <c:pt idx="7">
                  <c:v>6.3</c:v>
                </c:pt>
              </c:numCache>
              <c:extLst/>
            </c:numRef>
          </c:val>
          <c:extLst>
            <c:ext xmlns:c16="http://schemas.microsoft.com/office/drawing/2014/chart" uri="{C3380CC4-5D6E-409C-BE32-E72D297353CC}">
              <c16:uniqueId val="{00000006-2D56-4373-8E24-5560744BCA7F}"/>
            </c:ext>
          </c:extLst>
        </c:ser>
        <c:ser>
          <c:idx val="13"/>
          <c:order val="7"/>
          <c:tx>
            <c:strRef>
              <c:f>Charts!$B$30</c:f>
              <c:strCache>
                <c:ptCount val="1"/>
                <c:pt idx="0">
                  <c:v>PNP Port</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Charts!$C$30:$J$30</c:f>
              <c:numCache>
                <c:formatCode>_(* #,##0_);_(* \(#,##0\);_(* "-"??_);_(@_)</c:formatCode>
                <c:ptCount val="8"/>
                <c:pt idx="0">
                  <c:v>0</c:v>
                </c:pt>
                <c:pt idx="1">
                  <c:v>0</c:v>
                </c:pt>
                <c:pt idx="2">
                  <c:v>0</c:v>
                </c:pt>
                <c:pt idx="3">
                  <c:v>0</c:v>
                </c:pt>
                <c:pt idx="4">
                  <c:v>0</c:v>
                </c:pt>
                <c:pt idx="5">
                  <c:v>0</c:v>
                </c:pt>
                <c:pt idx="6">
                  <c:v>1.32</c:v>
                </c:pt>
                <c:pt idx="7">
                  <c:v>5.5</c:v>
                </c:pt>
              </c:numCache>
              <c:extLst/>
            </c:numRef>
          </c:val>
          <c:extLst>
            <c:ext xmlns:c16="http://schemas.microsoft.com/office/drawing/2014/chart" uri="{C3380CC4-5D6E-409C-BE32-E72D297353CC}">
              <c16:uniqueId val="{00000007-2D56-4373-8E24-5560744BCA7F}"/>
            </c:ext>
          </c:extLst>
        </c:ser>
        <c:ser>
          <c:idx val="14"/>
          <c:order val="8"/>
          <c:tx>
            <c:strRef>
              <c:f>Charts!$B$31</c:f>
              <c:strCache>
                <c:ptCount val="1"/>
                <c:pt idx="0">
                  <c:v>Tuticorin Dry Bulk</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Charts!$C$31:$J$31</c:f>
              <c:numCache>
                <c:formatCode>_(* #,##0_);_(* \(#,##0\);_(* "-"??_);_(@_)</c:formatCode>
                <c:ptCount val="8"/>
                <c:pt idx="0">
                  <c:v>0</c:v>
                </c:pt>
                <c:pt idx="1">
                  <c:v>0</c:v>
                </c:pt>
                <c:pt idx="2">
                  <c:v>0</c:v>
                </c:pt>
                <c:pt idx="3">
                  <c:v>0</c:v>
                </c:pt>
                <c:pt idx="4">
                  <c:v>0</c:v>
                </c:pt>
                <c:pt idx="5">
                  <c:v>0</c:v>
                </c:pt>
                <c:pt idx="6">
                  <c:v>0</c:v>
                </c:pt>
                <c:pt idx="7">
                  <c:v>0.9</c:v>
                </c:pt>
              </c:numCache>
              <c:extLst/>
            </c:numRef>
          </c:val>
          <c:extLst>
            <c:ext xmlns:c16="http://schemas.microsoft.com/office/drawing/2014/chart" uri="{C3380CC4-5D6E-409C-BE32-E72D297353CC}">
              <c16:uniqueId val="{00000008-2D56-4373-8E24-5560744BCA7F}"/>
            </c:ext>
          </c:extLst>
        </c:ser>
        <c:ser>
          <c:idx val="15"/>
          <c:order val="9"/>
          <c:tx>
            <c:strRef>
              <c:f>Charts!$B$32</c:f>
              <c:strCache>
                <c:ptCount val="1"/>
                <c:pt idx="0">
                  <c:v>Fujairah Liquid Storage</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Charts!$C$32:$J$32</c:f>
              <c:numCache>
                <c:formatCode>_(* #,##0_);_(* \(#,##0\);_(* "-"??_);_(@_)</c:formatCode>
                <c:ptCount val="8"/>
                <c:pt idx="0">
                  <c:v>0</c:v>
                </c:pt>
                <c:pt idx="1">
                  <c:v>0</c:v>
                </c:pt>
                <c:pt idx="2">
                  <c:v>0</c:v>
                </c:pt>
                <c:pt idx="3">
                  <c:v>0</c:v>
                </c:pt>
                <c:pt idx="4">
                  <c:v>0</c:v>
                </c:pt>
                <c:pt idx="5">
                  <c:v>0</c:v>
                </c:pt>
                <c:pt idx="6">
                  <c:v>2</c:v>
                </c:pt>
                <c:pt idx="7">
                  <c:v>7.3</c:v>
                </c:pt>
              </c:numCache>
              <c:extLst/>
            </c:numRef>
          </c:val>
          <c:extLst>
            <c:ext xmlns:c16="http://schemas.microsoft.com/office/drawing/2014/chart" uri="{C3380CC4-5D6E-409C-BE32-E72D297353CC}">
              <c16:uniqueId val="{00000009-2D56-4373-8E24-5560744BCA7F}"/>
            </c:ext>
          </c:extLst>
        </c:ser>
        <c:ser>
          <c:idx val="16"/>
          <c:order val="10"/>
          <c:tx>
            <c:strRef>
              <c:f>Charts!$B$33</c:f>
              <c:strCache>
                <c:ptCount val="1"/>
                <c:pt idx="0">
                  <c:v>JNPT Liquid</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Charts!$C$33:$J$33</c:f>
              <c:numCache>
                <c:formatCode>_(* #,##0_);_(* \(#,##0\);_(* "-"??_);_(@_)</c:formatCode>
                <c:ptCount val="8"/>
                <c:pt idx="0">
                  <c:v>0</c:v>
                </c:pt>
                <c:pt idx="1">
                  <c:v>0</c:v>
                </c:pt>
                <c:pt idx="2">
                  <c:v>0</c:v>
                </c:pt>
                <c:pt idx="3">
                  <c:v>0</c:v>
                </c:pt>
                <c:pt idx="4">
                  <c:v>0</c:v>
                </c:pt>
                <c:pt idx="5">
                  <c:v>0</c:v>
                </c:pt>
                <c:pt idx="6">
                  <c:v>0</c:v>
                </c:pt>
                <c:pt idx="7">
                  <c:v>0.2</c:v>
                </c:pt>
              </c:numCache>
              <c:extLst/>
            </c:numRef>
          </c:val>
          <c:extLst>
            <c:ext xmlns:c16="http://schemas.microsoft.com/office/drawing/2014/chart" uri="{C3380CC4-5D6E-409C-BE32-E72D297353CC}">
              <c16:uniqueId val="{0000000A-2D56-4373-8E24-5560744BCA7F}"/>
            </c:ext>
          </c:extLst>
        </c:ser>
        <c:ser>
          <c:idx val="17"/>
          <c:order val="11"/>
          <c:tx>
            <c:strRef>
              <c:f>Charts!$B$34</c:f>
              <c:strCache>
                <c:ptCount val="1"/>
                <c:pt idx="0">
                  <c:v>Mangalore Container</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Charts!$C$34:$J$34</c:f>
              <c:numCache>
                <c:formatCode>_(* #,##0_);_(* \(#,##0\);_(* "-"??_);_(@_)</c:formatCode>
                <c:ptCount val="8"/>
                <c:pt idx="0">
                  <c:v>0</c:v>
                </c:pt>
                <c:pt idx="1">
                  <c:v>0</c:v>
                </c:pt>
                <c:pt idx="2">
                  <c:v>0</c:v>
                </c:pt>
                <c:pt idx="3">
                  <c:v>0</c:v>
                </c:pt>
                <c:pt idx="4">
                  <c:v>0</c:v>
                </c:pt>
                <c:pt idx="5">
                  <c:v>2.1739976832207537</c:v>
                </c:pt>
                <c:pt idx="6">
                  <c:v>2.5821624445182496</c:v>
                </c:pt>
                <c:pt idx="7">
                  <c:v>2.4</c:v>
                </c:pt>
              </c:numCache>
              <c:extLst/>
            </c:numRef>
          </c:val>
          <c:extLst>
            <c:ext xmlns:c16="http://schemas.microsoft.com/office/drawing/2014/chart" uri="{C3380CC4-5D6E-409C-BE32-E72D297353CC}">
              <c16:uniqueId val="{0000000B-2D56-4373-8E24-5560744BCA7F}"/>
            </c:ext>
          </c:extLst>
        </c:ser>
        <c:ser>
          <c:idx val="18"/>
          <c:order val="12"/>
          <c:tx>
            <c:strRef>
              <c:f>Charts!$B$35</c:f>
              <c:strCache>
                <c:ptCount val="1"/>
                <c:pt idx="0">
                  <c:v>Standalone</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Charts!$C$35:$J$35</c:f>
              <c:numCache>
                <c:formatCode>_(* #,##0_);_(* \(#,##0\);_(* "-"??_);_(@_)</c:formatCode>
                <c:ptCount val="8"/>
                <c:pt idx="0">
                  <c:v>0</c:v>
                </c:pt>
                <c:pt idx="1">
                  <c:v>4.1899999999999995</c:v>
                </c:pt>
                <c:pt idx="2">
                  <c:v>3.1759322649999988</c:v>
                </c:pt>
                <c:pt idx="3">
                  <c:v>3.59</c:v>
                </c:pt>
                <c:pt idx="4">
                  <c:v>3.0277205999999999</c:v>
                </c:pt>
                <c:pt idx="5">
                  <c:v>2.7</c:v>
                </c:pt>
                <c:pt idx="6">
                  <c:v>2.65</c:v>
                </c:pt>
                <c:pt idx="7">
                  <c:v>2.4</c:v>
                </c:pt>
              </c:numCache>
              <c:extLst/>
            </c:numRef>
          </c:val>
          <c:extLst>
            <c:ext xmlns:c16="http://schemas.microsoft.com/office/drawing/2014/chart" uri="{C3380CC4-5D6E-409C-BE32-E72D297353CC}">
              <c16:uniqueId val="{0000000C-2D56-4373-8E24-5560744BCA7F}"/>
            </c:ext>
          </c:extLst>
        </c:ser>
        <c:ser>
          <c:idx val="19"/>
          <c:order val="13"/>
          <c:tx>
            <c:strRef>
              <c:f>Charts!$B$36</c:f>
              <c:strCache>
                <c:ptCount val="1"/>
                <c:pt idx="0">
                  <c:v>Ennore Bulk</c:v>
                </c:pt>
              </c:strCache>
            </c:strRef>
          </c:tx>
          <c:invertIfNegative val="0"/>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Charts!$C$36:$J$36</c:f>
              <c:numCache>
                <c:formatCode>_(* #,##0_);_(* \(#,##0\);_(* "-"??_);_(@_)</c:formatCode>
                <c:ptCount val="8"/>
                <c:pt idx="0">
                  <c:v>0</c:v>
                </c:pt>
                <c:pt idx="1">
                  <c:v>0</c:v>
                </c:pt>
                <c:pt idx="2">
                  <c:v>0</c:v>
                </c:pt>
                <c:pt idx="3">
                  <c:v>0.39</c:v>
                </c:pt>
                <c:pt idx="4">
                  <c:v>1.1602350890099999</c:v>
                </c:pt>
                <c:pt idx="5">
                  <c:v>1.89</c:v>
                </c:pt>
                <c:pt idx="6">
                  <c:v>1.46</c:v>
                </c:pt>
                <c:pt idx="7">
                  <c:v>2.1</c:v>
                </c:pt>
              </c:numCache>
              <c:extLst/>
            </c:numRef>
          </c:val>
          <c:extLst>
            <c:ext xmlns:c16="http://schemas.microsoft.com/office/drawing/2014/chart" uri="{C3380CC4-5D6E-409C-BE32-E72D297353CC}">
              <c16:uniqueId val="{0000000D-2D56-4373-8E24-5560744BCA7F}"/>
            </c:ext>
          </c:extLst>
        </c:ser>
        <c:ser>
          <c:idx val="20"/>
          <c:order val="14"/>
          <c:tx>
            <c:strRef>
              <c:f>Charts!$B$39</c:f>
              <c:strCache>
                <c:ptCount val="1"/>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Charts!$C$16:$J$16</c:f>
              <c:strCache>
                <c:ptCount val="8"/>
                <c:pt idx="0">
                  <c:v>FY18</c:v>
                </c:pt>
                <c:pt idx="1">
                  <c:v>FY19</c:v>
                </c:pt>
                <c:pt idx="2">
                  <c:v>FY20</c:v>
                </c:pt>
                <c:pt idx="3">
                  <c:v>FY21</c:v>
                </c:pt>
                <c:pt idx="4">
                  <c:v>FY22</c:v>
                </c:pt>
                <c:pt idx="5">
                  <c:v>FY23</c:v>
                </c:pt>
                <c:pt idx="6">
                  <c:v>FY24</c:v>
                </c:pt>
                <c:pt idx="7">
                  <c:v>FY25</c:v>
                </c:pt>
              </c:strCache>
              <c:extLst/>
            </c:strRef>
          </c:cat>
          <c:val>
            <c:numRef>
              <c:f>Charts!$C$39:$J$39</c:f>
              <c:numCache>
                <c:formatCode>_(* #,##0_);_(* \(#,##0\);_(* "-"??_);_(@_)</c:formatCode>
                <c:ptCount val="8"/>
                <c:pt idx="0">
                  <c:v>32.094999999999999</c:v>
                </c:pt>
                <c:pt idx="1">
                  <c:v>35.369999999999997</c:v>
                </c:pt>
                <c:pt idx="2">
                  <c:v>34.010456011999999</c:v>
                </c:pt>
                <c:pt idx="3">
                  <c:v>45.537999999999997</c:v>
                </c:pt>
                <c:pt idx="4">
                  <c:v>61.962649216009993</c:v>
                </c:pt>
                <c:pt idx="5">
                  <c:v>92.810997683220748</c:v>
                </c:pt>
                <c:pt idx="6">
                  <c:v>107.03816244451825</c:v>
                </c:pt>
                <c:pt idx="7">
                  <c:v>117.00000000000001</c:v>
                </c:pt>
              </c:numCache>
              <c:extLst/>
            </c:numRef>
          </c:val>
          <c:extLst>
            <c:ext xmlns:c16="http://schemas.microsoft.com/office/drawing/2014/chart" uri="{C3380CC4-5D6E-409C-BE32-E72D297353CC}">
              <c16:uniqueId val="{0000000E-2D56-4373-8E24-5560744BCA7F}"/>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150"/>
        </c:scaling>
        <c:delete val="1"/>
        <c:axPos val="l"/>
        <c:numFmt formatCode="_(* #,##0_);_(* \(#,##0\);_(* &quot;-&quot;??_);_(@_)" sourceLinked="1"/>
        <c:majorTickMark val="out"/>
        <c:minorTickMark val="none"/>
        <c:tickLblPos val="nextTo"/>
        <c:crossAx val="41707423"/>
        <c:crosses val="autoZero"/>
        <c:crossBetween val="between"/>
      </c:valAx>
      <c:spPr>
        <a:noFill/>
      </c:spPr>
    </c:plotArea>
    <c:legend>
      <c:legendPos val="b"/>
      <c:layout>
        <c:manualLayout>
          <c:xMode val="edge"/>
          <c:yMode val="edge"/>
          <c:x val="0"/>
          <c:y val="0.77742520216393107"/>
          <c:w val="0.99181653881542797"/>
          <c:h val="0.20034562341864398"/>
        </c:manualLayout>
      </c:layout>
      <c:overlay val="0"/>
    </c:legend>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Charts!$B$126</c:f>
          <c:strCache>
            <c:ptCount val="1"/>
            <c:pt idx="0">
              <c:v>Capacity - Portwise, MT</c:v>
            </c:pt>
          </c:strCache>
        </c:strRef>
      </c:tx>
      <c:layout>
        <c:manualLayout>
          <c:xMode val="edge"/>
          <c:yMode val="edge"/>
          <c:x val="0.39069738155044942"/>
          <c:y val="2.3513390763966599E-3"/>
        </c:manualLayout>
      </c:layout>
      <c:overlay val="0"/>
    </c:title>
    <c:autoTitleDeleted val="0"/>
    <c:plotArea>
      <c:layout>
        <c:manualLayout>
          <c:layoutTarget val="inner"/>
          <c:xMode val="edge"/>
          <c:yMode val="edge"/>
          <c:x val="1.5338534057824436E-3"/>
          <c:y val="0.10950133532836437"/>
          <c:w val="0.97917719994299668"/>
          <c:h val="0.60202787173608663"/>
        </c:manualLayout>
      </c:layout>
      <c:barChart>
        <c:barDir val="col"/>
        <c:grouping val="stacked"/>
        <c:varyColors val="0"/>
        <c:ser>
          <c:idx val="0"/>
          <c:order val="0"/>
          <c:tx>
            <c:strRef>
              <c:f>Charts!$B$127</c:f>
              <c:strCache>
                <c:ptCount val="1"/>
                <c:pt idx="0">
                  <c:v>Jaigarh</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Charts!$E$127:$J$127</c:f>
              <c:numCache>
                <c:formatCode>#,##0_);\(#,##0\)</c:formatCode>
                <c:ptCount val="6"/>
                <c:pt idx="0">
                  <c:v>45</c:v>
                </c:pt>
                <c:pt idx="1">
                  <c:v>50</c:v>
                </c:pt>
                <c:pt idx="2">
                  <c:v>55</c:v>
                </c:pt>
                <c:pt idx="3">
                  <c:v>55</c:v>
                </c:pt>
                <c:pt idx="4">
                  <c:v>55</c:v>
                </c:pt>
                <c:pt idx="5">
                  <c:v>55</c:v>
                </c:pt>
              </c:numCache>
            </c:numRef>
          </c:val>
          <c:extLst>
            <c:ext xmlns:c16="http://schemas.microsoft.com/office/drawing/2014/chart" uri="{C3380CC4-5D6E-409C-BE32-E72D297353CC}">
              <c16:uniqueId val="{00000000-979B-4918-B0E5-EED01F5F8BB8}"/>
            </c:ext>
          </c:extLst>
        </c:ser>
        <c:ser>
          <c:idx val="1"/>
          <c:order val="1"/>
          <c:tx>
            <c:strRef>
              <c:f>Charts!$B$128</c:f>
              <c:strCache>
                <c:ptCount val="1"/>
                <c:pt idx="0">
                  <c:v>Dharmatar</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Charts!$E$128:$J$128</c:f>
              <c:numCache>
                <c:formatCode>#,##0_);\(#,##0\)</c:formatCode>
                <c:ptCount val="6"/>
                <c:pt idx="0">
                  <c:v>15</c:v>
                </c:pt>
                <c:pt idx="1">
                  <c:v>34</c:v>
                </c:pt>
                <c:pt idx="2">
                  <c:v>34</c:v>
                </c:pt>
                <c:pt idx="3">
                  <c:v>34</c:v>
                </c:pt>
                <c:pt idx="4">
                  <c:v>34</c:v>
                </c:pt>
                <c:pt idx="5">
                  <c:v>34</c:v>
                </c:pt>
              </c:numCache>
            </c:numRef>
          </c:val>
          <c:extLst>
            <c:ext xmlns:c16="http://schemas.microsoft.com/office/drawing/2014/chart" uri="{C3380CC4-5D6E-409C-BE32-E72D297353CC}">
              <c16:uniqueId val="{00000001-979B-4918-B0E5-EED01F5F8BB8}"/>
            </c:ext>
          </c:extLst>
        </c:ser>
        <c:ser>
          <c:idx val="2"/>
          <c:order val="2"/>
          <c:tx>
            <c:strRef>
              <c:f>Charts!$B$129</c:f>
              <c:strCache>
                <c:ptCount val="1"/>
                <c:pt idx="0">
                  <c:v>Goa</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Charts!$E$129:$J$129</c:f>
              <c:numCache>
                <c:formatCode>#,##0_);\(#,##0\)</c:formatCode>
                <c:ptCount val="6"/>
                <c:pt idx="0">
                  <c:v>15</c:v>
                </c:pt>
                <c:pt idx="1">
                  <c:v>15</c:v>
                </c:pt>
                <c:pt idx="2">
                  <c:v>8.5</c:v>
                </c:pt>
                <c:pt idx="3">
                  <c:v>8.5</c:v>
                </c:pt>
                <c:pt idx="4">
                  <c:v>8.5</c:v>
                </c:pt>
                <c:pt idx="5">
                  <c:v>11</c:v>
                </c:pt>
              </c:numCache>
            </c:numRef>
          </c:val>
          <c:extLst>
            <c:ext xmlns:c16="http://schemas.microsoft.com/office/drawing/2014/chart" uri="{C3380CC4-5D6E-409C-BE32-E72D297353CC}">
              <c16:uniqueId val="{00000002-979B-4918-B0E5-EED01F5F8BB8}"/>
            </c:ext>
          </c:extLst>
        </c:ser>
        <c:ser>
          <c:idx val="3"/>
          <c:order val="3"/>
          <c:tx>
            <c:strRef>
              <c:f>Charts!$B$130</c:f>
              <c:strCache>
                <c:ptCount val="1"/>
                <c:pt idx="0">
                  <c:v>Paradip Iron Ore</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Charts!$E$130:$J$130</c:f>
              <c:numCache>
                <c:formatCode>#,##0_);\(#,##0\)</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3-979B-4918-B0E5-EED01F5F8BB8}"/>
            </c:ext>
          </c:extLst>
        </c:ser>
        <c:ser>
          <c:idx val="4"/>
          <c:order val="4"/>
          <c:tx>
            <c:strRef>
              <c:f>Charts!$B$131</c:f>
              <c:strCache>
                <c:ptCount val="1"/>
                <c:pt idx="0">
                  <c:v>Paradip Coal</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Charts!$E$131:$J$131</c:f>
              <c:numCache>
                <c:formatCode>#,##0_);\(#,##0\)</c:formatCode>
                <c:ptCount val="6"/>
                <c:pt idx="0">
                  <c:v>0</c:v>
                </c:pt>
                <c:pt idx="1">
                  <c:v>0</c:v>
                </c:pt>
                <c:pt idx="2">
                  <c:v>30</c:v>
                </c:pt>
                <c:pt idx="3">
                  <c:v>30</c:v>
                </c:pt>
                <c:pt idx="4">
                  <c:v>30</c:v>
                </c:pt>
                <c:pt idx="5">
                  <c:v>30</c:v>
                </c:pt>
              </c:numCache>
            </c:numRef>
          </c:val>
          <c:extLst>
            <c:ext xmlns:c16="http://schemas.microsoft.com/office/drawing/2014/chart" uri="{C3380CC4-5D6E-409C-BE32-E72D297353CC}">
              <c16:uniqueId val="{00000004-979B-4918-B0E5-EED01F5F8BB8}"/>
            </c:ext>
          </c:extLst>
        </c:ser>
        <c:ser>
          <c:idx val="5"/>
          <c:order val="5"/>
          <c:tx>
            <c:strRef>
              <c:f>Charts!$B$132</c:f>
              <c:strCache>
                <c:ptCount val="1"/>
                <c:pt idx="0">
                  <c:v>Ennore Coal</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Charts!$E$132:$J$132</c:f>
              <c:numCache>
                <c:formatCode>#,##0_);\(#,##0\)</c:formatCode>
                <c:ptCount val="6"/>
                <c:pt idx="0">
                  <c:v>0</c:v>
                </c:pt>
                <c:pt idx="1">
                  <c:v>0</c:v>
                </c:pt>
                <c:pt idx="2">
                  <c:v>8</c:v>
                </c:pt>
                <c:pt idx="3">
                  <c:v>8</c:v>
                </c:pt>
                <c:pt idx="4">
                  <c:v>9.6</c:v>
                </c:pt>
                <c:pt idx="5">
                  <c:v>9.6</c:v>
                </c:pt>
              </c:numCache>
            </c:numRef>
          </c:val>
          <c:extLst>
            <c:ext xmlns:c16="http://schemas.microsoft.com/office/drawing/2014/chart" uri="{C3380CC4-5D6E-409C-BE32-E72D297353CC}">
              <c16:uniqueId val="{00000005-979B-4918-B0E5-EED01F5F8BB8}"/>
            </c:ext>
          </c:extLst>
        </c:ser>
        <c:ser>
          <c:idx val="6"/>
          <c:order val="6"/>
          <c:tx>
            <c:strRef>
              <c:f>Charts!$B$133</c:f>
              <c:strCache>
                <c:ptCount val="1"/>
                <c:pt idx="0">
                  <c:v>Ennore Bulk</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Charts!$E$133:$J$133</c:f>
              <c:numCache>
                <c:formatCode>#,##0_);\(#,##0\)</c:formatCode>
                <c:ptCount val="6"/>
                <c:pt idx="0">
                  <c:v>0</c:v>
                </c:pt>
                <c:pt idx="1">
                  <c:v>2</c:v>
                </c:pt>
                <c:pt idx="2">
                  <c:v>2</c:v>
                </c:pt>
                <c:pt idx="3">
                  <c:v>2</c:v>
                </c:pt>
                <c:pt idx="4">
                  <c:v>2</c:v>
                </c:pt>
                <c:pt idx="5">
                  <c:v>2</c:v>
                </c:pt>
              </c:numCache>
            </c:numRef>
          </c:val>
          <c:extLst>
            <c:ext xmlns:c16="http://schemas.microsoft.com/office/drawing/2014/chart" uri="{C3380CC4-5D6E-409C-BE32-E72D297353CC}">
              <c16:uniqueId val="{00000006-979B-4918-B0E5-EED01F5F8BB8}"/>
            </c:ext>
          </c:extLst>
        </c:ser>
        <c:ser>
          <c:idx val="7"/>
          <c:order val="7"/>
          <c:tx>
            <c:strRef>
              <c:f>Charts!$B$134</c:f>
              <c:strCache>
                <c:ptCount val="1"/>
                <c:pt idx="0">
                  <c:v>Mangalore Coal</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Charts!$E$134:$J$134</c:f>
              <c:numCache>
                <c:formatCode>#,##0_);\(#,##0\)</c:formatCode>
                <c:ptCount val="6"/>
                <c:pt idx="0">
                  <c:v>0</c:v>
                </c:pt>
                <c:pt idx="1">
                  <c:v>0</c:v>
                </c:pt>
                <c:pt idx="2">
                  <c:v>6.7</c:v>
                </c:pt>
                <c:pt idx="3">
                  <c:v>6.7</c:v>
                </c:pt>
                <c:pt idx="4">
                  <c:v>6.7</c:v>
                </c:pt>
                <c:pt idx="5">
                  <c:v>8.1</c:v>
                </c:pt>
              </c:numCache>
            </c:numRef>
          </c:val>
          <c:extLst>
            <c:ext xmlns:c16="http://schemas.microsoft.com/office/drawing/2014/chart" uri="{C3380CC4-5D6E-409C-BE32-E72D297353CC}">
              <c16:uniqueId val="{00000007-979B-4918-B0E5-EED01F5F8BB8}"/>
            </c:ext>
          </c:extLst>
        </c:ser>
        <c:ser>
          <c:idx val="8"/>
          <c:order val="8"/>
          <c:tx>
            <c:strRef>
              <c:f>Charts!$B$135</c:f>
              <c:strCache>
                <c:ptCount val="1"/>
                <c:pt idx="0">
                  <c:v>Mangalore Container</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Charts!$E$135:$J$135</c:f>
              <c:numCache>
                <c:formatCode>#,##0_);\(#,##0\)</c:formatCode>
                <c:ptCount val="6"/>
                <c:pt idx="0">
                  <c:v>0</c:v>
                </c:pt>
                <c:pt idx="1">
                  <c:v>0</c:v>
                </c:pt>
                <c:pt idx="2">
                  <c:v>0</c:v>
                </c:pt>
                <c:pt idx="3">
                  <c:v>4.2</c:v>
                </c:pt>
                <c:pt idx="4">
                  <c:v>4.2</c:v>
                </c:pt>
                <c:pt idx="5">
                  <c:v>4.2</c:v>
                </c:pt>
              </c:numCache>
            </c:numRef>
          </c:val>
          <c:extLst>
            <c:ext xmlns:c16="http://schemas.microsoft.com/office/drawing/2014/chart" uri="{C3380CC4-5D6E-409C-BE32-E72D297353CC}">
              <c16:uniqueId val="{00000008-979B-4918-B0E5-EED01F5F8BB8}"/>
            </c:ext>
          </c:extLst>
        </c:ser>
        <c:ser>
          <c:idx val="9"/>
          <c:order val="9"/>
          <c:tx>
            <c:strRef>
              <c:f>Charts!$B$136</c:f>
              <c:strCache>
                <c:ptCount val="1"/>
                <c:pt idx="0">
                  <c:v>PNP Port</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Charts!$E$136:$J$136</c:f>
              <c:numCache>
                <c:formatCode>#,##0_);\(#,##0\)</c:formatCode>
                <c:ptCount val="6"/>
                <c:pt idx="0">
                  <c:v>0</c:v>
                </c:pt>
                <c:pt idx="1">
                  <c:v>0</c:v>
                </c:pt>
                <c:pt idx="2">
                  <c:v>0</c:v>
                </c:pt>
                <c:pt idx="3">
                  <c:v>0</c:v>
                </c:pt>
                <c:pt idx="4">
                  <c:v>5</c:v>
                </c:pt>
                <c:pt idx="5">
                  <c:v>8</c:v>
                </c:pt>
              </c:numCache>
            </c:numRef>
          </c:val>
          <c:extLst>
            <c:ext xmlns:c16="http://schemas.microsoft.com/office/drawing/2014/chart" uri="{C3380CC4-5D6E-409C-BE32-E72D297353CC}">
              <c16:uniqueId val="{00000009-979B-4918-B0E5-EED01F5F8BB8}"/>
            </c:ext>
          </c:extLst>
        </c:ser>
        <c:ser>
          <c:idx val="10"/>
          <c:order val="10"/>
          <c:tx>
            <c:strRef>
              <c:f>Charts!$B$137</c:f>
              <c:strCache>
                <c:ptCount val="1"/>
                <c:pt idx="0">
                  <c:v>Fujairah Liquid Storage</c:v>
                </c:pt>
              </c:strCache>
            </c:strRef>
          </c:tx>
          <c:invertIfNegative val="0"/>
          <c:cat>
            <c:strRef>
              <c:f>Charts!$E$126:$J$126</c:f>
              <c:strCache>
                <c:ptCount val="6"/>
                <c:pt idx="0">
                  <c:v>FY20</c:v>
                </c:pt>
                <c:pt idx="1">
                  <c:v>FY21</c:v>
                </c:pt>
                <c:pt idx="2">
                  <c:v>FY22</c:v>
                </c:pt>
                <c:pt idx="3">
                  <c:v>FY23</c:v>
                </c:pt>
                <c:pt idx="4">
                  <c:v>FY24</c:v>
                </c:pt>
                <c:pt idx="5">
                  <c:v>FY25</c:v>
                </c:pt>
              </c:strCache>
            </c:strRef>
          </c:cat>
          <c:val>
            <c:numRef>
              <c:f>Charts!$E$137:$J$137</c:f>
              <c:numCache>
                <c:formatCode>#,##0_);\(#,##0\)</c:formatCode>
                <c:ptCount val="6"/>
                <c:pt idx="0">
                  <c:v>0</c:v>
                </c:pt>
                <c:pt idx="1">
                  <c:v>0</c:v>
                </c:pt>
                <c:pt idx="2">
                  <c:v>0</c:v>
                </c:pt>
                <c:pt idx="3">
                  <c:v>0</c:v>
                </c:pt>
                <c:pt idx="4">
                  <c:v>5</c:v>
                </c:pt>
                <c:pt idx="5">
                  <c:v>5</c:v>
                </c:pt>
              </c:numCache>
            </c:numRef>
          </c:val>
          <c:extLst>
            <c:ext xmlns:c16="http://schemas.microsoft.com/office/drawing/2014/chart" uri="{C3380CC4-5D6E-409C-BE32-E72D297353CC}">
              <c16:uniqueId val="{0000000A-979B-4918-B0E5-EED01F5F8BB8}"/>
            </c:ext>
          </c:extLst>
        </c:ser>
        <c:ser>
          <c:idx val="11"/>
          <c:order val="11"/>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Charts!$E$126:$J$126</c:f>
              <c:strCache>
                <c:ptCount val="6"/>
                <c:pt idx="0">
                  <c:v>FY20</c:v>
                </c:pt>
                <c:pt idx="1">
                  <c:v>FY21</c:v>
                </c:pt>
                <c:pt idx="2">
                  <c:v>FY22</c:v>
                </c:pt>
                <c:pt idx="3">
                  <c:v>FY23</c:v>
                </c:pt>
                <c:pt idx="4">
                  <c:v>FY24</c:v>
                </c:pt>
                <c:pt idx="5">
                  <c:v>FY25</c:v>
                </c:pt>
              </c:strCache>
            </c:strRef>
          </c:cat>
          <c:val>
            <c:numRef>
              <c:f>Charts!$E$148:$J$148</c:f>
              <c:numCache>
                <c:formatCode>#,##0_);\(#,##0\)</c:formatCode>
                <c:ptCount val="6"/>
                <c:pt idx="0">
                  <c:v>85</c:v>
                </c:pt>
                <c:pt idx="1">
                  <c:v>111</c:v>
                </c:pt>
                <c:pt idx="2">
                  <c:v>154.19999999999999</c:v>
                </c:pt>
                <c:pt idx="3">
                  <c:v>158.39999999999998</c:v>
                </c:pt>
                <c:pt idx="4">
                  <c:v>169.99999999999997</c:v>
                </c:pt>
                <c:pt idx="5">
                  <c:v>176.89999999999998</c:v>
                </c:pt>
              </c:numCache>
            </c:numRef>
          </c:val>
          <c:extLst>
            <c:ext xmlns:c16="http://schemas.microsoft.com/office/drawing/2014/chart" uri="{C3380CC4-5D6E-409C-BE32-E72D297353CC}">
              <c16:uniqueId val="{0000000B-979B-4918-B0E5-EED01F5F8BB8}"/>
            </c:ext>
          </c:extLst>
        </c:ser>
        <c:dLbls>
          <c:showLegendKey val="0"/>
          <c:showVal val="0"/>
          <c:showCatName val="0"/>
          <c:showSerName val="0"/>
          <c:showPercent val="0"/>
          <c:showBubbleSize val="0"/>
        </c:dLbls>
        <c:gapWidth val="30"/>
        <c:overlap val="100"/>
        <c:axId val="41707423"/>
        <c:axId val="41716063"/>
        <c:extLst>
          <c:ext xmlns:c15="http://schemas.microsoft.com/office/drawing/2012/chart" uri="{02D57815-91ED-43cb-92C2-25804820EDAC}">
            <c15:filteredBarSeries>
              <c15:ser>
                <c:idx val="12"/>
                <c:order val="12"/>
                <c:tx>
                  <c:strRef>
                    <c:extLst>
                      <c:ext uri="{02D57815-91ED-43cb-92C2-25804820EDAC}">
                        <c15:formulaRef>
                          <c15:sqref>Charts!$B$138</c15:sqref>
                        </c15:formulaRef>
                      </c:ext>
                    </c:extLst>
                    <c:strCache>
                      <c:ptCount val="1"/>
                      <c:pt idx="0">
                        <c:v>Tuticorin Dry Bulk</c:v>
                      </c:pt>
                    </c:strCache>
                  </c:strRef>
                </c:tx>
                <c:invertIfNegative val="0"/>
                <c:cat>
                  <c:strRef>
                    <c:extLst>
                      <c:ext uri="{02D57815-91ED-43cb-92C2-25804820EDAC}">
                        <c15:formulaRef>
                          <c15:sqref>Charts!$E$126:$J$126</c15:sqref>
                        </c15:formulaRef>
                      </c:ext>
                    </c:extLst>
                    <c:strCache>
                      <c:ptCount val="6"/>
                      <c:pt idx="0">
                        <c:v>FY20</c:v>
                      </c:pt>
                      <c:pt idx="1">
                        <c:v>FY21</c:v>
                      </c:pt>
                      <c:pt idx="2">
                        <c:v>FY22</c:v>
                      </c:pt>
                      <c:pt idx="3">
                        <c:v>FY23</c:v>
                      </c:pt>
                      <c:pt idx="4">
                        <c:v>FY24</c:v>
                      </c:pt>
                      <c:pt idx="5">
                        <c:v>FY25</c:v>
                      </c:pt>
                    </c:strCache>
                  </c:strRef>
                </c:cat>
                <c:val>
                  <c:numRef>
                    <c:extLst>
                      <c:ext uri="{02D57815-91ED-43cb-92C2-25804820EDAC}">
                        <c15:formulaRef>
                          <c15:sqref>Charts!$F$138:$J$138</c15:sqref>
                        </c15:formulaRef>
                      </c:ext>
                    </c:extLst>
                    <c:numCache>
                      <c:formatCode>#,##0_);\(#,##0\)</c:formatCode>
                      <c:ptCount val="5"/>
                      <c:pt idx="0">
                        <c:v>0</c:v>
                      </c:pt>
                      <c:pt idx="1">
                        <c:v>0</c:v>
                      </c:pt>
                      <c:pt idx="2">
                        <c:v>0</c:v>
                      </c:pt>
                      <c:pt idx="3">
                        <c:v>0</c:v>
                      </c:pt>
                      <c:pt idx="4">
                        <c:v>0</c:v>
                      </c:pt>
                    </c:numCache>
                  </c:numRef>
                </c:val>
                <c:extLst>
                  <c:ext xmlns:c16="http://schemas.microsoft.com/office/drawing/2014/chart" uri="{C3380CC4-5D6E-409C-BE32-E72D297353CC}">
                    <c16:uniqueId val="{0000000C-979B-4918-B0E5-EED01F5F8BB8}"/>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Charts!$B$139</c15:sqref>
                        </c15:formulaRef>
                      </c:ext>
                    </c:extLst>
                    <c:strCache>
                      <c:ptCount val="1"/>
                      <c:pt idx="0">
                        <c:v>JNPT Liquid</c:v>
                      </c:pt>
                    </c:strCache>
                  </c:strRef>
                </c:tx>
                <c:invertIfNegative val="0"/>
                <c:cat>
                  <c:strRef>
                    <c:extLst xmlns:c15="http://schemas.microsoft.com/office/drawing/2012/chart">
                      <c:ext xmlns:c15="http://schemas.microsoft.com/office/drawing/2012/chart" uri="{02D57815-91ED-43cb-92C2-25804820EDAC}">
                        <c15:formulaRef>
                          <c15:sqref>Charts!$E$126:$J$126</c15:sqref>
                        </c15:formulaRef>
                      </c:ext>
                    </c:extLst>
                    <c:strCache>
                      <c:ptCount val="6"/>
                      <c:pt idx="0">
                        <c:v>FY20</c:v>
                      </c:pt>
                      <c:pt idx="1">
                        <c:v>FY21</c:v>
                      </c:pt>
                      <c:pt idx="2">
                        <c:v>FY22</c:v>
                      </c:pt>
                      <c:pt idx="3">
                        <c:v>FY23</c:v>
                      </c:pt>
                      <c:pt idx="4">
                        <c:v>FY24</c:v>
                      </c:pt>
                      <c:pt idx="5">
                        <c:v>FY25</c:v>
                      </c:pt>
                    </c:strCache>
                  </c:strRef>
                </c:cat>
                <c:val>
                  <c:numRef>
                    <c:extLst xmlns:c15="http://schemas.microsoft.com/office/drawing/2012/chart">
                      <c:ext xmlns:c15="http://schemas.microsoft.com/office/drawing/2012/chart" uri="{02D57815-91ED-43cb-92C2-25804820EDAC}">
                        <c15:formulaRef>
                          <c15:sqref>Charts!$F$139:$J$139</c15:sqref>
                        </c15:formulaRef>
                      </c:ext>
                    </c:extLst>
                    <c:numCache>
                      <c:formatCode>#,##0_);\(#,##0\)</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D-979B-4918-B0E5-EED01F5F8BB8}"/>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Charts!$B$141</c15:sqref>
                        </c15:formulaRef>
                      </c:ext>
                    </c:extLst>
                    <c:strCache>
                      <c:ptCount val="1"/>
                      <c:pt idx="0">
                        <c:v>Jatadhar</c:v>
                      </c:pt>
                    </c:strCache>
                  </c:strRef>
                </c:tx>
                <c:invertIfNegative val="0"/>
                <c:cat>
                  <c:strRef>
                    <c:extLst xmlns:c15="http://schemas.microsoft.com/office/drawing/2012/chart">
                      <c:ext xmlns:c15="http://schemas.microsoft.com/office/drawing/2012/chart" uri="{02D57815-91ED-43cb-92C2-25804820EDAC}">
                        <c15:formulaRef>
                          <c15:sqref>Charts!$E$126:$J$126</c15:sqref>
                        </c15:formulaRef>
                      </c:ext>
                    </c:extLst>
                    <c:strCache>
                      <c:ptCount val="6"/>
                      <c:pt idx="0">
                        <c:v>FY20</c:v>
                      </c:pt>
                      <c:pt idx="1">
                        <c:v>FY21</c:v>
                      </c:pt>
                      <c:pt idx="2">
                        <c:v>FY22</c:v>
                      </c:pt>
                      <c:pt idx="3">
                        <c:v>FY23</c:v>
                      </c:pt>
                      <c:pt idx="4">
                        <c:v>FY24</c:v>
                      </c:pt>
                      <c:pt idx="5">
                        <c:v>FY25</c:v>
                      </c:pt>
                    </c:strCache>
                  </c:strRef>
                </c:cat>
                <c:val>
                  <c:numRef>
                    <c:extLst xmlns:c15="http://schemas.microsoft.com/office/drawing/2012/chart">
                      <c:ext xmlns:c15="http://schemas.microsoft.com/office/drawing/2012/chart" uri="{02D57815-91ED-43cb-92C2-25804820EDAC}">
                        <c15:formulaRef>
                          <c15:sqref>Charts!$F$141:$J$141</c15:sqref>
                        </c15:formulaRef>
                      </c:ext>
                    </c:extLst>
                    <c:numCache>
                      <c:formatCode>#,##0_);\(#,##0\)</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E-979B-4918-B0E5-EED01F5F8BB8}"/>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Charts!$B$142</c15:sqref>
                        </c15:formulaRef>
                      </c:ext>
                    </c:extLst>
                    <c:strCache>
                      <c:ptCount val="1"/>
                      <c:pt idx="0">
                        <c:v>Slurry Pipeline Phase I</c:v>
                      </c:pt>
                    </c:strCache>
                  </c:strRef>
                </c:tx>
                <c:invertIfNegative val="0"/>
                <c:cat>
                  <c:strRef>
                    <c:extLst xmlns:c15="http://schemas.microsoft.com/office/drawing/2012/chart">
                      <c:ext xmlns:c15="http://schemas.microsoft.com/office/drawing/2012/chart" uri="{02D57815-91ED-43cb-92C2-25804820EDAC}">
                        <c15:formulaRef>
                          <c15:sqref>Charts!$E$126:$J$126</c15:sqref>
                        </c15:formulaRef>
                      </c:ext>
                    </c:extLst>
                    <c:strCache>
                      <c:ptCount val="6"/>
                      <c:pt idx="0">
                        <c:v>FY20</c:v>
                      </c:pt>
                      <c:pt idx="1">
                        <c:v>FY21</c:v>
                      </c:pt>
                      <c:pt idx="2">
                        <c:v>FY22</c:v>
                      </c:pt>
                      <c:pt idx="3">
                        <c:v>FY23</c:v>
                      </c:pt>
                      <c:pt idx="4">
                        <c:v>FY24</c:v>
                      </c:pt>
                      <c:pt idx="5">
                        <c:v>FY25</c:v>
                      </c:pt>
                    </c:strCache>
                  </c:strRef>
                </c:cat>
                <c:val>
                  <c:numRef>
                    <c:extLst xmlns:c15="http://schemas.microsoft.com/office/drawing/2012/chart">
                      <c:ext xmlns:c15="http://schemas.microsoft.com/office/drawing/2012/chart" uri="{02D57815-91ED-43cb-92C2-25804820EDAC}">
                        <c15:formulaRef>
                          <c15:sqref>Charts!$F$142:$J$142</c15:sqref>
                        </c15:formulaRef>
                      </c:ext>
                    </c:extLst>
                    <c:numCache>
                      <c:formatCode>#,##0_);\(#,##0\)</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F-979B-4918-B0E5-EED01F5F8BB8}"/>
                  </c:ext>
                </c:extLst>
              </c15:ser>
            </c15:filteredBarSeries>
          </c:ext>
        </c:extLst>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250"/>
        </c:scaling>
        <c:delete val="1"/>
        <c:axPos val="l"/>
        <c:numFmt formatCode="#,##0_);\(#,##0\)" sourceLinked="1"/>
        <c:majorTickMark val="out"/>
        <c:minorTickMark val="none"/>
        <c:tickLblPos val="nextTo"/>
        <c:crossAx val="41707423"/>
        <c:crosses val="autoZero"/>
        <c:crossBetween val="between"/>
      </c:valAx>
      <c:spPr>
        <a:noFill/>
      </c:spPr>
    </c:plotArea>
    <c:legend>
      <c:legendPos val="b"/>
      <c:legendEntry>
        <c:idx val="11"/>
        <c:delete val="1"/>
      </c:legendEntry>
      <c:layout>
        <c:manualLayout>
          <c:xMode val="edge"/>
          <c:yMode val="edge"/>
          <c:x val="3.2435496639221767E-2"/>
          <c:y val="0.79977071524561527"/>
          <c:w val="0.93904089104300947"/>
          <c:h val="0.18193970189411629"/>
        </c:manualLayout>
      </c:layout>
      <c:overlay val="0"/>
    </c:legend>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Charts!$B$2</c:f>
          <c:strCache>
            <c:ptCount val="1"/>
            <c:pt idx="0">
              <c:v>Cargo - Customer Wise, MT</c:v>
            </c:pt>
          </c:strCache>
        </c:strRef>
      </c:tx>
      <c:overlay val="0"/>
      <c:txPr>
        <a:bodyPr/>
        <a:lstStyle/>
        <a:p>
          <a:pPr>
            <a:defRPr sz="1080"/>
          </a:pPr>
          <a:endParaRPr lang="en-US"/>
        </a:p>
      </c:txPr>
    </c:title>
    <c:autoTitleDeleted val="0"/>
    <c:plotArea>
      <c:layout/>
      <c:barChart>
        <c:barDir val="col"/>
        <c:grouping val="stacked"/>
        <c:varyColors val="0"/>
        <c:ser>
          <c:idx val="0"/>
          <c:order val="0"/>
          <c:tx>
            <c:strRef>
              <c:f>Charts!$B$3</c:f>
              <c:strCache>
                <c:ptCount val="1"/>
                <c:pt idx="0">
                  <c:v>JSW Group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Charts!$U$2:$Y$2</c:f>
              <c:strCache>
                <c:ptCount val="5"/>
                <c:pt idx="0">
                  <c:v>FY21</c:v>
                </c:pt>
                <c:pt idx="1">
                  <c:v>FY22</c:v>
                </c:pt>
                <c:pt idx="2">
                  <c:v>FY23</c:v>
                </c:pt>
                <c:pt idx="3">
                  <c:v>FY24</c:v>
                </c:pt>
                <c:pt idx="4">
                  <c:v>FY25</c:v>
                </c:pt>
              </c:strCache>
            </c:strRef>
          </c:cat>
          <c:val>
            <c:numRef>
              <c:f>Charts!$U$3:$Y$3</c:f>
              <c:numCache>
                <c:formatCode>0%</c:formatCode>
                <c:ptCount val="5"/>
                <c:pt idx="0">
                  <c:v>0.75186649099692593</c:v>
                </c:pt>
                <c:pt idx="1">
                  <c:v>0.69912861061804099</c:v>
                </c:pt>
                <c:pt idx="2">
                  <c:v>0.66605623182160945</c:v>
                </c:pt>
                <c:pt idx="3">
                  <c:v>0.6</c:v>
                </c:pt>
                <c:pt idx="4">
                  <c:v>0.51</c:v>
                </c:pt>
              </c:numCache>
            </c:numRef>
          </c:val>
          <c:extLst>
            <c:ext xmlns:c16="http://schemas.microsoft.com/office/drawing/2014/chart" uri="{C3380CC4-5D6E-409C-BE32-E72D297353CC}">
              <c16:uniqueId val="{00000000-866F-49D7-861A-248D7D464C4E}"/>
            </c:ext>
          </c:extLst>
        </c:ser>
        <c:ser>
          <c:idx val="1"/>
          <c:order val="1"/>
          <c:tx>
            <c:strRef>
              <c:f>Charts!$B$4</c:f>
              <c:strCache>
                <c:ptCount val="1"/>
                <c:pt idx="0">
                  <c:v>Third Party Cargo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Charts!$U$2:$Y$2</c:f>
              <c:strCache>
                <c:ptCount val="5"/>
                <c:pt idx="0">
                  <c:v>FY21</c:v>
                </c:pt>
                <c:pt idx="1">
                  <c:v>FY22</c:v>
                </c:pt>
                <c:pt idx="2">
                  <c:v>FY23</c:v>
                </c:pt>
                <c:pt idx="3">
                  <c:v>FY24</c:v>
                </c:pt>
                <c:pt idx="4">
                  <c:v>FY25</c:v>
                </c:pt>
              </c:strCache>
            </c:strRef>
          </c:cat>
          <c:val>
            <c:numRef>
              <c:f>Charts!$U$4:$Y$4</c:f>
              <c:numCache>
                <c:formatCode>0%</c:formatCode>
                <c:ptCount val="5"/>
                <c:pt idx="0">
                  <c:v>0.24813350900307421</c:v>
                </c:pt>
                <c:pt idx="1">
                  <c:v>0.30087138938195901</c:v>
                </c:pt>
                <c:pt idx="2">
                  <c:v>0.33394376817839055</c:v>
                </c:pt>
                <c:pt idx="3">
                  <c:v>0.40000000000000008</c:v>
                </c:pt>
                <c:pt idx="4">
                  <c:v>0.49</c:v>
                </c:pt>
              </c:numCache>
            </c:numRef>
          </c:val>
          <c:extLst>
            <c:ext xmlns:c16="http://schemas.microsoft.com/office/drawing/2014/chart" uri="{C3380CC4-5D6E-409C-BE32-E72D297353CC}">
              <c16:uniqueId val="{00000001-866F-49D7-861A-248D7D464C4E}"/>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crossAx val="327558928"/>
        <c:crosses val="autoZero"/>
        <c:auto val="1"/>
        <c:lblAlgn val="ctr"/>
        <c:lblOffset val="100"/>
        <c:noMultiLvlLbl val="0"/>
      </c:catAx>
      <c:valAx>
        <c:axId val="327558928"/>
        <c:scaling>
          <c:orientation val="minMax"/>
          <c:max val="1"/>
        </c:scaling>
        <c:delete val="1"/>
        <c:axPos val="l"/>
        <c:numFmt formatCode="0%" sourceLinked="1"/>
        <c:majorTickMark val="none"/>
        <c:minorTickMark val="none"/>
        <c:tickLblPos val="none"/>
        <c:crossAx val="327560848"/>
        <c:crosses val="autoZero"/>
        <c:crossBetween val="between"/>
      </c:valAx>
    </c:plotArea>
    <c:legend>
      <c:legendPos val="b"/>
      <c:overlay val="0"/>
    </c:legend>
    <c:plotVisOnly val="1"/>
    <c:dispBlanksAs val="gap"/>
    <c:showDLblsOverMax val="0"/>
  </c:chart>
  <c:spPr>
    <a:ln w="3175">
      <a:noFill/>
    </a:ln>
  </c:sp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Charts!$B$16</c:f>
          <c:strCache>
            <c:ptCount val="1"/>
            <c:pt idx="0">
              <c:v>Volumes - Portwise, MT</c:v>
            </c:pt>
          </c:strCache>
        </c:strRef>
      </c:tx>
      <c:layout>
        <c:manualLayout>
          <c:xMode val="edge"/>
          <c:yMode val="edge"/>
          <c:x val="0.29781710854512855"/>
          <c:y val="3.9684757893464997E-2"/>
        </c:manualLayout>
      </c:layout>
      <c:overlay val="0"/>
    </c:title>
    <c:autoTitleDeleted val="0"/>
    <c:plotArea>
      <c:layout>
        <c:manualLayout>
          <c:layoutTarget val="inner"/>
          <c:xMode val="edge"/>
          <c:yMode val="edge"/>
          <c:x val="1.1996635412867782E-2"/>
          <c:y val="0"/>
          <c:w val="0.97917719994299668"/>
          <c:h val="0.62567890725371034"/>
        </c:manualLayout>
      </c:layout>
      <c:barChart>
        <c:barDir val="col"/>
        <c:grouping val="stacked"/>
        <c:varyColors val="0"/>
        <c:ser>
          <c:idx val="0"/>
          <c:order val="0"/>
          <c:tx>
            <c:strRef>
              <c:f>Charts!$B$17</c:f>
              <c:strCache>
                <c:ptCount val="1"/>
                <c:pt idx="0">
                  <c:v>Jaigarh</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Charts!$F$17:$O$17</c:f>
              <c:numCache>
                <c:formatCode>_(* #,##0_);_(* \(#,##0\);_(* "-"??_);_(@_)</c:formatCode>
                <c:ptCount val="10"/>
                <c:pt idx="0">
                  <c:v>9.2379999999999995</c:v>
                </c:pt>
                <c:pt idx="1">
                  <c:v>14.019483999999999</c:v>
                </c:pt>
                <c:pt idx="2">
                  <c:v>20.237000000000002</c:v>
                </c:pt>
                <c:pt idx="3">
                  <c:v>21.51</c:v>
                </c:pt>
                <c:pt idx="4">
                  <c:v>19.899999999999999</c:v>
                </c:pt>
                <c:pt idx="5">
                  <c:v>20.27</c:v>
                </c:pt>
                <c:pt idx="6">
                  <c:v>21.0808</c:v>
                </c:pt>
                <c:pt idx="7">
                  <c:v>26.303367999999999</c:v>
                </c:pt>
                <c:pt idx="8">
                  <c:v>28.933704799999997</c:v>
                </c:pt>
                <c:pt idx="9">
                  <c:v>30.380390040000002</c:v>
                </c:pt>
              </c:numCache>
            </c:numRef>
          </c:val>
          <c:extLst>
            <c:ext xmlns:c16="http://schemas.microsoft.com/office/drawing/2014/chart" uri="{C3380CC4-5D6E-409C-BE32-E72D297353CC}">
              <c16:uniqueId val="{00000000-B516-457F-9B5A-677B308B93FA}"/>
            </c:ext>
          </c:extLst>
        </c:ser>
        <c:ser>
          <c:idx val="1"/>
          <c:order val="1"/>
          <c:tx>
            <c:strRef>
              <c:f>Charts!$B$18</c:f>
              <c:strCache>
                <c:ptCount val="1"/>
                <c:pt idx="0">
                  <c:v>Dharmatar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Charts!$F$18:$O$18</c:f>
              <c:numCache>
                <c:formatCode>_(* #,##0_);_(* \(#,##0\);_(* "-"??_);_(@_)</c:formatCode>
                <c:ptCount val="10"/>
                <c:pt idx="0">
                  <c:v>12.9</c:v>
                </c:pt>
                <c:pt idx="1">
                  <c:v>17.209493327000001</c:v>
                </c:pt>
                <c:pt idx="2">
                  <c:v>24.029999999999998</c:v>
                </c:pt>
                <c:pt idx="3">
                  <c:v>25.14</c:v>
                </c:pt>
                <c:pt idx="4">
                  <c:v>23.1</c:v>
                </c:pt>
                <c:pt idx="5">
                  <c:v>24.53</c:v>
                </c:pt>
                <c:pt idx="6">
                  <c:v>25.479959999999998</c:v>
                </c:pt>
                <c:pt idx="7">
                  <c:v>31.648199999999999</c:v>
                </c:pt>
                <c:pt idx="8">
                  <c:v>34.732320000000009</c:v>
                </c:pt>
                <c:pt idx="9">
                  <c:v>35.750079600000007</c:v>
                </c:pt>
              </c:numCache>
            </c:numRef>
          </c:val>
          <c:extLst>
            <c:ext xmlns:c16="http://schemas.microsoft.com/office/drawing/2014/chart" uri="{C3380CC4-5D6E-409C-BE32-E72D297353CC}">
              <c16:uniqueId val="{00000001-B516-457F-9B5A-677B308B93FA}"/>
            </c:ext>
          </c:extLst>
        </c:ser>
        <c:ser>
          <c:idx val="2"/>
          <c:order val="2"/>
          <c:tx>
            <c:strRef>
              <c:f>Charts!$B$19</c:f>
              <c:strCache>
                <c:ptCount val="1"/>
                <c:pt idx="0">
                  <c:v>Paradip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Charts!$F$19:$O$19</c:f>
              <c:numCache>
                <c:formatCode>_(* #,##0_);_(* \(#,##0\);_(* "-"??_);_(@_)</c:formatCode>
                <c:ptCount val="10"/>
                <c:pt idx="0">
                  <c:v>0</c:v>
                </c:pt>
                <c:pt idx="1">
                  <c:v>0.28067500000000001</c:v>
                </c:pt>
                <c:pt idx="2">
                  <c:v>12.034000000000001</c:v>
                </c:pt>
                <c:pt idx="3">
                  <c:v>16.77</c:v>
                </c:pt>
                <c:pt idx="4">
                  <c:v>18.899999999999999</c:v>
                </c:pt>
                <c:pt idx="5">
                  <c:v>19.010000000000002</c:v>
                </c:pt>
                <c:pt idx="6">
                  <c:v>19.390200000000004</c:v>
                </c:pt>
                <c:pt idx="7">
                  <c:v>20.553612000000005</c:v>
                </c:pt>
                <c:pt idx="8">
                  <c:v>21.786828720000006</c:v>
                </c:pt>
                <c:pt idx="9">
                  <c:v>23.094038443200009</c:v>
                </c:pt>
              </c:numCache>
            </c:numRef>
          </c:val>
          <c:extLst>
            <c:ext xmlns:c16="http://schemas.microsoft.com/office/drawing/2014/chart" uri="{C3380CC4-5D6E-409C-BE32-E72D297353CC}">
              <c16:uniqueId val="{00000002-B516-457F-9B5A-677B308B93FA}"/>
            </c:ext>
          </c:extLst>
        </c:ser>
        <c:ser>
          <c:idx val="3"/>
          <c:order val="3"/>
          <c:tx>
            <c:strRef>
              <c:f>Charts!$B$20</c:f>
              <c:strCache>
                <c:ptCount val="1"/>
                <c:pt idx="0">
                  <c:v>Jatadhar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Charts!$F$20:$O$20</c:f>
              <c:numCache>
                <c:formatCode>_(* #,##0_);_(* \(#,##0\);_(* "-"??_);_(@_)</c:formatCode>
                <c:ptCount val="10"/>
                <c:pt idx="0">
                  <c:v>0</c:v>
                </c:pt>
                <c:pt idx="1">
                  <c:v>0</c:v>
                </c:pt>
                <c:pt idx="2">
                  <c:v>0</c:v>
                </c:pt>
                <c:pt idx="3">
                  <c:v>0</c:v>
                </c:pt>
                <c:pt idx="4">
                  <c:v>0</c:v>
                </c:pt>
                <c:pt idx="5">
                  <c:v>0</c:v>
                </c:pt>
                <c:pt idx="6">
                  <c:v>0</c:v>
                </c:pt>
                <c:pt idx="7">
                  <c:v>10.050000000000001</c:v>
                </c:pt>
                <c:pt idx="8">
                  <c:v>16.5</c:v>
                </c:pt>
                <c:pt idx="9">
                  <c:v>21</c:v>
                </c:pt>
              </c:numCache>
            </c:numRef>
          </c:val>
          <c:extLst>
            <c:ext xmlns:c16="http://schemas.microsoft.com/office/drawing/2014/chart" uri="{C3380CC4-5D6E-409C-BE32-E72D297353CC}">
              <c16:uniqueId val="{00000003-B516-457F-9B5A-677B308B93FA}"/>
            </c:ext>
          </c:extLst>
        </c:ser>
        <c:ser>
          <c:idx val="4"/>
          <c:order val="4"/>
          <c:tx>
            <c:strRef>
              <c:f>Charts!$A$21</c:f>
              <c:strCache>
                <c:ptCount val="1"/>
                <c:pt idx="0">
                  <c:v>Slurry Pipeline Phase I</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Charts!$F$21:$O$21</c:f>
              <c:numCache>
                <c:formatCode>_(* #,##0_);_(* \(#,##0\);_(* "-"??_);_(@_)</c:formatCode>
                <c:ptCount val="10"/>
                <c:pt idx="0">
                  <c:v>0</c:v>
                </c:pt>
                <c:pt idx="1">
                  <c:v>0</c:v>
                </c:pt>
                <c:pt idx="2">
                  <c:v>0</c:v>
                </c:pt>
                <c:pt idx="3">
                  <c:v>0</c:v>
                </c:pt>
                <c:pt idx="4">
                  <c:v>0</c:v>
                </c:pt>
                <c:pt idx="5">
                  <c:v>0</c:v>
                </c:pt>
                <c:pt idx="6">
                  <c:v>0</c:v>
                </c:pt>
                <c:pt idx="7">
                  <c:v>12</c:v>
                </c:pt>
                <c:pt idx="8">
                  <c:v>18</c:v>
                </c:pt>
                <c:pt idx="9">
                  <c:v>18</c:v>
                </c:pt>
              </c:numCache>
            </c:numRef>
          </c:val>
          <c:extLst>
            <c:ext xmlns:c16="http://schemas.microsoft.com/office/drawing/2014/chart" uri="{C3380CC4-5D6E-409C-BE32-E72D297353CC}">
              <c16:uniqueId val="{00000004-B516-457F-9B5A-677B308B93FA}"/>
            </c:ext>
          </c:extLst>
        </c:ser>
        <c:ser>
          <c:idx val="5"/>
          <c:order val="5"/>
          <c:tx>
            <c:strRef>
              <c:f>Charts!$B$22</c:f>
              <c:strCache>
                <c:ptCount val="1"/>
                <c:pt idx="0">
                  <c:v>Keni</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Charts!$F$22:$O$22</c:f>
              <c:numCache>
                <c:formatCode>_(* #,##0_);_(* \(#,##0\);_(* "-"??_);_(@_)</c:formatCode>
                <c:ptCount val="10"/>
                <c:pt idx="0">
                  <c:v>0</c:v>
                </c:pt>
                <c:pt idx="1">
                  <c:v>0</c:v>
                </c:pt>
                <c:pt idx="2">
                  <c:v>0</c:v>
                </c:pt>
                <c:pt idx="3">
                  <c:v>0</c:v>
                </c:pt>
                <c:pt idx="4">
                  <c:v>0</c:v>
                </c:pt>
                <c:pt idx="5">
                  <c:v>0</c:v>
                </c:pt>
                <c:pt idx="6">
                  <c:v>0</c:v>
                </c:pt>
                <c:pt idx="7">
                  <c:v>0</c:v>
                </c:pt>
                <c:pt idx="8">
                  <c:v>1.5</c:v>
                </c:pt>
                <c:pt idx="9">
                  <c:v>9</c:v>
                </c:pt>
              </c:numCache>
            </c:numRef>
          </c:val>
          <c:extLst>
            <c:ext xmlns:c16="http://schemas.microsoft.com/office/drawing/2014/chart" uri="{C3380CC4-5D6E-409C-BE32-E72D297353CC}">
              <c16:uniqueId val="{00000005-B516-457F-9B5A-677B308B93FA}"/>
            </c:ext>
          </c:extLst>
        </c:ser>
        <c:ser>
          <c:idx val="6"/>
          <c:order val="6"/>
          <c:tx>
            <c:strRef>
              <c:f>Charts!$B$23</c:f>
              <c:strCache>
                <c:ptCount val="1"/>
                <c:pt idx="0">
                  <c:v>Potential Domestic Asset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Charts!$F$23:$O$23</c:f>
              <c:numCache>
                <c:formatCode>_(* #,##0_);_(* \(#,##0\);_(*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6-B516-457F-9B5A-677B308B93FA}"/>
            </c:ext>
          </c:extLst>
        </c:ser>
        <c:ser>
          <c:idx val="7"/>
          <c:order val="7"/>
          <c:tx>
            <c:strRef>
              <c:f>Charts!$B$24</c:f>
              <c:strCache>
                <c:ptCount val="1"/>
                <c:pt idx="0">
                  <c:v>Murbe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Charts!$F$24:$O$24</c:f>
              <c:numCache>
                <c:formatCode>_(* #,##0_);_(* \(#,##0\);_(* "-"??_);_(@_)</c:formatCode>
                <c:ptCount val="10"/>
                <c:pt idx="0">
                  <c:v>0</c:v>
                </c:pt>
                <c:pt idx="1">
                  <c:v>0</c:v>
                </c:pt>
                <c:pt idx="2">
                  <c:v>0</c:v>
                </c:pt>
                <c:pt idx="3">
                  <c:v>0</c:v>
                </c:pt>
                <c:pt idx="4">
                  <c:v>0</c:v>
                </c:pt>
                <c:pt idx="5">
                  <c:v>0</c:v>
                </c:pt>
                <c:pt idx="6">
                  <c:v>0</c:v>
                </c:pt>
                <c:pt idx="7">
                  <c:v>0</c:v>
                </c:pt>
                <c:pt idx="8">
                  <c:v>0</c:v>
                </c:pt>
                <c:pt idx="9">
                  <c:v>8.25</c:v>
                </c:pt>
              </c:numCache>
            </c:numRef>
          </c:val>
          <c:extLst>
            <c:ext xmlns:c16="http://schemas.microsoft.com/office/drawing/2014/chart" uri="{C3380CC4-5D6E-409C-BE32-E72D297353CC}">
              <c16:uniqueId val="{00000007-B516-457F-9B5A-677B308B93FA}"/>
            </c:ext>
          </c:extLst>
        </c:ser>
        <c:ser>
          <c:idx val="8"/>
          <c:order val="8"/>
          <c:tx>
            <c:strRef>
              <c:f>Charts!$B$25</c:f>
              <c:strCache>
                <c:ptCount val="1"/>
                <c:pt idx="0">
                  <c:v>Paradip Iron Ore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Charts!$F$25:$O$25</c:f>
              <c:numCache>
                <c:formatCode>_(* #,##0_);_(* \(#,##0\);_(* "-"??_);_(@_)</c:formatCode>
                <c:ptCount val="10"/>
                <c:pt idx="0">
                  <c:v>8.43</c:v>
                </c:pt>
                <c:pt idx="1">
                  <c:v>7.5161150000000001</c:v>
                </c:pt>
                <c:pt idx="2">
                  <c:v>9.52</c:v>
                </c:pt>
                <c:pt idx="3">
                  <c:v>12.37</c:v>
                </c:pt>
                <c:pt idx="4">
                  <c:v>11.4</c:v>
                </c:pt>
                <c:pt idx="5">
                  <c:v>7.26</c:v>
                </c:pt>
                <c:pt idx="6">
                  <c:v>9.4380000000000006</c:v>
                </c:pt>
                <c:pt idx="7">
                  <c:v>9.5323799999999999</c:v>
                </c:pt>
                <c:pt idx="8">
                  <c:v>9.6277038000000008</c:v>
                </c:pt>
                <c:pt idx="9">
                  <c:v>9.723980838000001</c:v>
                </c:pt>
              </c:numCache>
            </c:numRef>
          </c:val>
          <c:extLst>
            <c:ext xmlns:c16="http://schemas.microsoft.com/office/drawing/2014/chart" uri="{C3380CC4-5D6E-409C-BE32-E72D297353CC}">
              <c16:uniqueId val="{00000008-B516-457F-9B5A-677B308B93FA}"/>
            </c:ext>
          </c:extLst>
        </c:ser>
        <c:ser>
          <c:idx val="9"/>
          <c:order val="9"/>
          <c:tx>
            <c:strRef>
              <c:f>Charts!$B$26</c:f>
              <c:strCache>
                <c:ptCount val="1"/>
                <c:pt idx="0">
                  <c:v>Overseas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Charts!$F$26:$O$26</c:f>
              <c:numCache>
                <c:formatCode>_(* #,##0_);_(* \(#,##0\);_(* "-"??_);_(@_)</c:formatCode>
                <c:ptCount val="10"/>
                <c:pt idx="0">
                  <c:v>0</c:v>
                </c:pt>
                <c:pt idx="1">
                  <c:v>0</c:v>
                </c:pt>
                <c:pt idx="2">
                  <c:v>0</c:v>
                </c:pt>
                <c:pt idx="3">
                  <c:v>0</c:v>
                </c:pt>
                <c:pt idx="4">
                  <c:v>0</c:v>
                </c:pt>
                <c:pt idx="5">
                  <c:v>0</c:v>
                </c:pt>
                <c:pt idx="6">
                  <c:v>0</c:v>
                </c:pt>
                <c:pt idx="7">
                  <c:v>0</c:v>
                </c:pt>
                <c:pt idx="8">
                  <c:v>0</c:v>
                </c:pt>
                <c:pt idx="9">
                  <c:v>10.8</c:v>
                </c:pt>
              </c:numCache>
            </c:numRef>
          </c:val>
          <c:extLst>
            <c:ext xmlns:c16="http://schemas.microsoft.com/office/drawing/2014/chart" uri="{C3380CC4-5D6E-409C-BE32-E72D297353CC}">
              <c16:uniqueId val="{00000009-B516-457F-9B5A-677B308B93FA}"/>
            </c:ext>
          </c:extLst>
        </c:ser>
        <c:ser>
          <c:idx val="10"/>
          <c:order val="10"/>
          <c:tx>
            <c:strRef>
              <c:f>Charts!$B$27</c:f>
              <c:strCache>
                <c:ptCount val="1"/>
                <c:pt idx="0">
                  <c:v>Ennore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Charts!$F$27:$O$27</c:f>
              <c:numCache>
                <c:formatCode>_(* #,##0_);_(* \(#,##0\);_(* "-"??_);_(@_)</c:formatCode>
                <c:ptCount val="10"/>
                <c:pt idx="0">
                  <c:v>3.14</c:v>
                </c:pt>
                <c:pt idx="1">
                  <c:v>8.0324159999999996</c:v>
                </c:pt>
                <c:pt idx="2">
                  <c:v>8.7040000000000006</c:v>
                </c:pt>
                <c:pt idx="3">
                  <c:v>9.31</c:v>
                </c:pt>
                <c:pt idx="4">
                  <c:v>10.199999999999999</c:v>
                </c:pt>
                <c:pt idx="5">
                  <c:v>10.38</c:v>
                </c:pt>
                <c:pt idx="6">
                  <c:v>10.4838</c:v>
                </c:pt>
                <c:pt idx="7">
                  <c:v>10.588638000000001</c:v>
                </c:pt>
                <c:pt idx="8">
                  <c:v>10.694524380000001</c:v>
                </c:pt>
                <c:pt idx="9">
                  <c:v>10.801469623800001</c:v>
                </c:pt>
              </c:numCache>
            </c:numRef>
          </c:val>
          <c:extLst>
            <c:ext xmlns:c16="http://schemas.microsoft.com/office/drawing/2014/chart" uri="{C3380CC4-5D6E-409C-BE32-E72D297353CC}">
              <c16:uniqueId val="{0000000A-B516-457F-9B5A-677B308B93FA}"/>
            </c:ext>
          </c:extLst>
        </c:ser>
        <c:ser>
          <c:idx val="11"/>
          <c:order val="11"/>
          <c:tx>
            <c:strRef>
              <c:f>Charts!$B$28</c:f>
              <c:strCache>
                <c:ptCount val="1"/>
                <c:pt idx="0">
                  <c:v>Goa</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Charts!$F$28:$O$28</c:f>
              <c:numCache>
                <c:formatCode>_(* #,##0_);_(* \(#,##0\);_(* "-"??_);_(@_)</c:formatCode>
                <c:ptCount val="10"/>
                <c:pt idx="0">
                  <c:v>6.83</c:v>
                </c:pt>
                <c:pt idx="1">
                  <c:v>6.9256087389999994</c:v>
                </c:pt>
                <c:pt idx="2">
                  <c:v>7.0679999999999996</c:v>
                </c:pt>
                <c:pt idx="3">
                  <c:v>7.1559999999999997</c:v>
                </c:pt>
                <c:pt idx="4">
                  <c:v>6.4</c:v>
                </c:pt>
                <c:pt idx="5">
                  <c:v>8.5500000000000007</c:v>
                </c:pt>
                <c:pt idx="6">
                  <c:v>9.3918000000000017</c:v>
                </c:pt>
                <c:pt idx="7">
                  <c:v>10.80057</c:v>
                </c:pt>
                <c:pt idx="8">
                  <c:v>11.273464950000001</c:v>
                </c:pt>
                <c:pt idx="9">
                  <c:v>11.767319305500001</c:v>
                </c:pt>
              </c:numCache>
            </c:numRef>
          </c:val>
          <c:extLst>
            <c:ext xmlns:c16="http://schemas.microsoft.com/office/drawing/2014/chart" uri="{C3380CC4-5D6E-409C-BE32-E72D297353CC}">
              <c16:uniqueId val="{0000000B-B516-457F-9B5A-677B308B93FA}"/>
            </c:ext>
          </c:extLst>
        </c:ser>
        <c:ser>
          <c:idx val="12"/>
          <c:order val="12"/>
          <c:tx>
            <c:strRef>
              <c:f>Charts!$B$29</c:f>
              <c:strCache>
                <c:ptCount val="1"/>
                <c:pt idx="0">
                  <c:v>Mangalore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Charts!$F$29:$O$29</c:f>
              <c:numCache>
                <c:formatCode>_(* #,##0_);_(* \(#,##0\);_(* "-"??_);_(@_)</c:formatCode>
                <c:ptCount val="10"/>
                <c:pt idx="0">
                  <c:v>1.02</c:v>
                </c:pt>
                <c:pt idx="1">
                  <c:v>3.7909014610000002</c:v>
                </c:pt>
                <c:pt idx="2">
                  <c:v>4.4539999999999997</c:v>
                </c:pt>
                <c:pt idx="3">
                  <c:v>4.7699999999999996</c:v>
                </c:pt>
                <c:pt idx="4">
                  <c:v>6.3</c:v>
                </c:pt>
                <c:pt idx="5">
                  <c:v>6.27</c:v>
                </c:pt>
                <c:pt idx="6">
                  <c:v>6.5834999999999999</c:v>
                </c:pt>
                <c:pt idx="7">
                  <c:v>6.9126750000000001</c:v>
                </c:pt>
                <c:pt idx="8">
                  <c:v>7.2583087500000003</c:v>
                </c:pt>
                <c:pt idx="9">
                  <c:v>7.6212241875000011</c:v>
                </c:pt>
              </c:numCache>
            </c:numRef>
          </c:val>
          <c:extLst>
            <c:ext xmlns:c16="http://schemas.microsoft.com/office/drawing/2014/chart" uri="{C3380CC4-5D6E-409C-BE32-E72D297353CC}">
              <c16:uniqueId val="{0000000C-B516-457F-9B5A-677B308B93FA}"/>
            </c:ext>
          </c:extLst>
        </c:ser>
        <c:ser>
          <c:idx val="13"/>
          <c:order val="13"/>
          <c:tx>
            <c:strRef>
              <c:f>Charts!$B$30</c:f>
              <c:strCache>
                <c:ptCount val="1"/>
                <c:pt idx="0">
                  <c:v>PNP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Charts!$F$30:$O$30</c:f>
              <c:numCache>
                <c:formatCode>_(* #,##0_);_(* \(#,##0\);_(* "-"??_);_(@_)</c:formatCode>
                <c:ptCount val="10"/>
                <c:pt idx="0">
                  <c:v>0</c:v>
                </c:pt>
                <c:pt idx="1">
                  <c:v>0</c:v>
                </c:pt>
                <c:pt idx="2">
                  <c:v>0</c:v>
                </c:pt>
                <c:pt idx="3">
                  <c:v>1.32</c:v>
                </c:pt>
                <c:pt idx="4">
                  <c:v>5.5</c:v>
                </c:pt>
                <c:pt idx="5">
                  <c:v>5.34</c:v>
                </c:pt>
                <c:pt idx="6">
                  <c:v>6.1387</c:v>
                </c:pt>
                <c:pt idx="7">
                  <c:v>6.2614739999999998</c:v>
                </c:pt>
                <c:pt idx="8">
                  <c:v>6.5745477000000001</c:v>
                </c:pt>
                <c:pt idx="9">
                  <c:v>6.9032750850000006</c:v>
                </c:pt>
              </c:numCache>
            </c:numRef>
          </c:val>
          <c:extLst>
            <c:ext xmlns:c16="http://schemas.microsoft.com/office/drawing/2014/chart" uri="{C3380CC4-5D6E-409C-BE32-E72D297353CC}">
              <c16:uniqueId val="{0000000D-B516-457F-9B5A-677B308B93FA}"/>
            </c:ext>
          </c:extLst>
        </c:ser>
        <c:ser>
          <c:idx val="14"/>
          <c:order val="14"/>
          <c:tx>
            <c:strRef>
              <c:f>Charts!$B$31</c:f>
              <c:strCache>
                <c:ptCount val="1"/>
                <c:pt idx="0">
                  <c:v>Tuticorin Dry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Charts!$F$31:$O$31</c:f>
              <c:numCache>
                <c:formatCode>_(* #,##0_);_(* \(#,##0\);_(* "-"??_);_(@_)</c:formatCode>
                <c:ptCount val="10"/>
                <c:pt idx="0">
                  <c:v>0</c:v>
                </c:pt>
                <c:pt idx="1">
                  <c:v>0</c:v>
                </c:pt>
                <c:pt idx="2">
                  <c:v>0</c:v>
                </c:pt>
                <c:pt idx="3">
                  <c:v>0</c:v>
                </c:pt>
                <c:pt idx="4">
                  <c:v>0.9</c:v>
                </c:pt>
                <c:pt idx="5">
                  <c:v>4.99</c:v>
                </c:pt>
                <c:pt idx="6">
                  <c:v>5.25</c:v>
                </c:pt>
                <c:pt idx="7">
                  <c:v>5.25</c:v>
                </c:pt>
                <c:pt idx="8">
                  <c:v>5.25</c:v>
                </c:pt>
                <c:pt idx="9">
                  <c:v>5.25</c:v>
                </c:pt>
              </c:numCache>
            </c:numRef>
          </c:val>
          <c:extLst>
            <c:ext xmlns:c16="http://schemas.microsoft.com/office/drawing/2014/chart" uri="{C3380CC4-5D6E-409C-BE32-E72D297353CC}">
              <c16:uniqueId val="{0000000E-B516-457F-9B5A-677B308B93FA}"/>
            </c:ext>
          </c:extLst>
        </c:ser>
        <c:ser>
          <c:idx val="15"/>
          <c:order val="15"/>
          <c:tx>
            <c:strRef>
              <c:f>Charts!$B$32</c:f>
              <c:strCache>
                <c:ptCount val="1"/>
                <c:pt idx="0">
                  <c:v>Fujairah Liquid Storage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Charts!$F$32:$O$32</c:f>
              <c:numCache>
                <c:formatCode>_(* #,##0_);_(* \(#,##0\);_(* "-"??_);_(@_)</c:formatCode>
                <c:ptCount val="10"/>
                <c:pt idx="0">
                  <c:v>0</c:v>
                </c:pt>
                <c:pt idx="1">
                  <c:v>0</c:v>
                </c:pt>
                <c:pt idx="2">
                  <c:v>0</c:v>
                </c:pt>
                <c:pt idx="3">
                  <c:v>2</c:v>
                </c:pt>
                <c:pt idx="4">
                  <c:v>7.3</c:v>
                </c:pt>
                <c:pt idx="5">
                  <c:v>5.71</c:v>
                </c:pt>
                <c:pt idx="6">
                  <c:v>2.855</c:v>
                </c:pt>
                <c:pt idx="7">
                  <c:v>4.9962499999999999</c:v>
                </c:pt>
                <c:pt idx="8">
                  <c:v>5.9954999999999998</c:v>
                </c:pt>
                <c:pt idx="9">
                  <c:v>6.2353199999999998</c:v>
                </c:pt>
              </c:numCache>
            </c:numRef>
          </c:val>
          <c:extLst>
            <c:ext xmlns:c16="http://schemas.microsoft.com/office/drawing/2014/chart" uri="{C3380CC4-5D6E-409C-BE32-E72D297353CC}">
              <c16:uniqueId val="{0000000F-B516-457F-9B5A-677B308B93FA}"/>
            </c:ext>
          </c:extLst>
        </c:ser>
        <c:ser>
          <c:idx val="16"/>
          <c:order val="16"/>
          <c:tx>
            <c:strRef>
              <c:f>Charts!$B$33</c:f>
              <c:strCache>
                <c:ptCount val="1"/>
                <c:pt idx="0">
                  <c:v>JNPT Liquid</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Charts!$F$33:$O$33</c:f>
              <c:numCache>
                <c:formatCode>_(* #,##0_);_(* \(#,##0\);_(* "-"??_);_(@_)</c:formatCode>
                <c:ptCount val="10"/>
                <c:pt idx="0">
                  <c:v>0</c:v>
                </c:pt>
                <c:pt idx="1">
                  <c:v>0</c:v>
                </c:pt>
                <c:pt idx="2">
                  <c:v>0</c:v>
                </c:pt>
                <c:pt idx="3">
                  <c:v>0</c:v>
                </c:pt>
                <c:pt idx="4">
                  <c:v>0.2</c:v>
                </c:pt>
                <c:pt idx="5">
                  <c:v>1.3</c:v>
                </c:pt>
                <c:pt idx="6">
                  <c:v>2.9250000000000003</c:v>
                </c:pt>
                <c:pt idx="7">
                  <c:v>3.15</c:v>
                </c:pt>
                <c:pt idx="8">
                  <c:v>3.375</c:v>
                </c:pt>
                <c:pt idx="9">
                  <c:v>3.375</c:v>
                </c:pt>
              </c:numCache>
            </c:numRef>
          </c:val>
          <c:extLst>
            <c:ext xmlns:c16="http://schemas.microsoft.com/office/drawing/2014/chart" uri="{C3380CC4-5D6E-409C-BE32-E72D297353CC}">
              <c16:uniqueId val="{00000010-B516-457F-9B5A-677B308B93FA}"/>
            </c:ext>
          </c:extLst>
        </c:ser>
        <c:ser>
          <c:idx val="17"/>
          <c:order val="17"/>
          <c:tx>
            <c:strRef>
              <c:f>Charts!$B$34</c:f>
              <c:strCache>
                <c:ptCount val="1"/>
                <c:pt idx="0">
                  <c:v>Mangalore 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Charts!$F$34:$O$34</c:f>
              <c:numCache>
                <c:formatCode>_(* #,##0_);_(* \(#,##0\);_(* "-"??_);_(@_)</c:formatCode>
                <c:ptCount val="10"/>
                <c:pt idx="0">
                  <c:v>0</c:v>
                </c:pt>
                <c:pt idx="1">
                  <c:v>0</c:v>
                </c:pt>
                <c:pt idx="2">
                  <c:v>2.1739976832207537</c:v>
                </c:pt>
                <c:pt idx="3">
                  <c:v>2.5821624445182496</c:v>
                </c:pt>
                <c:pt idx="4">
                  <c:v>2.4</c:v>
                </c:pt>
                <c:pt idx="5">
                  <c:v>2.4900000000000002</c:v>
                </c:pt>
                <c:pt idx="6">
                  <c:v>3.1175000000000002</c:v>
                </c:pt>
                <c:pt idx="7">
                  <c:v>3.4292500000000006</c:v>
                </c:pt>
                <c:pt idx="8">
                  <c:v>3.6350050000000009</c:v>
                </c:pt>
                <c:pt idx="9">
                  <c:v>3.8531053000000011</c:v>
                </c:pt>
              </c:numCache>
            </c:numRef>
          </c:val>
          <c:extLst>
            <c:ext xmlns:c16="http://schemas.microsoft.com/office/drawing/2014/chart" uri="{C3380CC4-5D6E-409C-BE32-E72D297353CC}">
              <c16:uniqueId val="{00000011-B516-457F-9B5A-677B308B93FA}"/>
            </c:ext>
          </c:extLst>
        </c:ser>
        <c:ser>
          <c:idx val="18"/>
          <c:order val="18"/>
          <c:tx>
            <c:strRef>
              <c:f>Charts!$B$35</c:f>
              <c:strCache>
                <c:ptCount val="1"/>
                <c:pt idx="0">
                  <c:v>Standalone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Charts!$F$35:$O$35</c:f>
              <c:numCache>
                <c:formatCode>_(* #,##0_);_(* \(#,##0\);_(* "-"??_);_(@_)</c:formatCode>
                <c:ptCount val="10"/>
                <c:pt idx="0">
                  <c:v>3.59</c:v>
                </c:pt>
                <c:pt idx="1">
                  <c:v>3.0277205999999999</c:v>
                </c:pt>
                <c:pt idx="2">
                  <c:v>2.7</c:v>
                </c:pt>
                <c:pt idx="3">
                  <c:v>2.65</c:v>
                </c:pt>
                <c:pt idx="4">
                  <c:v>2.4</c:v>
                </c:pt>
                <c:pt idx="5">
                  <c:v>2.99</c:v>
                </c:pt>
                <c:pt idx="6">
                  <c:v>2.9900000000000007</c:v>
                </c:pt>
                <c:pt idx="7">
                  <c:v>3.0498000000000007</c:v>
                </c:pt>
                <c:pt idx="8">
                  <c:v>3.110796000000001</c:v>
                </c:pt>
                <c:pt idx="9">
                  <c:v>3.1730119200000009</c:v>
                </c:pt>
              </c:numCache>
            </c:numRef>
          </c:val>
          <c:extLst>
            <c:ext xmlns:c16="http://schemas.microsoft.com/office/drawing/2014/chart" uri="{C3380CC4-5D6E-409C-BE32-E72D297353CC}">
              <c16:uniqueId val="{00000012-B516-457F-9B5A-677B308B93FA}"/>
            </c:ext>
          </c:extLst>
        </c:ser>
        <c:ser>
          <c:idx val="19"/>
          <c:order val="19"/>
          <c:tx>
            <c:strRef>
              <c:f>Charts!$B$36</c:f>
              <c:strCache>
                <c:ptCount val="1"/>
                <c:pt idx="0">
                  <c:v>Ennore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Charts!$F$36:$O$36</c:f>
              <c:numCache>
                <c:formatCode>_(* #,##0_);_(* \(#,##0\);_(* "-"??_);_(@_)</c:formatCode>
                <c:ptCount val="10"/>
                <c:pt idx="0">
                  <c:v>0.39</c:v>
                </c:pt>
                <c:pt idx="1">
                  <c:v>1.1602350890099999</c:v>
                </c:pt>
                <c:pt idx="2">
                  <c:v>1.89</c:v>
                </c:pt>
                <c:pt idx="3">
                  <c:v>1.46</c:v>
                </c:pt>
                <c:pt idx="4">
                  <c:v>2.1</c:v>
                </c:pt>
                <c:pt idx="5">
                  <c:v>1.65</c:v>
                </c:pt>
                <c:pt idx="6">
                  <c:v>1.7293500000000004</c:v>
                </c:pt>
                <c:pt idx="7">
                  <c:v>1.8158175000000005</c:v>
                </c:pt>
                <c:pt idx="8">
                  <c:v>1.9066083750000007</c:v>
                </c:pt>
                <c:pt idx="9">
                  <c:v>2.0019387937500008</c:v>
                </c:pt>
              </c:numCache>
            </c:numRef>
          </c:val>
          <c:extLst>
            <c:ext xmlns:c16="http://schemas.microsoft.com/office/drawing/2014/chart" uri="{C3380CC4-5D6E-409C-BE32-E72D297353CC}">
              <c16:uniqueId val="{00000013-B516-457F-9B5A-677B308B93FA}"/>
            </c:ext>
          </c:extLst>
        </c:ser>
        <c:ser>
          <c:idx val="21"/>
          <c:order val="20"/>
          <c:tx>
            <c:strRef>
              <c:f>Charts!$B$37</c:f>
              <c:strCache>
                <c:ptCount val="1"/>
                <c:pt idx="0">
                  <c:v>Kolkata Container Terminal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Charts!$F$37:$O$37</c:f>
              <c:numCache>
                <c:formatCode>_(* #,##0_);_(* \(#,##0\);_(* "-"??_);_(@_)</c:formatCode>
                <c:ptCount val="10"/>
                <c:pt idx="0">
                  <c:v>0</c:v>
                </c:pt>
                <c:pt idx="1">
                  <c:v>0</c:v>
                </c:pt>
                <c:pt idx="2">
                  <c:v>0</c:v>
                </c:pt>
                <c:pt idx="3">
                  <c:v>0</c:v>
                </c:pt>
                <c:pt idx="4">
                  <c:v>0</c:v>
                </c:pt>
                <c:pt idx="5">
                  <c:v>0</c:v>
                </c:pt>
                <c:pt idx="6">
                  <c:v>1.1024999999999998</c:v>
                </c:pt>
                <c:pt idx="7">
                  <c:v>2.2049999999999996</c:v>
                </c:pt>
                <c:pt idx="8">
                  <c:v>3.78</c:v>
                </c:pt>
                <c:pt idx="9">
                  <c:v>4.4099999999999993</c:v>
                </c:pt>
              </c:numCache>
            </c:numRef>
          </c:val>
          <c:extLst>
            <c:ext xmlns:c16="http://schemas.microsoft.com/office/drawing/2014/chart" uri="{C3380CC4-5D6E-409C-BE32-E72D297353CC}">
              <c16:uniqueId val="{00000015-B516-457F-9B5A-677B308B93FA}"/>
            </c:ext>
          </c:extLst>
        </c:ser>
        <c:ser>
          <c:idx val="20"/>
          <c:order val="21"/>
          <c:tx>
            <c:strRef>
              <c:f>Charts!$B$39</c:f>
              <c:strCache>
                <c:ptCount val="1"/>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Charts!$F$39:$O$39</c:f>
              <c:numCache>
                <c:formatCode>_(* #,##0_);_(* \(#,##0\);_(* "-"??_);_(@_)</c:formatCode>
                <c:ptCount val="10"/>
                <c:pt idx="0">
                  <c:v>45.537999999999997</c:v>
                </c:pt>
                <c:pt idx="1">
                  <c:v>61.962649216009993</c:v>
                </c:pt>
                <c:pt idx="2">
                  <c:v>92.810997683220748</c:v>
                </c:pt>
                <c:pt idx="3">
                  <c:v>107.03816244451825</c:v>
                </c:pt>
                <c:pt idx="4">
                  <c:v>117.00000000000001</c:v>
                </c:pt>
                <c:pt idx="5">
                  <c:v>120.73999999999998</c:v>
                </c:pt>
                <c:pt idx="6">
                  <c:v>127.95611000000002</c:v>
                </c:pt>
                <c:pt idx="7">
                  <c:v>168.54703450000002</c:v>
                </c:pt>
                <c:pt idx="8">
                  <c:v>196.93431247499998</c:v>
                </c:pt>
                <c:pt idx="9">
                  <c:v>237.39015313675</c:v>
                </c:pt>
              </c:numCache>
            </c:numRef>
          </c:val>
          <c:extLst>
            <c:ext xmlns:c16="http://schemas.microsoft.com/office/drawing/2014/chart" uri="{C3380CC4-5D6E-409C-BE32-E72D297353CC}">
              <c16:uniqueId val="{00000016-B516-457F-9B5A-677B308B93FA}"/>
            </c:ext>
          </c:extLst>
        </c:ser>
        <c:ser>
          <c:idx val="22"/>
          <c:order val="22"/>
          <c:tx>
            <c:strRef>
              <c:f>Charts!$B$38</c:f>
              <c:strCache>
                <c:ptCount val="1"/>
                <c:pt idx="0">
                  <c:v>Kolkata Container Terminal - 2</c:v>
                </c:pt>
              </c:strCache>
            </c:strRef>
          </c:tx>
          <c:invertIfNegative val="0"/>
          <c:val>
            <c:numRef>
              <c:f>Charts!$F$38:$O$38</c:f>
              <c:numCache>
                <c:formatCode>_(* #,##0_);_(* \(#,##0\);_(* "-"??_);_(@_)</c:formatCode>
                <c:ptCount val="10"/>
                <c:pt idx="0">
                  <c:v>0</c:v>
                </c:pt>
                <c:pt idx="1">
                  <c:v>0</c:v>
                </c:pt>
                <c:pt idx="2">
                  <c:v>0</c:v>
                </c:pt>
                <c:pt idx="3">
                  <c:v>0</c:v>
                </c:pt>
                <c:pt idx="4">
                  <c:v>0</c:v>
                </c:pt>
                <c:pt idx="5">
                  <c:v>0</c:v>
                </c:pt>
                <c:pt idx="6">
                  <c:v>0</c:v>
                </c:pt>
                <c:pt idx="7">
                  <c:v>0</c:v>
                </c:pt>
                <c:pt idx="8">
                  <c:v>3</c:v>
                </c:pt>
                <c:pt idx="9">
                  <c:v>6</c:v>
                </c:pt>
              </c:numCache>
            </c:numRef>
          </c:val>
          <c:extLst>
            <c:ext xmlns:c16="http://schemas.microsoft.com/office/drawing/2014/chart" uri="{C3380CC4-5D6E-409C-BE32-E72D297353CC}">
              <c16:uniqueId val="{00000001-D0DF-41C2-A180-0938000F650C}"/>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300"/>
        </c:scaling>
        <c:delete val="0"/>
        <c:axPos val="l"/>
        <c:numFmt formatCode="_(* #,##0_);_(* \(#,##0\);_(* &quot;-&quot;??_);_(@_)" sourceLinked="1"/>
        <c:majorTickMark val="none"/>
        <c:minorTickMark val="none"/>
        <c:tickLblPos val="none"/>
        <c:spPr>
          <a:ln>
            <a:noFill/>
          </a:ln>
        </c:spPr>
        <c:crossAx val="41707423"/>
        <c:crosses val="autoZero"/>
        <c:crossBetween val="between"/>
      </c:valAx>
    </c:plotArea>
    <c:legend>
      <c:legendPos val="b"/>
      <c:layout>
        <c:manualLayout>
          <c:xMode val="edge"/>
          <c:yMode val="edge"/>
          <c:x val="2.8746481992297523E-2"/>
          <c:y val="0.69769391438682782"/>
          <c:w val="0.95597664645305913"/>
          <c:h val="0.2782820615891482"/>
        </c:manualLayout>
      </c:layout>
      <c:overlay val="0"/>
      <c:txPr>
        <a:bodyPr/>
        <a:lstStyle/>
        <a:p>
          <a:pPr>
            <a:defRPr sz="800"/>
          </a:pPr>
          <a:endParaRPr lang="en-US"/>
        </a:p>
      </c:txPr>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74643615424166"/>
          <c:y val="0.19493438320209974"/>
          <c:w val="0.97917719994299668"/>
          <c:h val="0.61901303173039335"/>
        </c:manualLayout>
      </c:layout>
      <c:barChart>
        <c:barDir val="col"/>
        <c:grouping val="stacked"/>
        <c:varyColors val="0"/>
        <c:ser>
          <c:idx val="0"/>
          <c:order val="0"/>
          <c:tx>
            <c:strRef>
              <c:f>Charts!$B$102</c:f>
              <c:strCache>
                <c:ptCount val="1"/>
                <c:pt idx="0">
                  <c:v>Volumes - Portwise, MT</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Charts!$F$102:$O$102</c:f>
              <c:numCache>
                <c:formatCode>#,##0_);\(#,##0\)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F1B0-4606-925A-CB020BB6AF8B}"/>
            </c:ext>
          </c:extLst>
        </c:ser>
        <c:ser>
          <c:idx val="1"/>
          <c:order val="1"/>
          <c:tx>
            <c:strRef>
              <c:f>Charts!$B$103</c:f>
              <c:strCache>
                <c:ptCount val="1"/>
                <c:pt idx="0">
                  <c:v>Jaigarh</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Charts!$F$103:$O$103</c:f>
              <c:numCache>
                <c:formatCode>0%</c:formatCode>
                <c:ptCount val="10"/>
                <c:pt idx="0">
                  <c:v>0.20286354253590408</c:v>
                </c:pt>
                <c:pt idx="1">
                  <c:v>0.22625701414292701</c:v>
                </c:pt>
                <c:pt idx="2">
                  <c:v>0.2180452802487074</c:v>
                </c:pt>
                <c:pt idx="3">
                  <c:v>0.20095636461574545</c:v>
                </c:pt>
                <c:pt idx="4">
                  <c:v>0.17008547008547006</c:v>
                </c:pt>
                <c:pt idx="5">
                  <c:v>0.16788139804538679</c:v>
                </c:pt>
                <c:pt idx="6">
                  <c:v>0.16475024131321275</c:v>
                </c:pt>
                <c:pt idx="7">
                  <c:v>0.15605951227815873</c:v>
                </c:pt>
                <c:pt idx="8">
                  <c:v>0.14692058705449318</c:v>
                </c:pt>
                <c:pt idx="9">
                  <c:v>0.12797662261289836</c:v>
                </c:pt>
              </c:numCache>
            </c:numRef>
          </c:val>
          <c:extLst>
            <c:ext xmlns:c16="http://schemas.microsoft.com/office/drawing/2014/chart" uri="{C3380CC4-5D6E-409C-BE32-E72D297353CC}">
              <c16:uniqueId val="{00000001-F1B0-4606-925A-CB020BB6AF8B}"/>
            </c:ext>
          </c:extLst>
        </c:ser>
        <c:ser>
          <c:idx val="2"/>
          <c:order val="2"/>
          <c:tx>
            <c:strRef>
              <c:f>Charts!$B$104</c:f>
              <c:strCache>
                <c:ptCount val="1"/>
                <c:pt idx="0">
                  <c:v>Dharmatar</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F1B0-4606-925A-CB020BB6AF8B}"/>
                </c:ext>
              </c:extLst>
            </c:dLbl>
            <c:dLbl>
              <c:idx val="1"/>
              <c:delete val="1"/>
              <c:extLst>
                <c:ext xmlns:c15="http://schemas.microsoft.com/office/drawing/2012/chart" uri="{CE6537A1-D6FC-4f65-9D91-7224C49458BB}"/>
                <c:ext xmlns:c16="http://schemas.microsoft.com/office/drawing/2014/chart" uri="{C3380CC4-5D6E-409C-BE32-E72D297353CC}">
                  <c16:uniqueId val="{00000003-F1B0-4606-925A-CB020BB6AF8B}"/>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Charts!$F$104:$O$104</c:f>
              <c:numCache>
                <c:formatCode>0%</c:formatCode>
                <c:ptCount val="10"/>
                <c:pt idx="0">
                  <c:v>0.28327989810707543</c:v>
                </c:pt>
                <c:pt idx="1">
                  <c:v>0.27773979235467211</c:v>
                </c:pt>
                <c:pt idx="2">
                  <c:v>0.25891328182914652</c:v>
                </c:pt>
                <c:pt idx="3">
                  <c:v>0.23486950285633848</c:v>
                </c:pt>
                <c:pt idx="4">
                  <c:v>0.19743589743589743</c:v>
                </c:pt>
                <c:pt idx="5">
                  <c:v>0.20316382309093925</c:v>
                </c:pt>
                <c:pt idx="6">
                  <c:v>0.19913046747044744</c:v>
                </c:pt>
                <c:pt idx="7">
                  <c:v>0.1877707317360128</c:v>
                </c:pt>
                <c:pt idx="8">
                  <c:v>0.17636499990020346</c:v>
                </c:pt>
                <c:pt idx="9">
                  <c:v>0.15059630371191496</c:v>
                </c:pt>
              </c:numCache>
            </c:numRef>
          </c:val>
          <c:extLst>
            <c:ext xmlns:c16="http://schemas.microsoft.com/office/drawing/2014/chart" uri="{C3380CC4-5D6E-409C-BE32-E72D297353CC}">
              <c16:uniqueId val="{00000004-F1B0-4606-925A-CB020BB6AF8B}"/>
            </c:ext>
          </c:extLst>
        </c:ser>
        <c:ser>
          <c:idx val="3"/>
          <c:order val="3"/>
          <c:tx>
            <c:strRef>
              <c:f>Charts!$B$105</c:f>
              <c:strCache>
                <c:ptCount val="1"/>
                <c:pt idx="0">
                  <c:v>Paradip Coal</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F1B0-4606-925A-CB020BB6AF8B}"/>
                </c:ext>
              </c:extLst>
            </c:dLbl>
            <c:dLbl>
              <c:idx val="1"/>
              <c:delete val="1"/>
              <c:extLst>
                <c:ext xmlns:c15="http://schemas.microsoft.com/office/drawing/2012/chart" uri="{CE6537A1-D6FC-4f65-9D91-7224C49458BB}"/>
                <c:ext xmlns:c16="http://schemas.microsoft.com/office/drawing/2014/chart" uri="{C3380CC4-5D6E-409C-BE32-E72D297353CC}">
                  <c16:uniqueId val="{00000006-F1B0-4606-925A-CB020BB6AF8B}"/>
                </c:ext>
              </c:extLst>
            </c:dLbl>
            <c:dLbl>
              <c:idx val="2"/>
              <c:delete val="1"/>
              <c:extLst>
                <c:ext xmlns:c15="http://schemas.microsoft.com/office/drawing/2012/chart" uri="{CE6537A1-D6FC-4f65-9D91-7224C49458BB}"/>
                <c:ext xmlns:c16="http://schemas.microsoft.com/office/drawing/2014/chart" uri="{C3380CC4-5D6E-409C-BE32-E72D297353CC}">
                  <c16:uniqueId val="{00000007-F1B0-4606-925A-CB020BB6AF8B}"/>
                </c:ext>
              </c:extLst>
            </c:dLbl>
            <c:dLbl>
              <c:idx val="3"/>
              <c:delete val="1"/>
              <c:extLst>
                <c:ext xmlns:c15="http://schemas.microsoft.com/office/drawing/2012/chart" uri="{CE6537A1-D6FC-4f65-9D91-7224C49458BB}"/>
                <c:ext xmlns:c16="http://schemas.microsoft.com/office/drawing/2014/chart" uri="{C3380CC4-5D6E-409C-BE32-E72D297353CC}">
                  <c16:uniqueId val="{00000008-F1B0-4606-925A-CB020BB6AF8B}"/>
                </c:ext>
              </c:extLst>
            </c:dLbl>
            <c:dLbl>
              <c:idx val="4"/>
              <c:delete val="1"/>
              <c:extLst>
                <c:ext xmlns:c15="http://schemas.microsoft.com/office/drawing/2012/chart" uri="{CE6537A1-D6FC-4f65-9D91-7224C49458BB}"/>
                <c:ext xmlns:c16="http://schemas.microsoft.com/office/drawing/2014/chart" uri="{C3380CC4-5D6E-409C-BE32-E72D297353CC}">
                  <c16:uniqueId val="{00000009-F1B0-4606-925A-CB020BB6AF8B}"/>
                </c:ext>
              </c:extLst>
            </c:dLbl>
            <c:dLbl>
              <c:idx val="5"/>
              <c:delete val="1"/>
              <c:extLst>
                <c:ext xmlns:c15="http://schemas.microsoft.com/office/drawing/2012/chart" uri="{CE6537A1-D6FC-4f65-9D91-7224C49458BB}"/>
                <c:ext xmlns:c16="http://schemas.microsoft.com/office/drawing/2014/chart" uri="{C3380CC4-5D6E-409C-BE32-E72D297353CC}">
                  <c16:uniqueId val="{0000000A-F1B0-4606-925A-CB020BB6AF8B}"/>
                </c:ext>
              </c:extLst>
            </c:dLbl>
            <c:dLbl>
              <c:idx val="6"/>
              <c:delete val="1"/>
              <c:extLst>
                <c:ext xmlns:c15="http://schemas.microsoft.com/office/drawing/2012/chart" uri="{CE6537A1-D6FC-4f65-9D91-7224C49458BB}"/>
                <c:ext xmlns:c16="http://schemas.microsoft.com/office/drawing/2014/chart" uri="{C3380CC4-5D6E-409C-BE32-E72D297353CC}">
                  <c16:uniqueId val="{0000000B-F1B0-4606-925A-CB020BB6AF8B}"/>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Charts!$F$105:$O$105</c:f>
              <c:numCache>
                <c:formatCode>0%</c:formatCode>
                <c:ptCount val="10"/>
                <c:pt idx="0">
                  <c:v>0</c:v>
                </c:pt>
                <c:pt idx="1">
                  <c:v>4.52974499236677E-3</c:v>
                </c:pt>
                <c:pt idx="2">
                  <c:v>0.1296613580329567</c:v>
                </c:pt>
                <c:pt idx="3">
                  <c:v>0.15667309319414463</c:v>
                </c:pt>
                <c:pt idx="4">
                  <c:v>0.16153846153846152</c:v>
                </c:pt>
                <c:pt idx="5">
                  <c:v>0.15744575120092766</c:v>
                </c:pt>
                <c:pt idx="6">
                  <c:v>0.15153789842470203</c:v>
                </c:pt>
                <c:pt idx="7">
                  <c:v>0.12194585363648153</c:v>
                </c:pt>
                <c:pt idx="8">
                  <c:v>0.11062992754381365</c:v>
                </c:pt>
                <c:pt idx="9">
                  <c:v>9.7283051289395947E-2</c:v>
                </c:pt>
              </c:numCache>
            </c:numRef>
          </c:val>
          <c:extLst>
            <c:ext xmlns:c16="http://schemas.microsoft.com/office/drawing/2014/chart" uri="{C3380CC4-5D6E-409C-BE32-E72D297353CC}">
              <c16:uniqueId val="{0000000C-F1B0-4606-925A-CB020BB6AF8B}"/>
            </c:ext>
          </c:extLst>
        </c:ser>
        <c:ser>
          <c:idx val="4"/>
          <c:order val="4"/>
          <c:tx>
            <c:strRef>
              <c:f>Charts!$B$106</c:f>
              <c:strCache>
                <c:ptCount val="1"/>
                <c:pt idx="0">
                  <c:v>Jatadhar</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F1B0-4606-925A-CB020BB6AF8B}"/>
                </c:ext>
              </c:extLst>
            </c:dLbl>
            <c:dLbl>
              <c:idx val="1"/>
              <c:delete val="1"/>
              <c:extLst>
                <c:ext xmlns:c15="http://schemas.microsoft.com/office/drawing/2012/chart" uri="{CE6537A1-D6FC-4f65-9D91-7224C49458BB}"/>
                <c:ext xmlns:c16="http://schemas.microsoft.com/office/drawing/2014/chart" uri="{C3380CC4-5D6E-409C-BE32-E72D297353CC}">
                  <c16:uniqueId val="{0000000E-F1B0-4606-925A-CB020BB6AF8B}"/>
                </c:ext>
              </c:extLst>
            </c:dLbl>
            <c:dLbl>
              <c:idx val="2"/>
              <c:delete val="1"/>
              <c:extLst>
                <c:ext xmlns:c15="http://schemas.microsoft.com/office/drawing/2012/chart" uri="{CE6537A1-D6FC-4f65-9D91-7224C49458BB}"/>
                <c:ext xmlns:c16="http://schemas.microsoft.com/office/drawing/2014/chart" uri="{C3380CC4-5D6E-409C-BE32-E72D297353CC}">
                  <c16:uniqueId val="{0000000F-F1B0-4606-925A-CB020BB6AF8B}"/>
                </c:ext>
              </c:extLst>
            </c:dLbl>
            <c:dLbl>
              <c:idx val="3"/>
              <c:delete val="1"/>
              <c:extLst>
                <c:ext xmlns:c15="http://schemas.microsoft.com/office/drawing/2012/chart" uri="{CE6537A1-D6FC-4f65-9D91-7224C49458BB}"/>
                <c:ext xmlns:c16="http://schemas.microsoft.com/office/drawing/2014/chart" uri="{C3380CC4-5D6E-409C-BE32-E72D297353CC}">
                  <c16:uniqueId val="{00000010-F1B0-4606-925A-CB020BB6AF8B}"/>
                </c:ext>
              </c:extLst>
            </c:dLbl>
            <c:dLbl>
              <c:idx val="4"/>
              <c:delete val="1"/>
              <c:extLst>
                <c:ext xmlns:c15="http://schemas.microsoft.com/office/drawing/2012/chart" uri="{CE6537A1-D6FC-4f65-9D91-7224C49458BB}"/>
                <c:ext xmlns:c16="http://schemas.microsoft.com/office/drawing/2014/chart" uri="{C3380CC4-5D6E-409C-BE32-E72D297353CC}">
                  <c16:uniqueId val="{00000011-F1B0-4606-925A-CB020BB6AF8B}"/>
                </c:ext>
              </c:extLst>
            </c:dLbl>
            <c:dLbl>
              <c:idx val="5"/>
              <c:delete val="1"/>
              <c:extLst>
                <c:ext xmlns:c15="http://schemas.microsoft.com/office/drawing/2012/chart" uri="{CE6537A1-D6FC-4f65-9D91-7224C49458BB}"/>
                <c:ext xmlns:c16="http://schemas.microsoft.com/office/drawing/2014/chart" uri="{C3380CC4-5D6E-409C-BE32-E72D297353CC}">
                  <c16:uniqueId val="{00000012-F1B0-4606-925A-CB020BB6AF8B}"/>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Charts!$F$106:$O$106</c:f>
              <c:numCache>
                <c:formatCode>0%</c:formatCode>
                <c:ptCount val="10"/>
                <c:pt idx="0">
                  <c:v>0</c:v>
                </c:pt>
                <c:pt idx="1">
                  <c:v>0</c:v>
                </c:pt>
                <c:pt idx="2">
                  <c:v>0</c:v>
                </c:pt>
                <c:pt idx="3">
                  <c:v>0</c:v>
                </c:pt>
                <c:pt idx="4">
                  <c:v>0</c:v>
                </c:pt>
                <c:pt idx="5">
                  <c:v>0</c:v>
                </c:pt>
                <c:pt idx="6">
                  <c:v>0</c:v>
                </c:pt>
                <c:pt idx="7">
                  <c:v>5.962727276581066E-2</c:v>
                </c:pt>
                <c:pt idx="8">
                  <c:v>8.3784282142781025E-2</c:v>
                </c:pt>
                <c:pt idx="9">
                  <c:v>8.8461967451121809E-2</c:v>
                </c:pt>
              </c:numCache>
            </c:numRef>
          </c:val>
          <c:extLst>
            <c:ext xmlns:c16="http://schemas.microsoft.com/office/drawing/2014/chart" uri="{C3380CC4-5D6E-409C-BE32-E72D297353CC}">
              <c16:uniqueId val="{00000013-F1B0-4606-925A-CB020BB6AF8B}"/>
            </c:ext>
          </c:extLst>
        </c:ser>
        <c:ser>
          <c:idx val="5"/>
          <c:order val="5"/>
          <c:tx>
            <c:strRef>
              <c:f>Charts!$B$107</c:f>
              <c:strCache>
                <c:ptCount val="1"/>
                <c:pt idx="0">
                  <c:v>Slurry Pipeline Phase I</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4-F1B0-4606-925A-CB020BB6AF8B}"/>
                </c:ext>
              </c:extLst>
            </c:dLbl>
            <c:dLbl>
              <c:idx val="1"/>
              <c:delete val="1"/>
              <c:extLst>
                <c:ext xmlns:c15="http://schemas.microsoft.com/office/drawing/2012/chart" uri="{CE6537A1-D6FC-4f65-9D91-7224C49458BB}"/>
                <c:ext xmlns:c16="http://schemas.microsoft.com/office/drawing/2014/chart" uri="{C3380CC4-5D6E-409C-BE32-E72D297353CC}">
                  <c16:uniqueId val="{00000015-F1B0-4606-925A-CB020BB6AF8B}"/>
                </c:ext>
              </c:extLst>
            </c:dLbl>
            <c:dLbl>
              <c:idx val="2"/>
              <c:delete val="1"/>
              <c:extLst>
                <c:ext xmlns:c15="http://schemas.microsoft.com/office/drawing/2012/chart" uri="{CE6537A1-D6FC-4f65-9D91-7224C49458BB}"/>
                <c:ext xmlns:c16="http://schemas.microsoft.com/office/drawing/2014/chart" uri="{C3380CC4-5D6E-409C-BE32-E72D297353CC}">
                  <c16:uniqueId val="{00000016-F1B0-4606-925A-CB020BB6AF8B}"/>
                </c:ext>
              </c:extLst>
            </c:dLbl>
            <c:dLbl>
              <c:idx val="3"/>
              <c:delete val="1"/>
              <c:extLst>
                <c:ext xmlns:c15="http://schemas.microsoft.com/office/drawing/2012/chart" uri="{CE6537A1-D6FC-4f65-9D91-7224C49458BB}"/>
                <c:ext xmlns:c16="http://schemas.microsoft.com/office/drawing/2014/chart" uri="{C3380CC4-5D6E-409C-BE32-E72D297353CC}">
                  <c16:uniqueId val="{00000017-F1B0-4606-925A-CB020BB6AF8B}"/>
                </c:ext>
              </c:extLst>
            </c:dLbl>
            <c:dLbl>
              <c:idx val="4"/>
              <c:delete val="1"/>
              <c:extLst>
                <c:ext xmlns:c15="http://schemas.microsoft.com/office/drawing/2012/chart" uri="{CE6537A1-D6FC-4f65-9D91-7224C49458BB}"/>
                <c:ext xmlns:c16="http://schemas.microsoft.com/office/drawing/2014/chart" uri="{C3380CC4-5D6E-409C-BE32-E72D297353CC}">
                  <c16:uniqueId val="{00000018-F1B0-4606-925A-CB020BB6AF8B}"/>
                </c:ext>
              </c:extLst>
            </c:dLbl>
            <c:dLbl>
              <c:idx val="5"/>
              <c:delete val="1"/>
              <c:extLst>
                <c:ext xmlns:c15="http://schemas.microsoft.com/office/drawing/2012/chart" uri="{CE6537A1-D6FC-4f65-9D91-7224C49458BB}"/>
                <c:ext xmlns:c16="http://schemas.microsoft.com/office/drawing/2014/chart" uri="{C3380CC4-5D6E-409C-BE32-E72D297353CC}">
                  <c16:uniqueId val="{00000019-F1B0-4606-925A-CB020BB6AF8B}"/>
                </c:ext>
              </c:extLst>
            </c:dLbl>
            <c:dLbl>
              <c:idx val="6"/>
              <c:delete val="1"/>
              <c:extLst>
                <c:ext xmlns:c15="http://schemas.microsoft.com/office/drawing/2012/chart" uri="{CE6537A1-D6FC-4f65-9D91-7224C49458BB}"/>
                <c:ext xmlns:c16="http://schemas.microsoft.com/office/drawing/2014/chart" uri="{C3380CC4-5D6E-409C-BE32-E72D297353CC}">
                  <c16:uniqueId val="{0000001A-F1B0-4606-925A-CB020BB6AF8B}"/>
                </c:ext>
              </c:extLst>
            </c:dLbl>
            <c:dLbl>
              <c:idx val="7"/>
              <c:delete val="1"/>
              <c:extLst>
                <c:ext xmlns:c15="http://schemas.microsoft.com/office/drawing/2012/chart" uri="{CE6537A1-D6FC-4f65-9D91-7224C49458BB}"/>
                <c:ext xmlns:c16="http://schemas.microsoft.com/office/drawing/2014/chart" uri="{C3380CC4-5D6E-409C-BE32-E72D297353CC}">
                  <c16:uniqueId val="{0000001B-F1B0-4606-925A-CB020BB6AF8B}"/>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Charts!$F$107:$O$107</c:f>
              <c:numCache>
                <c:formatCode>0%</c:formatCode>
                <c:ptCount val="10"/>
                <c:pt idx="0">
                  <c:v>0</c:v>
                </c:pt>
                <c:pt idx="1">
                  <c:v>0</c:v>
                </c:pt>
                <c:pt idx="2">
                  <c:v>0</c:v>
                </c:pt>
                <c:pt idx="3">
                  <c:v>0</c:v>
                </c:pt>
                <c:pt idx="4">
                  <c:v>0</c:v>
                </c:pt>
                <c:pt idx="5">
                  <c:v>0</c:v>
                </c:pt>
                <c:pt idx="6">
                  <c:v>0</c:v>
                </c:pt>
                <c:pt idx="7">
                  <c:v>7.1196743600967949E-2</c:v>
                </c:pt>
                <c:pt idx="8">
                  <c:v>9.1401035064852032E-2</c:v>
                </c:pt>
                <c:pt idx="9">
                  <c:v>7.5824543529532981E-2</c:v>
                </c:pt>
              </c:numCache>
            </c:numRef>
          </c:val>
          <c:extLst>
            <c:ext xmlns:c16="http://schemas.microsoft.com/office/drawing/2014/chart" uri="{C3380CC4-5D6E-409C-BE32-E72D297353CC}">
              <c16:uniqueId val="{0000001C-F1B0-4606-925A-CB020BB6AF8B}"/>
            </c:ext>
          </c:extLst>
        </c:ser>
        <c:ser>
          <c:idx val="6"/>
          <c:order val="6"/>
          <c:tx>
            <c:strRef>
              <c:f>Charts!$B$108</c:f>
              <c:strCache>
                <c:ptCount val="1"/>
                <c:pt idx="0">
                  <c:v>Keni</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D-F1B0-4606-925A-CB020BB6AF8B}"/>
                </c:ext>
              </c:extLst>
            </c:dLbl>
            <c:dLbl>
              <c:idx val="1"/>
              <c:delete val="1"/>
              <c:extLst>
                <c:ext xmlns:c15="http://schemas.microsoft.com/office/drawing/2012/chart" uri="{CE6537A1-D6FC-4f65-9D91-7224C49458BB}"/>
                <c:ext xmlns:c16="http://schemas.microsoft.com/office/drawing/2014/chart" uri="{C3380CC4-5D6E-409C-BE32-E72D297353CC}">
                  <c16:uniqueId val="{0000001E-F1B0-4606-925A-CB020BB6AF8B}"/>
                </c:ext>
              </c:extLst>
            </c:dLbl>
            <c:dLbl>
              <c:idx val="2"/>
              <c:delete val="1"/>
              <c:extLst>
                <c:ext xmlns:c15="http://schemas.microsoft.com/office/drawing/2012/chart" uri="{CE6537A1-D6FC-4f65-9D91-7224C49458BB}"/>
                <c:ext xmlns:c16="http://schemas.microsoft.com/office/drawing/2014/chart" uri="{C3380CC4-5D6E-409C-BE32-E72D297353CC}">
                  <c16:uniqueId val="{0000001F-F1B0-4606-925A-CB020BB6AF8B}"/>
                </c:ext>
              </c:extLst>
            </c:dLbl>
            <c:dLbl>
              <c:idx val="3"/>
              <c:delete val="1"/>
              <c:extLst>
                <c:ext xmlns:c15="http://schemas.microsoft.com/office/drawing/2012/chart" uri="{CE6537A1-D6FC-4f65-9D91-7224C49458BB}"/>
                <c:ext xmlns:c16="http://schemas.microsoft.com/office/drawing/2014/chart" uri="{C3380CC4-5D6E-409C-BE32-E72D297353CC}">
                  <c16:uniqueId val="{00000020-F1B0-4606-925A-CB020BB6AF8B}"/>
                </c:ext>
              </c:extLst>
            </c:dLbl>
            <c:dLbl>
              <c:idx val="4"/>
              <c:delete val="1"/>
              <c:extLst>
                <c:ext xmlns:c15="http://schemas.microsoft.com/office/drawing/2012/chart" uri="{CE6537A1-D6FC-4f65-9D91-7224C49458BB}"/>
                <c:ext xmlns:c16="http://schemas.microsoft.com/office/drawing/2014/chart" uri="{C3380CC4-5D6E-409C-BE32-E72D297353CC}">
                  <c16:uniqueId val="{00000021-F1B0-4606-925A-CB020BB6AF8B}"/>
                </c:ext>
              </c:extLst>
            </c:dLbl>
            <c:dLbl>
              <c:idx val="5"/>
              <c:delete val="1"/>
              <c:extLst>
                <c:ext xmlns:c15="http://schemas.microsoft.com/office/drawing/2012/chart" uri="{CE6537A1-D6FC-4f65-9D91-7224C49458BB}"/>
                <c:ext xmlns:c16="http://schemas.microsoft.com/office/drawing/2014/chart" uri="{C3380CC4-5D6E-409C-BE32-E72D297353CC}">
                  <c16:uniqueId val="{00000022-F1B0-4606-925A-CB020BB6AF8B}"/>
                </c:ext>
              </c:extLst>
            </c:dLbl>
            <c:dLbl>
              <c:idx val="6"/>
              <c:delete val="1"/>
              <c:extLst>
                <c:ext xmlns:c15="http://schemas.microsoft.com/office/drawing/2012/chart" uri="{CE6537A1-D6FC-4f65-9D91-7224C49458BB}"/>
                <c:ext xmlns:c16="http://schemas.microsoft.com/office/drawing/2014/chart" uri="{C3380CC4-5D6E-409C-BE32-E72D297353CC}">
                  <c16:uniqueId val="{00000023-F1B0-4606-925A-CB020BB6AF8B}"/>
                </c:ext>
              </c:extLst>
            </c:dLbl>
            <c:dLbl>
              <c:idx val="7"/>
              <c:delete val="1"/>
              <c:extLst>
                <c:ext xmlns:c15="http://schemas.microsoft.com/office/drawing/2012/chart" uri="{CE6537A1-D6FC-4f65-9D91-7224C49458BB}"/>
                <c:ext xmlns:c16="http://schemas.microsoft.com/office/drawing/2014/chart" uri="{C3380CC4-5D6E-409C-BE32-E72D297353CC}">
                  <c16:uniqueId val="{00000024-F1B0-4606-925A-CB020BB6AF8B}"/>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Charts!$F$108:$O$108</c:f>
              <c:numCache>
                <c:formatCode>0%</c:formatCode>
                <c:ptCount val="10"/>
                <c:pt idx="0">
                  <c:v>0</c:v>
                </c:pt>
                <c:pt idx="1">
                  <c:v>0</c:v>
                </c:pt>
                <c:pt idx="2">
                  <c:v>0</c:v>
                </c:pt>
                <c:pt idx="3">
                  <c:v>0</c:v>
                </c:pt>
                <c:pt idx="4">
                  <c:v>0</c:v>
                </c:pt>
                <c:pt idx="5">
                  <c:v>0</c:v>
                </c:pt>
                <c:pt idx="6">
                  <c:v>0</c:v>
                </c:pt>
                <c:pt idx="7">
                  <c:v>0</c:v>
                </c:pt>
                <c:pt idx="8">
                  <c:v>7.6167529220710021E-3</c:v>
                </c:pt>
                <c:pt idx="9">
                  <c:v>3.7912271764766491E-2</c:v>
                </c:pt>
              </c:numCache>
            </c:numRef>
          </c:val>
          <c:extLst>
            <c:ext xmlns:c16="http://schemas.microsoft.com/office/drawing/2014/chart" uri="{C3380CC4-5D6E-409C-BE32-E72D297353CC}">
              <c16:uniqueId val="{00000025-F1B0-4606-925A-CB020BB6AF8B}"/>
            </c:ext>
          </c:extLst>
        </c:ser>
        <c:ser>
          <c:idx val="7"/>
          <c:order val="7"/>
          <c:tx>
            <c:strRef>
              <c:f>Charts!$B$109</c:f>
              <c:strCache>
                <c:ptCount val="1"/>
                <c:pt idx="0">
                  <c:v>Slurry Pipeline Phase II</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6-F1B0-4606-925A-CB020BB6AF8B}"/>
                </c:ext>
              </c:extLst>
            </c:dLbl>
            <c:dLbl>
              <c:idx val="1"/>
              <c:delete val="1"/>
              <c:extLst>
                <c:ext xmlns:c15="http://schemas.microsoft.com/office/drawing/2012/chart" uri="{CE6537A1-D6FC-4f65-9D91-7224C49458BB}"/>
                <c:ext xmlns:c16="http://schemas.microsoft.com/office/drawing/2014/chart" uri="{C3380CC4-5D6E-409C-BE32-E72D297353CC}">
                  <c16:uniqueId val="{00000027-F1B0-4606-925A-CB020BB6AF8B}"/>
                </c:ext>
              </c:extLst>
            </c:dLbl>
            <c:dLbl>
              <c:idx val="2"/>
              <c:delete val="1"/>
              <c:extLst>
                <c:ext xmlns:c15="http://schemas.microsoft.com/office/drawing/2012/chart" uri="{CE6537A1-D6FC-4f65-9D91-7224C49458BB}"/>
                <c:ext xmlns:c16="http://schemas.microsoft.com/office/drawing/2014/chart" uri="{C3380CC4-5D6E-409C-BE32-E72D297353CC}">
                  <c16:uniqueId val="{00000028-F1B0-4606-925A-CB020BB6AF8B}"/>
                </c:ext>
              </c:extLst>
            </c:dLbl>
            <c:dLbl>
              <c:idx val="3"/>
              <c:delete val="1"/>
              <c:extLst>
                <c:ext xmlns:c15="http://schemas.microsoft.com/office/drawing/2012/chart" uri="{CE6537A1-D6FC-4f65-9D91-7224C49458BB}"/>
                <c:ext xmlns:c16="http://schemas.microsoft.com/office/drawing/2014/chart" uri="{C3380CC4-5D6E-409C-BE32-E72D297353CC}">
                  <c16:uniqueId val="{00000029-F1B0-4606-925A-CB020BB6AF8B}"/>
                </c:ext>
              </c:extLst>
            </c:dLbl>
            <c:dLbl>
              <c:idx val="4"/>
              <c:delete val="1"/>
              <c:extLst>
                <c:ext xmlns:c15="http://schemas.microsoft.com/office/drawing/2012/chart" uri="{CE6537A1-D6FC-4f65-9D91-7224C49458BB}"/>
                <c:ext xmlns:c16="http://schemas.microsoft.com/office/drawing/2014/chart" uri="{C3380CC4-5D6E-409C-BE32-E72D297353CC}">
                  <c16:uniqueId val="{0000002A-F1B0-4606-925A-CB020BB6AF8B}"/>
                </c:ext>
              </c:extLst>
            </c:dLbl>
            <c:dLbl>
              <c:idx val="5"/>
              <c:delete val="1"/>
              <c:extLst>
                <c:ext xmlns:c15="http://schemas.microsoft.com/office/drawing/2012/chart" uri="{CE6537A1-D6FC-4f65-9D91-7224C49458BB}"/>
                <c:ext xmlns:c16="http://schemas.microsoft.com/office/drawing/2014/chart" uri="{C3380CC4-5D6E-409C-BE32-E72D297353CC}">
                  <c16:uniqueId val="{0000002B-F1B0-4606-925A-CB020BB6AF8B}"/>
                </c:ext>
              </c:extLst>
            </c:dLbl>
            <c:dLbl>
              <c:idx val="6"/>
              <c:delete val="1"/>
              <c:extLst>
                <c:ext xmlns:c15="http://schemas.microsoft.com/office/drawing/2012/chart" uri="{CE6537A1-D6FC-4f65-9D91-7224C49458BB}"/>
                <c:ext xmlns:c16="http://schemas.microsoft.com/office/drawing/2014/chart" uri="{C3380CC4-5D6E-409C-BE32-E72D297353CC}">
                  <c16:uniqueId val="{0000002C-F1B0-4606-925A-CB020BB6AF8B}"/>
                </c:ext>
              </c:extLst>
            </c:dLbl>
            <c:dLbl>
              <c:idx val="7"/>
              <c:delete val="1"/>
              <c:extLst>
                <c:ext xmlns:c15="http://schemas.microsoft.com/office/drawing/2012/chart" uri="{CE6537A1-D6FC-4f65-9D91-7224C49458BB}"/>
                <c:ext xmlns:c16="http://schemas.microsoft.com/office/drawing/2014/chart" uri="{C3380CC4-5D6E-409C-BE32-E72D297353CC}">
                  <c16:uniqueId val="{0000002D-F1B0-4606-925A-CB020BB6AF8B}"/>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Charts!$F$109:$O$109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2E-F1B0-4606-925A-CB020BB6AF8B}"/>
            </c:ext>
          </c:extLst>
        </c:ser>
        <c:ser>
          <c:idx val="8"/>
          <c:order val="8"/>
          <c:tx>
            <c:strRef>
              <c:f>Charts!$B$110</c:f>
              <c:strCache>
                <c:ptCount val="1"/>
                <c:pt idx="0">
                  <c:v>Murbe</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Charts!$F$110:$O$110</c:f>
              <c:numCache>
                <c:formatCode>0%</c:formatCode>
                <c:ptCount val="10"/>
                <c:pt idx="0">
                  <c:v>0</c:v>
                </c:pt>
                <c:pt idx="1">
                  <c:v>0</c:v>
                </c:pt>
                <c:pt idx="2">
                  <c:v>0</c:v>
                </c:pt>
                <c:pt idx="3">
                  <c:v>0</c:v>
                </c:pt>
                <c:pt idx="4">
                  <c:v>0</c:v>
                </c:pt>
                <c:pt idx="5">
                  <c:v>0</c:v>
                </c:pt>
                <c:pt idx="6">
                  <c:v>0</c:v>
                </c:pt>
                <c:pt idx="7">
                  <c:v>0</c:v>
                </c:pt>
                <c:pt idx="8">
                  <c:v>0</c:v>
                </c:pt>
                <c:pt idx="9">
                  <c:v>3.475291578436928E-2</c:v>
                </c:pt>
              </c:numCache>
            </c:numRef>
          </c:val>
          <c:extLst>
            <c:ext xmlns:c16="http://schemas.microsoft.com/office/drawing/2014/chart" uri="{C3380CC4-5D6E-409C-BE32-E72D297353CC}">
              <c16:uniqueId val="{0000002F-F1B0-4606-925A-CB020BB6AF8B}"/>
            </c:ext>
          </c:extLst>
        </c:ser>
        <c:ser>
          <c:idx val="9"/>
          <c:order val="9"/>
          <c:tx>
            <c:strRef>
              <c:f>Charts!$B$111</c:f>
              <c:strCache>
                <c:ptCount val="1"/>
                <c:pt idx="0">
                  <c:v>Paradip Iron Ore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Charts!$F$111:$O$111</c:f>
              <c:numCache>
                <c:formatCode>0%</c:formatCode>
                <c:ptCount val="10"/>
                <c:pt idx="0">
                  <c:v>0.18512011946067022</c:v>
                </c:pt>
                <c:pt idx="1">
                  <c:v>0.12130073673573621</c:v>
                </c:pt>
                <c:pt idx="2">
                  <c:v>0.1025740508952757</c:v>
                </c:pt>
                <c:pt idx="3">
                  <c:v>0.11556625896312278</c:v>
                </c:pt>
                <c:pt idx="4">
                  <c:v>9.7435897435897423E-2</c:v>
                </c:pt>
                <c:pt idx="5">
                  <c:v>6.0129203246645696E-2</c:v>
                </c:pt>
                <c:pt idx="6">
                  <c:v>7.3759666498145332E-2</c:v>
                </c:pt>
                <c:pt idx="7">
                  <c:v>5.65562012305829E-2</c:v>
                </c:pt>
                <c:pt idx="8">
                  <c:v>4.8887894034322733E-2</c:v>
                </c:pt>
                <c:pt idx="9">
                  <c:v>4.0962022685070869E-2</c:v>
                </c:pt>
              </c:numCache>
            </c:numRef>
          </c:val>
          <c:extLst>
            <c:ext xmlns:c16="http://schemas.microsoft.com/office/drawing/2014/chart" uri="{C3380CC4-5D6E-409C-BE32-E72D297353CC}">
              <c16:uniqueId val="{00000030-F1B0-4606-925A-CB020BB6AF8B}"/>
            </c:ext>
          </c:extLst>
        </c:ser>
        <c:ser>
          <c:idx val="10"/>
          <c:order val="10"/>
          <c:tx>
            <c:strRef>
              <c:f>Charts!$B$112</c:f>
              <c:strCache>
                <c:ptCount val="1"/>
                <c:pt idx="0">
                  <c:v>Overseas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Charts!$F$112:$O$112</c:f>
              <c:numCache>
                <c:formatCode>0%</c:formatCode>
                <c:ptCount val="10"/>
                <c:pt idx="0">
                  <c:v>0</c:v>
                </c:pt>
                <c:pt idx="1">
                  <c:v>0</c:v>
                </c:pt>
                <c:pt idx="2">
                  <c:v>0</c:v>
                </c:pt>
                <c:pt idx="3">
                  <c:v>0</c:v>
                </c:pt>
                <c:pt idx="4">
                  <c:v>0</c:v>
                </c:pt>
                <c:pt idx="5">
                  <c:v>0</c:v>
                </c:pt>
                <c:pt idx="6">
                  <c:v>0</c:v>
                </c:pt>
                <c:pt idx="7">
                  <c:v>0</c:v>
                </c:pt>
                <c:pt idx="8">
                  <c:v>0</c:v>
                </c:pt>
                <c:pt idx="9">
                  <c:v>4.5494726117719791E-2</c:v>
                </c:pt>
              </c:numCache>
            </c:numRef>
          </c:val>
          <c:extLst>
            <c:ext xmlns:c16="http://schemas.microsoft.com/office/drawing/2014/chart" uri="{C3380CC4-5D6E-409C-BE32-E72D297353CC}">
              <c16:uniqueId val="{00000031-F1B0-4606-925A-CB020BB6AF8B}"/>
            </c:ext>
          </c:extLst>
        </c:ser>
        <c:ser>
          <c:idx val="11"/>
          <c:order val="11"/>
          <c:tx>
            <c:strRef>
              <c:f>Charts!$B$113</c:f>
              <c:strCache>
                <c:ptCount val="1"/>
                <c:pt idx="0">
                  <c:v>Ennore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Charts!$F$113:$O$113</c:f>
              <c:numCache>
                <c:formatCode>0%</c:formatCode>
                <c:ptCount val="10"/>
                <c:pt idx="0">
                  <c:v>6.8953401554745497E-2</c:v>
                </c:pt>
                <c:pt idx="1">
                  <c:v>0.12963319195726986</c:v>
                </c:pt>
                <c:pt idx="2">
                  <c:v>9.3781989389966361E-2</c:v>
                </c:pt>
                <c:pt idx="3">
                  <c:v>8.6978324247912145E-2</c:v>
                </c:pt>
                <c:pt idx="4">
                  <c:v>8.7179487179487161E-2</c:v>
                </c:pt>
                <c:pt idx="5">
                  <c:v>8.5969852575782699E-2</c:v>
                </c:pt>
                <c:pt idx="6">
                  <c:v>8.1932781482650568E-2</c:v>
                </c:pt>
                <c:pt idx="7">
                  <c:v>6.2823045397455507E-2</c:v>
                </c:pt>
                <c:pt idx="8">
                  <c:v>5.4305033214349721E-2</c:v>
                </c:pt>
                <c:pt idx="9">
                  <c:v>4.5500916870708411E-2</c:v>
                </c:pt>
              </c:numCache>
            </c:numRef>
          </c:val>
          <c:extLst>
            <c:ext xmlns:c16="http://schemas.microsoft.com/office/drawing/2014/chart" uri="{C3380CC4-5D6E-409C-BE32-E72D297353CC}">
              <c16:uniqueId val="{00000032-F1B0-4606-925A-CB020BB6AF8B}"/>
            </c:ext>
          </c:extLst>
        </c:ser>
        <c:ser>
          <c:idx val="12"/>
          <c:order val="12"/>
          <c:tx>
            <c:strRef>
              <c:f>Charts!$B$114</c:f>
              <c:strCache>
                <c:ptCount val="1"/>
                <c:pt idx="0">
                  <c:v>Goa</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Charts!$F$114:$O$114</c:f>
              <c:numCache>
                <c:formatCode>0%</c:formatCode>
                <c:ptCount val="10"/>
                <c:pt idx="0">
                  <c:v>0.14998462822258335</c:v>
                </c:pt>
                <c:pt idx="1">
                  <c:v>0.11177070100499434</c:v>
                </c:pt>
                <c:pt idx="2">
                  <c:v>7.6154768038635356E-2</c:v>
                </c:pt>
                <c:pt idx="3">
                  <c:v>6.6854660399361887E-2</c:v>
                </c:pt>
                <c:pt idx="4">
                  <c:v>5.4700854700854694E-2</c:v>
                </c:pt>
                <c:pt idx="5">
                  <c:v>7.0813317873115803E-2</c:v>
                </c:pt>
                <c:pt idx="6">
                  <c:v>7.3398605193608968E-2</c:v>
                </c:pt>
                <c:pt idx="7">
                  <c:v>6.4080451086192203E-2</c:v>
                </c:pt>
                <c:pt idx="8">
                  <c:v>5.724479806651836E-2</c:v>
                </c:pt>
                <c:pt idx="9">
                  <c:v>4.9569534161433254E-2</c:v>
                </c:pt>
              </c:numCache>
            </c:numRef>
          </c:val>
          <c:extLst>
            <c:ext xmlns:c16="http://schemas.microsoft.com/office/drawing/2014/chart" uri="{C3380CC4-5D6E-409C-BE32-E72D297353CC}">
              <c16:uniqueId val="{00000033-F1B0-4606-925A-CB020BB6AF8B}"/>
            </c:ext>
          </c:extLst>
        </c:ser>
        <c:ser>
          <c:idx val="13"/>
          <c:order val="13"/>
          <c:tx>
            <c:strRef>
              <c:f>Charts!$B$115</c:f>
              <c:strCache>
                <c:ptCount val="1"/>
                <c:pt idx="0">
                  <c:v>Mangalore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Charts!$F$115:$O$115</c:f>
              <c:numCache>
                <c:formatCode>0%</c:formatCode>
                <c:ptCount val="10"/>
                <c:pt idx="0">
                  <c:v>2.2398875664280383E-2</c:v>
                </c:pt>
                <c:pt idx="1">
                  <c:v>6.1180428999806261E-2</c:v>
                </c:pt>
                <c:pt idx="2">
                  <c:v>4.7990002383146844E-2</c:v>
                </c:pt>
                <c:pt idx="3">
                  <c:v>4.4563545291357774E-2</c:v>
                </c:pt>
                <c:pt idx="4">
                  <c:v>5.3846153846153835E-2</c:v>
                </c:pt>
                <c:pt idx="5">
                  <c:v>5.1929766440284915E-2</c:v>
                </c:pt>
                <c:pt idx="6">
                  <c:v>5.1451235896433543E-2</c:v>
                </c:pt>
                <c:pt idx="7">
                  <c:v>4.1013329130985092E-2</c:v>
                </c:pt>
                <c:pt idx="8">
                  <c:v>3.6856496253904018E-2</c:v>
                </c:pt>
                <c:pt idx="9">
                  <c:v>3.2104213619634635E-2</c:v>
                </c:pt>
              </c:numCache>
            </c:numRef>
          </c:val>
          <c:extLst>
            <c:ext xmlns:c16="http://schemas.microsoft.com/office/drawing/2014/chart" uri="{C3380CC4-5D6E-409C-BE32-E72D297353CC}">
              <c16:uniqueId val="{00000034-F1B0-4606-925A-CB020BB6AF8B}"/>
            </c:ext>
          </c:extLst>
        </c:ser>
        <c:ser>
          <c:idx val="14"/>
          <c:order val="14"/>
          <c:tx>
            <c:strRef>
              <c:f>Charts!$B$116</c:f>
              <c:strCache>
                <c:ptCount val="1"/>
                <c:pt idx="0">
                  <c:v>PNP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Charts!$F$116:$O$116</c:f>
              <c:numCache>
                <c:formatCode>0%</c:formatCode>
                <c:ptCount val="10"/>
                <c:pt idx="0">
                  <c:v>0</c:v>
                </c:pt>
                <c:pt idx="1">
                  <c:v>0</c:v>
                </c:pt>
                <c:pt idx="2">
                  <c:v>0</c:v>
                </c:pt>
                <c:pt idx="3">
                  <c:v>1.2332050269306555E-2</c:v>
                </c:pt>
                <c:pt idx="4">
                  <c:v>4.7008547008547001E-2</c:v>
                </c:pt>
                <c:pt idx="5">
                  <c:v>4.4227265197946009E-2</c:v>
                </c:pt>
                <c:pt idx="6">
                  <c:v>4.7975043942801943E-2</c:v>
                </c:pt>
                <c:pt idx="7">
                  <c:v>3.7149713245177261E-2</c:v>
                </c:pt>
                <c:pt idx="8">
                  <c:v>3.3384470270180128E-2</c:v>
                </c:pt>
                <c:pt idx="9">
                  <c:v>2.907987123216239E-2</c:v>
                </c:pt>
              </c:numCache>
            </c:numRef>
          </c:val>
          <c:extLst>
            <c:ext xmlns:c16="http://schemas.microsoft.com/office/drawing/2014/chart" uri="{C3380CC4-5D6E-409C-BE32-E72D297353CC}">
              <c16:uniqueId val="{00000035-F1B0-4606-925A-CB020BB6AF8B}"/>
            </c:ext>
          </c:extLst>
        </c:ser>
        <c:ser>
          <c:idx val="15"/>
          <c:order val="15"/>
          <c:tx>
            <c:strRef>
              <c:f>Charts!$B$117</c:f>
              <c:strCache>
                <c:ptCount val="1"/>
                <c:pt idx="0">
                  <c:v>Tuticorin Dry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Charts!$F$117:$O$117</c:f>
              <c:numCache>
                <c:formatCode>0%</c:formatCode>
                <c:ptCount val="10"/>
                <c:pt idx="0">
                  <c:v>0</c:v>
                </c:pt>
                <c:pt idx="1">
                  <c:v>0</c:v>
                </c:pt>
                <c:pt idx="2">
                  <c:v>0</c:v>
                </c:pt>
                <c:pt idx="3">
                  <c:v>0</c:v>
                </c:pt>
                <c:pt idx="4">
                  <c:v>7.6923076923076919E-3</c:v>
                </c:pt>
                <c:pt idx="5">
                  <c:v>4.1328474407818463E-2</c:v>
                </c:pt>
                <c:pt idx="6">
                  <c:v>4.1029693697315427E-2</c:v>
                </c:pt>
                <c:pt idx="7">
                  <c:v>3.1148575325423474E-2</c:v>
                </c:pt>
                <c:pt idx="8">
                  <c:v>2.6658635227248508E-2</c:v>
                </c:pt>
                <c:pt idx="9">
                  <c:v>2.2115491862780452E-2</c:v>
                </c:pt>
              </c:numCache>
            </c:numRef>
          </c:val>
          <c:extLst>
            <c:ext xmlns:c16="http://schemas.microsoft.com/office/drawing/2014/chart" uri="{C3380CC4-5D6E-409C-BE32-E72D297353CC}">
              <c16:uniqueId val="{00000036-F1B0-4606-925A-CB020BB6AF8B}"/>
            </c:ext>
          </c:extLst>
        </c:ser>
        <c:ser>
          <c:idx val="16"/>
          <c:order val="16"/>
          <c:tx>
            <c:strRef>
              <c:f>Charts!$B$118</c:f>
              <c:strCache>
                <c:ptCount val="1"/>
                <c:pt idx="0">
                  <c:v>Fujairah Liquid Storage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Charts!$F$118:$O$118</c:f>
              <c:numCache>
                <c:formatCode>0%</c:formatCode>
                <c:ptCount val="10"/>
                <c:pt idx="0">
                  <c:v>0</c:v>
                </c:pt>
                <c:pt idx="1">
                  <c:v>0</c:v>
                </c:pt>
                <c:pt idx="2">
                  <c:v>0</c:v>
                </c:pt>
                <c:pt idx="3">
                  <c:v>1.8684924650464476E-2</c:v>
                </c:pt>
                <c:pt idx="4">
                  <c:v>6.2393162393162387E-2</c:v>
                </c:pt>
                <c:pt idx="5">
                  <c:v>4.7291701176080843E-2</c:v>
                </c:pt>
                <c:pt idx="6">
                  <c:v>2.2312338191587719E-2</c:v>
                </c:pt>
                <c:pt idx="7">
                  <c:v>2.9643060851361341E-2</c:v>
                </c:pt>
                <c:pt idx="8">
                  <c:v>3.0444161429517797E-2</c:v>
                </c:pt>
                <c:pt idx="9">
                  <c:v>2.6266127375587086E-2</c:v>
                </c:pt>
              </c:numCache>
            </c:numRef>
          </c:val>
          <c:extLst>
            <c:ext xmlns:c16="http://schemas.microsoft.com/office/drawing/2014/chart" uri="{C3380CC4-5D6E-409C-BE32-E72D297353CC}">
              <c16:uniqueId val="{00000037-F1B0-4606-925A-CB020BB6AF8B}"/>
            </c:ext>
          </c:extLst>
        </c:ser>
        <c:ser>
          <c:idx val="17"/>
          <c:order val="17"/>
          <c:tx>
            <c:strRef>
              <c:f>Charts!$B$119</c:f>
              <c:strCache>
                <c:ptCount val="1"/>
                <c:pt idx="0">
                  <c:v>JNPT Liquid</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Charts!$F$119:$O$119</c:f>
              <c:numCache>
                <c:formatCode>0%</c:formatCode>
                <c:ptCount val="10"/>
                <c:pt idx="0">
                  <c:v>0</c:v>
                </c:pt>
                <c:pt idx="1">
                  <c:v>0</c:v>
                </c:pt>
                <c:pt idx="2">
                  <c:v>0</c:v>
                </c:pt>
                <c:pt idx="3">
                  <c:v>0</c:v>
                </c:pt>
                <c:pt idx="4">
                  <c:v>1.7094017094017092E-3</c:v>
                </c:pt>
                <c:pt idx="5">
                  <c:v>1.0766937220473748E-2</c:v>
                </c:pt>
                <c:pt idx="6">
                  <c:v>2.2859400774218594E-2</c:v>
                </c:pt>
                <c:pt idx="7">
                  <c:v>1.8689145195254084E-2</c:v>
                </c:pt>
                <c:pt idx="8">
                  <c:v>1.7137694074659756E-2</c:v>
                </c:pt>
                <c:pt idx="9">
                  <c:v>1.4217101911787433E-2</c:v>
                </c:pt>
              </c:numCache>
            </c:numRef>
          </c:val>
          <c:extLst>
            <c:ext xmlns:c16="http://schemas.microsoft.com/office/drawing/2014/chart" uri="{C3380CC4-5D6E-409C-BE32-E72D297353CC}">
              <c16:uniqueId val="{00000038-F1B0-4606-925A-CB020BB6AF8B}"/>
            </c:ext>
          </c:extLst>
        </c:ser>
        <c:ser>
          <c:idx val="18"/>
          <c:order val="18"/>
          <c:tx>
            <c:strRef>
              <c:f>Charts!$B$120</c:f>
              <c:strCache>
                <c:ptCount val="1"/>
                <c:pt idx="0">
                  <c:v>Mangalore 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Charts!$F$120:$O$120</c:f>
              <c:numCache>
                <c:formatCode>0%</c:formatCode>
                <c:ptCount val="10"/>
                <c:pt idx="0">
                  <c:v>0</c:v>
                </c:pt>
                <c:pt idx="1">
                  <c:v>0</c:v>
                </c:pt>
                <c:pt idx="2">
                  <c:v>2.3423923214800111E-2</c:v>
                </c:pt>
                <c:pt idx="3">
                  <c:v>2.4123755355541326E-2</c:v>
                </c:pt>
                <c:pt idx="4">
                  <c:v>2.0512820512820509E-2</c:v>
                </c:pt>
                <c:pt idx="5">
                  <c:v>2.0622825906907408E-2</c:v>
                </c:pt>
                <c:pt idx="6">
                  <c:v>2.4363822876453493E-2</c:v>
                </c:pt>
                <c:pt idx="7">
                  <c:v>2.034595274946828E-2</c:v>
                </c:pt>
                <c:pt idx="8">
                  <c:v>1.8457956636995142E-2</c:v>
                </c:pt>
                <c:pt idx="9">
                  <c:v>1.6231108363540241E-2</c:v>
                </c:pt>
              </c:numCache>
            </c:numRef>
          </c:val>
          <c:extLst>
            <c:ext xmlns:c16="http://schemas.microsoft.com/office/drawing/2014/chart" uri="{C3380CC4-5D6E-409C-BE32-E72D297353CC}">
              <c16:uniqueId val="{00000039-F1B0-4606-925A-CB020BB6AF8B}"/>
            </c:ext>
          </c:extLst>
        </c:ser>
        <c:ser>
          <c:idx val="19"/>
          <c:order val="19"/>
          <c:tx>
            <c:strRef>
              <c:f>Charts!$B$121</c:f>
              <c:strCache>
                <c:ptCount val="1"/>
                <c:pt idx="0">
                  <c:v>Standalone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Charts!$F$121:$O$121</c:f>
              <c:numCache>
                <c:formatCode>0%</c:formatCode>
                <c:ptCount val="10"/>
                <c:pt idx="0">
                  <c:v>7.8835258465457428E-2</c:v>
                </c:pt>
                <c:pt idx="1">
                  <c:v>4.8863640246319444E-2</c:v>
                </c:pt>
                <c:pt idx="2">
                  <c:v>2.9091379980802985E-2</c:v>
                </c:pt>
                <c:pt idx="3">
                  <c:v>2.475752516186543E-2</c:v>
                </c:pt>
                <c:pt idx="4">
                  <c:v>2.0512820512820509E-2</c:v>
                </c:pt>
                <c:pt idx="5">
                  <c:v>2.4763955607089619E-2</c:v>
                </c:pt>
                <c:pt idx="6">
                  <c:v>2.3367387458090121E-2</c:v>
                </c:pt>
                <c:pt idx="7">
                  <c:v>1.8094652386186006E-2</c:v>
                </c:pt>
                <c:pt idx="8">
                  <c:v>1.5796109681977862E-2</c:v>
                </c:pt>
                <c:pt idx="9">
                  <c:v>1.3366232247098171E-2</c:v>
                </c:pt>
              </c:numCache>
            </c:numRef>
          </c:val>
          <c:extLst>
            <c:ext xmlns:c16="http://schemas.microsoft.com/office/drawing/2014/chart" uri="{C3380CC4-5D6E-409C-BE32-E72D297353CC}">
              <c16:uniqueId val="{0000003A-F1B0-4606-925A-CB020BB6AF8B}"/>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1"/>
        </c:scaling>
        <c:delete val="0"/>
        <c:axPos val="l"/>
        <c:numFmt formatCode="#,##0_);\(#,##0\)" sourceLinked="1"/>
        <c:majorTickMark val="none"/>
        <c:minorTickMark val="none"/>
        <c:tickLblPos val="none"/>
        <c:spPr>
          <a:ln>
            <a:noFill/>
          </a:ln>
        </c:spPr>
        <c:crossAx val="41707423"/>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Charts!$B$16</c:f>
          <c:strCache>
            <c:ptCount val="1"/>
            <c:pt idx="0">
              <c:v>Volumes - Portwise, MT</c:v>
            </c:pt>
          </c:strCache>
        </c:strRef>
      </c:tx>
      <c:layout>
        <c:manualLayout>
          <c:xMode val="edge"/>
          <c:yMode val="edge"/>
          <c:x val="0.29781710854512855"/>
          <c:y val="3.9684757893464997E-2"/>
        </c:manualLayout>
      </c:layout>
      <c:overlay val="0"/>
    </c:title>
    <c:autoTitleDeleted val="0"/>
    <c:plotArea>
      <c:layout>
        <c:manualLayout>
          <c:layoutTarget val="inner"/>
          <c:xMode val="edge"/>
          <c:yMode val="edge"/>
          <c:x val="1.1996635412867782E-2"/>
          <c:y val="0"/>
          <c:w val="0.97917719994299668"/>
          <c:h val="0.67773089644282991"/>
        </c:manualLayout>
      </c:layout>
      <c:barChart>
        <c:barDir val="col"/>
        <c:grouping val="stacked"/>
        <c:varyColors val="0"/>
        <c:ser>
          <c:idx val="0"/>
          <c:order val="0"/>
          <c:tx>
            <c:strRef>
              <c:f>Charts!$B$17</c:f>
              <c:strCache>
                <c:ptCount val="1"/>
                <c:pt idx="0">
                  <c:v>Jaigarh</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Charts!$F$17:$O$17</c:f>
              <c:numCache>
                <c:formatCode>_(* #,##0_);_(* \(#,##0\);_(* "-"??_);_(@_)</c:formatCode>
                <c:ptCount val="10"/>
                <c:pt idx="0">
                  <c:v>9.2379999999999995</c:v>
                </c:pt>
                <c:pt idx="1">
                  <c:v>14.019483999999999</c:v>
                </c:pt>
                <c:pt idx="2">
                  <c:v>20.237000000000002</c:v>
                </c:pt>
                <c:pt idx="3">
                  <c:v>21.51</c:v>
                </c:pt>
                <c:pt idx="4">
                  <c:v>19.899999999999999</c:v>
                </c:pt>
                <c:pt idx="5">
                  <c:v>20.27</c:v>
                </c:pt>
                <c:pt idx="6">
                  <c:v>21.0808</c:v>
                </c:pt>
                <c:pt idx="7">
                  <c:v>26.303367999999999</c:v>
                </c:pt>
                <c:pt idx="8">
                  <c:v>28.933704799999997</c:v>
                </c:pt>
                <c:pt idx="9">
                  <c:v>30.380390040000002</c:v>
                </c:pt>
              </c:numCache>
            </c:numRef>
          </c:val>
          <c:extLst>
            <c:ext xmlns:c16="http://schemas.microsoft.com/office/drawing/2014/chart" uri="{C3380CC4-5D6E-409C-BE32-E72D297353CC}">
              <c16:uniqueId val="{00000000-821C-4202-AE1B-58AABCE9037F}"/>
            </c:ext>
          </c:extLst>
        </c:ser>
        <c:ser>
          <c:idx val="1"/>
          <c:order val="1"/>
          <c:tx>
            <c:strRef>
              <c:f>Charts!$B$18</c:f>
              <c:strCache>
                <c:ptCount val="1"/>
                <c:pt idx="0">
                  <c:v>Dharmatar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Charts!$F$18:$O$18</c:f>
              <c:numCache>
                <c:formatCode>_(* #,##0_);_(* \(#,##0\);_(* "-"??_);_(@_)</c:formatCode>
                <c:ptCount val="10"/>
                <c:pt idx="0">
                  <c:v>12.9</c:v>
                </c:pt>
                <c:pt idx="1">
                  <c:v>17.209493327000001</c:v>
                </c:pt>
                <c:pt idx="2">
                  <c:v>24.029999999999998</c:v>
                </c:pt>
                <c:pt idx="3">
                  <c:v>25.14</c:v>
                </c:pt>
                <c:pt idx="4">
                  <c:v>23.1</c:v>
                </c:pt>
                <c:pt idx="5">
                  <c:v>24.53</c:v>
                </c:pt>
                <c:pt idx="6">
                  <c:v>25.479959999999998</c:v>
                </c:pt>
                <c:pt idx="7">
                  <c:v>31.648199999999999</c:v>
                </c:pt>
                <c:pt idx="8">
                  <c:v>34.732320000000009</c:v>
                </c:pt>
                <c:pt idx="9">
                  <c:v>35.750079600000007</c:v>
                </c:pt>
              </c:numCache>
            </c:numRef>
          </c:val>
          <c:extLst>
            <c:ext xmlns:c16="http://schemas.microsoft.com/office/drawing/2014/chart" uri="{C3380CC4-5D6E-409C-BE32-E72D297353CC}">
              <c16:uniqueId val="{00000001-821C-4202-AE1B-58AABCE9037F}"/>
            </c:ext>
          </c:extLst>
        </c:ser>
        <c:ser>
          <c:idx val="2"/>
          <c:order val="2"/>
          <c:tx>
            <c:strRef>
              <c:f>Charts!$B$19</c:f>
              <c:strCache>
                <c:ptCount val="1"/>
                <c:pt idx="0">
                  <c:v>Paradip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Charts!$F$19:$O$19</c:f>
              <c:numCache>
                <c:formatCode>_(* #,##0_);_(* \(#,##0\);_(* "-"??_);_(@_)</c:formatCode>
                <c:ptCount val="10"/>
                <c:pt idx="0">
                  <c:v>0</c:v>
                </c:pt>
                <c:pt idx="1">
                  <c:v>0.28067500000000001</c:v>
                </c:pt>
                <c:pt idx="2">
                  <c:v>12.034000000000001</c:v>
                </c:pt>
                <c:pt idx="3">
                  <c:v>16.77</c:v>
                </c:pt>
                <c:pt idx="4">
                  <c:v>18.899999999999999</c:v>
                </c:pt>
                <c:pt idx="5">
                  <c:v>19.010000000000002</c:v>
                </c:pt>
                <c:pt idx="6">
                  <c:v>19.390200000000004</c:v>
                </c:pt>
                <c:pt idx="7">
                  <c:v>20.553612000000005</c:v>
                </c:pt>
                <c:pt idx="8">
                  <c:v>21.786828720000006</c:v>
                </c:pt>
                <c:pt idx="9">
                  <c:v>23.094038443200009</c:v>
                </c:pt>
              </c:numCache>
            </c:numRef>
          </c:val>
          <c:extLst>
            <c:ext xmlns:c16="http://schemas.microsoft.com/office/drawing/2014/chart" uri="{C3380CC4-5D6E-409C-BE32-E72D297353CC}">
              <c16:uniqueId val="{00000002-821C-4202-AE1B-58AABCE9037F}"/>
            </c:ext>
          </c:extLst>
        </c:ser>
        <c:ser>
          <c:idx val="3"/>
          <c:order val="3"/>
          <c:tx>
            <c:strRef>
              <c:f>Charts!$B$20</c:f>
              <c:strCache>
                <c:ptCount val="1"/>
                <c:pt idx="0">
                  <c:v>Jatadhar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Charts!$F$20:$O$20</c:f>
              <c:numCache>
                <c:formatCode>_(* #,##0_);_(* \(#,##0\);_(* "-"??_);_(@_)</c:formatCode>
                <c:ptCount val="10"/>
                <c:pt idx="0">
                  <c:v>0</c:v>
                </c:pt>
                <c:pt idx="1">
                  <c:v>0</c:v>
                </c:pt>
                <c:pt idx="2">
                  <c:v>0</c:v>
                </c:pt>
                <c:pt idx="3">
                  <c:v>0</c:v>
                </c:pt>
                <c:pt idx="4">
                  <c:v>0</c:v>
                </c:pt>
                <c:pt idx="5">
                  <c:v>0</c:v>
                </c:pt>
                <c:pt idx="6">
                  <c:v>0</c:v>
                </c:pt>
                <c:pt idx="7">
                  <c:v>10.050000000000001</c:v>
                </c:pt>
                <c:pt idx="8">
                  <c:v>16.5</c:v>
                </c:pt>
                <c:pt idx="9">
                  <c:v>21</c:v>
                </c:pt>
              </c:numCache>
            </c:numRef>
          </c:val>
          <c:extLst>
            <c:ext xmlns:c16="http://schemas.microsoft.com/office/drawing/2014/chart" uri="{C3380CC4-5D6E-409C-BE32-E72D297353CC}">
              <c16:uniqueId val="{00000003-821C-4202-AE1B-58AABCE9037F}"/>
            </c:ext>
          </c:extLst>
        </c:ser>
        <c:ser>
          <c:idx val="4"/>
          <c:order val="4"/>
          <c:tx>
            <c:strRef>
              <c:f>Charts!$B$21</c:f>
              <c:strCache>
                <c:ptCount val="1"/>
                <c:pt idx="0">
                  <c:v>Potential Domestic Asset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Charts!$F$21:$O$21</c:f>
              <c:numCache>
                <c:formatCode>_(* #,##0_);_(* \(#,##0\);_(* "-"??_);_(@_)</c:formatCode>
                <c:ptCount val="10"/>
                <c:pt idx="0">
                  <c:v>0</c:v>
                </c:pt>
                <c:pt idx="1">
                  <c:v>0</c:v>
                </c:pt>
                <c:pt idx="2">
                  <c:v>0</c:v>
                </c:pt>
                <c:pt idx="3">
                  <c:v>0</c:v>
                </c:pt>
                <c:pt idx="4">
                  <c:v>0</c:v>
                </c:pt>
                <c:pt idx="5">
                  <c:v>0</c:v>
                </c:pt>
                <c:pt idx="6">
                  <c:v>0</c:v>
                </c:pt>
                <c:pt idx="7">
                  <c:v>12</c:v>
                </c:pt>
                <c:pt idx="8">
                  <c:v>18</c:v>
                </c:pt>
                <c:pt idx="9">
                  <c:v>18</c:v>
                </c:pt>
              </c:numCache>
            </c:numRef>
          </c:val>
          <c:extLst>
            <c:ext xmlns:c16="http://schemas.microsoft.com/office/drawing/2014/chart" uri="{C3380CC4-5D6E-409C-BE32-E72D297353CC}">
              <c16:uniqueId val="{00000004-821C-4202-AE1B-58AABCE9037F}"/>
            </c:ext>
          </c:extLst>
        </c:ser>
        <c:ser>
          <c:idx val="5"/>
          <c:order val="5"/>
          <c:tx>
            <c:strRef>
              <c:f>Charts!$B$22</c:f>
              <c:strCache>
                <c:ptCount val="1"/>
                <c:pt idx="0">
                  <c:v>Keni</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Charts!$F$22:$O$22</c:f>
              <c:numCache>
                <c:formatCode>_(* #,##0_);_(* \(#,##0\);_(* "-"??_);_(@_)</c:formatCode>
                <c:ptCount val="10"/>
                <c:pt idx="0">
                  <c:v>0</c:v>
                </c:pt>
                <c:pt idx="1">
                  <c:v>0</c:v>
                </c:pt>
                <c:pt idx="2">
                  <c:v>0</c:v>
                </c:pt>
                <c:pt idx="3">
                  <c:v>0</c:v>
                </c:pt>
                <c:pt idx="4">
                  <c:v>0</c:v>
                </c:pt>
                <c:pt idx="5">
                  <c:v>0</c:v>
                </c:pt>
                <c:pt idx="6">
                  <c:v>0</c:v>
                </c:pt>
                <c:pt idx="7">
                  <c:v>0</c:v>
                </c:pt>
                <c:pt idx="8">
                  <c:v>1.5</c:v>
                </c:pt>
                <c:pt idx="9">
                  <c:v>9</c:v>
                </c:pt>
              </c:numCache>
            </c:numRef>
          </c:val>
          <c:extLst>
            <c:ext xmlns:c16="http://schemas.microsoft.com/office/drawing/2014/chart" uri="{C3380CC4-5D6E-409C-BE32-E72D297353CC}">
              <c16:uniqueId val="{00000005-821C-4202-AE1B-58AABCE9037F}"/>
            </c:ext>
          </c:extLst>
        </c:ser>
        <c:ser>
          <c:idx val="6"/>
          <c:order val="6"/>
          <c:tx>
            <c:strRef>
              <c:f>Charts!$B$23</c:f>
              <c:strCache>
                <c:ptCount val="1"/>
                <c:pt idx="0">
                  <c:v>Potential Domestic Asset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Charts!$F$23:$O$23</c:f>
              <c:numCache>
                <c:formatCode>_(* #,##0_);_(* \(#,##0\);_(*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6-821C-4202-AE1B-58AABCE9037F}"/>
            </c:ext>
          </c:extLst>
        </c:ser>
        <c:ser>
          <c:idx val="7"/>
          <c:order val="7"/>
          <c:tx>
            <c:strRef>
              <c:f>Charts!$B$24</c:f>
              <c:strCache>
                <c:ptCount val="1"/>
                <c:pt idx="0">
                  <c:v>Murbe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Charts!$F$24:$O$24</c:f>
              <c:numCache>
                <c:formatCode>_(* #,##0_);_(* \(#,##0\);_(* "-"??_);_(@_)</c:formatCode>
                <c:ptCount val="10"/>
                <c:pt idx="0">
                  <c:v>0</c:v>
                </c:pt>
                <c:pt idx="1">
                  <c:v>0</c:v>
                </c:pt>
                <c:pt idx="2">
                  <c:v>0</c:v>
                </c:pt>
                <c:pt idx="3">
                  <c:v>0</c:v>
                </c:pt>
                <c:pt idx="4">
                  <c:v>0</c:v>
                </c:pt>
                <c:pt idx="5">
                  <c:v>0</c:v>
                </c:pt>
                <c:pt idx="6">
                  <c:v>0</c:v>
                </c:pt>
                <c:pt idx="7">
                  <c:v>0</c:v>
                </c:pt>
                <c:pt idx="8">
                  <c:v>0</c:v>
                </c:pt>
                <c:pt idx="9">
                  <c:v>8.25</c:v>
                </c:pt>
              </c:numCache>
            </c:numRef>
          </c:val>
          <c:extLst>
            <c:ext xmlns:c16="http://schemas.microsoft.com/office/drawing/2014/chart" uri="{C3380CC4-5D6E-409C-BE32-E72D297353CC}">
              <c16:uniqueId val="{00000007-821C-4202-AE1B-58AABCE9037F}"/>
            </c:ext>
          </c:extLst>
        </c:ser>
        <c:ser>
          <c:idx val="8"/>
          <c:order val="8"/>
          <c:tx>
            <c:strRef>
              <c:f>Charts!$B$25</c:f>
              <c:strCache>
                <c:ptCount val="1"/>
                <c:pt idx="0">
                  <c:v>Paradip Iron Ore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Charts!$F$25:$O$25</c:f>
              <c:numCache>
                <c:formatCode>_(* #,##0_);_(* \(#,##0\);_(* "-"??_);_(@_)</c:formatCode>
                <c:ptCount val="10"/>
                <c:pt idx="0">
                  <c:v>8.43</c:v>
                </c:pt>
                <c:pt idx="1">
                  <c:v>7.5161150000000001</c:v>
                </c:pt>
                <c:pt idx="2">
                  <c:v>9.52</c:v>
                </c:pt>
                <c:pt idx="3">
                  <c:v>12.37</c:v>
                </c:pt>
                <c:pt idx="4">
                  <c:v>11.4</c:v>
                </c:pt>
                <c:pt idx="5">
                  <c:v>7.26</c:v>
                </c:pt>
                <c:pt idx="6">
                  <c:v>9.4380000000000006</c:v>
                </c:pt>
                <c:pt idx="7">
                  <c:v>9.5323799999999999</c:v>
                </c:pt>
                <c:pt idx="8">
                  <c:v>9.6277038000000008</c:v>
                </c:pt>
                <c:pt idx="9">
                  <c:v>9.723980838000001</c:v>
                </c:pt>
              </c:numCache>
            </c:numRef>
          </c:val>
          <c:extLst>
            <c:ext xmlns:c16="http://schemas.microsoft.com/office/drawing/2014/chart" uri="{C3380CC4-5D6E-409C-BE32-E72D297353CC}">
              <c16:uniqueId val="{00000008-821C-4202-AE1B-58AABCE9037F}"/>
            </c:ext>
          </c:extLst>
        </c:ser>
        <c:ser>
          <c:idx val="9"/>
          <c:order val="9"/>
          <c:tx>
            <c:strRef>
              <c:f>Charts!$B$26</c:f>
              <c:strCache>
                <c:ptCount val="1"/>
                <c:pt idx="0">
                  <c:v>Overseas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Charts!$F$26:$O$26</c:f>
              <c:numCache>
                <c:formatCode>_(* #,##0_);_(* \(#,##0\);_(* "-"??_);_(@_)</c:formatCode>
                <c:ptCount val="10"/>
                <c:pt idx="0">
                  <c:v>0</c:v>
                </c:pt>
                <c:pt idx="1">
                  <c:v>0</c:v>
                </c:pt>
                <c:pt idx="2">
                  <c:v>0</c:v>
                </c:pt>
                <c:pt idx="3">
                  <c:v>0</c:v>
                </c:pt>
                <c:pt idx="4">
                  <c:v>0</c:v>
                </c:pt>
                <c:pt idx="5">
                  <c:v>0</c:v>
                </c:pt>
                <c:pt idx="6">
                  <c:v>0</c:v>
                </c:pt>
                <c:pt idx="7">
                  <c:v>0</c:v>
                </c:pt>
                <c:pt idx="8">
                  <c:v>0</c:v>
                </c:pt>
                <c:pt idx="9">
                  <c:v>10.8</c:v>
                </c:pt>
              </c:numCache>
            </c:numRef>
          </c:val>
          <c:extLst>
            <c:ext xmlns:c16="http://schemas.microsoft.com/office/drawing/2014/chart" uri="{C3380CC4-5D6E-409C-BE32-E72D297353CC}">
              <c16:uniqueId val="{00000009-821C-4202-AE1B-58AABCE9037F}"/>
            </c:ext>
          </c:extLst>
        </c:ser>
        <c:ser>
          <c:idx val="10"/>
          <c:order val="10"/>
          <c:tx>
            <c:strRef>
              <c:f>Charts!$B$27</c:f>
              <c:strCache>
                <c:ptCount val="1"/>
                <c:pt idx="0">
                  <c:v>Ennore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Charts!$F$27:$O$27</c:f>
              <c:numCache>
                <c:formatCode>_(* #,##0_);_(* \(#,##0\);_(* "-"??_);_(@_)</c:formatCode>
                <c:ptCount val="10"/>
                <c:pt idx="0">
                  <c:v>3.14</c:v>
                </c:pt>
                <c:pt idx="1">
                  <c:v>8.0324159999999996</c:v>
                </c:pt>
                <c:pt idx="2">
                  <c:v>8.7040000000000006</c:v>
                </c:pt>
                <c:pt idx="3">
                  <c:v>9.31</c:v>
                </c:pt>
                <c:pt idx="4">
                  <c:v>10.199999999999999</c:v>
                </c:pt>
                <c:pt idx="5">
                  <c:v>10.38</c:v>
                </c:pt>
                <c:pt idx="6">
                  <c:v>10.4838</c:v>
                </c:pt>
                <c:pt idx="7">
                  <c:v>10.588638000000001</c:v>
                </c:pt>
                <c:pt idx="8">
                  <c:v>10.694524380000001</c:v>
                </c:pt>
                <c:pt idx="9">
                  <c:v>10.801469623800001</c:v>
                </c:pt>
              </c:numCache>
            </c:numRef>
          </c:val>
          <c:extLst>
            <c:ext xmlns:c16="http://schemas.microsoft.com/office/drawing/2014/chart" uri="{C3380CC4-5D6E-409C-BE32-E72D297353CC}">
              <c16:uniqueId val="{0000000A-821C-4202-AE1B-58AABCE9037F}"/>
            </c:ext>
          </c:extLst>
        </c:ser>
        <c:ser>
          <c:idx val="11"/>
          <c:order val="11"/>
          <c:tx>
            <c:strRef>
              <c:f>Charts!$B$28</c:f>
              <c:strCache>
                <c:ptCount val="1"/>
                <c:pt idx="0">
                  <c:v>Goa</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Charts!$F$28:$O$28</c:f>
              <c:numCache>
                <c:formatCode>_(* #,##0_);_(* \(#,##0\);_(* "-"??_);_(@_)</c:formatCode>
                <c:ptCount val="10"/>
                <c:pt idx="0">
                  <c:v>6.83</c:v>
                </c:pt>
                <c:pt idx="1">
                  <c:v>6.9256087389999994</c:v>
                </c:pt>
                <c:pt idx="2">
                  <c:v>7.0679999999999996</c:v>
                </c:pt>
                <c:pt idx="3">
                  <c:v>7.1559999999999997</c:v>
                </c:pt>
                <c:pt idx="4">
                  <c:v>6.4</c:v>
                </c:pt>
                <c:pt idx="5">
                  <c:v>8.5500000000000007</c:v>
                </c:pt>
                <c:pt idx="6">
                  <c:v>9.3918000000000017</c:v>
                </c:pt>
                <c:pt idx="7">
                  <c:v>10.80057</c:v>
                </c:pt>
                <c:pt idx="8">
                  <c:v>11.273464950000001</c:v>
                </c:pt>
                <c:pt idx="9">
                  <c:v>11.767319305500001</c:v>
                </c:pt>
              </c:numCache>
            </c:numRef>
          </c:val>
          <c:extLst>
            <c:ext xmlns:c16="http://schemas.microsoft.com/office/drawing/2014/chart" uri="{C3380CC4-5D6E-409C-BE32-E72D297353CC}">
              <c16:uniqueId val="{0000000B-821C-4202-AE1B-58AABCE9037F}"/>
            </c:ext>
          </c:extLst>
        </c:ser>
        <c:ser>
          <c:idx val="12"/>
          <c:order val="12"/>
          <c:tx>
            <c:strRef>
              <c:f>Charts!$B$29</c:f>
              <c:strCache>
                <c:ptCount val="1"/>
                <c:pt idx="0">
                  <c:v>Mangalore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Charts!$F$29:$O$29</c:f>
              <c:numCache>
                <c:formatCode>_(* #,##0_);_(* \(#,##0\);_(* "-"??_);_(@_)</c:formatCode>
                <c:ptCount val="10"/>
                <c:pt idx="0">
                  <c:v>1.02</c:v>
                </c:pt>
                <c:pt idx="1">
                  <c:v>3.7909014610000002</c:v>
                </c:pt>
                <c:pt idx="2">
                  <c:v>4.4539999999999997</c:v>
                </c:pt>
                <c:pt idx="3">
                  <c:v>4.7699999999999996</c:v>
                </c:pt>
                <c:pt idx="4">
                  <c:v>6.3</c:v>
                </c:pt>
                <c:pt idx="5">
                  <c:v>6.27</c:v>
                </c:pt>
                <c:pt idx="6">
                  <c:v>6.5834999999999999</c:v>
                </c:pt>
                <c:pt idx="7">
                  <c:v>6.9126750000000001</c:v>
                </c:pt>
                <c:pt idx="8">
                  <c:v>7.2583087500000003</c:v>
                </c:pt>
                <c:pt idx="9">
                  <c:v>7.6212241875000011</c:v>
                </c:pt>
              </c:numCache>
            </c:numRef>
          </c:val>
          <c:extLst>
            <c:ext xmlns:c16="http://schemas.microsoft.com/office/drawing/2014/chart" uri="{C3380CC4-5D6E-409C-BE32-E72D297353CC}">
              <c16:uniqueId val="{0000000C-821C-4202-AE1B-58AABCE9037F}"/>
            </c:ext>
          </c:extLst>
        </c:ser>
        <c:ser>
          <c:idx val="13"/>
          <c:order val="13"/>
          <c:tx>
            <c:strRef>
              <c:f>Charts!$B$30</c:f>
              <c:strCache>
                <c:ptCount val="1"/>
                <c:pt idx="0">
                  <c:v>PNP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Charts!$F$30:$O$30</c:f>
              <c:numCache>
                <c:formatCode>_(* #,##0_);_(* \(#,##0\);_(* "-"??_);_(@_)</c:formatCode>
                <c:ptCount val="10"/>
                <c:pt idx="0">
                  <c:v>0</c:v>
                </c:pt>
                <c:pt idx="1">
                  <c:v>0</c:v>
                </c:pt>
                <c:pt idx="2">
                  <c:v>0</c:v>
                </c:pt>
                <c:pt idx="3">
                  <c:v>1.32</c:v>
                </c:pt>
                <c:pt idx="4">
                  <c:v>5.5</c:v>
                </c:pt>
                <c:pt idx="5">
                  <c:v>5.34</c:v>
                </c:pt>
                <c:pt idx="6">
                  <c:v>6.1387</c:v>
                </c:pt>
                <c:pt idx="7">
                  <c:v>6.2614739999999998</c:v>
                </c:pt>
                <c:pt idx="8">
                  <c:v>6.5745477000000001</c:v>
                </c:pt>
                <c:pt idx="9">
                  <c:v>6.9032750850000006</c:v>
                </c:pt>
              </c:numCache>
            </c:numRef>
          </c:val>
          <c:extLst>
            <c:ext xmlns:c16="http://schemas.microsoft.com/office/drawing/2014/chart" uri="{C3380CC4-5D6E-409C-BE32-E72D297353CC}">
              <c16:uniqueId val="{0000000D-821C-4202-AE1B-58AABCE9037F}"/>
            </c:ext>
          </c:extLst>
        </c:ser>
        <c:ser>
          <c:idx val="14"/>
          <c:order val="14"/>
          <c:tx>
            <c:strRef>
              <c:f>Charts!$B$31</c:f>
              <c:strCache>
                <c:ptCount val="1"/>
                <c:pt idx="0">
                  <c:v>Tuticorin Dry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Charts!$F$31:$O$31</c:f>
              <c:numCache>
                <c:formatCode>_(* #,##0_);_(* \(#,##0\);_(* "-"??_);_(@_)</c:formatCode>
                <c:ptCount val="10"/>
                <c:pt idx="0">
                  <c:v>0</c:v>
                </c:pt>
                <c:pt idx="1">
                  <c:v>0</c:v>
                </c:pt>
                <c:pt idx="2">
                  <c:v>0</c:v>
                </c:pt>
                <c:pt idx="3">
                  <c:v>0</c:v>
                </c:pt>
                <c:pt idx="4">
                  <c:v>0.9</c:v>
                </c:pt>
                <c:pt idx="5">
                  <c:v>4.99</c:v>
                </c:pt>
                <c:pt idx="6">
                  <c:v>5.25</c:v>
                </c:pt>
                <c:pt idx="7">
                  <c:v>5.25</c:v>
                </c:pt>
                <c:pt idx="8">
                  <c:v>5.25</c:v>
                </c:pt>
                <c:pt idx="9">
                  <c:v>5.25</c:v>
                </c:pt>
              </c:numCache>
            </c:numRef>
          </c:val>
          <c:extLst>
            <c:ext xmlns:c16="http://schemas.microsoft.com/office/drawing/2014/chart" uri="{C3380CC4-5D6E-409C-BE32-E72D297353CC}">
              <c16:uniqueId val="{0000000E-821C-4202-AE1B-58AABCE9037F}"/>
            </c:ext>
          </c:extLst>
        </c:ser>
        <c:ser>
          <c:idx val="15"/>
          <c:order val="15"/>
          <c:tx>
            <c:strRef>
              <c:f>Charts!$B$32</c:f>
              <c:strCache>
                <c:ptCount val="1"/>
                <c:pt idx="0">
                  <c:v>Fujairah Liquid Storage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Charts!$F$32:$O$32</c:f>
              <c:numCache>
                <c:formatCode>_(* #,##0_);_(* \(#,##0\);_(* "-"??_);_(@_)</c:formatCode>
                <c:ptCount val="10"/>
                <c:pt idx="0">
                  <c:v>0</c:v>
                </c:pt>
                <c:pt idx="1">
                  <c:v>0</c:v>
                </c:pt>
                <c:pt idx="2">
                  <c:v>0</c:v>
                </c:pt>
                <c:pt idx="3">
                  <c:v>2</c:v>
                </c:pt>
                <c:pt idx="4">
                  <c:v>7.3</c:v>
                </c:pt>
                <c:pt idx="5">
                  <c:v>5.71</c:v>
                </c:pt>
                <c:pt idx="6">
                  <c:v>2.855</c:v>
                </c:pt>
                <c:pt idx="7">
                  <c:v>4.9962499999999999</c:v>
                </c:pt>
                <c:pt idx="8">
                  <c:v>5.9954999999999998</c:v>
                </c:pt>
                <c:pt idx="9">
                  <c:v>6.2353199999999998</c:v>
                </c:pt>
              </c:numCache>
            </c:numRef>
          </c:val>
          <c:extLst>
            <c:ext xmlns:c16="http://schemas.microsoft.com/office/drawing/2014/chart" uri="{C3380CC4-5D6E-409C-BE32-E72D297353CC}">
              <c16:uniqueId val="{0000000F-821C-4202-AE1B-58AABCE9037F}"/>
            </c:ext>
          </c:extLst>
        </c:ser>
        <c:ser>
          <c:idx val="16"/>
          <c:order val="16"/>
          <c:tx>
            <c:strRef>
              <c:f>Charts!$B$33</c:f>
              <c:strCache>
                <c:ptCount val="1"/>
                <c:pt idx="0">
                  <c:v>JNPT Liquid</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Charts!$F$33:$O$33</c:f>
              <c:numCache>
                <c:formatCode>_(* #,##0_);_(* \(#,##0\);_(* "-"??_);_(@_)</c:formatCode>
                <c:ptCount val="10"/>
                <c:pt idx="0">
                  <c:v>0</c:v>
                </c:pt>
                <c:pt idx="1">
                  <c:v>0</c:v>
                </c:pt>
                <c:pt idx="2">
                  <c:v>0</c:v>
                </c:pt>
                <c:pt idx="3">
                  <c:v>0</c:v>
                </c:pt>
                <c:pt idx="4">
                  <c:v>0.2</c:v>
                </c:pt>
                <c:pt idx="5">
                  <c:v>1.3</c:v>
                </c:pt>
                <c:pt idx="6">
                  <c:v>2.9250000000000003</c:v>
                </c:pt>
                <c:pt idx="7">
                  <c:v>3.15</c:v>
                </c:pt>
                <c:pt idx="8">
                  <c:v>3.375</c:v>
                </c:pt>
                <c:pt idx="9">
                  <c:v>3.375</c:v>
                </c:pt>
              </c:numCache>
            </c:numRef>
          </c:val>
          <c:extLst>
            <c:ext xmlns:c16="http://schemas.microsoft.com/office/drawing/2014/chart" uri="{C3380CC4-5D6E-409C-BE32-E72D297353CC}">
              <c16:uniqueId val="{00000010-821C-4202-AE1B-58AABCE9037F}"/>
            </c:ext>
          </c:extLst>
        </c:ser>
        <c:ser>
          <c:idx val="17"/>
          <c:order val="17"/>
          <c:tx>
            <c:strRef>
              <c:f>Charts!$B$34</c:f>
              <c:strCache>
                <c:ptCount val="1"/>
                <c:pt idx="0">
                  <c:v>Mangalore 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Charts!$F$34:$O$34</c:f>
              <c:numCache>
                <c:formatCode>_(* #,##0_);_(* \(#,##0\);_(* "-"??_);_(@_)</c:formatCode>
                <c:ptCount val="10"/>
                <c:pt idx="0">
                  <c:v>0</c:v>
                </c:pt>
                <c:pt idx="1">
                  <c:v>0</c:v>
                </c:pt>
                <c:pt idx="2">
                  <c:v>2.1739976832207537</c:v>
                </c:pt>
                <c:pt idx="3">
                  <c:v>2.5821624445182496</c:v>
                </c:pt>
                <c:pt idx="4">
                  <c:v>2.4</c:v>
                </c:pt>
                <c:pt idx="5">
                  <c:v>2.4900000000000002</c:v>
                </c:pt>
                <c:pt idx="6">
                  <c:v>3.1175000000000002</c:v>
                </c:pt>
                <c:pt idx="7">
                  <c:v>3.4292500000000006</c:v>
                </c:pt>
                <c:pt idx="8">
                  <c:v>3.6350050000000009</c:v>
                </c:pt>
                <c:pt idx="9">
                  <c:v>3.8531053000000011</c:v>
                </c:pt>
              </c:numCache>
            </c:numRef>
          </c:val>
          <c:extLst>
            <c:ext xmlns:c16="http://schemas.microsoft.com/office/drawing/2014/chart" uri="{C3380CC4-5D6E-409C-BE32-E72D297353CC}">
              <c16:uniqueId val="{00000011-821C-4202-AE1B-58AABCE9037F}"/>
            </c:ext>
          </c:extLst>
        </c:ser>
        <c:ser>
          <c:idx val="18"/>
          <c:order val="18"/>
          <c:tx>
            <c:strRef>
              <c:f>Charts!$B$35</c:f>
              <c:strCache>
                <c:ptCount val="1"/>
                <c:pt idx="0">
                  <c:v>Standalone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Charts!$F$35:$O$35</c:f>
              <c:numCache>
                <c:formatCode>_(* #,##0_);_(* \(#,##0\);_(* "-"??_);_(@_)</c:formatCode>
                <c:ptCount val="10"/>
                <c:pt idx="0">
                  <c:v>3.59</c:v>
                </c:pt>
                <c:pt idx="1">
                  <c:v>3.0277205999999999</c:v>
                </c:pt>
                <c:pt idx="2">
                  <c:v>2.7</c:v>
                </c:pt>
                <c:pt idx="3">
                  <c:v>2.65</c:v>
                </c:pt>
                <c:pt idx="4">
                  <c:v>2.4</c:v>
                </c:pt>
                <c:pt idx="5">
                  <c:v>2.99</c:v>
                </c:pt>
                <c:pt idx="6">
                  <c:v>2.9900000000000007</c:v>
                </c:pt>
                <c:pt idx="7">
                  <c:v>3.0498000000000007</c:v>
                </c:pt>
                <c:pt idx="8">
                  <c:v>3.110796000000001</c:v>
                </c:pt>
                <c:pt idx="9">
                  <c:v>3.1730119200000009</c:v>
                </c:pt>
              </c:numCache>
            </c:numRef>
          </c:val>
          <c:extLst>
            <c:ext xmlns:c16="http://schemas.microsoft.com/office/drawing/2014/chart" uri="{C3380CC4-5D6E-409C-BE32-E72D297353CC}">
              <c16:uniqueId val="{00000012-821C-4202-AE1B-58AABCE9037F}"/>
            </c:ext>
          </c:extLst>
        </c:ser>
        <c:ser>
          <c:idx val="19"/>
          <c:order val="19"/>
          <c:tx>
            <c:strRef>
              <c:f>Charts!$B$36</c:f>
              <c:strCache>
                <c:ptCount val="1"/>
                <c:pt idx="0">
                  <c:v>Ennore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Charts!$F$36:$O$36</c:f>
              <c:numCache>
                <c:formatCode>_(* #,##0_);_(* \(#,##0\);_(* "-"??_);_(@_)</c:formatCode>
                <c:ptCount val="10"/>
                <c:pt idx="0">
                  <c:v>0.39</c:v>
                </c:pt>
                <c:pt idx="1">
                  <c:v>1.1602350890099999</c:v>
                </c:pt>
                <c:pt idx="2">
                  <c:v>1.89</c:v>
                </c:pt>
                <c:pt idx="3">
                  <c:v>1.46</c:v>
                </c:pt>
                <c:pt idx="4">
                  <c:v>2.1</c:v>
                </c:pt>
                <c:pt idx="5">
                  <c:v>1.65</c:v>
                </c:pt>
                <c:pt idx="6">
                  <c:v>1.7293500000000004</c:v>
                </c:pt>
                <c:pt idx="7">
                  <c:v>1.8158175000000005</c:v>
                </c:pt>
                <c:pt idx="8">
                  <c:v>1.9066083750000007</c:v>
                </c:pt>
                <c:pt idx="9">
                  <c:v>2.0019387937500008</c:v>
                </c:pt>
              </c:numCache>
            </c:numRef>
          </c:val>
          <c:extLst>
            <c:ext xmlns:c16="http://schemas.microsoft.com/office/drawing/2014/chart" uri="{C3380CC4-5D6E-409C-BE32-E72D297353CC}">
              <c16:uniqueId val="{00000013-821C-4202-AE1B-58AABCE9037F}"/>
            </c:ext>
          </c:extLst>
        </c:ser>
        <c:ser>
          <c:idx val="21"/>
          <c:order val="20"/>
          <c:tx>
            <c:strRef>
              <c:f>Charts!$B$37</c:f>
              <c:strCache>
                <c:ptCount val="1"/>
                <c:pt idx="0">
                  <c:v>Kolkata Container Terminal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Charts!$F$37:$O$37</c:f>
              <c:numCache>
                <c:formatCode>_(* #,##0_);_(* \(#,##0\);_(* "-"??_);_(@_)</c:formatCode>
                <c:ptCount val="10"/>
                <c:pt idx="0">
                  <c:v>0</c:v>
                </c:pt>
                <c:pt idx="1">
                  <c:v>0</c:v>
                </c:pt>
                <c:pt idx="2">
                  <c:v>0</c:v>
                </c:pt>
                <c:pt idx="3">
                  <c:v>0</c:v>
                </c:pt>
                <c:pt idx="4">
                  <c:v>0</c:v>
                </c:pt>
                <c:pt idx="5">
                  <c:v>0</c:v>
                </c:pt>
                <c:pt idx="6">
                  <c:v>1.1024999999999998</c:v>
                </c:pt>
                <c:pt idx="7">
                  <c:v>2.2049999999999996</c:v>
                </c:pt>
                <c:pt idx="8">
                  <c:v>3.78</c:v>
                </c:pt>
                <c:pt idx="9">
                  <c:v>4.4099999999999993</c:v>
                </c:pt>
              </c:numCache>
            </c:numRef>
          </c:val>
          <c:extLst>
            <c:ext xmlns:c16="http://schemas.microsoft.com/office/drawing/2014/chart" uri="{C3380CC4-5D6E-409C-BE32-E72D297353CC}">
              <c16:uniqueId val="{00000014-821C-4202-AE1B-58AABCE9037F}"/>
            </c:ext>
          </c:extLst>
        </c:ser>
        <c:ser>
          <c:idx val="20"/>
          <c:order val="21"/>
          <c:tx>
            <c:strRef>
              <c:f>Charts!$B$39</c:f>
              <c:strCache>
                <c:ptCount val="1"/>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Charts!$F$39:$O$39</c:f>
              <c:numCache>
                <c:formatCode>_(* #,##0_);_(* \(#,##0\);_(* "-"??_);_(@_)</c:formatCode>
                <c:ptCount val="10"/>
                <c:pt idx="0">
                  <c:v>45.537999999999997</c:v>
                </c:pt>
                <c:pt idx="1">
                  <c:v>61.962649216009993</c:v>
                </c:pt>
                <c:pt idx="2">
                  <c:v>92.810997683220748</c:v>
                </c:pt>
                <c:pt idx="3">
                  <c:v>107.03816244451825</c:v>
                </c:pt>
                <c:pt idx="4">
                  <c:v>117.00000000000001</c:v>
                </c:pt>
                <c:pt idx="5">
                  <c:v>120.73999999999998</c:v>
                </c:pt>
                <c:pt idx="6">
                  <c:v>127.95611000000002</c:v>
                </c:pt>
                <c:pt idx="7">
                  <c:v>168.54703450000002</c:v>
                </c:pt>
                <c:pt idx="8">
                  <c:v>196.93431247499998</c:v>
                </c:pt>
                <c:pt idx="9">
                  <c:v>237.39015313675</c:v>
                </c:pt>
              </c:numCache>
            </c:numRef>
          </c:val>
          <c:extLst>
            <c:ext xmlns:c16="http://schemas.microsoft.com/office/drawing/2014/chart" uri="{C3380CC4-5D6E-409C-BE32-E72D297353CC}">
              <c16:uniqueId val="{00000015-821C-4202-AE1B-58AABCE9037F}"/>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300"/>
        </c:scaling>
        <c:delete val="0"/>
        <c:axPos val="l"/>
        <c:numFmt formatCode="_(* #,##0_);_(* \(#,##0\);_(* &quot;-&quot;??_);_(@_)" sourceLinked="1"/>
        <c:majorTickMark val="none"/>
        <c:minorTickMark val="none"/>
        <c:tickLblPos val="none"/>
        <c:spPr>
          <a:ln>
            <a:noFill/>
          </a:ln>
        </c:spPr>
        <c:crossAx val="41707423"/>
        <c:crosses val="autoZero"/>
        <c:crossBetween val="between"/>
      </c:valAx>
    </c:plotArea>
    <c:legend>
      <c:legendPos val="b"/>
      <c:layout>
        <c:manualLayout>
          <c:xMode val="edge"/>
          <c:yMode val="edge"/>
          <c:x val="5.7802772736363318E-3"/>
          <c:y val="0.78134326552822597"/>
          <c:w val="0.99421972272636372"/>
          <c:h val="0.20567473515528822"/>
        </c:manualLayout>
      </c:layout>
      <c:overlay val="0"/>
      <c:txPr>
        <a:bodyPr/>
        <a:lstStyle/>
        <a:p>
          <a:pPr>
            <a:defRPr sz="800"/>
          </a:pPr>
          <a:endParaRPr lang="en-US"/>
        </a:p>
      </c:txPr>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74643615424166"/>
          <c:y val="0.19493438320209974"/>
          <c:w val="0.97917719994299668"/>
          <c:h val="0.69884467731948929"/>
        </c:manualLayout>
      </c:layout>
      <c:barChart>
        <c:barDir val="col"/>
        <c:grouping val="stacked"/>
        <c:varyColors val="0"/>
        <c:ser>
          <c:idx val="0"/>
          <c:order val="0"/>
          <c:tx>
            <c:strRef>
              <c:f>Charts!$B$103</c:f>
              <c:strCache>
                <c:ptCount val="1"/>
                <c:pt idx="0">
                  <c:v>Jaigarh</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Charts!$F$103:$O$103</c:f>
              <c:numCache>
                <c:formatCode>0%</c:formatCode>
                <c:ptCount val="10"/>
                <c:pt idx="0">
                  <c:v>0.20286354253590408</c:v>
                </c:pt>
                <c:pt idx="1">
                  <c:v>0.22625701414292701</c:v>
                </c:pt>
                <c:pt idx="2">
                  <c:v>0.2180452802487074</c:v>
                </c:pt>
                <c:pt idx="3">
                  <c:v>0.20095636461574545</c:v>
                </c:pt>
                <c:pt idx="4">
                  <c:v>0.17008547008547006</c:v>
                </c:pt>
                <c:pt idx="5">
                  <c:v>0.16788139804538679</c:v>
                </c:pt>
                <c:pt idx="6">
                  <c:v>0.16475024131321275</c:v>
                </c:pt>
                <c:pt idx="7">
                  <c:v>0.15605951227815873</c:v>
                </c:pt>
                <c:pt idx="8">
                  <c:v>0.14692058705449318</c:v>
                </c:pt>
                <c:pt idx="9">
                  <c:v>0.12797662261289836</c:v>
                </c:pt>
              </c:numCache>
            </c:numRef>
          </c:val>
          <c:extLst>
            <c:ext xmlns:c16="http://schemas.microsoft.com/office/drawing/2014/chart" uri="{C3380CC4-5D6E-409C-BE32-E72D297353CC}">
              <c16:uniqueId val="{00000000-3F86-434C-87DD-9E2AB66030A0}"/>
            </c:ext>
          </c:extLst>
        </c:ser>
        <c:ser>
          <c:idx val="1"/>
          <c:order val="1"/>
          <c:tx>
            <c:strRef>
              <c:f>Charts!$B$104</c:f>
              <c:strCache>
                <c:ptCount val="1"/>
                <c:pt idx="0">
                  <c:v>Dharmatar</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Charts!$F$104:$O$104</c:f>
              <c:numCache>
                <c:formatCode>0%</c:formatCode>
                <c:ptCount val="10"/>
                <c:pt idx="0">
                  <c:v>0.28327989810707543</c:v>
                </c:pt>
                <c:pt idx="1">
                  <c:v>0.27773979235467211</c:v>
                </c:pt>
                <c:pt idx="2">
                  <c:v>0.25891328182914652</c:v>
                </c:pt>
                <c:pt idx="3">
                  <c:v>0.23486950285633848</c:v>
                </c:pt>
                <c:pt idx="4">
                  <c:v>0.19743589743589743</c:v>
                </c:pt>
                <c:pt idx="5">
                  <c:v>0.20316382309093925</c:v>
                </c:pt>
                <c:pt idx="6">
                  <c:v>0.19913046747044744</c:v>
                </c:pt>
                <c:pt idx="7">
                  <c:v>0.1877707317360128</c:v>
                </c:pt>
                <c:pt idx="8">
                  <c:v>0.17636499990020346</c:v>
                </c:pt>
                <c:pt idx="9">
                  <c:v>0.15059630371191496</c:v>
                </c:pt>
              </c:numCache>
            </c:numRef>
          </c:val>
          <c:extLst>
            <c:ext xmlns:c16="http://schemas.microsoft.com/office/drawing/2014/chart" uri="{C3380CC4-5D6E-409C-BE32-E72D297353CC}">
              <c16:uniqueId val="{00000001-3F86-434C-87DD-9E2AB66030A0}"/>
            </c:ext>
          </c:extLst>
        </c:ser>
        <c:ser>
          <c:idx val="2"/>
          <c:order val="2"/>
          <c:tx>
            <c:strRef>
              <c:f>Charts!$B$105</c:f>
              <c:strCache>
                <c:ptCount val="1"/>
                <c:pt idx="0">
                  <c:v>Paradip Coal</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3F86-434C-87DD-9E2AB66030A0}"/>
                </c:ext>
              </c:extLst>
            </c:dLbl>
            <c:dLbl>
              <c:idx val="1"/>
              <c:delete val="1"/>
              <c:extLst>
                <c:ext xmlns:c15="http://schemas.microsoft.com/office/drawing/2012/chart" uri="{CE6537A1-D6FC-4f65-9D91-7224C49458BB}"/>
                <c:ext xmlns:c16="http://schemas.microsoft.com/office/drawing/2014/chart" uri="{C3380CC4-5D6E-409C-BE32-E72D297353CC}">
                  <c16:uniqueId val="{00000003-3F86-434C-87DD-9E2AB66030A0}"/>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Charts!$F$105:$O$105</c:f>
              <c:numCache>
                <c:formatCode>0%</c:formatCode>
                <c:ptCount val="10"/>
                <c:pt idx="0">
                  <c:v>0</c:v>
                </c:pt>
                <c:pt idx="1">
                  <c:v>4.52974499236677E-3</c:v>
                </c:pt>
                <c:pt idx="2">
                  <c:v>0.1296613580329567</c:v>
                </c:pt>
                <c:pt idx="3">
                  <c:v>0.15667309319414463</c:v>
                </c:pt>
                <c:pt idx="4">
                  <c:v>0.16153846153846152</c:v>
                </c:pt>
                <c:pt idx="5">
                  <c:v>0.15744575120092766</c:v>
                </c:pt>
                <c:pt idx="6">
                  <c:v>0.15153789842470203</c:v>
                </c:pt>
                <c:pt idx="7">
                  <c:v>0.12194585363648153</c:v>
                </c:pt>
                <c:pt idx="8">
                  <c:v>0.11062992754381365</c:v>
                </c:pt>
                <c:pt idx="9">
                  <c:v>9.7283051289395947E-2</c:v>
                </c:pt>
              </c:numCache>
            </c:numRef>
          </c:val>
          <c:extLst>
            <c:ext xmlns:c16="http://schemas.microsoft.com/office/drawing/2014/chart" uri="{C3380CC4-5D6E-409C-BE32-E72D297353CC}">
              <c16:uniqueId val="{00000004-3F86-434C-87DD-9E2AB66030A0}"/>
            </c:ext>
          </c:extLst>
        </c:ser>
        <c:ser>
          <c:idx val="3"/>
          <c:order val="3"/>
          <c:tx>
            <c:strRef>
              <c:f>Charts!$B$106</c:f>
              <c:strCache>
                <c:ptCount val="1"/>
                <c:pt idx="0">
                  <c:v>Jatadhar</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3F86-434C-87DD-9E2AB66030A0}"/>
                </c:ext>
              </c:extLst>
            </c:dLbl>
            <c:dLbl>
              <c:idx val="1"/>
              <c:delete val="1"/>
              <c:extLst>
                <c:ext xmlns:c15="http://schemas.microsoft.com/office/drawing/2012/chart" uri="{CE6537A1-D6FC-4f65-9D91-7224C49458BB}"/>
                <c:ext xmlns:c16="http://schemas.microsoft.com/office/drawing/2014/chart" uri="{C3380CC4-5D6E-409C-BE32-E72D297353CC}">
                  <c16:uniqueId val="{00000006-3F86-434C-87DD-9E2AB66030A0}"/>
                </c:ext>
              </c:extLst>
            </c:dLbl>
            <c:dLbl>
              <c:idx val="2"/>
              <c:delete val="1"/>
              <c:extLst>
                <c:ext xmlns:c15="http://schemas.microsoft.com/office/drawing/2012/chart" uri="{CE6537A1-D6FC-4f65-9D91-7224C49458BB}"/>
                <c:ext xmlns:c16="http://schemas.microsoft.com/office/drawing/2014/chart" uri="{C3380CC4-5D6E-409C-BE32-E72D297353CC}">
                  <c16:uniqueId val="{00000007-3F86-434C-87DD-9E2AB66030A0}"/>
                </c:ext>
              </c:extLst>
            </c:dLbl>
            <c:dLbl>
              <c:idx val="3"/>
              <c:delete val="1"/>
              <c:extLst>
                <c:ext xmlns:c15="http://schemas.microsoft.com/office/drawing/2012/chart" uri="{CE6537A1-D6FC-4f65-9D91-7224C49458BB}"/>
                <c:ext xmlns:c16="http://schemas.microsoft.com/office/drawing/2014/chart" uri="{C3380CC4-5D6E-409C-BE32-E72D297353CC}">
                  <c16:uniqueId val="{00000008-3F86-434C-87DD-9E2AB66030A0}"/>
                </c:ext>
              </c:extLst>
            </c:dLbl>
            <c:dLbl>
              <c:idx val="4"/>
              <c:delete val="1"/>
              <c:extLst>
                <c:ext xmlns:c15="http://schemas.microsoft.com/office/drawing/2012/chart" uri="{CE6537A1-D6FC-4f65-9D91-7224C49458BB}"/>
                <c:ext xmlns:c16="http://schemas.microsoft.com/office/drawing/2014/chart" uri="{C3380CC4-5D6E-409C-BE32-E72D297353CC}">
                  <c16:uniqueId val="{00000009-3F86-434C-87DD-9E2AB66030A0}"/>
                </c:ext>
              </c:extLst>
            </c:dLbl>
            <c:dLbl>
              <c:idx val="5"/>
              <c:delete val="1"/>
              <c:extLst>
                <c:ext xmlns:c15="http://schemas.microsoft.com/office/drawing/2012/chart" uri="{CE6537A1-D6FC-4f65-9D91-7224C49458BB}"/>
                <c:ext xmlns:c16="http://schemas.microsoft.com/office/drawing/2014/chart" uri="{C3380CC4-5D6E-409C-BE32-E72D297353CC}">
                  <c16:uniqueId val="{0000000A-3F86-434C-87DD-9E2AB66030A0}"/>
                </c:ext>
              </c:extLst>
            </c:dLbl>
            <c:dLbl>
              <c:idx val="6"/>
              <c:delete val="1"/>
              <c:extLst>
                <c:ext xmlns:c15="http://schemas.microsoft.com/office/drawing/2012/chart" uri="{CE6537A1-D6FC-4f65-9D91-7224C49458BB}"/>
                <c:ext xmlns:c16="http://schemas.microsoft.com/office/drawing/2014/chart" uri="{C3380CC4-5D6E-409C-BE32-E72D297353CC}">
                  <c16:uniqueId val="{0000000B-3F86-434C-87DD-9E2AB66030A0}"/>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Charts!$F$106:$O$106</c:f>
              <c:numCache>
                <c:formatCode>0%</c:formatCode>
                <c:ptCount val="10"/>
                <c:pt idx="0">
                  <c:v>0</c:v>
                </c:pt>
                <c:pt idx="1">
                  <c:v>0</c:v>
                </c:pt>
                <c:pt idx="2">
                  <c:v>0</c:v>
                </c:pt>
                <c:pt idx="3">
                  <c:v>0</c:v>
                </c:pt>
                <c:pt idx="4">
                  <c:v>0</c:v>
                </c:pt>
                <c:pt idx="5">
                  <c:v>0</c:v>
                </c:pt>
                <c:pt idx="6">
                  <c:v>0</c:v>
                </c:pt>
                <c:pt idx="7">
                  <c:v>5.962727276581066E-2</c:v>
                </c:pt>
                <c:pt idx="8">
                  <c:v>8.3784282142781025E-2</c:v>
                </c:pt>
                <c:pt idx="9">
                  <c:v>8.8461967451121809E-2</c:v>
                </c:pt>
              </c:numCache>
            </c:numRef>
          </c:val>
          <c:extLst>
            <c:ext xmlns:c16="http://schemas.microsoft.com/office/drawing/2014/chart" uri="{C3380CC4-5D6E-409C-BE32-E72D297353CC}">
              <c16:uniqueId val="{0000000C-3F86-434C-87DD-9E2AB66030A0}"/>
            </c:ext>
          </c:extLst>
        </c:ser>
        <c:ser>
          <c:idx val="4"/>
          <c:order val="4"/>
          <c:tx>
            <c:strRef>
              <c:f>Charts!$B$107</c:f>
              <c:strCache>
                <c:ptCount val="1"/>
                <c:pt idx="0">
                  <c:v>Slurry Pipeline Phase I</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3F86-434C-87DD-9E2AB66030A0}"/>
                </c:ext>
              </c:extLst>
            </c:dLbl>
            <c:dLbl>
              <c:idx val="1"/>
              <c:delete val="1"/>
              <c:extLst>
                <c:ext xmlns:c15="http://schemas.microsoft.com/office/drawing/2012/chart" uri="{CE6537A1-D6FC-4f65-9D91-7224C49458BB}"/>
                <c:ext xmlns:c16="http://schemas.microsoft.com/office/drawing/2014/chart" uri="{C3380CC4-5D6E-409C-BE32-E72D297353CC}">
                  <c16:uniqueId val="{0000000E-3F86-434C-87DD-9E2AB66030A0}"/>
                </c:ext>
              </c:extLst>
            </c:dLbl>
            <c:dLbl>
              <c:idx val="2"/>
              <c:delete val="1"/>
              <c:extLst>
                <c:ext xmlns:c15="http://schemas.microsoft.com/office/drawing/2012/chart" uri="{CE6537A1-D6FC-4f65-9D91-7224C49458BB}"/>
                <c:ext xmlns:c16="http://schemas.microsoft.com/office/drawing/2014/chart" uri="{C3380CC4-5D6E-409C-BE32-E72D297353CC}">
                  <c16:uniqueId val="{0000000F-3F86-434C-87DD-9E2AB66030A0}"/>
                </c:ext>
              </c:extLst>
            </c:dLbl>
            <c:dLbl>
              <c:idx val="3"/>
              <c:delete val="1"/>
              <c:extLst>
                <c:ext xmlns:c15="http://schemas.microsoft.com/office/drawing/2012/chart" uri="{CE6537A1-D6FC-4f65-9D91-7224C49458BB}"/>
                <c:ext xmlns:c16="http://schemas.microsoft.com/office/drawing/2014/chart" uri="{C3380CC4-5D6E-409C-BE32-E72D297353CC}">
                  <c16:uniqueId val="{00000010-3F86-434C-87DD-9E2AB66030A0}"/>
                </c:ext>
              </c:extLst>
            </c:dLbl>
            <c:dLbl>
              <c:idx val="4"/>
              <c:delete val="1"/>
              <c:extLst>
                <c:ext xmlns:c15="http://schemas.microsoft.com/office/drawing/2012/chart" uri="{CE6537A1-D6FC-4f65-9D91-7224C49458BB}"/>
                <c:ext xmlns:c16="http://schemas.microsoft.com/office/drawing/2014/chart" uri="{C3380CC4-5D6E-409C-BE32-E72D297353CC}">
                  <c16:uniqueId val="{00000011-3F86-434C-87DD-9E2AB66030A0}"/>
                </c:ext>
              </c:extLst>
            </c:dLbl>
            <c:dLbl>
              <c:idx val="5"/>
              <c:delete val="1"/>
              <c:extLst>
                <c:ext xmlns:c15="http://schemas.microsoft.com/office/drawing/2012/chart" uri="{CE6537A1-D6FC-4f65-9D91-7224C49458BB}"/>
                <c:ext xmlns:c16="http://schemas.microsoft.com/office/drawing/2014/chart" uri="{C3380CC4-5D6E-409C-BE32-E72D297353CC}">
                  <c16:uniqueId val="{00000012-3F86-434C-87DD-9E2AB66030A0}"/>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Charts!$F$107:$O$107</c:f>
              <c:numCache>
                <c:formatCode>0%</c:formatCode>
                <c:ptCount val="10"/>
                <c:pt idx="0">
                  <c:v>0</c:v>
                </c:pt>
                <c:pt idx="1">
                  <c:v>0</c:v>
                </c:pt>
                <c:pt idx="2">
                  <c:v>0</c:v>
                </c:pt>
                <c:pt idx="3">
                  <c:v>0</c:v>
                </c:pt>
                <c:pt idx="4">
                  <c:v>0</c:v>
                </c:pt>
                <c:pt idx="5">
                  <c:v>0</c:v>
                </c:pt>
                <c:pt idx="6">
                  <c:v>0</c:v>
                </c:pt>
                <c:pt idx="7">
                  <c:v>7.1196743600967949E-2</c:v>
                </c:pt>
                <c:pt idx="8">
                  <c:v>9.1401035064852032E-2</c:v>
                </c:pt>
                <c:pt idx="9">
                  <c:v>7.5824543529532981E-2</c:v>
                </c:pt>
              </c:numCache>
            </c:numRef>
          </c:val>
          <c:extLst>
            <c:ext xmlns:c16="http://schemas.microsoft.com/office/drawing/2014/chart" uri="{C3380CC4-5D6E-409C-BE32-E72D297353CC}">
              <c16:uniqueId val="{00000013-3F86-434C-87DD-9E2AB66030A0}"/>
            </c:ext>
          </c:extLst>
        </c:ser>
        <c:ser>
          <c:idx val="5"/>
          <c:order val="5"/>
          <c:tx>
            <c:strRef>
              <c:f>Charts!$B$108</c:f>
              <c:strCache>
                <c:ptCount val="1"/>
                <c:pt idx="0">
                  <c:v>Keni</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4-3F86-434C-87DD-9E2AB66030A0}"/>
                </c:ext>
              </c:extLst>
            </c:dLbl>
            <c:dLbl>
              <c:idx val="1"/>
              <c:delete val="1"/>
              <c:extLst>
                <c:ext xmlns:c15="http://schemas.microsoft.com/office/drawing/2012/chart" uri="{CE6537A1-D6FC-4f65-9D91-7224C49458BB}"/>
                <c:ext xmlns:c16="http://schemas.microsoft.com/office/drawing/2014/chart" uri="{C3380CC4-5D6E-409C-BE32-E72D297353CC}">
                  <c16:uniqueId val="{00000015-3F86-434C-87DD-9E2AB66030A0}"/>
                </c:ext>
              </c:extLst>
            </c:dLbl>
            <c:dLbl>
              <c:idx val="2"/>
              <c:delete val="1"/>
              <c:extLst>
                <c:ext xmlns:c15="http://schemas.microsoft.com/office/drawing/2012/chart" uri="{CE6537A1-D6FC-4f65-9D91-7224C49458BB}"/>
                <c:ext xmlns:c16="http://schemas.microsoft.com/office/drawing/2014/chart" uri="{C3380CC4-5D6E-409C-BE32-E72D297353CC}">
                  <c16:uniqueId val="{00000016-3F86-434C-87DD-9E2AB66030A0}"/>
                </c:ext>
              </c:extLst>
            </c:dLbl>
            <c:dLbl>
              <c:idx val="3"/>
              <c:delete val="1"/>
              <c:extLst>
                <c:ext xmlns:c15="http://schemas.microsoft.com/office/drawing/2012/chart" uri="{CE6537A1-D6FC-4f65-9D91-7224C49458BB}"/>
                <c:ext xmlns:c16="http://schemas.microsoft.com/office/drawing/2014/chart" uri="{C3380CC4-5D6E-409C-BE32-E72D297353CC}">
                  <c16:uniqueId val="{00000017-3F86-434C-87DD-9E2AB66030A0}"/>
                </c:ext>
              </c:extLst>
            </c:dLbl>
            <c:dLbl>
              <c:idx val="4"/>
              <c:delete val="1"/>
              <c:extLst>
                <c:ext xmlns:c15="http://schemas.microsoft.com/office/drawing/2012/chart" uri="{CE6537A1-D6FC-4f65-9D91-7224C49458BB}"/>
                <c:ext xmlns:c16="http://schemas.microsoft.com/office/drawing/2014/chart" uri="{C3380CC4-5D6E-409C-BE32-E72D297353CC}">
                  <c16:uniqueId val="{00000018-3F86-434C-87DD-9E2AB66030A0}"/>
                </c:ext>
              </c:extLst>
            </c:dLbl>
            <c:dLbl>
              <c:idx val="5"/>
              <c:delete val="1"/>
              <c:extLst>
                <c:ext xmlns:c15="http://schemas.microsoft.com/office/drawing/2012/chart" uri="{CE6537A1-D6FC-4f65-9D91-7224C49458BB}"/>
                <c:ext xmlns:c16="http://schemas.microsoft.com/office/drawing/2014/chart" uri="{C3380CC4-5D6E-409C-BE32-E72D297353CC}">
                  <c16:uniqueId val="{00000019-3F86-434C-87DD-9E2AB66030A0}"/>
                </c:ext>
              </c:extLst>
            </c:dLbl>
            <c:dLbl>
              <c:idx val="6"/>
              <c:delete val="1"/>
              <c:extLst>
                <c:ext xmlns:c15="http://schemas.microsoft.com/office/drawing/2012/chart" uri="{CE6537A1-D6FC-4f65-9D91-7224C49458BB}"/>
                <c:ext xmlns:c16="http://schemas.microsoft.com/office/drawing/2014/chart" uri="{C3380CC4-5D6E-409C-BE32-E72D297353CC}">
                  <c16:uniqueId val="{0000001A-3F86-434C-87DD-9E2AB66030A0}"/>
                </c:ext>
              </c:extLst>
            </c:dLbl>
            <c:dLbl>
              <c:idx val="7"/>
              <c:delete val="1"/>
              <c:extLst>
                <c:ext xmlns:c15="http://schemas.microsoft.com/office/drawing/2012/chart" uri="{CE6537A1-D6FC-4f65-9D91-7224C49458BB}"/>
                <c:ext xmlns:c16="http://schemas.microsoft.com/office/drawing/2014/chart" uri="{C3380CC4-5D6E-409C-BE32-E72D297353CC}">
                  <c16:uniqueId val="{0000001B-3F86-434C-87DD-9E2AB66030A0}"/>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Charts!$F$108:$O$108</c:f>
              <c:numCache>
                <c:formatCode>0%</c:formatCode>
                <c:ptCount val="10"/>
                <c:pt idx="0">
                  <c:v>0</c:v>
                </c:pt>
                <c:pt idx="1">
                  <c:v>0</c:v>
                </c:pt>
                <c:pt idx="2">
                  <c:v>0</c:v>
                </c:pt>
                <c:pt idx="3">
                  <c:v>0</c:v>
                </c:pt>
                <c:pt idx="4">
                  <c:v>0</c:v>
                </c:pt>
                <c:pt idx="5">
                  <c:v>0</c:v>
                </c:pt>
                <c:pt idx="6">
                  <c:v>0</c:v>
                </c:pt>
                <c:pt idx="7">
                  <c:v>0</c:v>
                </c:pt>
                <c:pt idx="8">
                  <c:v>7.6167529220710021E-3</c:v>
                </c:pt>
                <c:pt idx="9">
                  <c:v>3.7912271764766491E-2</c:v>
                </c:pt>
              </c:numCache>
            </c:numRef>
          </c:val>
          <c:extLst>
            <c:ext xmlns:c16="http://schemas.microsoft.com/office/drawing/2014/chart" uri="{C3380CC4-5D6E-409C-BE32-E72D297353CC}">
              <c16:uniqueId val="{0000001C-3F86-434C-87DD-9E2AB66030A0}"/>
            </c:ext>
          </c:extLst>
        </c:ser>
        <c:ser>
          <c:idx val="6"/>
          <c:order val="6"/>
          <c:tx>
            <c:strRef>
              <c:f>Charts!$B$109</c:f>
              <c:strCache>
                <c:ptCount val="1"/>
                <c:pt idx="0">
                  <c:v>Slurry Pipeline Phase II</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D-3F86-434C-87DD-9E2AB66030A0}"/>
                </c:ext>
              </c:extLst>
            </c:dLbl>
            <c:dLbl>
              <c:idx val="1"/>
              <c:delete val="1"/>
              <c:extLst>
                <c:ext xmlns:c15="http://schemas.microsoft.com/office/drawing/2012/chart" uri="{CE6537A1-D6FC-4f65-9D91-7224C49458BB}"/>
                <c:ext xmlns:c16="http://schemas.microsoft.com/office/drawing/2014/chart" uri="{C3380CC4-5D6E-409C-BE32-E72D297353CC}">
                  <c16:uniqueId val="{0000001E-3F86-434C-87DD-9E2AB66030A0}"/>
                </c:ext>
              </c:extLst>
            </c:dLbl>
            <c:dLbl>
              <c:idx val="2"/>
              <c:delete val="1"/>
              <c:extLst>
                <c:ext xmlns:c15="http://schemas.microsoft.com/office/drawing/2012/chart" uri="{CE6537A1-D6FC-4f65-9D91-7224C49458BB}"/>
                <c:ext xmlns:c16="http://schemas.microsoft.com/office/drawing/2014/chart" uri="{C3380CC4-5D6E-409C-BE32-E72D297353CC}">
                  <c16:uniqueId val="{0000001F-3F86-434C-87DD-9E2AB66030A0}"/>
                </c:ext>
              </c:extLst>
            </c:dLbl>
            <c:dLbl>
              <c:idx val="3"/>
              <c:delete val="1"/>
              <c:extLst>
                <c:ext xmlns:c15="http://schemas.microsoft.com/office/drawing/2012/chart" uri="{CE6537A1-D6FC-4f65-9D91-7224C49458BB}"/>
                <c:ext xmlns:c16="http://schemas.microsoft.com/office/drawing/2014/chart" uri="{C3380CC4-5D6E-409C-BE32-E72D297353CC}">
                  <c16:uniqueId val="{00000020-3F86-434C-87DD-9E2AB66030A0}"/>
                </c:ext>
              </c:extLst>
            </c:dLbl>
            <c:dLbl>
              <c:idx val="4"/>
              <c:delete val="1"/>
              <c:extLst>
                <c:ext xmlns:c15="http://schemas.microsoft.com/office/drawing/2012/chart" uri="{CE6537A1-D6FC-4f65-9D91-7224C49458BB}"/>
                <c:ext xmlns:c16="http://schemas.microsoft.com/office/drawing/2014/chart" uri="{C3380CC4-5D6E-409C-BE32-E72D297353CC}">
                  <c16:uniqueId val="{00000021-3F86-434C-87DD-9E2AB66030A0}"/>
                </c:ext>
              </c:extLst>
            </c:dLbl>
            <c:dLbl>
              <c:idx val="5"/>
              <c:delete val="1"/>
              <c:extLst>
                <c:ext xmlns:c15="http://schemas.microsoft.com/office/drawing/2012/chart" uri="{CE6537A1-D6FC-4f65-9D91-7224C49458BB}"/>
                <c:ext xmlns:c16="http://schemas.microsoft.com/office/drawing/2014/chart" uri="{C3380CC4-5D6E-409C-BE32-E72D297353CC}">
                  <c16:uniqueId val="{00000022-3F86-434C-87DD-9E2AB66030A0}"/>
                </c:ext>
              </c:extLst>
            </c:dLbl>
            <c:dLbl>
              <c:idx val="6"/>
              <c:delete val="1"/>
              <c:extLst>
                <c:ext xmlns:c15="http://schemas.microsoft.com/office/drawing/2012/chart" uri="{CE6537A1-D6FC-4f65-9D91-7224C49458BB}"/>
                <c:ext xmlns:c16="http://schemas.microsoft.com/office/drawing/2014/chart" uri="{C3380CC4-5D6E-409C-BE32-E72D297353CC}">
                  <c16:uniqueId val="{00000023-3F86-434C-87DD-9E2AB66030A0}"/>
                </c:ext>
              </c:extLst>
            </c:dLbl>
            <c:dLbl>
              <c:idx val="7"/>
              <c:delete val="1"/>
              <c:extLst>
                <c:ext xmlns:c15="http://schemas.microsoft.com/office/drawing/2012/chart" uri="{CE6537A1-D6FC-4f65-9D91-7224C49458BB}"/>
                <c:ext xmlns:c16="http://schemas.microsoft.com/office/drawing/2014/chart" uri="{C3380CC4-5D6E-409C-BE32-E72D297353CC}">
                  <c16:uniqueId val="{00000024-3F86-434C-87DD-9E2AB66030A0}"/>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Charts!$F$109:$O$109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25-3F86-434C-87DD-9E2AB66030A0}"/>
            </c:ext>
          </c:extLst>
        </c:ser>
        <c:ser>
          <c:idx val="7"/>
          <c:order val="7"/>
          <c:tx>
            <c:strRef>
              <c:f>Charts!$B$110</c:f>
              <c:strCache>
                <c:ptCount val="1"/>
                <c:pt idx="0">
                  <c:v>Murbe</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6-3F86-434C-87DD-9E2AB66030A0}"/>
                </c:ext>
              </c:extLst>
            </c:dLbl>
            <c:dLbl>
              <c:idx val="1"/>
              <c:delete val="1"/>
              <c:extLst>
                <c:ext xmlns:c15="http://schemas.microsoft.com/office/drawing/2012/chart" uri="{CE6537A1-D6FC-4f65-9D91-7224C49458BB}"/>
                <c:ext xmlns:c16="http://schemas.microsoft.com/office/drawing/2014/chart" uri="{C3380CC4-5D6E-409C-BE32-E72D297353CC}">
                  <c16:uniqueId val="{00000027-3F86-434C-87DD-9E2AB66030A0}"/>
                </c:ext>
              </c:extLst>
            </c:dLbl>
            <c:dLbl>
              <c:idx val="2"/>
              <c:delete val="1"/>
              <c:extLst>
                <c:ext xmlns:c15="http://schemas.microsoft.com/office/drawing/2012/chart" uri="{CE6537A1-D6FC-4f65-9D91-7224C49458BB}"/>
                <c:ext xmlns:c16="http://schemas.microsoft.com/office/drawing/2014/chart" uri="{C3380CC4-5D6E-409C-BE32-E72D297353CC}">
                  <c16:uniqueId val="{00000028-3F86-434C-87DD-9E2AB66030A0}"/>
                </c:ext>
              </c:extLst>
            </c:dLbl>
            <c:dLbl>
              <c:idx val="3"/>
              <c:delete val="1"/>
              <c:extLst>
                <c:ext xmlns:c15="http://schemas.microsoft.com/office/drawing/2012/chart" uri="{CE6537A1-D6FC-4f65-9D91-7224C49458BB}"/>
                <c:ext xmlns:c16="http://schemas.microsoft.com/office/drawing/2014/chart" uri="{C3380CC4-5D6E-409C-BE32-E72D297353CC}">
                  <c16:uniqueId val="{00000029-3F86-434C-87DD-9E2AB66030A0}"/>
                </c:ext>
              </c:extLst>
            </c:dLbl>
            <c:dLbl>
              <c:idx val="4"/>
              <c:delete val="1"/>
              <c:extLst>
                <c:ext xmlns:c15="http://schemas.microsoft.com/office/drawing/2012/chart" uri="{CE6537A1-D6FC-4f65-9D91-7224C49458BB}"/>
                <c:ext xmlns:c16="http://schemas.microsoft.com/office/drawing/2014/chart" uri="{C3380CC4-5D6E-409C-BE32-E72D297353CC}">
                  <c16:uniqueId val="{0000002A-3F86-434C-87DD-9E2AB66030A0}"/>
                </c:ext>
              </c:extLst>
            </c:dLbl>
            <c:dLbl>
              <c:idx val="5"/>
              <c:delete val="1"/>
              <c:extLst>
                <c:ext xmlns:c15="http://schemas.microsoft.com/office/drawing/2012/chart" uri="{CE6537A1-D6FC-4f65-9D91-7224C49458BB}"/>
                <c:ext xmlns:c16="http://schemas.microsoft.com/office/drawing/2014/chart" uri="{C3380CC4-5D6E-409C-BE32-E72D297353CC}">
                  <c16:uniqueId val="{0000002B-3F86-434C-87DD-9E2AB66030A0}"/>
                </c:ext>
              </c:extLst>
            </c:dLbl>
            <c:dLbl>
              <c:idx val="6"/>
              <c:delete val="1"/>
              <c:extLst>
                <c:ext xmlns:c15="http://schemas.microsoft.com/office/drawing/2012/chart" uri="{CE6537A1-D6FC-4f65-9D91-7224C49458BB}"/>
                <c:ext xmlns:c16="http://schemas.microsoft.com/office/drawing/2014/chart" uri="{C3380CC4-5D6E-409C-BE32-E72D297353CC}">
                  <c16:uniqueId val="{0000002C-3F86-434C-87DD-9E2AB66030A0}"/>
                </c:ext>
              </c:extLst>
            </c:dLbl>
            <c:dLbl>
              <c:idx val="7"/>
              <c:delete val="1"/>
              <c:extLst>
                <c:ext xmlns:c15="http://schemas.microsoft.com/office/drawing/2012/chart" uri="{CE6537A1-D6FC-4f65-9D91-7224C49458BB}"/>
                <c:ext xmlns:c16="http://schemas.microsoft.com/office/drawing/2014/chart" uri="{C3380CC4-5D6E-409C-BE32-E72D297353CC}">
                  <c16:uniqueId val="{0000002D-3F86-434C-87DD-9E2AB66030A0}"/>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Charts!$F$110:$O$110</c:f>
              <c:numCache>
                <c:formatCode>0%</c:formatCode>
                <c:ptCount val="10"/>
                <c:pt idx="0">
                  <c:v>0</c:v>
                </c:pt>
                <c:pt idx="1">
                  <c:v>0</c:v>
                </c:pt>
                <c:pt idx="2">
                  <c:v>0</c:v>
                </c:pt>
                <c:pt idx="3">
                  <c:v>0</c:v>
                </c:pt>
                <c:pt idx="4">
                  <c:v>0</c:v>
                </c:pt>
                <c:pt idx="5">
                  <c:v>0</c:v>
                </c:pt>
                <c:pt idx="6">
                  <c:v>0</c:v>
                </c:pt>
                <c:pt idx="7">
                  <c:v>0</c:v>
                </c:pt>
                <c:pt idx="8">
                  <c:v>0</c:v>
                </c:pt>
                <c:pt idx="9">
                  <c:v>3.475291578436928E-2</c:v>
                </c:pt>
              </c:numCache>
            </c:numRef>
          </c:val>
          <c:extLst>
            <c:ext xmlns:c16="http://schemas.microsoft.com/office/drawing/2014/chart" uri="{C3380CC4-5D6E-409C-BE32-E72D297353CC}">
              <c16:uniqueId val="{0000002E-3F86-434C-87DD-9E2AB66030A0}"/>
            </c:ext>
          </c:extLst>
        </c:ser>
        <c:ser>
          <c:idx val="8"/>
          <c:order val="8"/>
          <c:tx>
            <c:strRef>
              <c:f>Charts!$B$111</c:f>
              <c:strCache>
                <c:ptCount val="1"/>
                <c:pt idx="0">
                  <c:v>Paradip Iron Ore</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Charts!$F$111:$O$111</c:f>
              <c:numCache>
                <c:formatCode>0%</c:formatCode>
                <c:ptCount val="10"/>
                <c:pt idx="0">
                  <c:v>0.18512011946067022</c:v>
                </c:pt>
                <c:pt idx="1">
                  <c:v>0.12130073673573621</c:v>
                </c:pt>
                <c:pt idx="2">
                  <c:v>0.1025740508952757</c:v>
                </c:pt>
                <c:pt idx="3">
                  <c:v>0.11556625896312278</c:v>
                </c:pt>
                <c:pt idx="4">
                  <c:v>9.7435897435897423E-2</c:v>
                </c:pt>
                <c:pt idx="5">
                  <c:v>6.0129203246645696E-2</c:v>
                </c:pt>
                <c:pt idx="6">
                  <c:v>7.3759666498145332E-2</c:v>
                </c:pt>
                <c:pt idx="7">
                  <c:v>5.65562012305829E-2</c:v>
                </c:pt>
                <c:pt idx="8">
                  <c:v>4.8887894034322733E-2</c:v>
                </c:pt>
                <c:pt idx="9">
                  <c:v>4.0962022685070869E-2</c:v>
                </c:pt>
              </c:numCache>
            </c:numRef>
          </c:val>
          <c:extLst>
            <c:ext xmlns:c16="http://schemas.microsoft.com/office/drawing/2014/chart" uri="{C3380CC4-5D6E-409C-BE32-E72D297353CC}">
              <c16:uniqueId val="{0000002F-3F86-434C-87DD-9E2AB66030A0}"/>
            </c:ext>
          </c:extLst>
        </c:ser>
        <c:ser>
          <c:idx val="9"/>
          <c:order val="9"/>
          <c:tx>
            <c:strRef>
              <c:f>Charts!$B$112</c:f>
              <c:strCache>
                <c:ptCount val="1"/>
                <c:pt idx="0">
                  <c:v>Overseas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Charts!$F$112:$O$112</c:f>
              <c:numCache>
                <c:formatCode>0%</c:formatCode>
                <c:ptCount val="10"/>
                <c:pt idx="0">
                  <c:v>0</c:v>
                </c:pt>
                <c:pt idx="1">
                  <c:v>0</c:v>
                </c:pt>
                <c:pt idx="2">
                  <c:v>0</c:v>
                </c:pt>
                <c:pt idx="3">
                  <c:v>0</c:v>
                </c:pt>
                <c:pt idx="4">
                  <c:v>0</c:v>
                </c:pt>
                <c:pt idx="5">
                  <c:v>0</c:v>
                </c:pt>
                <c:pt idx="6">
                  <c:v>0</c:v>
                </c:pt>
                <c:pt idx="7">
                  <c:v>0</c:v>
                </c:pt>
                <c:pt idx="8">
                  <c:v>0</c:v>
                </c:pt>
                <c:pt idx="9">
                  <c:v>4.5494726117719791E-2</c:v>
                </c:pt>
              </c:numCache>
            </c:numRef>
          </c:val>
          <c:extLst>
            <c:ext xmlns:c16="http://schemas.microsoft.com/office/drawing/2014/chart" uri="{C3380CC4-5D6E-409C-BE32-E72D297353CC}">
              <c16:uniqueId val="{00000030-3F86-434C-87DD-9E2AB66030A0}"/>
            </c:ext>
          </c:extLst>
        </c:ser>
        <c:ser>
          <c:idx val="10"/>
          <c:order val="10"/>
          <c:tx>
            <c:strRef>
              <c:f>Charts!$B$113</c:f>
              <c:strCache>
                <c:ptCount val="1"/>
                <c:pt idx="0">
                  <c:v>Ennore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Charts!$F$113:$O$113</c:f>
              <c:numCache>
                <c:formatCode>0%</c:formatCode>
                <c:ptCount val="10"/>
                <c:pt idx="0">
                  <c:v>6.8953401554745497E-2</c:v>
                </c:pt>
                <c:pt idx="1">
                  <c:v>0.12963319195726986</c:v>
                </c:pt>
                <c:pt idx="2">
                  <c:v>9.3781989389966361E-2</c:v>
                </c:pt>
                <c:pt idx="3">
                  <c:v>8.6978324247912145E-2</c:v>
                </c:pt>
                <c:pt idx="4">
                  <c:v>8.7179487179487161E-2</c:v>
                </c:pt>
                <c:pt idx="5">
                  <c:v>8.5969852575782699E-2</c:v>
                </c:pt>
                <c:pt idx="6">
                  <c:v>8.1932781482650568E-2</c:v>
                </c:pt>
                <c:pt idx="7">
                  <c:v>6.2823045397455507E-2</c:v>
                </c:pt>
                <c:pt idx="8">
                  <c:v>5.4305033214349721E-2</c:v>
                </c:pt>
                <c:pt idx="9">
                  <c:v>4.5500916870708411E-2</c:v>
                </c:pt>
              </c:numCache>
            </c:numRef>
          </c:val>
          <c:extLst>
            <c:ext xmlns:c16="http://schemas.microsoft.com/office/drawing/2014/chart" uri="{C3380CC4-5D6E-409C-BE32-E72D297353CC}">
              <c16:uniqueId val="{00000031-3F86-434C-87DD-9E2AB66030A0}"/>
            </c:ext>
          </c:extLst>
        </c:ser>
        <c:ser>
          <c:idx val="11"/>
          <c:order val="11"/>
          <c:tx>
            <c:strRef>
              <c:f>Charts!$B$114</c:f>
              <c:strCache>
                <c:ptCount val="1"/>
                <c:pt idx="0">
                  <c:v>Goa</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Charts!$F$114:$O$114</c:f>
              <c:numCache>
                <c:formatCode>0%</c:formatCode>
                <c:ptCount val="10"/>
                <c:pt idx="0">
                  <c:v>0.14998462822258335</c:v>
                </c:pt>
                <c:pt idx="1">
                  <c:v>0.11177070100499434</c:v>
                </c:pt>
                <c:pt idx="2">
                  <c:v>7.6154768038635356E-2</c:v>
                </c:pt>
                <c:pt idx="3">
                  <c:v>6.6854660399361887E-2</c:v>
                </c:pt>
                <c:pt idx="4">
                  <c:v>5.4700854700854694E-2</c:v>
                </c:pt>
                <c:pt idx="5">
                  <c:v>7.0813317873115803E-2</c:v>
                </c:pt>
                <c:pt idx="6">
                  <c:v>7.3398605193608968E-2</c:v>
                </c:pt>
                <c:pt idx="7">
                  <c:v>6.4080451086192203E-2</c:v>
                </c:pt>
                <c:pt idx="8">
                  <c:v>5.724479806651836E-2</c:v>
                </c:pt>
                <c:pt idx="9">
                  <c:v>4.9569534161433254E-2</c:v>
                </c:pt>
              </c:numCache>
            </c:numRef>
          </c:val>
          <c:extLst>
            <c:ext xmlns:c16="http://schemas.microsoft.com/office/drawing/2014/chart" uri="{C3380CC4-5D6E-409C-BE32-E72D297353CC}">
              <c16:uniqueId val="{00000032-3F86-434C-87DD-9E2AB66030A0}"/>
            </c:ext>
          </c:extLst>
        </c:ser>
        <c:ser>
          <c:idx val="12"/>
          <c:order val="12"/>
          <c:tx>
            <c:strRef>
              <c:f>Charts!$B$115</c:f>
              <c:strCache>
                <c:ptCount val="1"/>
                <c:pt idx="0">
                  <c:v>Mangalore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Charts!$F$115:$O$115</c:f>
              <c:numCache>
                <c:formatCode>0%</c:formatCode>
                <c:ptCount val="10"/>
                <c:pt idx="0">
                  <c:v>2.2398875664280383E-2</c:v>
                </c:pt>
                <c:pt idx="1">
                  <c:v>6.1180428999806261E-2</c:v>
                </c:pt>
                <c:pt idx="2">
                  <c:v>4.7990002383146844E-2</c:v>
                </c:pt>
                <c:pt idx="3">
                  <c:v>4.4563545291357774E-2</c:v>
                </c:pt>
                <c:pt idx="4">
                  <c:v>5.3846153846153835E-2</c:v>
                </c:pt>
                <c:pt idx="5">
                  <c:v>5.1929766440284915E-2</c:v>
                </c:pt>
                <c:pt idx="6">
                  <c:v>5.1451235896433543E-2</c:v>
                </c:pt>
                <c:pt idx="7">
                  <c:v>4.1013329130985092E-2</c:v>
                </c:pt>
                <c:pt idx="8">
                  <c:v>3.6856496253904018E-2</c:v>
                </c:pt>
                <c:pt idx="9">
                  <c:v>3.2104213619634635E-2</c:v>
                </c:pt>
              </c:numCache>
            </c:numRef>
          </c:val>
          <c:extLst>
            <c:ext xmlns:c16="http://schemas.microsoft.com/office/drawing/2014/chart" uri="{C3380CC4-5D6E-409C-BE32-E72D297353CC}">
              <c16:uniqueId val="{00000033-3F86-434C-87DD-9E2AB66030A0}"/>
            </c:ext>
          </c:extLst>
        </c:ser>
        <c:ser>
          <c:idx val="13"/>
          <c:order val="13"/>
          <c:tx>
            <c:strRef>
              <c:f>Charts!$B$116</c:f>
              <c:strCache>
                <c:ptCount val="1"/>
                <c:pt idx="0">
                  <c:v>PNP Port</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Charts!$F$116:$O$116</c:f>
              <c:numCache>
                <c:formatCode>0%</c:formatCode>
                <c:ptCount val="10"/>
                <c:pt idx="0">
                  <c:v>0</c:v>
                </c:pt>
                <c:pt idx="1">
                  <c:v>0</c:v>
                </c:pt>
                <c:pt idx="2">
                  <c:v>0</c:v>
                </c:pt>
                <c:pt idx="3">
                  <c:v>1.2332050269306555E-2</c:v>
                </c:pt>
                <c:pt idx="4">
                  <c:v>4.7008547008547001E-2</c:v>
                </c:pt>
                <c:pt idx="5">
                  <c:v>4.4227265197946009E-2</c:v>
                </c:pt>
                <c:pt idx="6">
                  <c:v>4.7975043942801943E-2</c:v>
                </c:pt>
                <c:pt idx="7">
                  <c:v>3.7149713245177261E-2</c:v>
                </c:pt>
                <c:pt idx="8">
                  <c:v>3.3384470270180128E-2</c:v>
                </c:pt>
                <c:pt idx="9">
                  <c:v>2.907987123216239E-2</c:v>
                </c:pt>
              </c:numCache>
            </c:numRef>
          </c:val>
          <c:extLst>
            <c:ext xmlns:c16="http://schemas.microsoft.com/office/drawing/2014/chart" uri="{C3380CC4-5D6E-409C-BE32-E72D297353CC}">
              <c16:uniqueId val="{00000034-3F86-434C-87DD-9E2AB66030A0}"/>
            </c:ext>
          </c:extLst>
        </c:ser>
        <c:ser>
          <c:idx val="14"/>
          <c:order val="14"/>
          <c:tx>
            <c:strRef>
              <c:f>Charts!$B$117</c:f>
              <c:strCache>
                <c:ptCount val="1"/>
                <c:pt idx="0">
                  <c:v>Tuticorin Dry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Charts!$F$117:$O$117</c:f>
              <c:numCache>
                <c:formatCode>0%</c:formatCode>
                <c:ptCount val="10"/>
                <c:pt idx="0">
                  <c:v>0</c:v>
                </c:pt>
                <c:pt idx="1">
                  <c:v>0</c:v>
                </c:pt>
                <c:pt idx="2">
                  <c:v>0</c:v>
                </c:pt>
                <c:pt idx="3">
                  <c:v>0</c:v>
                </c:pt>
                <c:pt idx="4">
                  <c:v>7.6923076923076919E-3</c:v>
                </c:pt>
                <c:pt idx="5">
                  <c:v>4.1328474407818463E-2</c:v>
                </c:pt>
                <c:pt idx="6">
                  <c:v>4.1029693697315427E-2</c:v>
                </c:pt>
                <c:pt idx="7">
                  <c:v>3.1148575325423474E-2</c:v>
                </c:pt>
                <c:pt idx="8">
                  <c:v>2.6658635227248508E-2</c:v>
                </c:pt>
                <c:pt idx="9">
                  <c:v>2.2115491862780452E-2</c:v>
                </c:pt>
              </c:numCache>
            </c:numRef>
          </c:val>
          <c:extLst>
            <c:ext xmlns:c16="http://schemas.microsoft.com/office/drawing/2014/chart" uri="{C3380CC4-5D6E-409C-BE32-E72D297353CC}">
              <c16:uniqueId val="{00000035-3F86-434C-87DD-9E2AB66030A0}"/>
            </c:ext>
          </c:extLst>
        </c:ser>
        <c:ser>
          <c:idx val="15"/>
          <c:order val="15"/>
          <c:tx>
            <c:strRef>
              <c:f>Charts!$B$118</c:f>
              <c:strCache>
                <c:ptCount val="1"/>
                <c:pt idx="0">
                  <c:v>Fujairah Liquid Storage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Charts!$F$118:$O$118</c:f>
              <c:numCache>
                <c:formatCode>0%</c:formatCode>
                <c:ptCount val="10"/>
                <c:pt idx="0">
                  <c:v>0</c:v>
                </c:pt>
                <c:pt idx="1">
                  <c:v>0</c:v>
                </c:pt>
                <c:pt idx="2">
                  <c:v>0</c:v>
                </c:pt>
                <c:pt idx="3">
                  <c:v>1.8684924650464476E-2</c:v>
                </c:pt>
                <c:pt idx="4">
                  <c:v>6.2393162393162387E-2</c:v>
                </c:pt>
                <c:pt idx="5">
                  <c:v>4.7291701176080843E-2</c:v>
                </c:pt>
                <c:pt idx="6">
                  <c:v>2.2312338191587719E-2</c:v>
                </c:pt>
                <c:pt idx="7">
                  <c:v>2.9643060851361341E-2</c:v>
                </c:pt>
                <c:pt idx="8">
                  <c:v>3.0444161429517797E-2</c:v>
                </c:pt>
                <c:pt idx="9">
                  <c:v>2.6266127375587086E-2</c:v>
                </c:pt>
              </c:numCache>
            </c:numRef>
          </c:val>
          <c:extLst>
            <c:ext xmlns:c16="http://schemas.microsoft.com/office/drawing/2014/chart" uri="{C3380CC4-5D6E-409C-BE32-E72D297353CC}">
              <c16:uniqueId val="{00000036-3F86-434C-87DD-9E2AB66030A0}"/>
            </c:ext>
          </c:extLst>
        </c:ser>
        <c:ser>
          <c:idx val="16"/>
          <c:order val="16"/>
          <c:tx>
            <c:strRef>
              <c:f>Charts!$B$119</c:f>
              <c:strCache>
                <c:ptCount val="1"/>
                <c:pt idx="0">
                  <c:v>JNPT Liquid</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Charts!$F$119:$O$119</c:f>
              <c:numCache>
                <c:formatCode>0%</c:formatCode>
                <c:ptCount val="10"/>
                <c:pt idx="0">
                  <c:v>0</c:v>
                </c:pt>
                <c:pt idx="1">
                  <c:v>0</c:v>
                </c:pt>
                <c:pt idx="2">
                  <c:v>0</c:v>
                </c:pt>
                <c:pt idx="3">
                  <c:v>0</c:v>
                </c:pt>
                <c:pt idx="4">
                  <c:v>1.7094017094017092E-3</c:v>
                </c:pt>
                <c:pt idx="5">
                  <c:v>1.0766937220473748E-2</c:v>
                </c:pt>
                <c:pt idx="6">
                  <c:v>2.2859400774218594E-2</c:v>
                </c:pt>
                <c:pt idx="7">
                  <c:v>1.8689145195254084E-2</c:v>
                </c:pt>
                <c:pt idx="8">
                  <c:v>1.7137694074659756E-2</c:v>
                </c:pt>
                <c:pt idx="9">
                  <c:v>1.4217101911787433E-2</c:v>
                </c:pt>
              </c:numCache>
            </c:numRef>
          </c:val>
          <c:extLst>
            <c:ext xmlns:c16="http://schemas.microsoft.com/office/drawing/2014/chart" uri="{C3380CC4-5D6E-409C-BE32-E72D297353CC}">
              <c16:uniqueId val="{00000037-3F86-434C-87DD-9E2AB66030A0}"/>
            </c:ext>
          </c:extLst>
        </c:ser>
        <c:ser>
          <c:idx val="17"/>
          <c:order val="17"/>
          <c:tx>
            <c:strRef>
              <c:f>Charts!$B$120</c:f>
              <c:strCache>
                <c:ptCount val="1"/>
                <c:pt idx="0">
                  <c:v>Mangalore 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Charts!$F$120:$O$120</c:f>
              <c:numCache>
                <c:formatCode>0%</c:formatCode>
                <c:ptCount val="10"/>
                <c:pt idx="0">
                  <c:v>0</c:v>
                </c:pt>
                <c:pt idx="1">
                  <c:v>0</c:v>
                </c:pt>
                <c:pt idx="2">
                  <c:v>2.3423923214800111E-2</c:v>
                </c:pt>
                <c:pt idx="3">
                  <c:v>2.4123755355541326E-2</c:v>
                </c:pt>
                <c:pt idx="4">
                  <c:v>2.0512820512820509E-2</c:v>
                </c:pt>
                <c:pt idx="5">
                  <c:v>2.0622825906907408E-2</c:v>
                </c:pt>
                <c:pt idx="6">
                  <c:v>2.4363822876453493E-2</c:v>
                </c:pt>
                <c:pt idx="7">
                  <c:v>2.034595274946828E-2</c:v>
                </c:pt>
                <c:pt idx="8">
                  <c:v>1.8457956636995142E-2</c:v>
                </c:pt>
                <c:pt idx="9">
                  <c:v>1.6231108363540241E-2</c:v>
                </c:pt>
              </c:numCache>
            </c:numRef>
          </c:val>
          <c:extLst>
            <c:ext xmlns:c16="http://schemas.microsoft.com/office/drawing/2014/chart" uri="{C3380CC4-5D6E-409C-BE32-E72D297353CC}">
              <c16:uniqueId val="{00000038-3F86-434C-87DD-9E2AB66030A0}"/>
            </c:ext>
          </c:extLst>
        </c:ser>
        <c:ser>
          <c:idx val="18"/>
          <c:order val="18"/>
          <c:tx>
            <c:strRef>
              <c:f>Charts!$B$121</c:f>
              <c:strCache>
                <c:ptCount val="1"/>
                <c:pt idx="0">
                  <c:v>Standalone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Charts!$F$121:$O$121</c:f>
              <c:numCache>
                <c:formatCode>0%</c:formatCode>
                <c:ptCount val="10"/>
                <c:pt idx="0">
                  <c:v>7.8835258465457428E-2</c:v>
                </c:pt>
                <c:pt idx="1">
                  <c:v>4.8863640246319444E-2</c:v>
                </c:pt>
                <c:pt idx="2">
                  <c:v>2.9091379980802985E-2</c:v>
                </c:pt>
                <c:pt idx="3">
                  <c:v>2.475752516186543E-2</c:v>
                </c:pt>
                <c:pt idx="4">
                  <c:v>2.0512820512820509E-2</c:v>
                </c:pt>
                <c:pt idx="5">
                  <c:v>2.4763955607089619E-2</c:v>
                </c:pt>
                <c:pt idx="6">
                  <c:v>2.3367387458090121E-2</c:v>
                </c:pt>
                <c:pt idx="7">
                  <c:v>1.8094652386186006E-2</c:v>
                </c:pt>
                <c:pt idx="8">
                  <c:v>1.5796109681977862E-2</c:v>
                </c:pt>
                <c:pt idx="9">
                  <c:v>1.3366232247098171E-2</c:v>
                </c:pt>
              </c:numCache>
            </c:numRef>
          </c:val>
          <c:extLst>
            <c:ext xmlns:c16="http://schemas.microsoft.com/office/drawing/2014/chart" uri="{C3380CC4-5D6E-409C-BE32-E72D297353CC}">
              <c16:uniqueId val="{00000039-3F86-434C-87DD-9E2AB66030A0}"/>
            </c:ext>
          </c:extLst>
        </c:ser>
        <c:ser>
          <c:idx val="19"/>
          <c:order val="19"/>
          <c:tx>
            <c:strRef>
              <c:f>Charts!$B$122</c:f>
              <c:strCache>
                <c:ptCount val="1"/>
                <c:pt idx="0">
                  <c:v>Ennore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Charts!$F$122:$O$122</c:f>
              <c:numCache>
                <c:formatCode>0%</c:formatCode>
                <c:ptCount val="10"/>
                <c:pt idx="0">
                  <c:v>8.5642759892836755E-3</c:v>
                </c:pt>
                <c:pt idx="1">
                  <c:v>1.8724749565908114E-2</c:v>
                </c:pt>
                <c:pt idx="2">
                  <c:v>2.0363965986562087E-2</c:v>
                </c:pt>
                <c:pt idx="3">
                  <c:v>1.3639994994839068E-2</c:v>
                </c:pt>
                <c:pt idx="4">
                  <c:v>1.7948717948717947E-2</c:v>
                </c:pt>
                <c:pt idx="5">
                  <c:v>1.3665728010601293E-2</c:v>
                </c:pt>
                <c:pt idx="6">
                  <c:v>1.3515181103895704E-2</c:v>
                </c:pt>
                <c:pt idx="7">
                  <c:v>1.077335774780422E-2</c:v>
                </c:pt>
                <c:pt idx="8">
                  <c:v>9.6814432743508681E-3</c:v>
                </c:pt>
                <c:pt idx="9">
                  <c:v>8.4331164005643153E-3</c:v>
                </c:pt>
              </c:numCache>
            </c:numRef>
          </c:val>
          <c:extLst>
            <c:ext xmlns:c16="http://schemas.microsoft.com/office/drawing/2014/chart" uri="{C3380CC4-5D6E-409C-BE32-E72D297353CC}">
              <c16:uniqueId val="{0000003A-3F86-434C-87DD-9E2AB66030A0}"/>
            </c:ext>
          </c:extLst>
        </c:ser>
        <c:ser>
          <c:idx val="20"/>
          <c:order val="20"/>
          <c:tx>
            <c:strRef>
              <c:f>Charts!$B$123</c:f>
              <c:strCache>
                <c:ptCount val="1"/>
                <c:pt idx="0">
                  <c:v>Kolkata Container Terminal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Charts!$F$123:$O$123</c:f>
              <c:numCache>
                <c:formatCode>0%</c:formatCode>
                <c:ptCount val="10"/>
                <c:pt idx="0">
                  <c:v>0</c:v>
                </c:pt>
                <c:pt idx="1">
                  <c:v>0</c:v>
                </c:pt>
                <c:pt idx="2">
                  <c:v>0</c:v>
                </c:pt>
                <c:pt idx="3">
                  <c:v>0</c:v>
                </c:pt>
                <c:pt idx="4">
                  <c:v>0</c:v>
                </c:pt>
                <c:pt idx="5">
                  <c:v>0</c:v>
                </c:pt>
                <c:pt idx="6">
                  <c:v>8.6162356764362368E-3</c:v>
                </c:pt>
                <c:pt idx="7">
                  <c:v>1.3082401636677857E-2</c:v>
                </c:pt>
                <c:pt idx="8">
                  <c:v>1.9194217363618926E-2</c:v>
                </c:pt>
                <c:pt idx="9">
                  <c:v>1.8577013164735576E-2</c:v>
                </c:pt>
              </c:numCache>
            </c:numRef>
          </c:val>
          <c:extLst>
            <c:ext xmlns:c16="http://schemas.microsoft.com/office/drawing/2014/chart" uri="{C3380CC4-5D6E-409C-BE32-E72D297353CC}">
              <c16:uniqueId val="{0000003B-3F86-434C-87DD-9E2AB66030A0}"/>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1"/>
        </c:scaling>
        <c:delete val="0"/>
        <c:axPos val="l"/>
        <c:numFmt formatCode="0%" sourceLinked="1"/>
        <c:majorTickMark val="none"/>
        <c:minorTickMark val="none"/>
        <c:tickLblPos val="none"/>
        <c:spPr>
          <a:ln>
            <a:noFill/>
          </a:ln>
        </c:spPr>
        <c:crossAx val="41707423"/>
        <c:crosses val="autoZero"/>
        <c:crossBetween val="between"/>
      </c:valAx>
    </c:plotArea>
    <c:plotVisOnly val="1"/>
    <c:dispBlanksAs val="gap"/>
    <c:showDLblsOverMax val="0"/>
  </c:chart>
  <c:spPr>
    <a:noFill/>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Charts!$B$41</c:f>
          <c:strCache>
            <c:ptCount val="1"/>
            <c:pt idx="0">
              <c:v>Volumes - Cargowise, MT</c:v>
            </c:pt>
          </c:strCache>
        </c:strRef>
      </c:tx>
      <c:layout>
        <c:manualLayout>
          <c:xMode val="edge"/>
          <c:yMode val="edge"/>
          <c:x val="0.36759273713807722"/>
          <c:y val="3.0679947352888242E-2"/>
        </c:manualLayout>
      </c:layout>
      <c:overlay val="0"/>
    </c:title>
    <c:autoTitleDeleted val="0"/>
    <c:plotArea>
      <c:layout>
        <c:manualLayout>
          <c:layoutTarget val="inner"/>
          <c:xMode val="edge"/>
          <c:yMode val="edge"/>
          <c:x val="2.334840264259825E-2"/>
          <c:y val="0.13389260488455362"/>
          <c:w val="0.97578160240845635"/>
          <c:h val="0.55765313702461683"/>
        </c:manualLayout>
      </c:layout>
      <c:barChart>
        <c:barDir val="col"/>
        <c:grouping val="stacked"/>
        <c:varyColors val="0"/>
        <c:ser>
          <c:idx val="0"/>
          <c:order val="0"/>
          <c:tx>
            <c:strRef>
              <c:f>Charts!$B$42</c:f>
              <c:strCache>
                <c:ptCount val="1"/>
                <c:pt idx="0">
                  <c:v>Iron Ore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Charts!$F$42:$O$42</c:f>
              <c:numCache>
                <c:formatCode>_(* #,##0_);_(* \(#,##0\);_(* "-"??_);_(@_)</c:formatCode>
                <c:ptCount val="10"/>
                <c:pt idx="0">
                  <c:v>11.606666666666667</c:v>
                </c:pt>
                <c:pt idx="1">
                  <c:v>14.159890390666666</c:v>
                </c:pt>
                <c:pt idx="2">
                  <c:v>22.283333333333331</c:v>
                </c:pt>
                <c:pt idx="3">
                  <c:v>40.466333333333324</c:v>
                </c:pt>
                <c:pt idx="4">
                  <c:v>34.298333333333332</c:v>
                </c:pt>
                <c:pt idx="5">
                  <c:v>33.786000000000001</c:v>
                </c:pt>
                <c:pt idx="6">
                  <c:v>36.905440000000006</c:v>
                </c:pt>
                <c:pt idx="7">
                  <c:v>65.228980000000007</c:v>
                </c:pt>
                <c:pt idx="8">
                  <c:v>80.894979800000002</c:v>
                </c:pt>
                <c:pt idx="9">
                  <c:v>86.783959158000002</c:v>
                </c:pt>
              </c:numCache>
            </c:numRef>
          </c:val>
          <c:extLst>
            <c:ext xmlns:c16="http://schemas.microsoft.com/office/drawing/2014/chart" uri="{C3380CC4-5D6E-409C-BE32-E72D297353CC}">
              <c16:uniqueId val="{00000000-57BD-405A-BFD4-FAE91B43B6F8}"/>
            </c:ext>
          </c:extLst>
        </c:ser>
        <c:ser>
          <c:idx val="1"/>
          <c:order val="1"/>
          <c:tx>
            <c:strRef>
              <c:f>Charts!$B$43</c:f>
              <c:strCache>
                <c:ptCount val="1"/>
                <c:pt idx="0">
                  <c:v>Thermal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Charts!$F$43:$O$43</c:f>
              <c:numCache>
                <c:formatCode>_(* #,##0_);_(* \(#,##0\);_(* "-"??_);_(@_)</c:formatCode>
                <c:ptCount val="10"/>
                <c:pt idx="0">
                  <c:v>3.88</c:v>
                </c:pt>
                <c:pt idx="1">
                  <c:v>5.21</c:v>
                </c:pt>
                <c:pt idx="2">
                  <c:v>26.92</c:v>
                </c:pt>
                <c:pt idx="3">
                  <c:v>35.790000000000006</c:v>
                </c:pt>
                <c:pt idx="4">
                  <c:v>40.534998999999999</c:v>
                </c:pt>
                <c:pt idx="5">
                  <c:v>40.03</c:v>
                </c:pt>
                <c:pt idx="6">
                  <c:v>41.002300000000005</c:v>
                </c:pt>
                <c:pt idx="7">
                  <c:v>43.735925000000009</c:v>
                </c:pt>
                <c:pt idx="8">
                  <c:v>45.988761850000003</c:v>
                </c:pt>
                <c:pt idx="9">
                  <c:v>48.078287254500012</c:v>
                </c:pt>
              </c:numCache>
            </c:numRef>
          </c:val>
          <c:extLst>
            <c:ext xmlns:c16="http://schemas.microsoft.com/office/drawing/2014/chart" uri="{C3380CC4-5D6E-409C-BE32-E72D297353CC}">
              <c16:uniqueId val="{00000001-57BD-405A-BFD4-FAE91B43B6F8}"/>
            </c:ext>
          </c:extLst>
        </c:ser>
        <c:ser>
          <c:idx val="2"/>
          <c:order val="2"/>
          <c:tx>
            <c:strRef>
              <c:f>Charts!$B$44</c:f>
              <c:strCache>
                <c:ptCount val="1"/>
                <c:pt idx="0">
                  <c:v>Non-Thermal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Charts!$F$44:$O$44</c:f>
              <c:numCache>
                <c:formatCode>_(* #,##0_);_(* \(#,##0\);_(* "-"??_);_(@_)</c:formatCode>
                <c:ptCount val="10"/>
                <c:pt idx="0">
                  <c:v>23.713333333333335</c:v>
                </c:pt>
                <c:pt idx="1">
                  <c:v>33.370109609333333</c:v>
                </c:pt>
                <c:pt idx="2">
                  <c:v>31.196666666666665</c:v>
                </c:pt>
                <c:pt idx="3">
                  <c:v>20.247666666666667</c:v>
                </c:pt>
                <c:pt idx="4">
                  <c:v>16.078666666666667</c:v>
                </c:pt>
                <c:pt idx="5">
                  <c:v>19.975000000000001</c:v>
                </c:pt>
                <c:pt idx="6">
                  <c:v>21.092420000000004</c:v>
                </c:pt>
                <c:pt idx="7">
                  <c:v>25.781755</c:v>
                </c:pt>
                <c:pt idx="8">
                  <c:v>27.957129200000004</c:v>
                </c:pt>
                <c:pt idx="9">
                  <c:v>29.058997968</c:v>
                </c:pt>
              </c:numCache>
            </c:numRef>
          </c:val>
          <c:extLst>
            <c:ext xmlns:c16="http://schemas.microsoft.com/office/drawing/2014/chart" uri="{C3380CC4-5D6E-409C-BE32-E72D297353CC}">
              <c16:uniqueId val="{00000002-57BD-405A-BFD4-FAE91B43B6F8}"/>
            </c:ext>
          </c:extLst>
        </c:ser>
        <c:ser>
          <c:idx val="3"/>
          <c:order val="3"/>
          <c:tx>
            <c:strRef>
              <c:f>Charts!$B$45</c:f>
              <c:strCache>
                <c:ptCount val="1"/>
                <c:pt idx="0">
                  <c:v>Liquid and Gas</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Charts!$F$45:$O$45</c:f>
              <c:numCache>
                <c:formatCode>_(* #,##0_);_(* \(#,##0\);_(* "-"??_);_(@_)</c:formatCode>
                <c:ptCount val="10"/>
                <c:pt idx="0">
                  <c:v>0.25</c:v>
                </c:pt>
                <c:pt idx="1">
                  <c:v>0.27</c:v>
                </c:pt>
                <c:pt idx="2">
                  <c:v>0.53</c:v>
                </c:pt>
                <c:pt idx="3">
                  <c:v>1.65</c:v>
                </c:pt>
                <c:pt idx="4">
                  <c:v>7.8703570000000003</c:v>
                </c:pt>
                <c:pt idx="5">
                  <c:v>7.2389999999999999</c:v>
                </c:pt>
                <c:pt idx="6">
                  <c:v>6.01816</c:v>
                </c:pt>
                <c:pt idx="7">
                  <c:v>8.3963179999999991</c:v>
                </c:pt>
                <c:pt idx="8">
                  <c:v>9.6455748000000003</c:v>
                </c:pt>
                <c:pt idx="9">
                  <c:v>9.8991485399999988</c:v>
                </c:pt>
              </c:numCache>
            </c:numRef>
          </c:val>
          <c:extLst>
            <c:ext xmlns:c16="http://schemas.microsoft.com/office/drawing/2014/chart" uri="{C3380CC4-5D6E-409C-BE32-E72D297353CC}">
              <c16:uniqueId val="{00000003-57BD-405A-BFD4-FAE91B43B6F8}"/>
            </c:ext>
          </c:extLst>
        </c:ser>
        <c:ser>
          <c:idx val="4"/>
          <c:order val="4"/>
          <c:tx>
            <c:strRef>
              <c:f>Charts!$B$46</c:f>
              <c:strCache>
                <c:ptCount val="1"/>
                <c:pt idx="0">
                  <c:v>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Charts!$F$46:$O$46</c:f>
              <c:numCache>
                <c:formatCode>_(* #,##0_);_(* \(#,##0\);_(* "-"??_);_(@_)</c:formatCode>
                <c:ptCount val="10"/>
                <c:pt idx="0">
                  <c:v>0</c:v>
                </c:pt>
                <c:pt idx="1">
                  <c:v>0</c:v>
                </c:pt>
                <c:pt idx="2">
                  <c:v>2.17</c:v>
                </c:pt>
                <c:pt idx="3">
                  <c:v>2.5921624445182494</c:v>
                </c:pt>
                <c:pt idx="4">
                  <c:v>2.4099429999999997</c:v>
                </c:pt>
                <c:pt idx="5">
                  <c:v>2.4940000000000002</c:v>
                </c:pt>
                <c:pt idx="6">
                  <c:v>4.22</c:v>
                </c:pt>
                <c:pt idx="7">
                  <c:v>5.6342499999999998</c:v>
                </c:pt>
                <c:pt idx="8">
                  <c:v>10.415005000000001</c:v>
                </c:pt>
                <c:pt idx="9">
                  <c:v>22.513105299999999</c:v>
                </c:pt>
              </c:numCache>
            </c:numRef>
          </c:val>
          <c:extLst>
            <c:ext xmlns:c16="http://schemas.microsoft.com/office/drawing/2014/chart" uri="{C3380CC4-5D6E-409C-BE32-E72D297353CC}">
              <c16:uniqueId val="{00000004-57BD-405A-BFD4-FAE91B43B6F8}"/>
            </c:ext>
          </c:extLst>
        </c:ser>
        <c:ser>
          <c:idx val="5"/>
          <c:order val="5"/>
          <c:tx>
            <c:strRef>
              <c:f>Charts!$B$47</c:f>
              <c:strCache>
                <c:ptCount val="1"/>
                <c:pt idx="0">
                  <c:v>Other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Charts!$F$47:$O$47</c:f>
              <c:numCache>
                <c:formatCode>_(* #,##0_);_(* \(#,##0\);_(* "-"??_);_(@_)</c:formatCode>
                <c:ptCount val="10"/>
                <c:pt idx="0">
                  <c:v>6.09</c:v>
                </c:pt>
                <c:pt idx="1">
                  <c:v>8.9600000000000009</c:v>
                </c:pt>
                <c:pt idx="2">
                  <c:v>9.73</c:v>
                </c:pt>
                <c:pt idx="3">
                  <c:v>6.7220000000000013</c:v>
                </c:pt>
                <c:pt idx="4">
                  <c:v>15.807701000000002</c:v>
                </c:pt>
                <c:pt idx="5">
                  <c:v>17.201000000000001</c:v>
                </c:pt>
                <c:pt idx="6">
                  <c:v>18.717790000000001</c:v>
                </c:pt>
                <c:pt idx="7">
                  <c:v>19.769806499999998</c:v>
                </c:pt>
                <c:pt idx="8">
                  <c:v>22.032861824999998</c:v>
                </c:pt>
                <c:pt idx="9">
                  <c:v>41.056654916249997</c:v>
                </c:pt>
              </c:numCache>
            </c:numRef>
          </c:val>
          <c:extLst>
            <c:ext xmlns:c16="http://schemas.microsoft.com/office/drawing/2014/chart" uri="{C3380CC4-5D6E-409C-BE32-E72D297353CC}">
              <c16:uniqueId val="{00000005-57BD-405A-BFD4-FAE91B43B6F8}"/>
            </c:ext>
          </c:extLst>
        </c:ser>
        <c:ser>
          <c:idx val="6"/>
          <c:order val="6"/>
          <c:tx>
            <c:strRef>
              <c:f>Charts!$B$48</c:f>
              <c:strCache>
                <c:ptCount val="1"/>
                <c:pt idx="0">
                  <c:v>Total</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Charts!$F$48:$O$48</c:f>
              <c:numCache>
                <c:formatCode>_(* #,##0_);_(* \(#,##0\);_(* "-"??_);_(@_)</c:formatCode>
                <c:ptCount val="10"/>
                <c:pt idx="0">
                  <c:v>45.540000000000006</c:v>
                </c:pt>
                <c:pt idx="1">
                  <c:v>61.970000000000006</c:v>
                </c:pt>
                <c:pt idx="2">
                  <c:v>92.830000000000013</c:v>
                </c:pt>
                <c:pt idx="3">
                  <c:v>107.46816244451827</c:v>
                </c:pt>
                <c:pt idx="4">
                  <c:v>117</c:v>
                </c:pt>
                <c:pt idx="5">
                  <c:v>120.72499999999999</c:v>
                </c:pt>
                <c:pt idx="6">
                  <c:v>127.95611</c:v>
                </c:pt>
                <c:pt idx="7">
                  <c:v>168.54703450000002</c:v>
                </c:pt>
                <c:pt idx="8">
                  <c:v>196.93431247500001</c:v>
                </c:pt>
                <c:pt idx="9">
                  <c:v>237.39015313675003</c:v>
                </c:pt>
              </c:numCache>
            </c:numRef>
          </c:val>
          <c:extLst>
            <c:ext xmlns:c16="http://schemas.microsoft.com/office/drawing/2014/chart" uri="{C3380CC4-5D6E-409C-BE32-E72D297353CC}">
              <c16:uniqueId val="{00000006-57BD-405A-BFD4-FAE91B43B6F8}"/>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300"/>
        </c:scaling>
        <c:delete val="1"/>
        <c:axPos val="l"/>
        <c:numFmt formatCode="_(* #,##0_);_(* \(#,##0\);_(* &quot;-&quot;??_);_(@_)" sourceLinked="1"/>
        <c:majorTickMark val="out"/>
        <c:minorTickMark val="none"/>
        <c:tickLblPos val="nextTo"/>
        <c:crossAx val="41707423"/>
        <c:crosses val="autoZero"/>
        <c:crossBetween val="between"/>
      </c:valAx>
    </c:plotArea>
    <c:legend>
      <c:legendPos val="b"/>
      <c:legendEntry>
        <c:idx val="6"/>
        <c:delete val="1"/>
      </c:legendEntry>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Charts!$B$41</c:f>
          <c:strCache>
            <c:ptCount val="1"/>
            <c:pt idx="0">
              <c:v>Volumes - Cargowise, MT</c:v>
            </c:pt>
          </c:strCache>
        </c:strRef>
      </c:tx>
      <c:layout>
        <c:manualLayout>
          <c:xMode val="edge"/>
          <c:yMode val="edge"/>
          <c:x val="0.36759273713807722"/>
          <c:y val="3.0679947352888242E-2"/>
        </c:manualLayout>
      </c:layout>
      <c:overlay val="0"/>
    </c:title>
    <c:autoTitleDeleted val="0"/>
    <c:plotArea>
      <c:layout>
        <c:manualLayout>
          <c:layoutTarget val="inner"/>
          <c:xMode val="edge"/>
          <c:yMode val="edge"/>
          <c:x val="2.334840264259825E-2"/>
          <c:y val="0.13389260488455362"/>
          <c:w val="0.97578160240845635"/>
          <c:h val="0.55765313702461683"/>
        </c:manualLayout>
      </c:layout>
      <c:barChart>
        <c:barDir val="col"/>
        <c:grouping val="stacked"/>
        <c:varyColors val="0"/>
        <c:ser>
          <c:idx val="0"/>
          <c:order val="0"/>
          <c:tx>
            <c:strRef>
              <c:f>Charts!$B$42</c:f>
              <c:strCache>
                <c:ptCount val="1"/>
                <c:pt idx="0">
                  <c:v>Iron Ore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Charts!$F$42:$O$42</c:f>
              <c:numCache>
                <c:formatCode>_(* #,##0_);_(* \(#,##0\);_(* "-"??_);_(@_)</c:formatCode>
                <c:ptCount val="10"/>
                <c:pt idx="0">
                  <c:v>11.606666666666667</c:v>
                </c:pt>
                <c:pt idx="1">
                  <c:v>14.159890390666666</c:v>
                </c:pt>
                <c:pt idx="2">
                  <c:v>22.283333333333331</c:v>
                </c:pt>
                <c:pt idx="3">
                  <c:v>40.466333333333324</c:v>
                </c:pt>
                <c:pt idx="4">
                  <c:v>34.298333333333332</c:v>
                </c:pt>
                <c:pt idx="5">
                  <c:v>33.786000000000001</c:v>
                </c:pt>
                <c:pt idx="6">
                  <c:v>36.905440000000006</c:v>
                </c:pt>
                <c:pt idx="7">
                  <c:v>65.228980000000007</c:v>
                </c:pt>
                <c:pt idx="8">
                  <c:v>80.894979800000002</c:v>
                </c:pt>
                <c:pt idx="9">
                  <c:v>86.783959158000002</c:v>
                </c:pt>
              </c:numCache>
            </c:numRef>
          </c:val>
          <c:extLst>
            <c:ext xmlns:c16="http://schemas.microsoft.com/office/drawing/2014/chart" uri="{C3380CC4-5D6E-409C-BE32-E72D297353CC}">
              <c16:uniqueId val="{00000000-2237-4C46-8E3D-3310474290F9}"/>
            </c:ext>
          </c:extLst>
        </c:ser>
        <c:ser>
          <c:idx val="1"/>
          <c:order val="1"/>
          <c:tx>
            <c:strRef>
              <c:f>Charts!$B$43</c:f>
              <c:strCache>
                <c:ptCount val="1"/>
                <c:pt idx="0">
                  <c:v>Thermal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Charts!$F$43:$O$43</c:f>
              <c:numCache>
                <c:formatCode>_(* #,##0_);_(* \(#,##0\);_(* "-"??_);_(@_)</c:formatCode>
                <c:ptCount val="10"/>
                <c:pt idx="0">
                  <c:v>3.88</c:v>
                </c:pt>
                <c:pt idx="1">
                  <c:v>5.21</c:v>
                </c:pt>
                <c:pt idx="2">
                  <c:v>26.92</c:v>
                </c:pt>
                <c:pt idx="3">
                  <c:v>35.790000000000006</c:v>
                </c:pt>
                <c:pt idx="4">
                  <c:v>40.534998999999999</c:v>
                </c:pt>
                <c:pt idx="5">
                  <c:v>40.03</c:v>
                </c:pt>
                <c:pt idx="6">
                  <c:v>41.002300000000005</c:v>
                </c:pt>
                <c:pt idx="7">
                  <c:v>43.735925000000009</c:v>
                </c:pt>
                <c:pt idx="8">
                  <c:v>45.988761850000003</c:v>
                </c:pt>
                <c:pt idx="9">
                  <c:v>48.078287254500012</c:v>
                </c:pt>
              </c:numCache>
            </c:numRef>
          </c:val>
          <c:extLst>
            <c:ext xmlns:c16="http://schemas.microsoft.com/office/drawing/2014/chart" uri="{C3380CC4-5D6E-409C-BE32-E72D297353CC}">
              <c16:uniqueId val="{00000001-2237-4C46-8E3D-3310474290F9}"/>
            </c:ext>
          </c:extLst>
        </c:ser>
        <c:ser>
          <c:idx val="2"/>
          <c:order val="2"/>
          <c:tx>
            <c:strRef>
              <c:f>Charts!$B$44</c:f>
              <c:strCache>
                <c:ptCount val="1"/>
                <c:pt idx="0">
                  <c:v>Non-Thermal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Charts!$F$44:$O$44</c:f>
              <c:numCache>
                <c:formatCode>_(* #,##0_);_(* \(#,##0\);_(* "-"??_);_(@_)</c:formatCode>
                <c:ptCount val="10"/>
                <c:pt idx="0">
                  <c:v>23.713333333333335</c:v>
                </c:pt>
                <c:pt idx="1">
                  <c:v>33.370109609333333</c:v>
                </c:pt>
                <c:pt idx="2">
                  <c:v>31.196666666666665</c:v>
                </c:pt>
                <c:pt idx="3">
                  <c:v>20.247666666666667</c:v>
                </c:pt>
                <c:pt idx="4">
                  <c:v>16.078666666666667</c:v>
                </c:pt>
                <c:pt idx="5">
                  <c:v>19.975000000000001</c:v>
                </c:pt>
                <c:pt idx="6">
                  <c:v>21.092420000000004</c:v>
                </c:pt>
                <c:pt idx="7">
                  <c:v>25.781755</c:v>
                </c:pt>
                <c:pt idx="8">
                  <c:v>27.957129200000004</c:v>
                </c:pt>
                <c:pt idx="9">
                  <c:v>29.058997968</c:v>
                </c:pt>
              </c:numCache>
            </c:numRef>
          </c:val>
          <c:extLst>
            <c:ext xmlns:c16="http://schemas.microsoft.com/office/drawing/2014/chart" uri="{C3380CC4-5D6E-409C-BE32-E72D297353CC}">
              <c16:uniqueId val="{00000002-2237-4C46-8E3D-3310474290F9}"/>
            </c:ext>
          </c:extLst>
        </c:ser>
        <c:ser>
          <c:idx val="3"/>
          <c:order val="3"/>
          <c:tx>
            <c:strRef>
              <c:f>Charts!$B$45</c:f>
              <c:strCache>
                <c:ptCount val="1"/>
                <c:pt idx="0">
                  <c:v>Liquid and Gas</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Charts!$F$45:$O$45</c:f>
              <c:numCache>
                <c:formatCode>_(* #,##0_);_(* \(#,##0\);_(* "-"??_);_(@_)</c:formatCode>
                <c:ptCount val="10"/>
                <c:pt idx="0">
                  <c:v>0.25</c:v>
                </c:pt>
                <c:pt idx="1">
                  <c:v>0.27</c:v>
                </c:pt>
                <c:pt idx="2">
                  <c:v>0.53</c:v>
                </c:pt>
                <c:pt idx="3">
                  <c:v>1.65</c:v>
                </c:pt>
                <c:pt idx="4">
                  <c:v>7.8703570000000003</c:v>
                </c:pt>
                <c:pt idx="5">
                  <c:v>7.2389999999999999</c:v>
                </c:pt>
                <c:pt idx="6">
                  <c:v>6.01816</c:v>
                </c:pt>
                <c:pt idx="7">
                  <c:v>8.3963179999999991</c:v>
                </c:pt>
                <c:pt idx="8">
                  <c:v>9.6455748000000003</c:v>
                </c:pt>
                <c:pt idx="9">
                  <c:v>9.8991485399999988</c:v>
                </c:pt>
              </c:numCache>
            </c:numRef>
          </c:val>
          <c:extLst>
            <c:ext xmlns:c16="http://schemas.microsoft.com/office/drawing/2014/chart" uri="{C3380CC4-5D6E-409C-BE32-E72D297353CC}">
              <c16:uniqueId val="{00000003-2237-4C46-8E3D-3310474290F9}"/>
            </c:ext>
          </c:extLst>
        </c:ser>
        <c:ser>
          <c:idx val="4"/>
          <c:order val="4"/>
          <c:tx>
            <c:strRef>
              <c:f>Charts!$B$46</c:f>
              <c:strCache>
                <c:ptCount val="1"/>
                <c:pt idx="0">
                  <c:v>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Charts!$F$46:$O$46</c:f>
              <c:numCache>
                <c:formatCode>_(* #,##0_);_(* \(#,##0\);_(* "-"??_);_(@_)</c:formatCode>
                <c:ptCount val="10"/>
                <c:pt idx="0">
                  <c:v>0</c:v>
                </c:pt>
                <c:pt idx="1">
                  <c:v>0</c:v>
                </c:pt>
                <c:pt idx="2">
                  <c:v>2.17</c:v>
                </c:pt>
                <c:pt idx="3">
                  <c:v>2.5921624445182494</c:v>
                </c:pt>
                <c:pt idx="4">
                  <c:v>2.4099429999999997</c:v>
                </c:pt>
                <c:pt idx="5">
                  <c:v>2.4940000000000002</c:v>
                </c:pt>
                <c:pt idx="6">
                  <c:v>4.22</c:v>
                </c:pt>
                <c:pt idx="7">
                  <c:v>5.6342499999999998</c:v>
                </c:pt>
                <c:pt idx="8">
                  <c:v>10.415005000000001</c:v>
                </c:pt>
                <c:pt idx="9">
                  <c:v>22.513105299999999</c:v>
                </c:pt>
              </c:numCache>
            </c:numRef>
          </c:val>
          <c:extLst>
            <c:ext xmlns:c16="http://schemas.microsoft.com/office/drawing/2014/chart" uri="{C3380CC4-5D6E-409C-BE32-E72D297353CC}">
              <c16:uniqueId val="{00000004-2237-4C46-8E3D-3310474290F9}"/>
            </c:ext>
          </c:extLst>
        </c:ser>
        <c:ser>
          <c:idx val="5"/>
          <c:order val="5"/>
          <c:tx>
            <c:strRef>
              <c:f>Charts!$B$47</c:f>
              <c:strCache>
                <c:ptCount val="1"/>
                <c:pt idx="0">
                  <c:v>Other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Charts!$F$47:$O$47</c:f>
              <c:numCache>
                <c:formatCode>_(* #,##0_);_(* \(#,##0\);_(* "-"??_);_(@_)</c:formatCode>
                <c:ptCount val="10"/>
                <c:pt idx="0">
                  <c:v>6.09</c:v>
                </c:pt>
                <c:pt idx="1">
                  <c:v>8.9600000000000009</c:v>
                </c:pt>
                <c:pt idx="2">
                  <c:v>9.73</c:v>
                </c:pt>
                <c:pt idx="3">
                  <c:v>6.7220000000000013</c:v>
                </c:pt>
                <c:pt idx="4">
                  <c:v>15.807701000000002</c:v>
                </c:pt>
                <c:pt idx="5">
                  <c:v>17.201000000000001</c:v>
                </c:pt>
                <c:pt idx="6">
                  <c:v>18.717790000000001</c:v>
                </c:pt>
                <c:pt idx="7">
                  <c:v>19.769806499999998</c:v>
                </c:pt>
                <c:pt idx="8">
                  <c:v>22.032861824999998</c:v>
                </c:pt>
                <c:pt idx="9">
                  <c:v>41.056654916249997</c:v>
                </c:pt>
              </c:numCache>
            </c:numRef>
          </c:val>
          <c:extLst>
            <c:ext xmlns:c16="http://schemas.microsoft.com/office/drawing/2014/chart" uri="{C3380CC4-5D6E-409C-BE32-E72D297353CC}">
              <c16:uniqueId val="{00000005-2237-4C46-8E3D-3310474290F9}"/>
            </c:ext>
          </c:extLst>
        </c:ser>
        <c:ser>
          <c:idx val="6"/>
          <c:order val="6"/>
          <c:tx>
            <c:strRef>
              <c:f>Charts!$B$48</c:f>
              <c:strCache>
                <c:ptCount val="1"/>
                <c:pt idx="0">
                  <c:v>Total</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Charts!$F$48:$O$48</c:f>
              <c:numCache>
                <c:formatCode>_(* #,##0_);_(* \(#,##0\);_(* "-"??_);_(@_)</c:formatCode>
                <c:ptCount val="10"/>
                <c:pt idx="0">
                  <c:v>45.540000000000006</c:v>
                </c:pt>
                <c:pt idx="1">
                  <c:v>61.970000000000006</c:v>
                </c:pt>
                <c:pt idx="2">
                  <c:v>92.830000000000013</c:v>
                </c:pt>
                <c:pt idx="3">
                  <c:v>107.46816244451827</c:v>
                </c:pt>
                <c:pt idx="4">
                  <c:v>117</c:v>
                </c:pt>
                <c:pt idx="5">
                  <c:v>120.72499999999999</c:v>
                </c:pt>
                <c:pt idx="6">
                  <c:v>127.95611</c:v>
                </c:pt>
                <c:pt idx="7">
                  <c:v>168.54703450000002</c:v>
                </c:pt>
                <c:pt idx="8">
                  <c:v>196.93431247500001</c:v>
                </c:pt>
                <c:pt idx="9">
                  <c:v>237.39015313675003</c:v>
                </c:pt>
              </c:numCache>
            </c:numRef>
          </c:val>
          <c:extLst>
            <c:ext xmlns:c16="http://schemas.microsoft.com/office/drawing/2014/chart" uri="{C3380CC4-5D6E-409C-BE32-E72D297353CC}">
              <c16:uniqueId val="{00000006-2237-4C46-8E3D-3310474290F9}"/>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300"/>
        </c:scaling>
        <c:delete val="1"/>
        <c:axPos val="l"/>
        <c:numFmt formatCode="_(* #,##0_);_(* \(#,##0\);_(* &quot;-&quot;??_);_(@_)" sourceLinked="1"/>
        <c:majorTickMark val="out"/>
        <c:minorTickMark val="none"/>
        <c:tickLblPos val="nextTo"/>
        <c:crossAx val="41707423"/>
        <c:crosses val="autoZero"/>
        <c:crossBetween val="between"/>
      </c:valAx>
    </c:plotArea>
    <c:legend>
      <c:legendPos val="b"/>
      <c:legendEntry>
        <c:idx val="6"/>
        <c:delete val="1"/>
      </c:legendEntry>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34840264259825E-2"/>
          <c:y val="0.13389260488455362"/>
          <c:w val="0.97578160240845635"/>
          <c:h val="0.73570202311365174"/>
        </c:manualLayout>
      </c:layout>
      <c:barChart>
        <c:barDir val="col"/>
        <c:grouping val="stacked"/>
        <c:varyColors val="0"/>
        <c:ser>
          <c:idx val="0"/>
          <c:order val="0"/>
          <c:tx>
            <c:strRef>
              <c:f>Charts!$B$94</c:f>
              <c:strCache>
                <c:ptCount val="1"/>
                <c:pt idx="0">
                  <c:v>Iron Ore</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Charts!$F$94:$O$94</c:f>
              <c:numCache>
                <c:formatCode>0%</c:formatCode>
                <c:ptCount val="10"/>
                <c:pt idx="0">
                  <c:v>0.25486751573708094</c:v>
                </c:pt>
                <c:pt idx="1">
                  <c:v>0.22849589140982193</c:v>
                </c:pt>
                <c:pt idx="2">
                  <c:v>0.24004452583575706</c:v>
                </c:pt>
                <c:pt idx="3">
                  <c:v>0.37654252583154157</c:v>
                </c:pt>
                <c:pt idx="4">
                  <c:v>0.29314814814814816</c:v>
                </c:pt>
                <c:pt idx="5">
                  <c:v>0.27985918409608618</c:v>
                </c:pt>
                <c:pt idx="6">
                  <c:v>0.28842264742183871</c:v>
                </c:pt>
                <c:pt idx="7">
                  <c:v>0.3870075803677222</c:v>
                </c:pt>
                <c:pt idx="8">
                  <c:v>0.41077138251501644</c:v>
                </c:pt>
                <c:pt idx="9">
                  <c:v>0.36557522715783236</c:v>
                </c:pt>
              </c:numCache>
            </c:numRef>
          </c:val>
          <c:extLst>
            <c:ext xmlns:c16="http://schemas.microsoft.com/office/drawing/2014/chart" uri="{C3380CC4-5D6E-409C-BE32-E72D297353CC}">
              <c16:uniqueId val="{00000000-49FF-4FB1-8421-E6047C7A911E}"/>
            </c:ext>
          </c:extLst>
        </c:ser>
        <c:ser>
          <c:idx val="1"/>
          <c:order val="1"/>
          <c:tx>
            <c:strRef>
              <c:f>Charts!$B$95</c:f>
              <c:strCache>
                <c:ptCount val="1"/>
                <c:pt idx="0">
                  <c:v>Thermal Coal</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Charts!$F$95:$O$95</c:f>
              <c:numCache>
                <c:formatCode>0%</c:formatCode>
                <c:ptCount val="10"/>
                <c:pt idx="0">
                  <c:v>8.5199824330259105E-2</c:v>
                </c:pt>
                <c:pt idx="1">
                  <c:v>8.4072938518638035E-2</c:v>
                </c:pt>
                <c:pt idx="2">
                  <c:v>0.28999245933426693</c:v>
                </c:pt>
                <c:pt idx="3">
                  <c:v>0.33302886348761218</c:v>
                </c:pt>
                <c:pt idx="4">
                  <c:v>0.34645298290598292</c:v>
                </c:pt>
                <c:pt idx="5">
                  <c:v>0.33158003727479812</c:v>
                </c:pt>
                <c:pt idx="6">
                  <c:v>0.32044034474008321</c:v>
                </c:pt>
                <c:pt idx="7">
                  <c:v>0.25948795319801371</c:v>
                </c:pt>
                <c:pt idx="8">
                  <c:v>0.23352335746894329</c:v>
                </c:pt>
                <c:pt idx="9">
                  <c:v>0.20252856581967923</c:v>
                </c:pt>
              </c:numCache>
            </c:numRef>
          </c:val>
          <c:extLst>
            <c:ext xmlns:c16="http://schemas.microsoft.com/office/drawing/2014/chart" uri="{C3380CC4-5D6E-409C-BE32-E72D297353CC}">
              <c16:uniqueId val="{00000001-49FF-4FB1-8421-E6047C7A911E}"/>
            </c:ext>
          </c:extLst>
        </c:ser>
        <c:ser>
          <c:idx val="2"/>
          <c:order val="2"/>
          <c:tx>
            <c:strRef>
              <c:f>Charts!$B$96</c:f>
              <c:strCache>
                <c:ptCount val="1"/>
                <c:pt idx="0">
                  <c:v>Non-Thermal Coal</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Charts!$F$96:$O$96</c:f>
              <c:numCache>
                <c:formatCode>0%</c:formatCode>
                <c:ptCount val="10"/>
                <c:pt idx="0">
                  <c:v>0.52071439027960764</c:v>
                </c:pt>
                <c:pt idx="1">
                  <c:v>0.53848813311817545</c:v>
                </c:pt>
                <c:pt idx="2">
                  <c:v>0.33606233617005993</c:v>
                </c:pt>
                <c:pt idx="3">
                  <c:v>0.18840618659614441</c:v>
                </c:pt>
                <c:pt idx="4">
                  <c:v>0.13742450142450144</c:v>
                </c:pt>
                <c:pt idx="5">
                  <c:v>0.16545868709877823</c:v>
                </c:pt>
                <c:pt idx="6">
                  <c:v>0.16484105370192956</c:v>
                </c:pt>
                <c:pt idx="7">
                  <c:v>0.15296475002649779</c:v>
                </c:pt>
                <c:pt idx="8">
                  <c:v>0.1419616970178777</c:v>
                </c:pt>
                <c:pt idx="9">
                  <c:v>0.12241029201940144</c:v>
                </c:pt>
              </c:numCache>
            </c:numRef>
          </c:val>
          <c:extLst>
            <c:ext xmlns:c16="http://schemas.microsoft.com/office/drawing/2014/chart" uri="{C3380CC4-5D6E-409C-BE32-E72D297353CC}">
              <c16:uniqueId val="{00000002-49FF-4FB1-8421-E6047C7A911E}"/>
            </c:ext>
          </c:extLst>
        </c:ser>
        <c:ser>
          <c:idx val="3"/>
          <c:order val="3"/>
          <c:tx>
            <c:strRef>
              <c:f>Charts!$B$97</c:f>
              <c:strCache>
                <c:ptCount val="1"/>
                <c:pt idx="0">
                  <c:v>Liquid and Gas</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Charts!$F$97:$O$97</c:f>
              <c:numCache>
                <c:formatCode>0%</c:formatCode>
                <c:ptCount val="10"/>
                <c:pt idx="0">
                  <c:v>5.4896794027228801E-3</c:v>
                </c:pt>
                <c:pt idx="1">
                  <c:v>4.3569469097950618E-3</c:v>
                </c:pt>
                <c:pt idx="2">
                  <c:v>5.7093611978886131E-3</c:v>
                </c:pt>
                <c:pt idx="3">
                  <c:v>1.5353384318372729E-2</c:v>
                </c:pt>
                <c:pt idx="4">
                  <c:v>6.7268008547008554E-2</c:v>
                </c:pt>
                <c:pt idx="5">
                  <c:v>5.9962725201905161E-2</c:v>
                </c:pt>
                <c:pt idx="6">
                  <c:v>4.7033002175511589E-2</c:v>
                </c:pt>
                <c:pt idx="7">
                  <c:v>4.981587498651599E-2</c:v>
                </c:pt>
                <c:pt idx="8">
                  <c:v>4.8978640028636278E-2</c:v>
                </c:pt>
                <c:pt idx="9">
                  <c:v>4.1699912187585703E-2</c:v>
                </c:pt>
              </c:numCache>
            </c:numRef>
          </c:val>
          <c:extLst>
            <c:ext xmlns:c16="http://schemas.microsoft.com/office/drawing/2014/chart" uri="{C3380CC4-5D6E-409C-BE32-E72D297353CC}">
              <c16:uniqueId val="{00000003-49FF-4FB1-8421-E6047C7A911E}"/>
            </c:ext>
          </c:extLst>
        </c:ser>
        <c:ser>
          <c:idx val="4"/>
          <c:order val="4"/>
          <c:tx>
            <c:strRef>
              <c:f>Charts!$B$98</c:f>
              <c:strCache>
                <c:ptCount val="1"/>
                <c:pt idx="0">
                  <c:v>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Charts!$F$98:$O$98</c:f>
              <c:numCache>
                <c:formatCode>0%</c:formatCode>
                <c:ptCount val="10"/>
                <c:pt idx="0">
                  <c:v>0</c:v>
                </c:pt>
                <c:pt idx="1">
                  <c:v>0</c:v>
                </c:pt>
                <c:pt idx="2">
                  <c:v>2.3376063772487337E-2</c:v>
                </c:pt>
                <c:pt idx="3">
                  <c:v>2.4120282561418918E-2</c:v>
                </c:pt>
                <c:pt idx="4">
                  <c:v>2.0597803418803417E-2</c:v>
                </c:pt>
                <c:pt idx="5">
                  <c:v>2.0658521433008906E-2</c:v>
                </c:pt>
                <c:pt idx="6">
                  <c:v>3.2980058552889734E-2</c:v>
                </c:pt>
                <c:pt idx="7">
                  <c:v>3.3428354386146136E-2</c:v>
                </c:pt>
                <c:pt idx="8">
                  <c:v>5.2885679844756062E-2</c:v>
                </c:pt>
                <c:pt idx="9">
                  <c:v>9.4835885155822738E-2</c:v>
                </c:pt>
              </c:numCache>
            </c:numRef>
          </c:val>
          <c:extLst>
            <c:ext xmlns:c16="http://schemas.microsoft.com/office/drawing/2014/chart" uri="{C3380CC4-5D6E-409C-BE32-E72D297353CC}">
              <c16:uniqueId val="{00000004-49FF-4FB1-8421-E6047C7A911E}"/>
            </c:ext>
          </c:extLst>
        </c:ser>
        <c:ser>
          <c:idx val="5"/>
          <c:order val="5"/>
          <c:tx>
            <c:strRef>
              <c:f>Charts!$B$99</c:f>
              <c:strCache>
                <c:ptCount val="1"/>
                <c:pt idx="0">
                  <c:v>Other Bulk</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Charts!$F$99:$O$99</c:f>
              <c:numCache>
                <c:formatCode>0%</c:formatCode>
                <c:ptCount val="10"/>
                <c:pt idx="0">
                  <c:v>0.13372859025032935</c:v>
                </c:pt>
                <c:pt idx="1">
                  <c:v>0.14458609004356948</c:v>
                </c:pt>
                <c:pt idx="2">
                  <c:v>0.10481525368954001</c:v>
                </c:pt>
                <c:pt idx="3">
                  <c:v>6.2548757204910002E-2</c:v>
                </c:pt>
                <c:pt idx="4">
                  <c:v>0.13510855555555557</c:v>
                </c:pt>
                <c:pt idx="5">
                  <c:v>0.14248084489542348</c:v>
                </c:pt>
                <c:pt idx="6">
                  <c:v>0.14628289340774742</c:v>
                </c:pt>
                <c:pt idx="7">
                  <c:v>0.1172954870351041</c:v>
                </c:pt>
                <c:pt idx="8">
                  <c:v>0.11187924312477023</c:v>
                </c:pt>
                <c:pt idx="9">
                  <c:v>0.17295011765967844</c:v>
                </c:pt>
              </c:numCache>
            </c:numRef>
          </c:val>
          <c:extLst>
            <c:ext xmlns:c16="http://schemas.microsoft.com/office/drawing/2014/chart" uri="{C3380CC4-5D6E-409C-BE32-E72D297353CC}">
              <c16:uniqueId val="{00000005-49FF-4FB1-8421-E6047C7A911E}"/>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1"/>
        </c:scaling>
        <c:delete val="1"/>
        <c:axPos val="l"/>
        <c:numFmt formatCode="0%" sourceLinked="1"/>
        <c:majorTickMark val="out"/>
        <c:minorTickMark val="none"/>
        <c:tickLblPos val="nextTo"/>
        <c:crossAx val="41707423"/>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Charts!$B$2</c:f>
          <c:strCache>
            <c:ptCount val="1"/>
            <c:pt idx="0">
              <c:v>Cargo - Customer Wise, MT</c:v>
            </c:pt>
          </c:strCache>
        </c:strRef>
      </c:tx>
      <c:overlay val="0"/>
      <c:txPr>
        <a:bodyPr/>
        <a:lstStyle/>
        <a:p>
          <a:pPr>
            <a:defRPr sz="1080"/>
          </a:pPr>
          <a:endParaRPr lang="en-US"/>
        </a:p>
      </c:txPr>
    </c:title>
    <c:autoTitleDeleted val="0"/>
    <c:plotArea>
      <c:layout>
        <c:manualLayout>
          <c:layoutTarget val="inner"/>
          <c:xMode val="edge"/>
          <c:yMode val="edge"/>
          <c:x val="2.0373617929425467E-2"/>
          <c:y val="0.13921136752282004"/>
          <c:w val="0.92529673425877323"/>
          <c:h val="0.59146954809453745"/>
        </c:manualLayout>
      </c:layout>
      <c:barChart>
        <c:barDir val="col"/>
        <c:grouping val="stacked"/>
        <c:varyColors val="0"/>
        <c:ser>
          <c:idx val="0"/>
          <c:order val="0"/>
          <c:tx>
            <c:strRef>
              <c:f>Charts!$B$3</c:f>
              <c:strCache>
                <c:ptCount val="1"/>
                <c:pt idx="0">
                  <c:v>JSW Group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Charts!$F$2:$O$2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Charts!$F$3:$O$3</c:f>
              <c:numCache>
                <c:formatCode>#,##0_);\(#,##0\)</c:formatCode>
                <c:ptCount val="10"/>
                <c:pt idx="0">
                  <c:v>34.240000000000009</c:v>
                </c:pt>
                <c:pt idx="1">
                  <c:v>43.325000000000003</c:v>
                </c:pt>
                <c:pt idx="2">
                  <c:v>61.830000000000013</c:v>
                </c:pt>
                <c:pt idx="3" formatCode="_(* #,##0_);_(* \(#,##0\);_(* &quot;-&quot;??_);_(@_)">
                  <c:v>64.480897466710957</c:v>
                </c:pt>
                <c:pt idx="4" formatCode="_(* #,##0_);_(* \(#,##0\);_(* &quot;-&quot;??_);_(@_)">
                  <c:v>59.67</c:v>
                </c:pt>
                <c:pt idx="5" formatCode="_(* #,##0_);_(* \(#,##0\);_(* &quot;-&quot;??_);_(@_)">
                  <c:v>62.381694337141447</c:v>
                </c:pt>
                <c:pt idx="6" formatCode="_(* #,##0_);_(* \(#,##0\);_(* &quot;-&quot;??_);_(@_)">
                  <c:v>66.853620000000021</c:v>
                </c:pt>
                <c:pt idx="7" formatCode="_(* #,##0_);_(* \(#,##0\);_(* &quot;-&quot;??_);_(@_)">
                  <c:v>99.223213646719287</c:v>
                </c:pt>
                <c:pt idx="8" formatCode="_(* #,##0_);_(* \(#,##0\);_(* &quot;-&quot;??_);_(@_)">
                  <c:v>115.16837735749124</c:v>
                </c:pt>
                <c:pt idx="9" formatCode="_(* #,##0_);_(* \(#,##0\);_(* &quot;-&quot;??_);_(@_)">
                  <c:v>121.19395964635179</c:v>
                </c:pt>
              </c:numCache>
            </c:numRef>
          </c:val>
          <c:extLst>
            <c:ext xmlns:c16="http://schemas.microsoft.com/office/drawing/2014/chart" uri="{C3380CC4-5D6E-409C-BE32-E72D297353CC}">
              <c16:uniqueId val="{00000000-6197-4D11-9472-AD94B329CBA1}"/>
            </c:ext>
          </c:extLst>
        </c:ser>
        <c:ser>
          <c:idx val="1"/>
          <c:order val="1"/>
          <c:tx>
            <c:strRef>
              <c:f>Charts!$B$4</c:f>
              <c:strCache>
                <c:ptCount val="1"/>
                <c:pt idx="0">
                  <c:v>Third Party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Charts!$F$2:$O$2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Charts!$F$4:$O$4</c:f>
              <c:numCache>
                <c:formatCode>#,##0_);\(#,##0\)</c:formatCode>
                <c:ptCount val="10"/>
                <c:pt idx="0">
                  <c:v>11.3</c:v>
                </c:pt>
                <c:pt idx="1">
                  <c:v>18.645</c:v>
                </c:pt>
                <c:pt idx="2">
                  <c:v>31</c:v>
                </c:pt>
                <c:pt idx="3" formatCode="_(* #,##0_);_(* \(#,##0\);_(* &quot;-&quot;??_);_(@_)">
                  <c:v>42.987264977807314</c:v>
                </c:pt>
                <c:pt idx="4" formatCode="_(* #,##0_);_(* \(#,##0\);_(* &quot;-&quot;??_);_(@_)">
                  <c:v>57.33</c:v>
                </c:pt>
                <c:pt idx="5" formatCode="_(* #,##0_);_(* \(#,##0\);_(* &quot;-&quot;??_);_(@_)">
                  <c:v>58.343305662858548</c:v>
                </c:pt>
                <c:pt idx="6" formatCode="_(* #,##0_);_(* \(#,##0\);_(* &quot;-&quot;??_);_(@_)">
                  <c:v>61.102490000000003</c:v>
                </c:pt>
                <c:pt idx="7" formatCode="_(* #,##0_);_(* \(#,##0\);_(* &quot;-&quot;??_);_(@_)">
                  <c:v>69.323820853280736</c:v>
                </c:pt>
                <c:pt idx="8" formatCode="_(* #,##0_);_(* \(#,##0\);_(* &quot;-&quot;??_);_(@_)">
                  <c:v>81.765935117508789</c:v>
                </c:pt>
                <c:pt idx="9" formatCode="_(* #,##0_);_(* \(#,##0\);_(* &quot;-&quot;??_);_(@_)">
                  <c:v>116.19619349039823</c:v>
                </c:pt>
              </c:numCache>
            </c:numRef>
          </c:val>
          <c:extLst>
            <c:ext xmlns:c16="http://schemas.microsoft.com/office/drawing/2014/chart" uri="{C3380CC4-5D6E-409C-BE32-E72D297353CC}">
              <c16:uniqueId val="{00000001-6197-4D11-9472-AD94B329CBA1}"/>
            </c:ext>
          </c:extLst>
        </c:ser>
        <c:ser>
          <c:idx val="2"/>
          <c:order val="2"/>
          <c:tx>
            <c:strRef>
              <c:f>Charts!$B$5</c:f>
              <c:strCache>
                <c:ptCount val="1"/>
                <c:pt idx="0">
                  <c:v>Total</c:v>
                </c:pt>
              </c:strCache>
            </c:strRef>
          </c:tx>
          <c:spPr>
            <a:noFill/>
            <a:ln w="25400">
              <a:noFill/>
            </a:ln>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Charts!$F$2:$O$2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Charts!$F$5:$O$5</c:f>
              <c:numCache>
                <c:formatCode>#,##0_);\(#,##0\)</c:formatCode>
                <c:ptCount val="10"/>
                <c:pt idx="0">
                  <c:v>45.540000000000006</c:v>
                </c:pt>
                <c:pt idx="1">
                  <c:v>61.97</c:v>
                </c:pt>
                <c:pt idx="2">
                  <c:v>92.830000000000013</c:v>
                </c:pt>
                <c:pt idx="3" formatCode="_(* #,##0_);_(* \(#,##0\);_(* &quot;-&quot;??_);_(@_)">
                  <c:v>107.46816244451827</c:v>
                </c:pt>
                <c:pt idx="4" formatCode="_(* #,##0_);_(* \(#,##0\);_(* &quot;-&quot;??_);_(@_)">
                  <c:v>117</c:v>
                </c:pt>
                <c:pt idx="5" formatCode="_(* #,##0_);_(* \(#,##0\);_(* &quot;-&quot;??_);_(@_)">
                  <c:v>120.72499999999999</c:v>
                </c:pt>
                <c:pt idx="6" formatCode="_(* #,##0_);_(* \(#,##0\);_(* &quot;-&quot;??_);_(@_)">
                  <c:v>127.95611000000002</c:v>
                </c:pt>
                <c:pt idx="7" formatCode="_(* #,##0_);_(* \(#,##0\);_(* &quot;-&quot;??_);_(@_)">
                  <c:v>168.54703450000002</c:v>
                </c:pt>
                <c:pt idx="8" formatCode="_(* #,##0_);_(* \(#,##0\);_(* &quot;-&quot;??_);_(@_)">
                  <c:v>196.93431247500001</c:v>
                </c:pt>
                <c:pt idx="9" formatCode="_(* #,##0_);_(* \(#,##0\);_(* &quot;-&quot;??_);_(@_)">
                  <c:v>237.39015313675003</c:v>
                </c:pt>
              </c:numCache>
            </c:numRef>
          </c:val>
          <c:extLst>
            <c:ext xmlns:c16="http://schemas.microsoft.com/office/drawing/2014/chart" uri="{C3380CC4-5D6E-409C-BE32-E72D297353CC}">
              <c16:uniqueId val="{00000002-6197-4D11-9472-AD94B329CBA1}"/>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crossAx val="327558928"/>
        <c:crosses val="autoZero"/>
        <c:auto val="1"/>
        <c:lblAlgn val="ctr"/>
        <c:lblOffset val="100"/>
        <c:noMultiLvlLbl val="0"/>
      </c:catAx>
      <c:valAx>
        <c:axId val="327558928"/>
        <c:scaling>
          <c:orientation val="minMax"/>
          <c:max val="300"/>
        </c:scaling>
        <c:delete val="0"/>
        <c:axPos val="l"/>
        <c:numFmt formatCode="#,##0_);\(#,##0\)" sourceLinked="1"/>
        <c:majorTickMark val="none"/>
        <c:minorTickMark val="none"/>
        <c:tickLblPos val="none"/>
        <c:spPr>
          <a:ln>
            <a:noFill/>
          </a:ln>
        </c:spPr>
        <c:crossAx val="327560848"/>
        <c:crosses val="autoZero"/>
        <c:crossBetween val="between"/>
      </c:valAx>
      <c:spPr>
        <a:noFill/>
      </c:spPr>
    </c:plotArea>
    <c:legend>
      <c:legendPos val="b"/>
      <c:legendEntry>
        <c:idx val="2"/>
        <c:delete val="1"/>
      </c:legendEntry>
      <c:layout>
        <c:manualLayout>
          <c:xMode val="edge"/>
          <c:yMode val="edge"/>
          <c:x val="8.6579052979695093E-2"/>
          <c:y val="0.84491536211789819"/>
          <c:w val="0.85740232093474811"/>
          <c:h val="0.15101234865593613"/>
        </c:manualLayout>
      </c:layout>
      <c:overlay val="0"/>
    </c:legend>
    <c:plotVisOnly val="1"/>
    <c:dispBlanksAs val="gap"/>
    <c:showDLblsOverMax val="0"/>
  </c:chart>
  <c:spPr>
    <a:noFill/>
    <a:ln w="3175">
      <a:noFill/>
    </a:ln>
  </c:sp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Charts!$B$2</c:f>
          <c:strCache>
            <c:ptCount val="1"/>
            <c:pt idx="0">
              <c:v>Cargo - Customer Wise, MT</c:v>
            </c:pt>
          </c:strCache>
        </c:strRef>
      </c:tx>
      <c:overlay val="0"/>
      <c:txPr>
        <a:bodyPr/>
        <a:lstStyle/>
        <a:p>
          <a:pPr>
            <a:defRPr sz="1080"/>
          </a:pPr>
          <a:endParaRPr lang="en-US"/>
        </a:p>
      </c:txPr>
    </c:title>
    <c:autoTitleDeleted val="0"/>
    <c:plotArea>
      <c:layout>
        <c:manualLayout>
          <c:layoutTarget val="inner"/>
          <c:xMode val="edge"/>
          <c:yMode val="edge"/>
          <c:x val="2.0373617929425467E-2"/>
          <c:y val="0.13921136752282004"/>
          <c:w val="0.92529673425877323"/>
          <c:h val="0.59146954809453745"/>
        </c:manualLayout>
      </c:layout>
      <c:barChart>
        <c:barDir val="col"/>
        <c:grouping val="stacked"/>
        <c:varyColors val="0"/>
        <c:ser>
          <c:idx val="0"/>
          <c:order val="0"/>
          <c:tx>
            <c:strRef>
              <c:f>Charts!$B$3</c:f>
              <c:strCache>
                <c:ptCount val="1"/>
                <c:pt idx="0">
                  <c:v>JSW Group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Charts!$F$2:$O$2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Charts!$F$3:$O$3</c:f>
              <c:numCache>
                <c:formatCode>#,##0_);\(#,##0\)</c:formatCode>
                <c:ptCount val="10"/>
                <c:pt idx="0">
                  <c:v>34.240000000000009</c:v>
                </c:pt>
                <c:pt idx="1">
                  <c:v>43.325000000000003</c:v>
                </c:pt>
                <c:pt idx="2">
                  <c:v>61.830000000000013</c:v>
                </c:pt>
                <c:pt idx="3" formatCode="_(* #,##0_);_(* \(#,##0\);_(* &quot;-&quot;??_);_(@_)">
                  <c:v>64.480897466710957</c:v>
                </c:pt>
                <c:pt idx="4" formatCode="_(* #,##0_);_(* \(#,##0\);_(* &quot;-&quot;??_);_(@_)">
                  <c:v>59.67</c:v>
                </c:pt>
                <c:pt idx="5" formatCode="_(* #,##0_);_(* \(#,##0\);_(* &quot;-&quot;??_);_(@_)">
                  <c:v>62.381694337141447</c:v>
                </c:pt>
                <c:pt idx="6" formatCode="_(* #,##0_);_(* \(#,##0\);_(* &quot;-&quot;??_);_(@_)">
                  <c:v>66.853620000000021</c:v>
                </c:pt>
                <c:pt idx="7" formatCode="_(* #,##0_);_(* \(#,##0\);_(* &quot;-&quot;??_);_(@_)">
                  <c:v>99.223213646719287</c:v>
                </c:pt>
                <c:pt idx="8" formatCode="_(* #,##0_);_(* \(#,##0\);_(* &quot;-&quot;??_);_(@_)">
                  <c:v>115.16837735749124</c:v>
                </c:pt>
                <c:pt idx="9" formatCode="_(* #,##0_);_(* \(#,##0\);_(* &quot;-&quot;??_);_(@_)">
                  <c:v>121.19395964635179</c:v>
                </c:pt>
              </c:numCache>
            </c:numRef>
          </c:val>
          <c:extLst>
            <c:ext xmlns:c16="http://schemas.microsoft.com/office/drawing/2014/chart" uri="{C3380CC4-5D6E-409C-BE32-E72D297353CC}">
              <c16:uniqueId val="{00000000-3399-459C-9381-D31C714F8698}"/>
            </c:ext>
          </c:extLst>
        </c:ser>
        <c:ser>
          <c:idx val="1"/>
          <c:order val="1"/>
          <c:tx>
            <c:strRef>
              <c:f>Charts!$B$4</c:f>
              <c:strCache>
                <c:ptCount val="1"/>
                <c:pt idx="0">
                  <c:v>Third Party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Charts!$F$2:$O$2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Charts!$F$4:$O$4</c:f>
              <c:numCache>
                <c:formatCode>#,##0_);\(#,##0\)</c:formatCode>
                <c:ptCount val="10"/>
                <c:pt idx="0">
                  <c:v>11.3</c:v>
                </c:pt>
                <c:pt idx="1">
                  <c:v>18.645</c:v>
                </c:pt>
                <c:pt idx="2">
                  <c:v>31</c:v>
                </c:pt>
                <c:pt idx="3" formatCode="_(* #,##0_);_(* \(#,##0\);_(* &quot;-&quot;??_);_(@_)">
                  <c:v>42.987264977807314</c:v>
                </c:pt>
                <c:pt idx="4" formatCode="_(* #,##0_);_(* \(#,##0\);_(* &quot;-&quot;??_);_(@_)">
                  <c:v>57.33</c:v>
                </c:pt>
                <c:pt idx="5" formatCode="_(* #,##0_);_(* \(#,##0\);_(* &quot;-&quot;??_);_(@_)">
                  <c:v>58.343305662858548</c:v>
                </c:pt>
                <c:pt idx="6" formatCode="_(* #,##0_);_(* \(#,##0\);_(* &quot;-&quot;??_);_(@_)">
                  <c:v>61.102490000000003</c:v>
                </c:pt>
                <c:pt idx="7" formatCode="_(* #,##0_);_(* \(#,##0\);_(* &quot;-&quot;??_);_(@_)">
                  <c:v>69.323820853280736</c:v>
                </c:pt>
                <c:pt idx="8" formatCode="_(* #,##0_);_(* \(#,##0\);_(* &quot;-&quot;??_);_(@_)">
                  <c:v>81.765935117508789</c:v>
                </c:pt>
                <c:pt idx="9" formatCode="_(* #,##0_);_(* \(#,##0\);_(* &quot;-&quot;??_);_(@_)">
                  <c:v>116.19619349039823</c:v>
                </c:pt>
              </c:numCache>
            </c:numRef>
          </c:val>
          <c:extLst>
            <c:ext xmlns:c16="http://schemas.microsoft.com/office/drawing/2014/chart" uri="{C3380CC4-5D6E-409C-BE32-E72D297353CC}">
              <c16:uniqueId val="{00000001-3399-459C-9381-D31C714F8698}"/>
            </c:ext>
          </c:extLst>
        </c:ser>
        <c:ser>
          <c:idx val="2"/>
          <c:order val="2"/>
          <c:tx>
            <c:strRef>
              <c:f>Charts!$B$5</c:f>
              <c:strCache>
                <c:ptCount val="1"/>
                <c:pt idx="0">
                  <c:v>Total</c:v>
                </c:pt>
              </c:strCache>
            </c:strRef>
          </c:tx>
          <c:spPr>
            <a:noFill/>
            <a:ln w="25400">
              <a:noFill/>
            </a:ln>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Charts!$F$2:$O$2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Charts!$F$5:$O$5</c:f>
              <c:numCache>
                <c:formatCode>#,##0_);\(#,##0\)</c:formatCode>
                <c:ptCount val="10"/>
                <c:pt idx="0">
                  <c:v>45.540000000000006</c:v>
                </c:pt>
                <c:pt idx="1">
                  <c:v>61.97</c:v>
                </c:pt>
                <c:pt idx="2">
                  <c:v>92.830000000000013</c:v>
                </c:pt>
                <c:pt idx="3" formatCode="_(* #,##0_);_(* \(#,##0\);_(* &quot;-&quot;??_);_(@_)">
                  <c:v>107.46816244451827</c:v>
                </c:pt>
                <c:pt idx="4" formatCode="_(* #,##0_);_(* \(#,##0\);_(* &quot;-&quot;??_);_(@_)">
                  <c:v>117</c:v>
                </c:pt>
                <c:pt idx="5" formatCode="_(* #,##0_);_(* \(#,##0\);_(* &quot;-&quot;??_);_(@_)">
                  <c:v>120.72499999999999</c:v>
                </c:pt>
                <c:pt idx="6" formatCode="_(* #,##0_);_(* \(#,##0\);_(* &quot;-&quot;??_);_(@_)">
                  <c:v>127.95611000000002</c:v>
                </c:pt>
                <c:pt idx="7" formatCode="_(* #,##0_);_(* \(#,##0\);_(* &quot;-&quot;??_);_(@_)">
                  <c:v>168.54703450000002</c:v>
                </c:pt>
                <c:pt idx="8" formatCode="_(* #,##0_);_(* \(#,##0\);_(* &quot;-&quot;??_);_(@_)">
                  <c:v>196.93431247500001</c:v>
                </c:pt>
                <c:pt idx="9" formatCode="_(* #,##0_);_(* \(#,##0\);_(* &quot;-&quot;??_);_(@_)">
                  <c:v>237.39015313675003</c:v>
                </c:pt>
              </c:numCache>
            </c:numRef>
          </c:val>
          <c:extLst>
            <c:ext xmlns:c16="http://schemas.microsoft.com/office/drawing/2014/chart" uri="{C3380CC4-5D6E-409C-BE32-E72D297353CC}">
              <c16:uniqueId val="{00000002-3399-459C-9381-D31C714F8698}"/>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crossAx val="327558928"/>
        <c:crosses val="autoZero"/>
        <c:auto val="1"/>
        <c:lblAlgn val="ctr"/>
        <c:lblOffset val="100"/>
        <c:noMultiLvlLbl val="0"/>
      </c:catAx>
      <c:valAx>
        <c:axId val="327558928"/>
        <c:scaling>
          <c:orientation val="minMax"/>
          <c:max val="300"/>
        </c:scaling>
        <c:delete val="0"/>
        <c:axPos val="l"/>
        <c:numFmt formatCode="#,##0_);\(#,##0\)" sourceLinked="1"/>
        <c:majorTickMark val="none"/>
        <c:minorTickMark val="none"/>
        <c:tickLblPos val="none"/>
        <c:spPr>
          <a:ln>
            <a:noFill/>
          </a:ln>
        </c:spPr>
        <c:crossAx val="327560848"/>
        <c:crosses val="autoZero"/>
        <c:crossBetween val="between"/>
      </c:valAx>
      <c:spPr>
        <a:noFill/>
      </c:spPr>
    </c:plotArea>
    <c:legend>
      <c:legendPos val="b"/>
      <c:legendEntry>
        <c:idx val="2"/>
        <c:delete val="1"/>
      </c:legendEntry>
      <c:layout>
        <c:manualLayout>
          <c:xMode val="edge"/>
          <c:yMode val="edge"/>
          <c:x val="8.6579052979695093E-2"/>
          <c:y val="0.84491536211789819"/>
          <c:w val="0.85740232093474811"/>
          <c:h val="0.15101234865593613"/>
        </c:manualLayout>
      </c:layout>
      <c:overlay val="0"/>
    </c:legend>
    <c:plotVisOnly val="1"/>
    <c:dispBlanksAs val="gap"/>
    <c:showDLblsOverMax val="0"/>
  </c:chart>
  <c:spPr>
    <a:noFill/>
    <a:ln w="3175">
      <a:noFill/>
    </a:ln>
  </c:sp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Charts!$B$3</c:f>
              <c:strCache>
                <c:ptCount val="1"/>
                <c:pt idx="0">
                  <c:v>JSW Group Cargo</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Charts!$U$2:$AD$2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Charts!$U$3:$AD$3</c:f>
              <c:numCache>
                <c:formatCode>0%</c:formatCode>
                <c:ptCount val="10"/>
                <c:pt idx="0">
                  <c:v>0.75186649099692593</c:v>
                </c:pt>
                <c:pt idx="1">
                  <c:v>0.69912861061804099</c:v>
                </c:pt>
                <c:pt idx="2">
                  <c:v>0.66605623182160945</c:v>
                </c:pt>
                <c:pt idx="3">
                  <c:v>0.6</c:v>
                </c:pt>
                <c:pt idx="4">
                  <c:v>0.51</c:v>
                </c:pt>
                <c:pt idx="5">
                  <c:v>0.51672556916248868</c:v>
                </c:pt>
                <c:pt idx="6">
                  <c:v>0.52247305736318495</c:v>
                </c:pt>
                <c:pt idx="7">
                  <c:v>0.58869747510579473</c:v>
                </c:pt>
                <c:pt idx="8">
                  <c:v>0.58480604984523143</c:v>
                </c:pt>
                <c:pt idx="9">
                  <c:v>0.51052648159562575</c:v>
                </c:pt>
              </c:numCache>
            </c:numRef>
          </c:val>
          <c:extLst>
            <c:ext xmlns:c16="http://schemas.microsoft.com/office/drawing/2014/chart" uri="{C3380CC4-5D6E-409C-BE32-E72D297353CC}">
              <c16:uniqueId val="{00000000-284D-4AC6-8F18-D1A56F18AE0C}"/>
            </c:ext>
          </c:extLst>
        </c:ser>
        <c:ser>
          <c:idx val="1"/>
          <c:order val="1"/>
          <c:tx>
            <c:strRef>
              <c:f>Charts!$B$4</c:f>
              <c:strCache>
                <c:ptCount val="1"/>
                <c:pt idx="0">
                  <c:v>Third Party Cargo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Charts!$U$2:$AD$2</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Charts!$U$4:$AD$4</c:f>
              <c:numCache>
                <c:formatCode>0%</c:formatCode>
                <c:ptCount val="10"/>
                <c:pt idx="0">
                  <c:v>0.24813350900307421</c:v>
                </c:pt>
                <c:pt idx="1">
                  <c:v>0.30087138938195901</c:v>
                </c:pt>
                <c:pt idx="2">
                  <c:v>0.33394376817839055</c:v>
                </c:pt>
                <c:pt idx="3">
                  <c:v>0.40000000000000008</c:v>
                </c:pt>
                <c:pt idx="4">
                  <c:v>0.49</c:v>
                </c:pt>
                <c:pt idx="5">
                  <c:v>0.48327443083751132</c:v>
                </c:pt>
                <c:pt idx="6">
                  <c:v>0.477526942636815</c:v>
                </c:pt>
                <c:pt idx="7">
                  <c:v>0.41130252489420527</c:v>
                </c:pt>
                <c:pt idx="8">
                  <c:v>0.41519395015476868</c:v>
                </c:pt>
                <c:pt idx="9">
                  <c:v>0.4894735184043742</c:v>
                </c:pt>
              </c:numCache>
            </c:numRef>
          </c:val>
          <c:extLst>
            <c:ext xmlns:c16="http://schemas.microsoft.com/office/drawing/2014/chart" uri="{C3380CC4-5D6E-409C-BE32-E72D297353CC}">
              <c16:uniqueId val="{00000001-284D-4AC6-8F18-D1A56F18AE0C}"/>
            </c:ext>
          </c:extLst>
        </c:ser>
        <c:dLbls>
          <c:showLegendKey val="0"/>
          <c:showVal val="0"/>
          <c:showCatName val="0"/>
          <c:showSerName val="0"/>
          <c:showPercent val="0"/>
          <c:showBubbleSize val="0"/>
        </c:dLbls>
        <c:gapWidth val="30"/>
        <c:overlap val="100"/>
        <c:axId val="327560848"/>
        <c:axId val="327558928"/>
      </c:barChart>
      <c:catAx>
        <c:axId val="327560848"/>
        <c:scaling>
          <c:orientation val="minMax"/>
        </c:scaling>
        <c:delete val="0"/>
        <c:axPos val="b"/>
        <c:numFmt formatCode="General" sourceLinked="1"/>
        <c:majorTickMark val="none"/>
        <c:minorTickMark val="none"/>
        <c:tickLblPos val="nextTo"/>
        <c:crossAx val="327558928"/>
        <c:crosses val="autoZero"/>
        <c:auto val="1"/>
        <c:lblAlgn val="ctr"/>
        <c:lblOffset val="100"/>
        <c:noMultiLvlLbl val="0"/>
      </c:catAx>
      <c:valAx>
        <c:axId val="327558928"/>
        <c:scaling>
          <c:orientation val="minMax"/>
          <c:max val="1"/>
        </c:scaling>
        <c:delete val="1"/>
        <c:axPos val="l"/>
        <c:numFmt formatCode="0%" sourceLinked="1"/>
        <c:majorTickMark val="none"/>
        <c:minorTickMark val="none"/>
        <c:tickLblPos val="none"/>
        <c:crossAx val="327560848"/>
        <c:crosses val="autoZero"/>
        <c:crossBetween val="between"/>
      </c:valAx>
    </c:plotArea>
    <c:plotVisOnly val="1"/>
    <c:dispBlanksAs val="gap"/>
    <c:showDLblsOverMax val="0"/>
  </c:chart>
  <c:spPr>
    <a:ln w="3175">
      <a:noFill/>
    </a:ln>
  </c:sp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930551181102364"/>
          <c:y val="6.0185185185185182E-2"/>
        </c:manualLayout>
      </c:layout>
      <c:overlay val="0"/>
    </c:title>
    <c:autoTitleDeleted val="0"/>
    <c:plotArea>
      <c:layout/>
      <c:lineChart>
        <c:grouping val="standard"/>
        <c:varyColors val="0"/>
        <c:ser>
          <c:idx val="0"/>
          <c:order val="0"/>
          <c:tx>
            <c:strRef>
              <c:f>Charts!$B$62</c:f>
              <c:strCache>
                <c:ptCount val="1"/>
                <c:pt idx="0">
                  <c:v>EBITDA/tonne</c:v>
                </c:pt>
              </c:strCache>
            </c:strRef>
          </c:tx>
          <c:spPr>
            <a:ln w="38100"/>
            <a:effectLst>
              <a:outerShdw blurRad="50800" dist="38100" dir="2700000" algn="tl" rotWithShape="0">
                <a:prstClr val="black">
                  <a:alpha val="40000"/>
                </a:prstClr>
              </a:outerShdw>
            </a:effectLst>
          </c:spPr>
          <c:marker>
            <c:symbol val="none"/>
          </c:marker>
          <c:dLbls>
            <c:spPr>
              <a:noFill/>
              <a:ln>
                <a:noFill/>
              </a:ln>
            </c:spPr>
            <c:txPr>
              <a:bodyPr/>
              <a:lstStyle/>
              <a:p>
                <a:pPr>
                  <a:defRPr>
                    <a:solidFill>
                      <a:sysClr val="windowText" lastClr="000000"/>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Charts!$C$62:$O$62</c:f>
              <c:numCache>
                <c:formatCode>_(* #,##0_);_(* \(#,##0\);_(* "-"??_);_(@_)</c:formatCode>
                <c:ptCount val="13"/>
                <c:pt idx="0">
                  <c:v>183.1548839383081</c:v>
                </c:pt>
                <c:pt idx="1">
                  <c:v>173.06776929601358</c:v>
                </c:pt>
                <c:pt idx="2">
                  <c:v>182.06054037662045</c:v>
                </c:pt>
                <c:pt idx="3">
                  <c:v>179.28751811673766</c:v>
                </c:pt>
                <c:pt idx="4">
                  <c:v>179.04831604800773</c:v>
                </c:pt>
                <c:pt idx="5">
                  <c:v>174.56870849831552</c:v>
                </c:pt>
                <c:pt idx="6">
                  <c:v>183.53827785658245</c:v>
                </c:pt>
                <c:pt idx="7">
                  <c:v>183.5664404977376</c:v>
                </c:pt>
                <c:pt idx="8">
                  <c:v>197.32024429342516</c:v>
                </c:pt>
                <c:pt idx="9">
                  <c:v>200.04312420981171</c:v>
                </c:pt>
                <c:pt idx="10">
                  <c:v>242.57191178905629</c:v>
                </c:pt>
                <c:pt idx="11">
                  <c:v>236.38150439732391</c:v>
                </c:pt>
                <c:pt idx="12">
                  <c:v>249.36234692296708</c:v>
                </c:pt>
              </c:numCache>
            </c:numRef>
          </c:val>
          <c:smooth val="0"/>
          <c:extLst>
            <c:ext xmlns:c16="http://schemas.microsoft.com/office/drawing/2014/chart" uri="{C3380CC4-5D6E-409C-BE32-E72D297353CC}">
              <c16:uniqueId val="{00000000-671C-404A-98E4-689B0D9FC16A}"/>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none"/>
        <c:minorTickMark val="none"/>
        <c:tickLblPos val="nextTo"/>
        <c:crossAx val="591642735"/>
        <c:crosses val="autoZero"/>
        <c:auto val="1"/>
        <c:lblAlgn val="ctr"/>
        <c:lblOffset val="100"/>
        <c:noMultiLvlLbl val="0"/>
      </c:catAx>
      <c:valAx>
        <c:axId val="591642735"/>
        <c:scaling>
          <c:orientation val="minMax"/>
          <c:max val="300"/>
          <c:min val="100"/>
        </c:scaling>
        <c:delete val="0"/>
        <c:axPos val="l"/>
        <c:majorGridlines>
          <c:spPr>
            <a:ln w="3175" cap="flat" cmpd="sng" algn="ctr">
              <a:noFill/>
              <a:prstDash val="dash"/>
              <a:round/>
              <a:headEnd type="none" w="med" len="med"/>
              <a:tailEnd type="none" w="med" len="med"/>
            </a:ln>
          </c:spPr>
        </c:majorGridlines>
        <c:numFmt formatCode="_(* #,##0_);_(* \(#,##0\);_(* &quot;-&quot;??_);_(@_)" sourceLinked="1"/>
        <c:majorTickMark val="out"/>
        <c:minorTickMark val="none"/>
        <c:tickLblPos val="nextTo"/>
        <c:spPr>
          <a:ln>
            <a:solidFill>
              <a:schemeClr val="accent1"/>
            </a:solidFill>
          </a:ln>
        </c:spPr>
        <c:crossAx val="591636495"/>
        <c:crosses val="autoZero"/>
        <c:crossBetween val="between"/>
        <c:majorUnit val="100"/>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Charts!$B$55</c:f>
          <c:strCache>
            <c:ptCount val="1"/>
            <c:pt idx="0">
              <c:v>EBITDA, Rs. mn</c:v>
            </c:pt>
          </c:strCache>
        </c:strRef>
      </c:tx>
      <c:overlay val="0"/>
    </c:title>
    <c:autoTitleDeleted val="0"/>
    <c:plotArea>
      <c:layout/>
      <c:barChart>
        <c:barDir val="col"/>
        <c:grouping val="clustered"/>
        <c:varyColors val="0"/>
        <c:ser>
          <c:idx val="0"/>
          <c:order val="0"/>
          <c:tx>
            <c:strRef>
              <c:f>Charts!$B$55</c:f>
              <c:strCache>
                <c:ptCount val="1"/>
                <c:pt idx="0">
                  <c:v>EBITDA, Rs. mn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Charts!$C$51:$O$51</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Charts!$C$55:$O$55</c:f>
              <c:numCache>
                <c:formatCode>_(* #,##0_);_(* \(#,##0\);_(* "-"??_);_(@_)</c:formatCode>
                <c:ptCount val="13"/>
                <c:pt idx="0">
                  <c:v>5.8783559999999984</c:v>
                </c:pt>
                <c:pt idx="1">
                  <c:v>6.1214070000000014</c:v>
                </c:pt>
                <c:pt idx="2">
                  <c:v>6.1919619999999993</c:v>
                </c:pt>
                <c:pt idx="3">
                  <c:v>8.164394999999999</c:v>
                </c:pt>
                <c:pt idx="4">
                  <c:v>11.094307999999996</c:v>
                </c:pt>
                <c:pt idx="5">
                  <c:v>16.201896000000001</c:v>
                </c:pt>
                <c:pt idx="6">
                  <c:v>19.645599999999995</c:v>
                </c:pt>
                <c:pt idx="7">
                  <c:v>22.6218</c:v>
                </c:pt>
                <c:pt idx="8">
                  <c:v>26.037299999999998</c:v>
                </c:pt>
                <c:pt idx="9">
                  <c:v>29.530876404599336</c:v>
                </c:pt>
                <c:pt idx="10">
                  <c:v>47.43942098176813</c:v>
                </c:pt>
                <c:pt idx="11">
                  <c:v>57.966427748387026</c:v>
                </c:pt>
                <c:pt idx="12">
                  <c:v>75.5068141171338</c:v>
                </c:pt>
              </c:numCache>
            </c:numRef>
          </c:val>
          <c:extLst>
            <c:ext xmlns:c16="http://schemas.microsoft.com/office/drawing/2014/chart" uri="{C3380CC4-5D6E-409C-BE32-E72D297353CC}">
              <c16:uniqueId val="{00000000-088F-493A-92E1-6B69421AA2D2}"/>
            </c:ext>
          </c:extLst>
        </c:ser>
        <c:dLbls>
          <c:dLblPos val="outEnd"/>
          <c:showLegendKey val="0"/>
          <c:showVal val="1"/>
          <c:showCatName val="0"/>
          <c:showSerName val="0"/>
          <c:showPercent val="0"/>
          <c:showBubbleSize val="0"/>
        </c:dLbls>
        <c:gapWidth val="30"/>
        <c:axId val="486333167"/>
        <c:axId val="486332687"/>
      </c:barChart>
      <c:lineChart>
        <c:grouping val="standard"/>
        <c:varyColors val="0"/>
        <c:ser>
          <c:idx val="1"/>
          <c:order val="1"/>
          <c:tx>
            <c:strRef>
              <c:f>Charts!$B$56</c:f>
              <c:strCache>
                <c:ptCount val="1"/>
                <c:pt idx="0">
                  <c:v>Margin, %</c:v>
                </c:pt>
              </c:strCache>
            </c:strRef>
          </c:tx>
          <c:spPr>
            <a:ln w="38100"/>
          </c:spPr>
          <c:marker>
            <c:symbol val="none"/>
          </c:marker>
          <c:dLbls>
            <c:spPr>
              <a:solidFill>
                <a:schemeClr val="accent2"/>
              </a:solid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Charts!$C$51:$O$51</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Charts!$C$56:$O$56</c:f>
              <c:numCache>
                <c:formatCode>0%</c:formatCode>
                <c:ptCount val="13"/>
                <c:pt idx="0">
                  <c:v>0.58895839027522057</c:v>
                </c:pt>
                <c:pt idx="1">
                  <c:v>0.56666042125776739</c:v>
                </c:pt>
                <c:pt idx="2">
                  <c:v>0.54166010217598759</c:v>
                </c:pt>
                <c:pt idx="3">
                  <c:v>0.50913851308688951</c:v>
                </c:pt>
                <c:pt idx="4">
                  <c:v>0.48807835503419433</c:v>
                </c:pt>
                <c:pt idx="5">
                  <c:v>0.50714292958336882</c:v>
                </c:pt>
                <c:pt idx="6">
                  <c:v>0.52208807592036965</c:v>
                </c:pt>
                <c:pt idx="7">
                  <c:v>0.50538633733529337</c:v>
                </c:pt>
                <c:pt idx="8">
                  <c:v>0.48564005192634813</c:v>
                </c:pt>
                <c:pt idx="9">
                  <c:v>0.40489103350763284</c:v>
                </c:pt>
                <c:pt idx="10">
                  <c:v>0.43653528913894879</c:v>
                </c:pt>
                <c:pt idx="11">
                  <c:v>0.40156530224663273</c:v>
                </c:pt>
                <c:pt idx="12">
                  <c:v>0.40045886822155319</c:v>
                </c:pt>
              </c:numCache>
            </c:numRef>
          </c:val>
          <c:smooth val="0"/>
          <c:extLst>
            <c:ext xmlns:c16="http://schemas.microsoft.com/office/drawing/2014/chart" uri="{C3380CC4-5D6E-409C-BE32-E72D297353CC}">
              <c16:uniqueId val="{00000001-088F-493A-92E1-6B69421AA2D2}"/>
            </c:ext>
          </c:extLst>
        </c:ser>
        <c:dLbls>
          <c:showLegendKey val="0"/>
          <c:showVal val="0"/>
          <c:showCatName val="0"/>
          <c:showSerName val="0"/>
          <c:showPercent val="0"/>
          <c:showBubbleSize val="0"/>
        </c:dLbls>
        <c:marker val="1"/>
        <c:smooth val="0"/>
        <c:axId val="2053972096"/>
        <c:axId val="2053962496"/>
      </c:lineChart>
      <c:catAx>
        <c:axId val="486333167"/>
        <c:scaling>
          <c:orientation val="minMax"/>
        </c:scaling>
        <c:delete val="0"/>
        <c:axPos val="b"/>
        <c:numFmt formatCode="General" sourceLinked="1"/>
        <c:majorTickMark val="none"/>
        <c:minorTickMark val="none"/>
        <c:tickLblPos val="nextTo"/>
        <c:crossAx val="486332687"/>
        <c:crosses val="autoZero"/>
        <c:auto val="1"/>
        <c:lblAlgn val="ctr"/>
        <c:lblOffset val="100"/>
        <c:noMultiLvlLbl val="0"/>
      </c:catAx>
      <c:valAx>
        <c:axId val="486332687"/>
        <c:scaling>
          <c:orientation val="minMax"/>
        </c:scaling>
        <c:delete val="0"/>
        <c:axPos val="l"/>
        <c:numFmt formatCode="_(* #,##0_);_(* \(#,##0\);_(* &quot;-&quot;??_);_(@_)" sourceLinked="1"/>
        <c:majorTickMark val="out"/>
        <c:minorTickMark val="none"/>
        <c:tickLblPos val="none"/>
        <c:spPr>
          <a:ln>
            <a:noFill/>
          </a:ln>
        </c:spPr>
        <c:crossAx val="486333167"/>
        <c:crosses val="autoZero"/>
        <c:crossBetween val="between"/>
      </c:valAx>
      <c:valAx>
        <c:axId val="2053962496"/>
        <c:scaling>
          <c:orientation val="minMax"/>
          <c:max val="0.70000000000000007"/>
          <c:min val="0.4"/>
        </c:scaling>
        <c:delete val="0"/>
        <c:axPos val="r"/>
        <c:numFmt formatCode="0%" sourceLinked="1"/>
        <c:majorTickMark val="out"/>
        <c:minorTickMark val="none"/>
        <c:tickLblPos val="none"/>
        <c:spPr>
          <a:ln>
            <a:noFill/>
          </a:ln>
        </c:spPr>
        <c:crossAx val="2053972096"/>
        <c:crosses val="max"/>
        <c:crossBetween val="between"/>
      </c:valAx>
      <c:catAx>
        <c:axId val="2053972096"/>
        <c:scaling>
          <c:orientation val="minMax"/>
        </c:scaling>
        <c:delete val="1"/>
        <c:axPos val="b"/>
        <c:numFmt formatCode="General" sourceLinked="1"/>
        <c:majorTickMark val="out"/>
        <c:minorTickMark val="none"/>
        <c:tickLblPos val="nextTo"/>
        <c:crossAx val="2053962496"/>
        <c:crosses val="autoZero"/>
        <c:auto val="1"/>
        <c:lblAlgn val="ctr"/>
        <c:lblOffset val="100"/>
        <c:noMultiLvlLbl val="0"/>
      </c:cat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Charts!$B$52</c:f>
              <c:strCache>
                <c:ptCount val="1"/>
                <c:pt idx="0">
                  <c:v>Revenue, Rs. bn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Charts!$C$51:$O$51</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Charts!$C$52:$O$52</c:f>
              <c:numCache>
                <c:formatCode>_(* #,##0_);_(* \(#,##0\);_(* "-"??_);_(@_)</c:formatCode>
                <c:ptCount val="13"/>
                <c:pt idx="0">
                  <c:v>9.980935999999998</c:v>
                </c:pt>
                <c:pt idx="1">
                  <c:v>10.802602</c:v>
                </c:pt>
                <c:pt idx="2">
                  <c:v>11.431452999999999</c:v>
                </c:pt>
                <c:pt idx="3">
                  <c:v>16.035705</c:v>
                </c:pt>
                <c:pt idx="4">
                  <c:v>22.730587999999997</c:v>
                </c:pt>
                <c:pt idx="5">
                  <c:v>31.947396000000001</c:v>
                </c:pt>
                <c:pt idx="6">
                  <c:v>37.628899999999994</c:v>
                </c:pt>
                <c:pt idx="7">
                  <c:v>44.761400000000002</c:v>
                </c:pt>
                <c:pt idx="8">
                  <c:v>53.614400000000003</c:v>
                </c:pt>
                <c:pt idx="9">
                  <c:v>72.935367693299725</c:v>
                </c:pt>
                <c:pt idx="10">
                  <c:v>108.67259111019592</c:v>
                </c:pt>
                <c:pt idx="11">
                  <c:v>144.35118628049517</c:v>
                </c:pt>
                <c:pt idx="12">
                  <c:v>188.55073544122337</c:v>
                </c:pt>
              </c:numCache>
            </c:numRef>
          </c:val>
          <c:extLst>
            <c:ext xmlns:c16="http://schemas.microsoft.com/office/drawing/2014/chart" uri="{C3380CC4-5D6E-409C-BE32-E72D297353CC}">
              <c16:uniqueId val="{00000000-5E7F-4428-9839-926E1A524164}"/>
            </c:ext>
          </c:extLst>
        </c:ser>
        <c:dLbls>
          <c:dLblPos val="outEnd"/>
          <c:showLegendKey val="0"/>
          <c:showVal val="1"/>
          <c:showCatName val="0"/>
          <c:showSerName val="0"/>
          <c:showPercent val="0"/>
          <c:showBubbleSize val="0"/>
        </c:dLbls>
        <c:gapWidth val="30"/>
        <c:overlap val="-27"/>
        <c:axId val="486333167"/>
        <c:axId val="486332687"/>
      </c:barChart>
      <c:catAx>
        <c:axId val="486333167"/>
        <c:scaling>
          <c:orientation val="minMax"/>
        </c:scaling>
        <c:delete val="0"/>
        <c:axPos val="b"/>
        <c:numFmt formatCode="General" sourceLinked="1"/>
        <c:majorTickMark val="none"/>
        <c:minorTickMark val="none"/>
        <c:tickLblPos val="nextTo"/>
        <c:crossAx val="486332687"/>
        <c:crosses val="autoZero"/>
        <c:auto val="1"/>
        <c:lblAlgn val="ctr"/>
        <c:lblOffset val="100"/>
        <c:noMultiLvlLbl val="0"/>
      </c:catAx>
      <c:valAx>
        <c:axId val="486332687"/>
        <c:scaling>
          <c:orientation val="minMax"/>
        </c:scaling>
        <c:delete val="1"/>
        <c:axPos val="l"/>
        <c:numFmt formatCode="_(* #,##0_);_(* \(#,##0\);_(* &quot;-&quot;??_);_(@_)" sourceLinked="1"/>
        <c:majorTickMark val="none"/>
        <c:minorTickMark val="none"/>
        <c:tickLblPos val="nextTo"/>
        <c:crossAx val="486333167"/>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434893922807414"/>
          <c:y val="5.4693240006348266E-2"/>
        </c:manualLayout>
      </c:layout>
      <c:overlay val="0"/>
      <c:txPr>
        <a:bodyPr/>
        <a:lstStyle/>
        <a:p>
          <a:pPr>
            <a:defRPr sz="1000"/>
          </a:pPr>
          <a:endParaRPr lang="en-US"/>
        </a:p>
      </c:txPr>
    </c:title>
    <c:autoTitleDeleted val="0"/>
    <c:plotArea>
      <c:layout/>
      <c:lineChart>
        <c:grouping val="standard"/>
        <c:varyColors val="0"/>
        <c:ser>
          <c:idx val="0"/>
          <c:order val="0"/>
          <c:tx>
            <c:strRef>
              <c:f>Charts!$B$59</c:f>
              <c:strCache>
                <c:ptCount val="1"/>
                <c:pt idx="0">
                  <c:v>Revenue/tonne</c:v>
                </c:pt>
              </c:strCache>
            </c:strRef>
          </c:tx>
          <c:spPr>
            <a:ln w="38100"/>
            <a:effectLst>
              <a:outerShdw blurRad="50800" dist="38100" dir="2700000" algn="tl" rotWithShape="0">
                <a:prstClr val="black">
                  <a:alpha val="40000"/>
                </a:prstClr>
              </a:outerShdw>
            </a:effectLst>
          </c:spPr>
          <c:marker>
            <c:symbol val="none"/>
          </c:marker>
          <c:dLbls>
            <c:spPr>
              <a:noFill/>
              <a:ln>
                <a:noFill/>
              </a:ln>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Charts!$C$59:$O$59</c:f>
              <c:numCache>
                <c:formatCode>_(* #,##0_);_(* \(#,##0\);_(* "-"??_);_(@_)</c:formatCode>
                <c:ptCount val="13"/>
                <c:pt idx="0">
                  <c:v>310.9810250817884</c:v>
                </c:pt>
                <c:pt idx="1">
                  <c:v>305.41707661860335</c:v>
                </c:pt>
                <c:pt idx="2">
                  <c:v>336.11584025708476</c:v>
                </c:pt>
                <c:pt idx="3">
                  <c:v>352.13898282752865</c:v>
                </c:pt>
                <c:pt idx="4">
                  <c:v>366.84338529100262</c:v>
                </c:pt>
                <c:pt idx="5">
                  <c:v>345.14056307565369</c:v>
                </c:pt>
                <c:pt idx="6">
                  <c:v>351.54658058993141</c:v>
                </c:pt>
                <c:pt idx="7">
                  <c:v>361.23162393162391</c:v>
                </c:pt>
                <c:pt idx="8">
                  <c:v>427.18162095564458</c:v>
                </c:pt>
                <c:pt idx="9">
                  <c:v>443.73321724508804</c:v>
                </c:pt>
                <c:pt idx="10">
                  <c:v>478.4597087245553</c:v>
                </c:pt>
                <c:pt idx="11">
                  <c:v>462.31415919190408</c:v>
                </c:pt>
                <c:pt idx="12">
                  <c:v>473.21196592813391</c:v>
                </c:pt>
              </c:numCache>
            </c:numRef>
          </c:val>
          <c:smooth val="1"/>
          <c:extLst>
            <c:ext xmlns:c16="http://schemas.microsoft.com/office/drawing/2014/chart" uri="{C3380CC4-5D6E-409C-BE32-E72D297353CC}">
              <c16:uniqueId val="{00000000-985B-4FF9-81CF-C436A583673E}"/>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none"/>
        <c:minorTickMark val="none"/>
        <c:tickLblPos val="nextTo"/>
        <c:crossAx val="591642735"/>
        <c:crosses val="autoZero"/>
        <c:auto val="1"/>
        <c:lblAlgn val="ctr"/>
        <c:lblOffset val="100"/>
        <c:noMultiLvlLbl val="0"/>
      </c:catAx>
      <c:valAx>
        <c:axId val="591642735"/>
        <c:scaling>
          <c:orientation val="minMax"/>
          <c:max val="500"/>
          <c:min val="300"/>
        </c:scaling>
        <c:delete val="1"/>
        <c:axPos val="l"/>
        <c:numFmt formatCode="_(* #,##0_);_(* \(#,##0\);_(* &quot;-&quot;??_);_(@_)" sourceLinked="1"/>
        <c:majorTickMark val="out"/>
        <c:minorTickMark val="none"/>
        <c:tickLblPos val="nextTo"/>
        <c:crossAx val="591636495"/>
        <c:crosses val="autoZero"/>
        <c:crossBetween val="between"/>
        <c:majorUnit val="100"/>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Debt, Rs. bn</a:t>
            </a:r>
          </a:p>
        </c:rich>
      </c:tx>
      <c:overlay val="0"/>
    </c:title>
    <c:autoTitleDeleted val="0"/>
    <c:plotArea>
      <c:layout/>
      <c:barChart>
        <c:barDir val="col"/>
        <c:grouping val="clustered"/>
        <c:varyColors val="0"/>
        <c:ser>
          <c:idx val="0"/>
          <c:order val="0"/>
          <c:tx>
            <c:strRef>
              <c:f>Charts!$B$87</c:f>
              <c:strCache>
                <c:ptCount val="1"/>
                <c:pt idx="0">
                  <c:v>Total Debt, Rs. bn</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Charts!$C$86:$O$86</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Charts!$C$87:$O$87</c:f>
              <c:numCache>
                <c:formatCode>_(* #,##0_);_(* \(#,##0\);_(* "-"??_);_(@_)</c:formatCode>
                <c:ptCount val="13"/>
                <c:pt idx="0">
                  <c:v>16.799911000000002</c:v>
                </c:pt>
                <c:pt idx="1">
                  <c:v>20.001206</c:v>
                </c:pt>
                <c:pt idx="2">
                  <c:v>27.167159999999999</c:v>
                </c:pt>
                <c:pt idx="3">
                  <c:v>39.458179999999999</c:v>
                </c:pt>
                <c:pt idx="4">
                  <c:v>44.086940000000006</c:v>
                </c:pt>
                <c:pt idx="5">
                  <c:v>42.436980000000005</c:v>
                </c:pt>
                <c:pt idx="6">
                  <c:v>43.806800000000003</c:v>
                </c:pt>
                <c:pt idx="7">
                  <c:v>46.588299999999997</c:v>
                </c:pt>
                <c:pt idx="8">
                  <c:v>64.098500000000001</c:v>
                </c:pt>
                <c:pt idx="9">
                  <c:v>103.25789123008481</c:v>
                </c:pt>
                <c:pt idx="10">
                  <c:v>133.15867992260425</c:v>
                </c:pt>
                <c:pt idx="11">
                  <c:v>137.06513864899509</c:v>
                </c:pt>
                <c:pt idx="12">
                  <c:v>153.55457116598683</c:v>
                </c:pt>
              </c:numCache>
            </c:numRef>
          </c:val>
          <c:extLst>
            <c:ext xmlns:c16="http://schemas.microsoft.com/office/drawing/2014/chart" uri="{C3380CC4-5D6E-409C-BE32-E72D297353CC}">
              <c16:uniqueId val="{00000000-5BDB-4BEF-BF77-148203F38003}"/>
            </c:ext>
          </c:extLst>
        </c:ser>
        <c:dLbls>
          <c:dLblPos val="outEnd"/>
          <c:showLegendKey val="0"/>
          <c:showVal val="1"/>
          <c:showCatName val="0"/>
          <c:showSerName val="0"/>
          <c:showPercent val="0"/>
          <c:showBubbleSize val="0"/>
        </c:dLbls>
        <c:gapWidth val="30"/>
        <c:axId val="812975023"/>
        <c:axId val="812975503"/>
      </c:barChart>
      <c:catAx>
        <c:axId val="812975023"/>
        <c:scaling>
          <c:orientation val="minMax"/>
        </c:scaling>
        <c:delete val="0"/>
        <c:axPos val="b"/>
        <c:numFmt formatCode="General" sourceLinked="1"/>
        <c:majorTickMark val="none"/>
        <c:minorTickMark val="none"/>
        <c:tickLblPos val="nextTo"/>
        <c:crossAx val="812975503"/>
        <c:crosses val="autoZero"/>
        <c:auto val="1"/>
        <c:lblAlgn val="ctr"/>
        <c:lblOffset val="100"/>
        <c:noMultiLvlLbl val="0"/>
      </c:catAx>
      <c:valAx>
        <c:axId val="812975503"/>
        <c:scaling>
          <c:orientation val="minMax"/>
        </c:scaling>
        <c:delete val="1"/>
        <c:axPos val="l"/>
        <c:numFmt formatCode="_(* #,##0_);_(* \(#,##0\);_(* &quot;-&quot;??_);_(@_)" sourceLinked="1"/>
        <c:majorTickMark val="none"/>
        <c:minorTickMark val="none"/>
        <c:tickLblPos val="nextTo"/>
        <c:crossAx val="812975023"/>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Charts!$B$151</c:f>
              <c:strCache>
                <c:ptCount val="1"/>
                <c:pt idx="0">
                  <c:v>Capex, Rs. bn</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Charts!$C$150:$O$150</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Charts!$C$151:$O$151</c:f>
              <c:numCache>
                <c:formatCode>#,##0_);\(#,##0\)</c:formatCode>
                <c:ptCount val="13"/>
                <c:pt idx="0">
                  <c:v>9.3780200000000011</c:v>
                </c:pt>
                <c:pt idx="1">
                  <c:v>5.5187590000000002</c:v>
                </c:pt>
                <c:pt idx="2">
                  <c:v>6.7378660000000004</c:v>
                </c:pt>
                <c:pt idx="3">
                  <c:v>17.226119999999998</c:v>
                </c:pt>
                <c:pt idx="4">
                  <c:v>5.09077</c:v>
                </c:pt>
                <c:pt idx="5">
                  <c:v>2.7935599999999998</c:v>
                </c:pt>
                <c:pt idx="6">
                  <c:v>2.4870999999999999</c:v>
                </c:pt>
                <c:pt idx="7">
                  <c:v>20.755700000000001</c:v>
                </c:pt>
                <c:pt idx="8">
                  <c:v>24.916400000000003</c:v>
                </c:pt>
                <c:pt idx="9">
                  <c:v>72.388516586806674</c:v>
                </c:pt>
                <c:pt idx="10">
                  <c:v>89.062124855980159</c:v>
                </c:pt>
                <c:pt idx="11">
                  <c:v>81.166634428177318</c:v>
                </c:pt>
                <c:pt idx="12">
                  <c:v>67.266454129035822</c:v>
                </c:pt>
              </c:numCache>
            </c:numRef>
          </c:val>
          <c:extLst>
            <c:ext xmlns:c16="http://schemas.microsoft.com/office/drawing/2014/chart" uri="{C3380CC4-5D6E-409C-BE32-E72D297353CC}">
              <c16:uniqueId val="{00000000-293D-4CFC-B463-EC7ACA273F32}"/>
            </c:ext>
          </c:extLst>
        </c:ser>
        <c:dLbls>
          <c:dLblPos val="outEnd"/>
          <c:showLegendKey val="0"/>
          <c:showVal val="1"/>
          <c:showCatName val="0"/>
          <c:showSerName val="0"/>
          <c:showPercent val="0"/>
          <c:showBubbleSize val="0"/>
        </c:dLbls>
        <c:gapWidth val="30"/>
        <c:overlap val="-27"/>
        <c:axId val="1169831984"/>
        <c:axId val="1169826704"/>
      </c:barChart>
      <c:catAx>
        <c:axId val="1169831984"/>
        <c:scaling>
          <c:orientation val="minMax"/>
        </c:scaling>
        <c:delete val="0"/>
        <c:axPos val="b"/>
        <c:numFmt formatCode="General" sourceLinked="1"/>
        <c:majorTickMark val="none"/>
        <c:minorTickMark val="none"/>
        <c:tickLblPos val="nextTo"/>
        <c:crossAx val="1169826704"/>
        <c:crosses val="autoZero"/>
        <c:auto val="1"/>
        <c:lblAlgn val="ctr"/>
        <c:lblOffset val="100"/>
        <c:noMultiLvlLbl val="0"/>
      </c:catAx>
      <c:valAx>
        <c:axId val="1169826704"/>
        <c:scaling>
          <c:orientation val="minMax"/>
        </c:scaling>
        <c:delete val="1"/>
        <c:axPos val="l"/>
        <c:numFmt formatCode="#,##0_);\(#,##0\)" sourceLinked="1"/>
        <c:majorTickMark val="none"/>
        <c:minorTickMark val="none"/>
        <c:tickLblPos val="nextTo"/>
        <c:crossAx val="1169831984"/>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Debt, Rs. bn</a:t>
            </a:r>
          </a:p>
        </c:rich>
      </c:tx>
      <c:overlay val="0"/>
    </c:title>
    <c:autoTitleDeleted val="0"/>
    <c:plotArea>
      <c:layout/>
      <c:barChart>
        <c:barDir val="col"/>
        <c:grouping val="clustered"/>
        <c:varyColors val="0"/>
        <c:ser>
          <c:idx val="0"/>
          <c:order val="0"/>
          <c:tx>
            <c:strRef>
              <c:f>Charts!$B$87</c:f>
              <c:strCache>
                <c:ptCount val="1"/>
                <c:pt idx="0">
                  <c:v>Total Debt, Rs. bn</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Charts!$C$86:$O$86</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Charts!$C$87:$O$87</c:f>
              <c:numCache>
                <c:formatCode>_(* #,##0_);_(* \(#,##0\);_(* "-"??_);_(@_)</c:formatCode>
                <c:ptCount val="13"/>
                <c:pt idx="0">
                  <c:v>16.799911000000002</c:v>
                </c:pt>
                <c:pt idx="1">
                  <c:v>20.001206</c:v>
                </c:pt>
                <c:pt idx="2">
                  <c:v>27.167159999999999</c:v>
                </c:pt>
                <c:pt idx="3">
                  <c:v>39.458179999999999</c:v>
                </c:pt>
                <c:pt idx="4">
                  <c:v>44.086940000000006</c:v>
                </c:pt>
                <c:pt idx="5">
                  <c:v>42.436980000000005</c:v>
                </c:pt>
                <c:pt idx="6">
                  <c:v>43.806800000000003</c:v>
                </c:pt>
                <c:pt idx="7">
                  <c:v>46.588299999999997</c:v>
                </c:pt>
                <c:pt idx="8">
                  <c:v>64.098500000000001</c:v>
                </c:pt>
                <c:pt idx="9">
                  <c:v>103.25789123008481</c:v>
                </c:pt>
                <c:pt idx="10">
                  <c:v>133.15867992260425</c:v>
                </c:pt>
                <c:pt idx="11">
                  <c:v>137.06513864899509</c:v>
                </c:pt>
                <c:pt idx="12">
                  <c:v>153.55457116598683</c:v>
                </c:pt>
              </c:numCache>
            </c:numRef>
          </c:val>
          <c:extLst>
            <c:ext xmlns:c16="http://schemas.microsoft.com/office/drawing/2014/chart" uri="{C3380CC4-5D6E-409C-BE32-E72D297353CC}">
              <c16:uniqueId val="{00000000-7E9B-4E37-8832-77C432126D7B}"/>
            </c:ext>
          </c:extLst>
        </c:ser>
        <c:dLbls>
          <c:dLblPos val="outEnd"/>
          <c:showLegendKey val="0"/>
          <c:showVal val="1"/>
          <c:showCatName val="0"/>
          <c:showSerName val="0"/>
          <c:showPercent val="0"/>
          <c:showBubbleSize val="0"/>
        </c:dLbls>
        <c:gapWidth val="30"/>
        <c:axId val="812975023"/>
        <c:axId val="812975503"/>
      </c:barChart>
      <c:catAx>
        <c:axId val="812975023"/>
        <c:scaling>
          <c:orientation val="minMax"/>
        </c:scaling>
        <c:delete val="0"/>
        <c:axPos val="b"/>
        <c:numFmt formatCode="General" sourceLinked="1"/>
        <c:majorTickMark val="none"/>
        <c:minorTickMark val="none"/>
        <c:tickLblPos val="nextTo"/>
        <c:crossAx val="812975503"/>
        <c:crosses val="autoZero"/>
        <c:auto val="1"/>
        <c:lblAlgn val="ctr"/>
        <c:lblOffset val="100"/>
        <c:noMultiLvlLbl val="0"/>
      </c:catAx>
      <c:valAx>
        <c:axId val="812975503"/>
        <c:scaling>
          <c:orientation val="minMax"/>
        </c:scaling>
        <c:delete val="1"/>
        <c:axPos val="l"/>
        <c:numFmt formatCode="_(* #,##0_);_(* \(#,##0\);_(* &quot;-&quot;??_);_(@_)" sourceLinked="1"/>
        <c:majorTickMark val="none"/>
        <c:minorTickMark val="none"/>
        <c:tickLblPos val="nextTo"/>
        <c:crossAx val="812975023"/>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Charts!$B$160</c:f>
          <c:strCache>
            <c:ptCount val="1"/>
            <c:pt idx="0">
              <c:v>JSW Infra Capacity Utilisation,%</c:v>
            </c:pt>
          </c:strCache>
        </c:strRef>
      </c:tx>
      <c:overlay val="0"/>
    </c:title>
    <c:autoTitleDeleted val="0"/>
    <c:plotArea>
      <c:layout/>
      <c:lineChart>
        <c:grouping val="standard"/>
        <c:varyColors val="0"/>
        <c:ser>
          <c:idx val="0"/>
          <c:order val="0"/>
          <c:tx>
            <c:strRef>
              <c:f>Charts!$B$161</c:f>
              <c:strCache>
                <c:ptCount val="1"/>
                <c:pt idx="0">
                  <c:v>JSW Infra Capacity Utilisation,%</c:v>
                </c:pt>
              </c:strCache>
            </c:strRef>
          </c:tx>
          <c:spPr>
            <a:ln w="38100"/>
            <a:effectLst>
              <a:outerShdw blurRad="50800" dist="38100" dir="2700000" algn="tl" rotWithShape="0">
                <a:prstClr val="black">
                  <a:alpha val="40000"/>
                </a:prstClr>
              </a:outerShdw>
            </a:effectLst>
          </c:spPr>
          <c:marker>
            <c:symbol val="none"/>
          </c:marker>
          <c:dLbls>
            <c:spPr>
              <a:noFill/>
              <a:ln>
                <a:noFill/>
              </a:ln>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Charts!$E$58:$O$58</c:f>
              <c:strCache>
                <c:ptCount val="11"/>
                <c:pt idx="0">
                  <c:v>FY20</c:v>
                </c:pt>
                <c:pt idx="1">
                  <c:v>FY21</c:v>
                </c:pt>
                <c:pt idx="2">
                  <c:v>FY22</c:v>
                </c:pt>
                <c:pt idx="3">
                  <c:v>FY23</c:v>
                </c:pt>
                <c:pt idx="4">
                  <c:v>FY24</c:v>
                </c:pt>
                <c:pt idx="5">
                  <c:v>FY25</c:v>
                </c:pt>
                <c:pt idx="6">
                  <c:v>FY26</c:v>
                </c:pt>
                <c:pt idx="7">
                  <c:v>FY27E</c:v>
                </c:pt>
                <c:pt idx="8">
                  <c:v>FY28E</c:v>
                </c:pt>
                <c:pt idx="9">
                  <c:v>FY29E</c:v>
                </c:pt>
                <c:pt idx="10">
                  <c:v>FY30E</c:v>
                </c:pt>
              </c:strCache>
            </c:strRef>
          </c:cat>
          <c:val>
            <c:numRef>
              <c:f>Charts!$E$161:$O$161</c:f>
              <c:numCache>
                <c:formatCode>0%</c:formatCode>
                <c:ptCount val="11"/>
                <c:pt idx="0">
                  <c:v>0.40012301190588234</c:v>
                </c:pt>
                <c:pt idx="1">
                  <c:v>0.41025225225225231</c:v>
                </c:pt>
                <c:pt idx="2">
                  <c:v>0.40183300399487676</c:v>
                </c:pt>
                <c:pt idx="3">
                  <c:v>0.58592801567689878</c:v>
                </c:pt>
                <c:pt idx="4">
                  <c:v>0.62963624967363674</c:v>
                </c:pt>
                <c:pt idx="5">
                  <c:v>0.66139061616732631</c:v>
                </c:pt>
                <c:pt idx="6">
                  <c:v>0.66050328227571109</c:v>
                </c:pt>
                <c:pt idx="7">
                  <c:v>0.64748562898492068</c:v>
                </c:pt>
                <c:pt idx="8">
                  <c:v>0.56197330788210198</c:v>
                </c:pt>
                <c:pt idx="9">
                  <c:v>0.57596605192735151</c:v>
                </c:pt>
                <c:pt idx="10">
                  <c:v>0.59064030935696166</c:v>
                </c:pt>
              </c:numCache>
            </c:numRef>
          </c:val>
          <c:smooth val="0"/>
          <c:extLst>
            <c:ext xmlns:c16="http://schemas.microsoft.com/office/drawing/2014/chart" uri="{C3380CC4-5D6E-409C-BE32-E72D297353CC}">
              <c16:uniqueId val="{00000000-960E-43BE-9469-379B229412D8}"/>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9"/>
          <c:min val="0.30000000000000004"/>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0%" sourceLinked="1"/>
        <c:majorTickMark val="none"/>
        <c:minorTickMark val="none"/>
        <c:tickLblPos val="none"/>
        <c:spPr>
          <a:ln>
            <a:noFill/>
          </a:ln>
        </c:spPr>
        <c:crossAx val="591636495"/>
        <c:crosses val="autoZero"/>
        <c:crossBetween val="between"/>
        <c:majorUnit val="100"/>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Charts!$B$90</c:f>
          <c:strCache>
            <c:ptCount val="1"/>
            <c:pt idx="0">
              <c:v>Consolidated RoE, %</c:v>
            </c:pt>
          </c:strCache>
        </c:strRef>
      </c:tx>
      <c:layout>
        <c:manualLayout>
          <c:xMode val="edge"/>
          <c:yMode val="edge"/>
          <c:x val="0.38954273927834765"/>
          <c:y val="9.2592592592592587E-3"/>
        </c:manualLayout>
      </c:layout>
      <c:overlay val="0"/>
    </c:title>
    <c:autoTitleDeleted val="0"/>
    <c:plotArea>
      <c:layout/>
      <c:lineChart>
        <c:grouping val="standard"/>
        <c:varyColors val="0"/>
        <c:ser>
          <c:idx val="0"/>
          <c:order val="0"/>
          <c:tx>
            <c:strRef>
              <c:f>Charts!$B$91</c:f>
              <c:strCache>
                <c:ptCount val="1"/>
                <c:pt idx="0">
                  <c:v>RoE</c:v>
                </c:pt>
              </c:strCache>
            </c:strRef>
          </c:tx>
          <c:spPr>
            <a:ln w="38100"/>
            <a:effectLst>
              <a:outerShdw blurRad="50800" dist="38100" dir="2700000" algn="tl" rotWithShape="0">
                <a:prstClr val="black">
                  <a:alpha val="40000"/>
                </a:prstClr>
              </a:outerShdw>
            </a:effectLst>
          </c:spPr>
          <c:marker>
            <c:symbol val="none"/>
          </c:marker>
          <c:dLbls>
            <c:spPr>
              <a:solidFill>
                <a:schemeClr val="accent1"/>
              </a:solidFill>
              <a:ln>
                <a:noFill/>
              </a:ln>
            </c:spPr>
            <c:txPr>
              <a:bodyPr/>
              <a:lstStyle/>
              <a:p>
                <a:pPr>
                  <a:defRPr>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Charts!$C$90:$O$90</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Charts!$C$91:$O$91</c:f>
              <c:numCache>
                <c:formatCode>0%</c:formatCode>
                <c:ptCount val="13"/>
                <c:pt idx="0">
                  <c:v>0.21492996154678787</c:v>
                </c:pt>
                <c:pt idx="1">
                  <c:v>9.6977702949819528E-2</c:v>
                </c:pt>
                <c:pt idx="2">
                  <c:v>7.0061911585699216E-2</c:v>
                </c:pt>
                <c:pt idx="3">
                  <c:v>0.10713915596213013</c:v>
                </c:pt>
                <c:pt idx="4">
                  <c:v>0.10641914069864664</c:v>
                </c:pt>
                <c:pt idx="5">
                  <c:v>0.20362288854855615</c:v>
                </c:pt>
                <c:pt idx="6">
                  <c:v>0.19231535518927931</c:v>
                </c:pt>
                <c:pt idx="7">
                  <c:v>0.16961665066133427</c:v>
                </c:pt>
                <c:pt idx="8">
                  <c:v>0.14807819426082897</c:v>
                </c:pt>
                <c:pt idx="9">
                  <c:v>0.10696856730936379</c:v>
                </c:pt>
                <c:pt idx="10">
                  <c:v>0.11700729871464516</c:v>
                </c:pt>
                <c:pt idx="11">
                  <c:v>0.11064445821563842</c:v>
                </c:pt>
                <c:pt idx="12">
                  <c:v>0.11454798738011347</c:v>
                </c:pt>
              </c:numCache>
            </c:numRef>
          </c:val>
          <c:smooth val="0"/>
          <c:extLst>
            <c:ext xmlns:c16="http://schemas.microsoft.com/office/drawing/2014/chart" uri="{C3380CC4-5D6E-409C-BE32-E72D297353CC}">
              <c16:uniqueId val="{00000000-8E40-4AE0-8E69-0095E8B3007A}"/>
            </c:ext>
          </c:extLst>
        </c:ser>
        <c:dLbls>
          <c:dLblPos val="t"/>
          <c:showLegendKey val="0"/>
          <c:showVal val="1"/>
          <c:showCatName val="0"/>
          <c:showSerName val="0"/>
          <c:showPercent val="0"/>
          <c:showBubbleSize val="0"/>
        </c:dLbls>
        <c:smooth val="0"/>
        <c:axId val="754714271"/>
        <c:axId val="754710431"/>
      </c:lineChart>
      <c:catAx>
        <c:axId val="754714271"/>
        <c:scaling>
          <c:orientation val="minMax"/>
        </c:scaling>
        <c:delete val="0"/>
        <c:axPos val="b"/>
        <c:numFmt formatCode="General" sourceLinked="1"/>
        <c:majorTickMark val="none"/>
        <c:minorTickMark val="none"/>
        <c:tickLblPos val="nextTo"/>
        <c:crossAx val="754710431"/>
        <c:crosses val="autoZero"/>
        <c:auto val="1"/>
        <c:lblAlgn val="ctr"/>
        <c:lblOffset val="100"/>
        <c:noMultiLvlLbl val="0"/>
      </c:catAx>
      <c:valAx>
        <c:axId val="754710431"/>
        <c:scaling>
          <c:orientation val="minMax"/>
          <c:min val="5.000000000000001E-2"/>
        </c:scaling>
        <c:delete val="0"/>
        <c:axPos val="l"/>
        <c:numFmt formatCode="0%" sourceLinked="1"/>
        <c:majorTickMark val="none"/>
        <c:minorTickMark val="none"/>
        <c:tickLblPos val="none"/>
        <c:spPr>
          <a:ln>
            <a:noFill/>
          </a:ln>
        </c:spPr>
        <c:crossAx val="754714271"/>
        <c:crosses val="autoZero"/>
        <c:crossBetween val="between"/>
      </c:valAx>
      <c:spPr>
        <a:ln>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Charts!$B$156</c:f>
          <c:strCache>
            <c:ptCount val="1"/>
            <c:pt idx="0">
              <c:v>Return Metrics</c:v>
            </c:pt>
          </c:strCache>
        </c:strRef>
      </c:tx>
      <c:layout>
        <c:manualLayout>
          <c:xMode val="edge"/>
          <c:yMode val="edge"/>
          <c:x val="4.735518278268433E-2"/>
          <c:y val="2.3594992510912221E-2"/>
        </c:manualLayout>
      </c:layout>
      <c:overlay val="0"/>
    </c:title>
    <c:autoTitleDeleted val="0"/>
    <c:plotArea>
      <c:layout/>
      <c:lineChart>
        <c:grouping val="standard"/>
        <c:varyColors val="0"/>
        <c:ser>
          <c:idx val="0"/>
          <c:order val="0"/>
          <c:tx>
            <c:strRef>
              <c:f>Charts!$B$157</c:f>
              <c:strCache>
                <c:ptCount val="1"/>
                <c:pt idx="0">
                  <c:v>Reported RoCE, %</c:v>
                </c:pt>
              </c:strCache>
            </c:strRef>
          </c:tx>
          <c:spPr>
            <a:ln w="38100"/>
            <a:effectLst>
              <a:outerShdw blurRad="50800" dist="38100" dir="2700000" algn="tl" rotWithShape="0">
                <a:prstClr val="black">
                  <a:alpha val="40000"/>
                </a:prstClr>
              </a:outerShdw>
            </a:effectLst>
          </c:spPr>
          <c:marker>
            <c:symbol val="none"/>
          </c:marker>
          <c:dLbls>
            <c:dLbl>
              <c:idx val="5"/>
              <c:layout>
                <c:manualLayout>
                  <c:x val="-2.9986043988428104E-2"/>
                  <c:y val="-3.5657095115425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AFF-4D64-982D-11CFF94CF09E}"/>
                </c:ext>
              </c:extLst>
            </c:dLbl>
            <c:spPr>
              <a:noFill/>
              <a:ln>
                <a:noFill/>
              </a:ln>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Charts!$C$157:$O$157</c:f>
              <c:numCache>
                <c:formatCode>0%</c:formatCode>
                <c:ptCount val="13"/>
                <c:pt idx="0">
                  <c:v>7.9825280398223161E-2</c:v>
                </c:pt>
                <c:pt idx="1">
                  <c:v>8.3184228547020858E-2</c:v>
                </c:pt>
                <c:pt idx="2">
                  <c:v>7.0667832483507428E-2</c:v>
                </c:pt>
                <c:pt idx="3">
                  <c:v>5.7397405962590922E-2</c:v>
                </c:pt>
                <c:pt idx="4">
                  <c:v>7.4227294556233336E-2</c:v>
                </c:pt>
                <c:pt idx="5">
                  <c:v>0.14636346684270354</c:v>
                </c:pt>
                <c:pt idx="6">
                  <c:v>0.10780053031319661</c:v>
                </c:pt>
                <c:pt idx="7">
                  <c:v>0.11065758374088255</c:v>
                </c:pt>
                <c:pt idx="8">
                  <c:v>0.10223813388390543</c:v>
                </c:pt>
                <c:pt idx="9">
                  <c:v>6.5187404509055927E-2</c:v>
                </c:pt>
                <c:pt idx="10">
                  <c:v>8.5124082592965736E-2</c:v>
                </c:pt>
                <c:pt idx="11">
                  <c:v>8.7864621734563608E-2</c:v>
                </c:pt>
                <c:pt idx="12">
                  <c:v>9.5771964124638356E-2</c:v>
                </c:pt>
              </c:numCache>
            </c:numRef>
          </c:val>
          <c:smooth val="0"/>
          <c:extLst>
            <c:ext xmlns:c16="http://schemas.microsoft.com/office/drawing/2014/chart" uri="{C3380CC4-5D6E-409C-BE32-E72D297353CC}">
              <c16:uniqueId val="{00000001-1AFF-4D64-982D-11CFF94CF09E}"/>
            </c:ext>
          </c:extLst>
        </c:ser>
        <c:ser>
          <c:idx val="1"/>
          <c:order val="1"/>
          <c:tx>
            <c:strRef>
              <c:f>Charts!$B$158</c:f>
              <c:strCache>
                <c:ptCount val="1"/>
                <c:pt idx="0">
                  <c:v>RoIC (Pre-Tax), %</c:v>
                </c:pt>
              </c:strCache>
            </c:strRef>
          </c:tx>
          <c:spPr>
            <a:ln w="38100"/>
            <a:effectLst>
              <a:outerShdw blurRad="50800" dist="38100" dir="2700000" algn="tl" rotWithShape="0">
                <a:prstClr val="black">
                  <a:alpha val="40000"/>
                </a:prstClr>
              </a:outerShdw>
            </a:effectLst>
          </c:spPr>
          <c:marker>
            <c:symbol val="none"/>
          </c:marker>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Charts!$C$58:$O$58</c:f>
              <c:strCache>
                <c:ptCount val="13"/>
                <c:pt idx="0">
                  <c:v>FY18</c:v>
                </c:pt>
                <c:pt idx="1">
                  <c:v>FY19</c:v>
                </c:pt>
                <c:pt idx="2">
                  <c:v>FY20</c:v>
                </c:pt>
                <c:pt idx="3">
                  <c:v>FY21</c:v>
                </c:pt>
                <c:pt idx="4">
                  <c:v>FY22</c:v>
                </c:pt>
                <c:pt idx="5">
                  <c:v>FY23</c:v>
                </c:pt>
                <c:pt idx="6">
                  <c:v>FY24</c:v>
                </c:pt>
                <c:pt idx="7">
                  <c:v>FY25</c:v>
                </c:pt>
                <c:pt idx="8">
                  <c:v>FY26</c:v>
                </c:pt>
                <c:pt idx="9">
                  <c:v>FY27E</c:v>
                </c:pt>
                <c:pt idx="10">
                  <c:v>FY28E</c:v>
                </c:pt>
                <c:pt idx="11">
                  <c:v>FY29E</c:v>
                </c:pt>
                <c:pt idx="12">
                  <c:v>FY30E</c:v>
                </c:pt>
              </c:strCache>
            </c:strRef>
          </c:cat>
          <c:val>
            <c:numRef>
              <c:f>Charts!$C$158:$O$158</c:f>
              <c:numCache>
                <c:formatCode>0%</c:formatCode>
                <c:ptCount val="13"/>
                <c:pt idx="0">
                  <c:v>0.12321637951393519</c:v>
                </c:pt>
                <c:pt idx="1">
                  <c:v>9.737571603772896E-2</c:v>
                </c:pt>
                <c:pt idx="2">
                  <c:v>9.9630522905973171E-2</c:v>
                </c:pt>
                <c:pt idx="3">
                  <c:v>0.10774786287998174</c:v>
                </c:pt>
                <c:pt idx="4">
                  <c:v>0.11927532362055952</c:v>
                </c:pt>
                <c:pt idx="5">
                  <c:v>0.18744126191510233</c:v>
                </c:pt>
                <c:pt idx="6">
                  <c:v>0.21047912575460398</c:v>
                </c:pt>
                <c:pt idx="7">
                  <c:v>0.1839322605925911</c:v>
                </c:pt>
                <c:pt idx="8">
                  <c:v>0.17241084980114704</c:v>
                </c:pt>
                <c:pt idx="9">
                  <c:v>0.15631751573354791</c:v>
                </c:pt>
                <c:pt idx="10">
                  <c:v>0.16514072415133774</c:v>
                </c:pt>
                <c:pt idx="11">
                  <c:v>0.13582471004410138</c:v>
                </c:pt>
                <c:pt idx="12">
                  <c:v>0.13929477681831517</c:v>
                </c:pt>
              </c:numCache>
            </c:numRef>
          </c:val>
          <c:smooth val="0"/>
          <c:extLst>
            <c:ext xmlns:c16="http://schemas.microsoft.com/office/drawing/2014/chart" uri="{C3380CC4-5D6E-409C-BE32-E72D297353CC}">
              <c16:uniqueId val="{00000002-1AFF-4D64-982D-11CFF94CF09E}"/>
            </c:ext>
          </c:extLst>
        </c:ser>
        <c:dLbls>
          <c:dLblPos val="t"/>
          <c:showLegendKey val="0"/>
          <c:showVal val="1"/>
          <c:showCatName val="0"/>
          <c:showSerName val="0"/>
          <c:showPercent val="0"/>
          <c:showBubbleSize val="0"/>
        </c:dLbls>
        <c:smooth val="0"/>
        <c:axId val="591636495"/>
        <c:axId val="591642735"/>
      </c:lineChart>
      <c:catAx>
        <c:axId val="591636495"/>
        <c:scaling>
          <c:orientation val="minMax"/>
        </c:scaling>
        <c:delete val="0"/>
        <c:axPos val="b"/>
        <c:numFmt formatCode="General" sourceLinked="1"/>
        <c:majorTickMark val="out"/>
        <c:minorTickMark val="none"/>
        <c:tickLblPos val="nextTo"/>
        <c:crossAx val="591642735"/>
        <c:crosses val="autoZero"/>
        <c:auto val="1"/>
        <c:lblAlgn val="ctr"/>
        <c:lblOffset val="100"/>
        <c:noMultiLvlLbl val="0"/>
      </c:catAx>
      <c:valAx>
        <c:axId val="591642735"/>
        <c:scaling>
          <c:orientation val="minMax"/>
          <c:max val="0.30000000000000004"/>
          <c:min val="0"/>
        </c:scaling>
        <c:delete val="0"/>
        <c:axPos val="l"/>
        <c:majorGridlines>
          <c:spPr>
            <a:ln w="3175" cap="flat" cmpd="sng" algn="ctr">
              <a:solidFill>
                <a:schemeClr val="bg1">
                  <a:lumMod val="75000"/>
                </a:schemeClr>
              </a:solidFill>
              <a:prstDash val="solid"/>
              <a:round/>
              <a:headEnd type="none" w="med" len="med"/>
              <a:tailEnd type="none" w="med" len="med"/>
            </a:ln>
          </c:spPr>
        </c:majorGridlines>
        <c:numFmt formatCode="0%" sourceLinked="1"/>
        <c:majorTickMark val="none"/>
        <c:minorTickMark val="none"/>
        <c:tickLblPos val="none"/>
        <c:spPr>
          <a:ln>
            <a:noFill/>
          </a:ln>
        </c:spPr>
        <c:crossAx val="591636495"/>
        <c:crosses val="autoZero"/>
        <c:crossBetween val="between"/>
        <c:majorUnit val="100"/>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Charts!$B$41</c:f>
          <c:strCache>
            <c:ptCount val="1"/>
            <c:pt idx="0">
              <c:v>Volumes - Cargowise, MT</c:v>
            </c:pt>
          </c:strCache>
        </c:strRef>
      </c:tx>
      <c:layout>
        <c:manualLayout>
          <c:xMode val="edge"/>
          <c:yMode val="edge"/>
          <c:x val="0.36759273713807722"/>
          <c:y val="3.0679947352888242E-2"/>
        </c:manualLayout>
      </c:layout>
      <c:overlay val="0"/>
    </c:title>
    <c:autoTitleDeleted val="0"/>
    <c:plotArea>
      <c:layout>
        <c:manualLayout>
          <c:layoutTarget val="inner"/>
          <c:xMode val="edge"/>
          <c:yMode val="edge"/>
          <c:x val="2.334840264259825E-2"/>
          <c:y val="0.13389260488455362"/>
          <c:w val="0.97578160240845635"/>
          <c:h val="0.55765313702461683"/>
        </c:manualLayout>
      </c:layout>
      <c:barChart>
        <c:barDir val="col"/>
        <c:grouping val="stacked"/>
        <c:varyColors val="0"/>
        <c:ser>
          <c:idx val="0"/>
          <c:order val="0"/>
          <c:tx>
            <c:strRef>
              <c:f>Charts!$B$42</c:f>
              <c:strCache>
                <c:ptCount val="1"/>
                <c:pt idx="0">
                  <c:v>Iron Ore</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Charts!$F$42:$O$42</c:f>
              <c:numCache>
                <c:formatCode>_(* #,##0_);_(* \(#,##0\);_(* "-"??_);_(@_)</c:formatCode>
                <c:ptCount val="10"/>
                <c:pt idx="0">
                  <c:v>11.606666666666667</c:v>
                </c:pt>
                <c:pt idx="1">
                  <c:v>14.159890390666666</c:v>
                </c:pt>
                <c:pt idx="2">
                  <c:v>22.283333333333331</c:v>
                </c:pt>
                <c:pt idx="3">
                  <c:v>40.466333333333324</c:v>
                </c:pt>
                <c:pt idx="4">
                  <c:v>34.298333333333332</c:v>
                </c:pt>
                <c:pt idx="5">
                  <c:v>33.786000000000001</c:v>
                </c:pt>
                <c:pt idx="6">
                  <c:v>36.905440000000006</c:v>
                </c:pt>
                <c:pt idx="7">
                  <c:v>65.228980000000007</c:v>
                </c:pt>
                <c:pt idx="8">
                  <c:v>80.894979800000002</c:v>
                </c:pt>
                <c:pt idx="9">
                  <c:v>86.783959158000002</c:v>
                </c:pt>
              </c:numCache>
            </c:numRef>
          </c:val>
          <c:extLst>
            <c:ext xmlns:c16="http://schemas.microsoft.com/office/drawing/2014/chart" uri="{C3380CC4-5D6E-409C-BE32-E72D297353CC}">
              <c16:uniqueId val="{00000000-D0E2-4C4C-AF99-0208EE170E33}"/>
            </c:ext>
          </c:extLst>
        </c:ser>
        <c:ser>
          <c:idx val="1"/>
          <c:order val="1"/>
          <c:tx>
            <c:strRef>
              <c:f>Charts!$B$43</c:f>
              <c:strCache>
                <c:ptCount val="1"/>
                <c:pt idx="0">
                  <c:v>Thermal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Charts!$F$43:$O$43</c:f>
              <c:numCache>
                <c:formatCode>_(* #,##0_);_(* \(#,##0\);_(* "-"??_);_(@_)</c:formatCode>
                <c:ptCount val="10"/>
                <c:pt idx="0">
                  <c:v>3.88</c:v>
                </c:pt>
                <c:pt idx="1">
                  <c:v>5.21</c:v>
                </c:pt>
                <c:pt idx="2">
                  <c:v>26.92</c:v>
                </c:pt>
                <c:pt idx="3">
                  <c:v>35.790000000000006</c:v>
                </c:pt>
                <c:pt idx="4">
                  <c:v>40.534998999999999</c:v>
                </c:pt>
                <c:pt idx="5">
                  <c:v>40.03</c:v>
                </c:pt>
                <c:pt idx="6">
                  <c:v>41.002300000000005</c:v>
                </c:pt>
                <c:pt idx="7">
                  <c:v>43.735925000000009</c:v>
                </c:pt>
                <c:pt idx="8">
                  <c:v>45.988761850000003</c:v>
                </c:pt>
                <c:pt idx="9">
                  <c:v>48.078287254500012</c:v>
                </c:pt>
              </c:numCache>
            </c:numRef>
          </c:val>
          <c:extLst>
            <c:ext xmlns:c16="http://schemas.microsoft.com/office/drawing/2014/chart" uri="{C3380CC4-5D6E-409C-BE32-E72D297353CC}">
              <c16:uniqueId val="{00000001-D0E2-4C4C-AF99-0208EE170E33}"/>
            </c:ext>
          </c:extLst>
        </c:ser>
        <c:ser>
          <c:idx val="2"/>
          <c:order val="2"/>
          <c:tx>
            <c:strRef>
              <c:f>Charts!$B$44</c:f>
              <c:strCache>
                <c:ptCount val="1"/>
                <c:pt idx="0">
                  <c:v>Non-Thermal Coal</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Charts!$F$44:$O$44</c:f>
              <c:numCache>
                <c:formatCode>_(* #,##0_);_(* \(#,##0\);_(* "-"??_);_(@_)</c:formatCode>
                <c:ptCount val="10"/>
                <c:pt idx="0">
                  <c:v>23.713333333333335</c:v>
                </c:pt>
                <c:pt idx="1">
                  <c:v>33.370109609333333</c:v>
                </c:pt>
                <c:pt idx="2">
                  <c:v>31.196666666666665</c:v>
                </c:pt>
                <c:pt idx="3">
                  <c:v>20.247666666666667</c:v>
                </c:pt>
                <c:pt idx="4">
                  <c:v>16.078666666666667</c:v>
                </c:pt>
                <c:pt idx="5">
                  <c:v>19.975000000000001</c:v>
                </c:pt>
                <c:pt idx="6">
                  <c:v>21.092420000000004</c:v>
                </c:pt>
                <c:pt idx="7">
                  <c:v>25.781755</c:v>
                </c:pt>
                <c:pt idx="8">
                  <c:v>27.957129200000004</c:v>
                </c:pt>
                <c:pt idx="9">
                  <c:v>29.058997968</c:v>
                </c:pt>
              </c:numCache>
            </c:numRef>
          </c:val>
          <c:extLst>
            <c:ext xmlns:c16="http://schemas.microsoft.com/office/drawing/2014/chart" uri="{C3380CC4-5D6E-409C-BE32-E72D297353CC}">
              <c16:uniqueId val="{00000002-D0E2-4C4C-AF99-0208EE170E33}"/>
            </c:ext>
          </c:extLst>
        </c:ser>
        <c:ser>
          <c:idx val="3"/>
          <c:order val="3"/>
          <c:tx>
            <c:strRef>
              <c:f>Charts!$B$45</c:f>
              <c:strCache>
                <c:ptCount val="1"/>
                <c:pt idx="0">
                  <c:v>Liquid and Gas</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Charts!$F$45:$O$45</c:f>
              <c:numCache>
                <c:formatCode>_(* #,##0_);_(* \(#,##0\);_(* "-"??_);_(@_)</c:formatCode>
                <c:ptCount val="10"/>
                <c:pt idx="0">
                  <c:v>0.25</c:v>
                </c:pt>
                <c:pt idx="1">
                  <c:v>0.27</c:v>
                </c:pt>
                <c:pt idx="2">
                  <c:v>0.53</c:v>
                </c:pt>
                <c:pt idx="3">
                  <c:v>1.65</c:v>
                </c:pt>
                <c:pt idx="4">
                  <c:v>7.8703570000000003</c:v>
                </c:pt>
                <c:pt idx="5">
                  <c:v>7.2389999999999999</c:v>
                </c:pt>
                <c:pt idx="6">
                  <c:v>6.01816</c:v>
                </c:pt>
                <c:pt idx="7">
                  <c:v>8.3963179999999991</c:v>
                </c:pt>
                <c:pt idx="8">
                  <c:v>9.6455748000000003</c:v>
                </c:pt>
                <c:pt idx="9">
                  <c:v>9.8991485399999988</c:v>
                </c:pt>
              </c:numCache>
            </c:numRef>
          </c:val>
          <c:extLst>
            <c:ext xmlns:c16="http://schemas.microsoft.com/office/drawing/2014/chart" uri="{C3380CC4-5D6E-409C-BE32-E72D297353CC}">
              <c16:uniqueId val="{00000003-D0E2-4C4C-AF99-0208EE170E33}"/>
            </c:ext>
          </c:extLst>
        </c:ser>
        <c:ser>
          <c:idx val="4"/>
          <c:order val="4"/>
          <c:tx>
            <c:strRef>
              <c:f>Charts!$B$46</c:f>
              <c:strCache>
                <c:ptCount val="1"/>
                <c:pt idx="0">
                  <c:v>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Charts!$F$46:$O$46</c:f>
              <c:numCache>
                <c:formatCode>_(* #,##0_);_(* \(#,##0\);_(* "-"??_);_(@_)</c:formatCode>
                <c:ptCount val="10"/>
                <c:pt idx="0">
                  <c:v>0</c:v>
                </c:pt>
                <c:pt idx="1">
                  <c:v>0</c:v>
                </c:pt>
                <c:pt idx="2">
                  <c:v>2.17</c:v>
                </c:pt>
                <c:pt idx="3">
                  <c:v>2.5921624445182494</c:v>
                </c:pt>
                <c:pt idx="4">
                  <c:v>2.4099429999999997</c:v>
                </c:pt>
                <c:pt idx="5">
                  <c:v>2.4940000000000002</c:v>
                </c:pt>
                <c:pt idx="6">
                  <c:v>4.22</c:v>
                </c:pt>
                <c:pt idx="7">
                  <c:v>5.6342499999999998</c:v>
                </c:pt>
                <c:pt idx="8">
                  <c:v>10.415005000000001</c:v>
                </c:pt>
                <c:pt idx="9">
                  <c:v>22.513105299999999</c:v>
                </c:pt>
              </c:numCache>
            </c:numRef>
          </c:val>
          <c:extLst>
            <c:ext xmlns:c16="http://schemas.microsoft.com/office/drawing/2014/chart" uri="{C3380CC4-5D6E-409C-BE32-E72D297353CC}">
              <c16:uniqueId val="{00000004-D0E2-4C4C-AF99-0208EE170E33}"/>
            </c:ext>
          </c:extLst>
        </c:ser>
        <c:ser>
          <c:idx val="5"/>
          <c:order val="5"/>
          <c:tx>
            <c:strRef>
              <c:f>Charts!$B$47</c:f>
              <c:strCache>
                <c:ptCount val="1"/>
                <c:pt idx="0">
                  <c:v>Other Bulk</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Charts!$F$47:$O$47</c:f>
              <c:numCache>
                <c:formatCode>_(* #,##0_);_(* \(#,##0\);_(* "-"??_);_(@_)</c:formatCode>
                <c:ptCount val="10"/>
                <c:pt idx="0">
                  <c:v>6.09</c:v>
                </c:pt>
                <c:pt idx="1">
                  <c:v>8.9600000000000009</c:v>
                </c:pt>
                <c:pt idx="2">
                  <c:v>9.73</c:v>
                </c:pt>
                <c:pt idx="3">
                  <c:v>6.7220000000000013</c:v>
                </c:pt>
                <c:pt idx="4">
                  <c:v>15.807701000000002</c:v>
                </c:pt>
                <c:pt idx="5">
                  <c:v>17.201000000000001</c:v>
                </c:pt>
                <c:pt idx="6">
                  <c:v>18.717790000000001</c:v>
                </c:pt>
                <c:pt idx="7">
                  <c:v>19.769806499999998</c:v>
                </c:pt>
                <c:pt idx="8">
                  <c:v>22.032861824999998</c:v>
                </c:pt>
                <c:pt idx="9">
                  <c:v>41.056654916249997</c:v>
                </c:pt>
              </c:numCache>
            </c:numRef>
          </c:val>
          <c:extLst>
            <c:ext xmlns:c16="http://schemas.microsoft.com/office/drawing/2014/chart" uri="{C3380CC4-5D6E-409C-BE32-E72D297353CC}">
              <c16:uniqueId val="{00000005-D0E2-4C4C-AF99-0208EE170E33}"/>
            </c:ext>
          </c:extLst>
        </c:ser>
        <c:ser>
          <c:idx val="6"/>
          <c:order val="6"/>
          <c:tx>
            <c:strRef>
              <c:f>Charts!$B$48</c:f>
              <c:strCache>
                <c:ptCount val="1"/>
                <c:pt idx="0">
                  <c:v>Total</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Charts!$F$48:$O$48</c:f>
              <c:numCache>
                <c:formatCode>_(* #,##0_);_(* \(#,##0\);_(* "-"??_);_(@_)</c:formatCode>
                <c:ptCount val="10"/>
                <c:pt idx="0">
                  <c:v>45.540000000000006</c:v>
                </c:pt>
                <c:pt idx="1">
                  <c:v>61.970000000000006</c:v>
                </c:pt>
                <c:pt idx="2">
                  <c:v>92.830000000000013</c:v>
                </c:pt>
                <c:pt idx="3">
                  <c:v>107.46816244451827</c:v>
                </c:pt>
                <c:pt idx="4">
                  <c:v>117</c:v>
                </c:pt>
                <c:pt idx="5">
                  <c:v>120.72499999999999</c:v>
                </c:pt>
                <c:pt idx="6">
                  <c:v>127.95611</c:v>
                </c:pt>
                <c:pt idx="7">
                  <c:v>168.54703450000002</c:v>
                </c:pt>
                <c:pt idx="8">
                  <c:v>196.93431247500001</c:v>
                </c:pt>
                <c:pt idx="9">
                  <c:v>237.39015313675003</c:v>
                </c:pt>
              </c:numCache>
            </c:numRef>
          </c:val>
          <c:extLst>
            <c:ext xmlns:c16="http://schemas.microsoft.com/office/drawing/2014/chart" uri="{C3380CC4-5D6E-409C-BE32-E72D297353CC}">
              <c16:uniqueId val="{00000006-D0E2-4C4C-AF99-0208EE170E33}"/>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300"/>
        </c:scaling>
        <c:delete val="1"/>
        <c:axPos val="l"/>
        <c:numFmt formatCode="_(* #,##0_);_(* \(#,##0\);_(* &quot;-&quot;??_);_(@_)" sourceLinked="1"/>
        <c:majorTickMark val="out"/>
        <c:minorTickMark val="none"/>
        <c:tickLblPos val="nextTo"/>
        <c:crossAx val="41707423"/>
        <c:crosses val="autoZero"/>
        <c:crossBetween val="between"/>
      </c:valAx>
    </c:plotArea>
    <c:legend>
      <c:legendPos val="b"/>
      <c:legendEntry>
        <c:idx val="6"/>
        <c:delete val="1"/>
      </c:legendEntry>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JSW Infra Volume Growth, yoy</a:t>
            </a:r>
          </a:p>
        </c:rich>
      </c:tx>
      <c:overlay val="0"/>
    </c:title>
    <c:autoTitleDeleted val="0"/>
    <c:plotArea>
      <c:layout/>
      <c:lineChart>
        <c:grouping val="standard"/>
        <c:varyColors val="0"/>
        <c:ser>
          <c:idx val="0"/>
          <c:order val="0"/>
          <c:spPr>
            <a:ln w="31750"/>
            <a:effectLst>
              <a:outerShdw blurRad="50800" dist="38100" dir="2700000" algn="tl" rotWithShape="0">
                <a:prstClr val="black">
                  <a:alpha val="40000"/>
                </a:prstClr>
              </a:outerShdw>
            </a:effectLst>
          </c:spPr>
          <c:marker>
            <c:symbol val="none"/>
          </c:marker>
          <c:dLbls>
            <c:dLbl>
              <c:idx val="5"/>
              <c:layout>
                <c:manualLayout>
                  <c:x val="-4.8046297858417304E-2"/>
                  <c:y val="-5.800262558131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05-4108-8B14-7A30CB2C3801}"/>
                </c:ext>
              </c:extLst>
            </c:dLbl>
            <c:dLbl>
              <c:idx val="7"/>
              <c:layout>
                <c:manualLayout>
                  <c:x val="-4.5585890002225238E-2"/>
                  <c:y val="-8.56426145079037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5-4108-8B14-7A30CB2C3801}"/>
                </c:ext>
              </c:extLst>
            </c:dLbl>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Charts!$G$2:$O$2</c:f>
              <c:strCache>
                <c:ptCount val="9"/>
                <c:pt idx="0">
                  <c:v>FY22</c:v>
                </c:pt>
                <c:pt idx="1">
                  <c:v>FY23</c:v>
                </c:pt>
                <c:pt idx="2">
                  <c:v>FY24</c:v>
                </c:pt>
                <c:pt idx="3">
                  <c:v>FY25</c:v>
                </c:pt>
                <c:pt idx="4">
                  <c:v>FY26</c:v>
                </c:pt>
                <c:pt idx="5">
                  <c:v>FY27E</c:v>
                </c:pt>
                <c:pt idx="6">
                  <c:v>FY28E</c:v>
                </c:pt>
                <c:pt idx="7">
                  <c:v>FY29E</c:v>
                </c:pt>
                <c:pt idx="8">
                  <c:v>FY30E</c:v>
                </c:pt>
              </c:strCache>
            </c:strRef>
          </c:cat>
          <c:val>
            <c:numRef>
              <c:f>Charts!$G$6:$O$6</c:f>
              <c:numCache>
                <c:formatCode>0%</c:formatCode>
                <c:ptCount val="9"/>
                <c:pt idx="0">
                  <c:v>0.3607817303469476</c:v>
                </c:pt>
                <c:pt idx="1">
                  <c:v>0.49798289494916914</c:v>
                </c:pt>
                <c:pt idx="2" formatCode="0.0%">
                  <c:v>0.15768784277192993</c:v>
                </c:pt>
                <c:pt idx="3" formatCode="0.0%">
                  <c:v>8.8694524393702734E-2</c:v>
                </c:pt>
                <c:pt idx="4" formatCode="0.0%">
                  <c:v>3.1837606837606724E-2</c:v>
                </c:pt>
                <c:pt idx="5" formatCode="0.0%">
                  <c:v>5.9897370055912447E-2</c:v>
                </c:pt>
                <c:pt idx="6" formatCode="0.0%">
                  <c:v>0.31722537126206785</c:v>
                </c:pt>
                <c:pt idx="7" formatCode="0.0%">
                  <c:v>0.16842347929295665</c:v>
                </c:pt>
                <c:pt idx="8" formatCode="0.0%">
                  <c:v>0.20542809505014881</c:v>
                </c:pt>
              </c:numCache>
            </c:numRef>
          </c:val>
          <c:smooth val="0"/>
          <c:extLst>
            <c:ext xmlns:c16="http://schemas.microsoft.com/office/drawing/2014/chart" uri="{C3380CC4-5D6E-409C-BE32-E72D297353CC}">
              <c16:uniqueId val="{00000002-DC05-4108-8B14-7A30CB2C3801}"/>
            </c:ext>
          </c:extLst>
        </c:ser>
        <c:dLbls>
          <c:dLblPos val="t"/>
          <c:showLegendKey val="0"/>
          <c:showVal val="1"/>
          <c:showCatName val="0"/>
          <c:showSerName val="0"/>
          <c:showPercent val="0"/>
          <c:showBubbleSize val="0"/>
        </c:dLbls>
        <c:smooth val="0"/>
        <c:axId val="1538726399"/>
        <c:axId val="1538726879"/>
      </c:lineChart>
      <c:catAx>
        <c:axId val="1538726399"/>
        <c:scaling>
          <c:orientation val="minMax"/>
        </c:scaling>
        <c:delete val="0"/>
        <c:axPos val="b"/>
        <c:numFmt formatCode="General" sourceLinked="1"/>
        <c:majorTickMark val="none"/>
        <c:minorTickMark val="none"/>
        <c:tickLblPos val="nextTo"/>
        <c:crossAx val="1538726879"/>
        <c:crosses val="autoZero"/>
        <c:auto val="1"/>
        <c:lblAlgn val="ctr"/>
        <c:lblOffset val="100"/>
        <c:noMultiLvlLbl val="0"/>
      </c:catAx>
      <c:valAx>
        <c:axId val="1538726879"/>
        <c:scaling>
          <c:orientation val="minMax"/>
        </c:scaling>
        <c:delete val="1"/>
        <c:axPos val="l"/>
        <c:majorGridlines>
          <c:spPr>
            <a:ln w="3175" cap="flat" cmpd="sng" algn="ctr">
              <a:solidFill>
                <a:srgbClr val="FFFFFF">
                  <a:lumMod val="75000"/>
                </a:srgbClr>
              </a:solidFill>
              <a:prstDash val="dash"/>
              <a:round/>
              <a:headEnd type="none" w="med" len="med"/>
              <a:tailEnd type="none" w="med" len="med"/>
            </a:ln>
          </c:spPr>
        </c:majorGridlines>
        <c:numFmt formatCode="0%" sourceLinked="1"/>
        <c:majorTickMark val="out"/>
        <c:minorTickMark val="none"/>
        <c:tickLblPos val="nextTo"/>
        <c:crossAx val="1538726399"/>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Charts!$B$209</c:f>
          <c:strCache>
            <c:ptCount val="1"/>
            <c:pt idx="0">
              <c:v>Consolidated Revenue - by Segment</c:v>
            </c:pt>
          </c:strCache>
        </c:strRef>
      </c:tx>
      <c:overlay val="0"/>
    </c:title>
    <c:autoTitleDeleted val="0"/>
    <c:plotArea>
      <c:layout/>
      <c:barChart>
        <c:barDir val="col"/>
        <c:grouping val="percentStacked"/>
        <c:varyColors val="0"/>
        <c:ser>
          <c:idx val="0"/>
          <c:order val="0"/>
          <c:tx>
            <c:strRef>
              <c:f>Charts!$B$214</c:f>
              <c:strCache>
                <c:ptCount val="1"/>
                <c:pt idx="0">
                  <c:v>Ports</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Charts!$C$213:$H$213</c:f>
              <c:strCache>
                <c:ptCount val="6"/>
                <c:pt idx="0">
                  <c:v>FY25</c:v>
                </c:pt>
                <c:pt idx="1">
                  <c:v>FY26</c:v>
                </c:pt>
                <c:pt idx="2">
                  <c:v>FY27E</c:v>
                </c:pt>
                <c:pt idx="3">
                  <c:v>FY28E</c:v>
                </c:pt>
                <c:pt idx="4">
                  <c:v>FY29E</c:v>
                </c:pt>
                <c:pt idx="5">
                  <c:v>FY30E</c:v>
                </c:pt>
              </c:strCache>
            </c:strRef>
          </c:cat>
          <c:val>
            <c:numRef>
              <c:f>Charts!$C$214:$H$214</c:f>
              <c:numCache>
                <c:formatCode>0%</c:formatCode>
                <c:ptCount val="6"/>
                <c:pt idx="0">
                  <c:v>0.94414830635324187</c:v>
                </c:pt>
                <c:pt idx="1">
                  <c:v>0.86672796860544932</c:v>
                </c:pt>
                <c:pt idx="2">
                  <c:v>0.77847521925473739</c:v>
                </c:pt>
                <c:pt idx="3">
                  <c:v>0.7420727177792622</c:v>
                </c:pt>
                <c:pt idx="4">
                  <c:v>0.63072236144288252</c:v>
                </c:pt>
                <c:pt idx="5">
                  <c:v>0.5957858546398539</c:v>
                </c:pt>
              </c:numCache>
            </c:numRef>
          </c:val>
          <c:extLst>
            <c:ext xmlns:c16="http://schemas.microsoft.com/office/drawing/2014/chart" uri="{C3380CC4-5D6E-409C-BE32-E72D297353CC}">
              <c16:uniqueId val="{00000000-D890-4E45-91D6-837D3943451D}"/>
            </c:ext>
          </c:extLst>
        </c:ser>
        <c:ser>
          <c:idx val="1"/>
          <c:order val="1"/>
          <c:tx>
            <c:strRef>
              <c:f>Charts!$B$215</c:f>
              <c:strCache>
                <c:ptCount val="1"/>
                <c:pt idx="0">
                  <c:v>Logistics</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Charts!$C$213:$H$213</c:f>
              <c:strCache>
                <c:ptCount val="6"/>
                <c:pt idx="0">
                  <c:v>FY25</c:v>
                </c:pt>
                <c:pt idx="1">
                  <c:v>FY26</c:v>
                </c:pt>
                <c:pt idx="2">
                  <c:v>FY27E</c:v>
                </c:pt>
                <c:pt idx="3">
                  <c:v>FY28E</c:v>
                </c:pt>
                <c:pt idx="4">
                  <c:v>FY29E</c:v>
                </c:pt>
                <c:pt idx="5">
                  <c:v>FY30E</c:v>
                </c:pt>
              </c:strCache>
            </c:strRef>
          </c:cat>
          <c:val>
            <c:numRef>
              <c:f>Charts!$C$215:$H$215</c:f>
              <c:numCache>
                <c:formatCode>0%</c:formatCode>
                <c:ptCount val="6"/>
                <c:pt idx="0">
                  <c:v>5.5851693646758141E-2</c:v>
                </c:pt>
                <c:pt idx="1">
                  <c:v>0.13327203139455068</c:v>
                </c:pt>
                <c:pt idx="2">
                  <c:v>0.22152478074526266</c:v>
                </c:pt>
                <c:pt idx="3">
                  <c:v>0.25792728222073769</c:v>
                </c:pt>
                <c:pt idx="4">
                  <c:v>0.36927763855711743</c:v>
                </c:pt>
                <c:pt idx="5">
                  <c:v>0.40421414536014616</c:v>
                </c:pt>
              </c:numCache>
            </c:numRef>
          </c:val>
          <c:extLst>
            <c:ext xmlns:c16="http://schemas.microsoft.com/office/drawing/2014/chart" uri="{C3380CC4-5D6E-409C-BE32-E72D297353CC}">
              <c16:uniqueId val="{00000001-D890-4E45-91D6-837D3943451D}"/>
            </c:ext>
          </c:extLst>
        </c:ser>
        <c:dLbls>
          <c:showLegendKey val="0"/>
          <c:showVal val="0"/>
          <c:showCatName val="0"/>
          <c:showSerName val="0"/>
          <c:showPercent val="0"/>
          <c:showBubbleSize val="0"/>
        </c:dLbls>
        <c:gapWidth val="30"/>
        <c:overlap val="100"/>
        <c:axId val="505261151"/>
        <c:axId val="505261631"/>
      </c:barChart>
      <c:catAx>
        <c:axId val="505261151"/>
        <c:scaling>
          <c:orientation val="minMax"/>
        </c:scaling>
        <c:delete val="0"/>
        <c:axPos val="b"/>
        <c:numFmt formatCode="General" sourceLinked="1"/>
        <c:majorTickMark val="none"/>
        <c:minorTickMark val="none"/>
        <c:tickLblPos val="nextTo"/>
        <c:crossAx val="505261631"/>
        <c:crosses val="autoZero"/>
        <c:auto val="1"/>
        <c:lblAlgn val="ctr"/>
        <c:lblOffset val="100"/>
        <c:noMultiLvlLbl val="0"/>
      </c:catAx>
      <c:valAx>
        <c:axId val="505261631"/>
        <c:scaling>
          <c:orientation val="minMax"/>
        </c:scaling>
        <c:delete val="1"/>
        <c:axPos val="l"/>
        <c:numFmt formatCode="0%" sourceLinked="1"/>
        <c:majorTickMark val="none"/>
        <c:minorTickMark val="none"/>
        <c:tickLblPos val="nextTo"/>
        <c:crossAx val="505261151"/>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Charts!$B$218</c:f>
          <c:strCache>
            <c:ptCount val="1"/>
            <c:pt idx="0">
              <c:v>Consolidated EBITDA - by Segment</c:v>
            </c:pt>
          </c:strCache>
        </c:strRef>
      </c:tx>
      <c:overlay val="0"/>
    </c:title>
    <c:autoTitleDeleted val="0"/>
    <c:plotArea>
      <c:layout/>
      <c:barChart>
        <c:barDir val="col"/>
        <c:grouping val="percentStacked"/>
        <c:varyColors val="0"/>
        <c:ser>
          <c:idx val="0"/>
          <c:order val="0"/>
          <c:tx>
            <c:strRef>
              <c:f>Charts!$B$223</c:f>
              <c:strCache>
                <c:ptCount val="1"/>
                <c:pt idx="0">
                  <c:v>Ports</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Charts!$C$213:$H$213</c:f>
              <c:strCache>
                <c:ptCount val="6"/>
                <c:pt idx="0">
                  <c:v>FY25</c:v>
                </c:pt>
                <c:pt idx="1">
                  <c:v>FY26</c:v>
                </c:pt>
                <c:pt idx="2">
                  <c:v>FY27E</c:v>
                </c:pt>
                <c:pt idx="3">
                  <c:v>FY28E</c:v>
                </c:pt>
                <c:pt idx="4">
                  <c:v>FY29E</c:v>
                </c:pt>
                <c:pt idx="5">
                  <c:v>FY30E</c:v>
                </c:pt>
              </c:strCache>
            </c:strRef>
          </c:cat>
          <c:val>
            <c:numRef>
              <c:f>Charts!$C$223:$H$223</c:f>
              <c:numCache>
                <c:formatCode>0%</c:formatCode>
                <c:ptCount val="6"/>
                <c:pt idx="0">
                  <c:v>0.986296404353323</c:v>
                </c:pt>
                <c:pt idx="1">
                  <c:v>0.94555887131154148</c:v>
                </c:pt>
                <c:pt idx="2">
                  <c:v>0.86677888104085288</c:v>
                </c:pt>
                <c:pt idx="3">
                  <c:v>0.86183126899364615</c:v>
                </c:pt>
                <c:pt idx="4">
                  <c:v>0.80307914181564399</c:v>
                </c:pt>
                <c:pt idx="5">
                  <c:v>0.78398441802552354</c:v>
                </c:pt>
              </c:numCache>
            </c:numRef>
          </c:val>
          <c:extLst>
            <c:ext xmlns:c16="http://schemas.microsoft.com/office/drawing/2014/chart" uri="{C3380CC4-5D6E-409C-BE32-E72D297353CC}">
              <c16:uniqueId val="{00000000-A47D-4C8B-83A6-48398B2C9602}"/>
            </c:ext>
          </c:extLst>
        </c:ser>
        <c:ser>
          <c:idx val="1"/>
          <c:order val="1"/>
          <c:tx>
            <c:strRef>
              <c:f>Charts!$B$224</c:f>
              <c:strCache>
                <c:ptCount val="1"/>
                <c:pt idx="0">
                  <c:v>Logistics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A47D-4C8B-83A6-48398B2C9602}"/>
                </c:ext>
              </c:extLst>
            </c:dLbl>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Charts!$C$213:$H$213</c:f>
              <c:strCache>
                <c:ptCount val="6"/>
                <c:pt idx="0">
                  <c:v>FY25</c:v>
                </c:pt>
                <c:pt idx="1">
                  <c:v>FY26</c:v>
                </c:pt>
                <c:pt idx="2">
                  <c:v>FY27E</c:v>
                </c:pt>
                <c:pt idx="3">
                  <c:v>FY28E</c:v>
                </c:pt>
                <c:pt idx="4">
                  <c:v>FY29E</c:v>
                </c:pt>
                <c:pt idx="5">
                  <c:v>FY30E</c:v>
                </c:pt>
              </c:strCache>
            </c:strRef>
          </c:cat>
          <c:val>
            <c:numRef>
              <c:f>Charts!$C$224:$H$224</c:f>
              <c:numCache>
                <c:formatCode>0%</c:formatCode>
                <c:ptCount val="6"/>
                <c:pt idx="0">
                  <c:v>1.3703595646677101E-2</c:v>
                </c:pt>
                <c:pt idx="1">
                  <c:v>5.4441128688458483E-2</c:v>
                </c:pt>
                <c:pt idx="2">
                  <c:v>0.13322111895914718</c:v>
                </c:pt>
                <c:pt idx="3">
                  <c:v>0.13816873100635385</c:v>
                </c:pt>
                <c:pt idx="4">
                  <c:v>0.19692085818435609</c:v>
                </c:pt>
                <c:pt idx="5">
                  <c:v>0.2160155819744764</c:v>
                </c:pt>
              </c:numCache>
            </c:numRef>
          </c:val>
          <c:extLst>
            <c:ext xmlns:c16="http://schemas.microsoft.com/office/drawing/2014/chart" uri="{C3380CC4-5D6E-409C-BE32-E72D297353CC}">
              <c16:uniqueId val="{00000002-A47D-4C8B-83A6-48398B2C9602}"/>
            </c:ext>
          </c:extLst>
        </c:ser>
        <c:dLbls>
          <c:showLegendKey val="0"/>
          <c:showVal val="0"/>
          <c:showCatName val="0"/>
          <c:showSerName val="0"/>
          <c:showPercent val="0"/>
          <c:showBubbleSize val="0"/>
        </c:dLbls>
        <c:gapWidth val="30"/>
        <c:overlap val="100"/>
        <c:axId val="505261151"/>
        <c:axId val="505261631"/>
      </c:barChart>
      <c:catAx>
        <c:axId val="505261151"/>
        <c:scaling>
          <c:orientation val="minMax"/>
        </c:scaling>
        <c:delete val="0"/>
        <c:axPos val="b"/>
        <c:numFmt formatCode="General" sourceLinked="1"/>
        <c:majorTickMark val="none"/>
        <c:minorTickMark val="none"/>
        <c:tickLblPos val="nextTo"/>
        <c:crossAx val="505261631"/>
        <c:crosses val="autoZero"/>
        <c:auto val="1"/>
        <c:lblAlgn val="ctr"/>
        <c:lblOffset val="100"/>
        <c:noMultiLvlLbl val="0"/>
      </c:catAx>
      <c:valAx>
        <c:axId val="505261631"/>
        <c:scaling>
          <c:orientation val="minMax"/>
        </c:scaling>
        <c:delete val="1"/>
        <c:axPos val="l"/>
        <c:numFmt formatCode="0%" sourceLinked="1"/>
        <c:majorTickMark val="none"/>
        <c:minorTickMark val="none"/>
        <c:tickLblPos val="nextTo"/>
        <c:crossAx val="505261151"/>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JSW Infra - Consolidated</a:t>
            </a:r>
            <a:r>
              <a:rPr lang="en-IN" baseline="0"/>
              <a:t> </a:t>
            </a:r>
            <a:r>
              <a:rPr lang="en-IN"/>
              <a:t>Revenue, Rs. bn</a:t>
            </a:r>
          </a:p>
        </c:rich>
      </c:tx>
      <c:overlay val="0"/>
    </c:title>
    <c:autoTitleDeleted val="0"/>
    <c:plotArea>
      <c:layout/>
      <c:barChart>
        <c:barDir val="col"/>
        <c:grouping val="stacked"/>
        <c:varyColors val="0"/>
        <c:ser>
          <c:idx val="0"/>
          <c:order val="0"/>
          <c:tx>
            <c:strRef>
              <c:f>Charts!$B$210</c:f>
              <c:strCache>
                <c:ptCount val="1"/>
                <c:pt idx="0">
                  <c:v>Ports</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Charts!$C$209:$H$209</c:f>
              <c:strCache>
                <c:ptCount val="6"/>
                <c:pt idx="0">
                  <c:v>FY25</c:v>
                </c:pt>
                <c:pt idx="1">
                  <c:v>FY26</c:v>
                </c:pt>
                <c:pt idx="2">
                  <c:v>FY27E</c:v>
                </c:pt>
                <c:pt idx="3">
                  <c:v>FY28E</c:v>
                </c:pt>
                <c:pt idx="4">
                  <c:v>FY29E</c:v>
                </c:pt>
                <c:pt idx="5">
                  <c:v>FY30E</c:v>
                </c:pt>
              </c:strCache>
            </c:strRef>
          </c:cat>
          <c:val>
            <c:numRef>
              <c:f>Charts!$C$210:$H$210</c:f>
              <c:numCache>
                <c:formatCode>_(* #,##0_);_(* \(#,##0\);_(* "-"??_);_(@_)</c:formatCode>
                <c:ptCount val="6"/>
                <c:pt idx="0">
                  <c:v>42.261400000000002</c:v>
                </c:pt>
                <c:pt idx="1">
                  <c:v>46.469100000000005</c:v>
                </c:pt>
                <c:pt idx="2">
                  <c:v>56.778376356466381</c:v>
                </c:pt>
                <c:pt idx="3">
                  <c:v>80.642965033257582</c:v>
                </c:pt>
                <c:pt idx="4">
                  <c:v>91.045521087915347</c:v>
                </c:pt>
                <c:pt idx="5">
                  <c:v>112.33586105782224</c:v>
                </c:pt>
              </c:numCache>
            </c:numRef>
          </c:val>
          <c:extLst>
            <c:ext xmlns:c16="http://schemas.microsoft.com/office/drawing/2014/chart" uri="{C3380CC4-5D6E-409C-BE32-E72D297353CC}">
              <c16:uniqueId val="{00000000-3EFF-4474-8CA4-525002F5BC6B}"/>
            </c:ext>
          </c:extLst>
        </c:ser>
        <c:ser>
          <c:idx val="1"/>
          <c:order val="1"/>
          <c:tx>
            <c:strRef>
              <c:f>Charts!$B$211</c:f>
              <c:strCache>
                <c:ptCount val="1"/>
                <c:pt idx="0">
                  <c:v>Logistics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3EFF-4474-8CA4-525002F5BC6B}"/>
                </c:ext>
              </c:extLst>
            </c:dLbl>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Charts!$C$209:$H$209</c:f>
              <c:strCache>
                <c:ptCount val="6"/>
                <c:pt idx="0">
                  <c:v>FY25</c:v>
                </c:pt>
                <c:pt idx="1">
                  <c:v>FY26</c:v>
                </c:pt>
                <c:pt idx="2">
                  <c:v>FY27E</c:v>
                </c:pt>
                <c:pt idx="3">
                  <c:v>FY28E</c:v>
                </c:pt>
                <c:pt idx="4">
                  <c:v>FY29E</c:v>
                </c:pt>
                <c:pt idx="5">
                  <c:v>FY30E</c:v>
                </c:pt>
              </c:strCache>
            </c:strRef>
          </c:cat>
          <c:val>
            <c:numRef>
              <c:f>Charts!$C$211:$H$211</c:f>
              <c:numCache>
                <c:formatCode>_(* #,##0_);_(* \(#,##0\);_(* "-"??_);_(@_)</c:formatCode>
                <c:ptCount val="6"/>
                <c:pt idx="0">
                  <c:v>2.5</c:v>
                </c:pt>
                <c:pt idx="1">
                  <c:v>7.1452999999999989</c:v>
                </c:pt>
                <c:pt idx="2">
                  <c:v>16.156991336833332</c:v>
                </c:pt>
                <c:pt idx="3">
                  <c:v>28.029626076938335</c:v>
                </c:pt>
                <c:pt idx="4">
                  <c:v>53.305665192579823</c:v>
                </c:pt>
                <c:pt idx="5">
                  <c:v>76.214874383401124</c:v>
                </c:pt>
              </c:numCache>
            </c:numRef>
          </c:val>
          <c:extLst>
            <c:ext xmlns:c16="http://schemas.microsoft.com/office/drawing/2014/chart" uri="{C3380CC4-5D6E-409C-BE32-E72D297353CC}">
              <c16:uniqueId val="{00000001-3EFF-4474-8CA4-525002F5BC6B}"/>
            </c:ext>
          </c:extLst>
        </c:ser>
        <c:ser>
          <c:idx val="2"/>
          <c:order val="2"/>
          <c:tx>
            <c:strRef>
              <c:f>Charts!$B$212</c:f>
              <c:strCache>
                <c:ptCount val="1"/>
                <c:pt idx="0">
                  <c:v>Total</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Charts!$C$209:$H$209</c:f>
              <c:strCache>
                <c:ptCount val="6"/>
                <c:pt idx="0">
                  <c:v>FY25</c:v>
                </c:pt>
                <c:pt idx="1">
                  <c:v>FY26</c:v>
                </c:pt>
                <c:pt idx="2">
                  <c:v>FY27E</c:v>
                </c:pt>
                <c:pt idx="3">
                  <c:v>FY28E</c:v>
                </c:pt>
                <c:pt idx="4">
                  <c:v>FY29E</c:v>
                </c:pt>
                <c:pt idx="5">
                  <c:v>FY30E</c:v>
                </c:pt>
              </c:strCache>
            </c:strRef>
          </c:cat>
          <c:val>
            <c:numRef>
              <c:f>Charts!$C$212:$H$212</c:f>
              <c:numCache>
                <c:formatCode>_(* #,##0_);_(* \(#,##0\);_(* "-"??_);_(@_)</c:formatCode>
                <c:ptCount val="6"/>
                <c:pt idx="0">
                  <c:v>44.761400000000002</c:v>
                </c:pt>
                <c:pt idx="1">
                  <c:v>53.614400000000003</c:v>
                </c:pt>
                <c:pt idx="2">
                  <c:v>72.93536769329971</c:v>
                </c:pt>
                <c:pt idx="3">
                  <c:v>108.67259111019592</c:v>
                </c:pt>
                <c:pt idx="4">
                  <c:v>144.35118628049517</c:v>
                </c:pt>
                <c:pt idx="5">
                  <c:v>188.55073544122337</c:v>
                </c:pt>
              </c:numCache>
            </c:numRef>
          </c:val>
          <c:extLst>
            <c:ext xmlns:c16="http://schemas.microsoft.com/office/drawing/2014/chart" uri="{C3380CC4-5D6E-409C-BE32-E72D297353CC}">
              <c16:uniqueId val="{00000002-3EFF-4474-8CA4-525002F5BC6B}"/>
            </c:ext>
          </c:extLst>
        </c:ser>
        <c:dLbls>
          <c:showLegendKey val="0"/>
          <c:showVal val="0"/>
          <c:showCatName val="0"/>
          <c:showSerName val="0"/>
          <c:showPercent val="0"/>
          <c:showBubbleSize val="0"/>
        </c:dLbls>
        <c:gapWidth val="30"/>
        <c:overlap val="100"/>
        <c:axId val="312922143"/>
        <c:axId val="312935103"/>
      </c:barChart>
      <c:catAx>
        <c:axId val="312922143"/>
        <c:scaling>
          <c:orientation val="minMax"/>
        </c:scaling>
        <c:delete val="0"/>
        <c:axPos val="b"/>
        <c:numFmt formatCode="General" sourceLinked="1"/>
        <c:majorTickMark val="none"/>
        <c:minorTickMark val="none"/>
        <c:tickLblPos val="nextTo"/>
        <c:crossAx val="312935103"/>
        <c:crosses val="autoZero"/>
        <c:auto val="1"/>
        <c:lblAlgn val="ctr"/>
        <c:lblOffset val="100"/>
        <c:noMultiLvlLbl val="0"/>
      </c:catAx>
      <c:valAx>
        <c:axId val="312935103"/>
        <c:scaling>
          <c:orientation val="minMax"/>
          <c:max val="200"/>
        </c:scaling>
        <c:delete val="0"/>
        <c:axPos val="l"/>
        <c:numFmt formatCode="_(* #,##0_);_(* \(#,##0\);_(* &quot;-&quot;??_);_(@_)" sourceLinked="1"/>
        <c:majorTickMark val="out"/>
        <c:minorTickMark val="none"/>
        <c:tickLblPos val="nextTo"/>
        <c:crossAx val="312922143"/>
        <c:crosses val="autoZero"/>
        <c:crossBetween val="between"/>
      </c:valAx>
    </c:plotArea>
    <c:legend>
      <c:legendPos val="b"/>
      <c:legendEntry>
        <c:idx val="2"/>
        <c:delete val="1"/>
      </c:legendEntry>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JSW Infra - Consolidated EBITDA, Rs. bn</a:t>
            </a:r>
          </a:p>
        </c:rich>
      </c:tx>
      <c:overlay val="0"/>
    </c:title>
    <c:autoTitleDeleted val="0"/>
    <c:plotArea>
      <c:layout/>
      <c:barChart>
        <c:barDir val="col"/>
        <c:grouping val="stacked"/>
        <c:varyColors val="0"/>
        <c:ser>
          <c:idx val="0"/>
          <c:order val="0"/>
          <c:tx>
            <c:strRef>
              <c:f>Charts!$B$219</c:f>
              <c:strCache>
                <c:ptCount val="1"/>
                <c:pt idx="0">
                  <c:v>Ports</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Charts!$C$209:$H$209</c:f>
              <c:strCache>
                <c:ptCount val="6"/>
                <c:pt idx="0">
                  <c:v>FY25</c:v>
                </c:pt>
                <c:pt idx="1">
                  <c:v>FY26</c:v>
                </c:pt>
                <c:pt idx="2">
                  <c:v>FY27E</c:v>
                </c:pt>
                <c:pt idx="3">
                  <c:v>FY28E</c:v>
                </c:pt>
                <c:pt idx="4">
                  <c:v>FY29E</c:v>
                </c:pt>
                <c:pt idx="5">
                  <c:v>FY30E</c:v>
                </c:pt>
              </c:strCache>
            </c:strRef>
          </c:cat>
          <c:val>
            <c:numRef>
              <c:f>Charts!$C$219:$H$219</c:f>
              <c:numCache>
                <c:formatCode>_(* #,##0_);_(* \(#,##0\);_(* "-"??_);_(@_)</c:formatCode>
                <c:ptCount val="6"/>
                <c:pt idx="0">
                  <c:v>22.311799999999998</c:v>
                </c:pt>
                <c:pt idx="1">
                  <c:v>24.619799999999998</c:v>
                </c:pt>
                <c:pt idx="2">
                  <c:v>25.596740006134336</c:v>
                </c:pt>
                <c:pt idx="3">
                  <c:v>40.884776385041036</c:v>
                </c:pt>
                <c:pt idx="4">
                  <c:v>46.55162905029318</c:v>
                </c:pt>
                <c:pt idx="5">
                  <c:v>59.196165722582535</c:v>
                </c:pt>
              </c:numCache>
            </c:numRef>
          </c:val>
          <c:extLst>
            <c:ext xmlns:c16="http://schemas.microsoft.com/office/drawing/2014/chart" uri="{C3380CC4-5D6E-409C-BE32-E72D297353CC}">
              <c16:uniqueId val="{00000000-A66E-4763-917D-AA72A3CB9D0F}"/>
            </c:ext>
          </c:extLst>
        </c:ser>
        <c:ser>
          <c:idx val="1"/>
          <c:order val="1"/>
          <c:tx>
            <c:strRef>
              <c:f>Charts!$B$220</c:f>
              <c:strCache>
                <c:ptCount val="1"/>
                <c:pt idx="0">
                  <c:v>Logistics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A66E-4763-917D-AA72A3CB9D0F}"/>
                </c:ext>
              </c:extLst>
            </c:dLbl>
            <c:dLbl>
              <c:idx val="1"/>
              <c:delete val="1"/>
              <c:extLst>
                <c:ext xmlns:c15="http://schemas.microsoft.com/office/drawing/2012/chart" uri="{CE6537A1-D6FC-4f65-9D91-7224C49458BB}"/>
                <c:ext xmlns:c16="http://schemas.microsoft.com/office/drawing/2014/chart" uri="{C3380CC4-5D6E-409C-BE32-E72D297353CC}">
                  <c16:uniqueId val="{00000004-A66E-4763-917D-AA72A3CB9D0F}"/>
                </c:ext>
              </c:extLst>
            </c:dLbl>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Charts!$C$209:$H$209</c:f>
              <c:strCache>
                <c:ptCount val="6"/>
                <c:pt idx="0">
                  <c:v>FY25</c:v>
                </c:pt>
                <c:pt idx="1">
                  <c:v>FY26</c:v>
                </c:pt>
                <c:pt idx="2">
                  <c:v>FY27E</c:v>
                </c:pt>
                <c:pt idx="3">
                  <c:v>FY28E</c:v>
                </c:pt>
                <c:pt idx="4">
                  <c:v>FY29E</c:v>
                </c:pt>
                <c:pt idx="5">
                  <c:v>FY30E</c:v>
                </c:pt>
              </c:strCache>
            </c:strRef>
          </c:cat>
          <c:val>
            <c:numRef>
              <c:f>Charts!$C$220:$H$220</c:f>
              <c:numCache>
                <c:formatCode>_(* #,##0_);_(* \(#,##0\);_(* "-"??_);_(@_)</c:formatCode>
                <c:ptCount val="6"/>
                <c:pt idx="0">
                  <c:v>0.31</c:v>
                </c:pt>
                <c:pt idx="1">
                  <c:v>1.4175</c:v>
                </c:pt>
                <c:pt idx="2">
                  <c:v>3.9341363984650006</c:v>
                </c:pt>
                <c:pt idx="3">
                  <c:v>6.5546445967271003</c:v>
                </c:pt>
                <c:pt idx="4">
                  <c:v>11.414798698093843</c:v>
                </c:pt>
                <c:pt idx="5">
                  <c:v>16.310648394551272</c:v>
                </c:pt>
              </c:numCache>
            </c:numRef>
          </c:val>
          <c:extLst>
            <c:ext xmlns:c16="http://schemas.microsoft.com/office/drawing/2014/chart" uri="{C3380CC4-5D6E-409C-BE32-E72D297353CC}">
              <c16:uniqueId val="{00000002-A66E-4763-917D-AA72A3CB9D0F}"/>
            </c:ext>
          </c:extLst>
        </c:ser>
        <c:ser>
          <c:idx val="2"/>
          <c:order val="2"/>
          <c:tx>
            <c:strRef>
              <c:f>Charts!$B$221</c:f>
              <c:strCache>
                <c:ptCount val="1"/>
                <c:pt idx="0">
                  <c:v>Total</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Charts!$C$209:$H$209</c:f>
              <c:strCache>
                <c:ptCount val="6"/>
                <c:pt idx="0">
                  <c:v>FY25</c:v>
                </c:pt>
                <c:pt idx="1">
                  <c:v>FY26</c:v>
                </c:pt>
                <c:pt idx="2">
                  <c:v>FY27E</c:v>
                </c:pt>
                <c:pt idx="3">
                  <c:v>FY28E</c:v>
                </c:pt>
                <c:pt idx="4">
                  <c:v>FY29E</c:v>
                </c:pt>
                <c:pt idx="5">
                  <c:v>FY30E</c:v>
                </c:pt>
              </c:strCache>
            </c:strRef>
          </c:cat>
          <c:val>
            <c:numRef>
              <c:f>Charts!$C$221:$H$221</c:f>
              <c:numCache>
                <c:formatCode>#,##0_);\(#,##0\)</c:formatCode>
                <c:ptCount val="6"/>
                <c:pt idx="0">
                  <c:v>22.621799999999997</c:v>
                </c:pt>
                <c:pt idx="1">
                  <c:v>26.037299999999998</c:v>
                </c:pt>
                <c:pt idx="2">
                  <c:v>29.530876404599336</c:v>
                </c:pt>
                <c:pt idx="3">
                  <c:v>47.439420981768137</c:v>
                </c:pt>
                <c:pt idx="4">
                  <c:v>57.966427748387019</c:v>
                </c:pt>
                <c:pt idx="5">
                  <c:v>75.506814117133814</c:v>
                </c:pt>
              </c:numCache>
            </c:numRef>
          </c:val>
          <c:extLst>
            <c:ext xmlns:c16="http://schemas.microsoft.com/office/drawing/2014/chart" uri="{C3380CC4-5D6E-409C-BE32-E72D297353CC}">
              <c16:uniqueId val="{00000003-A66E-4763-917D-AA72A3CB9D0F}"/>
            </c:ext>
          </c:extLst>
        </c:ser>
        <c:dLbls>
          <c:showLegendKey val="0"/>
          <c:showVal val="0"/>
          <c:showCatName val="0"/>
          <c:showSerName val="0"/>
          <c:showPercent val="0"/>
          <c:showBubbleSize val="0"/>
        </c:dLbls>
        <c:gapWidth val="30"/>
        <c:overlap val="100"/>
        <c:axId val="312922143"/>
        <c:axId val="312935103"/>
      </c:barChart>
      <c:catAx>
        <c:axId val="312922143"/>
        <c:scaling>
          <c:orientation val="minMax"/>
        </c:scaling>
        <c:delete val="0"/>
        <c:axPos val="b"/>
        <c:numFmt formatCode="General" sourceLinked="1"/>
        <c:majorTickMark val="none"/>
        <c:minorTickMark val="none"/>
        <c:tickLblPos val="nextTo"/>
        <c:crossAx val="312935103"/>
        <c:crosses val="autoZero"/>
        <c:auto val="1"/>
        <c:lblAlgn val="ctr"/>
        <c:lblOffset val="100"/>
        <c:noMultiLvlLbl val="0"/>
      </c:catAx>
      <c:valAx>
        <c:axId val="312935103"/>
        <c:scaling>
          <c:orientation val="minMax"/>
          <c:max val="100"/>
        </c:scaling>
        <c:delete val="0"/>
        <c:axPos val="l"/>
        <c:numFmt formatCode="_(* #,##0_);_(* \(#,##0\);_(* &quot;-&quot;??_);_(@_)" sourceLinked="1"/>
        <c:majorTickMark val="out"/>
        <c:minorTickMark val="none"/>
        <c:tickLblPos val="nextTo"/>
        <c:crossAx val="312922143"/>
        <c:crosses val="autoZero"/>
        <c:crossBetween val="between"/>
      </c:valAx>
    </c:plotArea>
    <c:legend>
      <c:legendPos val="b"/>
      <c:legendEntry>
        <c:idx val="2"/>
        <c:delete val="1"/>
      </c:legendEntry>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Realisation (Ports Revenue</a:t>
            </a:r>
            <a:r>
              <a:rPr lang="en-US" baseline="0"/>
              <a:t> - Rs. mn/ Ports Cargo - MT)</a:t>
            </a:r>
            <a:endParaRPr lang="en-US"/>
          </a:p>
        </c:rich>
      </c:tx>
      <c:overlay val="0"/>
    </c:title>
    <c:autoTitleDeleted val="0"/>
    <c:plotArea>
      <c:layout/>
      <c:lineChart>
        <c:grouping val="standard"/>
        <c:varyColors val="0"/>
        <c:ser>
          <c:idx val="0"/>
          <c:order val="0"/>
          <c:tx>
            <c:strRef>
              <c:f>Charts!$B$228</c:f>
              <c:strCache>
                <c:ptCount val="1"/>
                <c:pt idx="0">
                  <c:v>Ports Revenue/ Ports Cargo</c:v>
                </c:pt>
              </c:strCache>
            </c:strRef>
          </c:tx>
          <c:spPr>
            <a:ln w="31750"/>
            <a:effectLst>
              <a:outerShdw blurRad="50800" dist="38100" dir="2700000" algn="tl" rotWithShape="0">
                <a:prstClr val="black">
                  <a:alpha val="40000"/>
                </a:prstClr>
              </a:outerShdw>
            </a:effectLst>
          </c:spPr>
          <c:marker>
            <c:symbol val="square"/>
            <c:size val="5"/>
            <c:spPr>
              <a:effectLst>
                <a:outerShdw blurRad="50800" dist="38100" dir="2700000" algn="tl" rotWithShape="0">
                  <a:prstClr val="black">
                    <a:alpha val="40000"/>
                  </a:prstClr>
                </a:outerShdw>
              </a:effectLst>
            </c:spPr>
          </c:marker>
          <c:dLbls>
            <c:spPr>
              <a:solidFill>
                <a:schemeClr val="accent2"/>
              </a:solidFill>
              <a:ln>
                <a:noFill/>
              </a:ln>
              <a:effectLst/>
            </c:spPr>
            <c:txPr>
              <a:bodyPr wrap="square" lIns="38100" tIns="19050" rIns="38100" bIns="19050" anchor="ctr">
                <a:spAutoFit/>
              </a:bodyPr>
              <a:lstStyle/>
              <a:p>
                <a:pPr>
                  <a:defRPr b="1">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Charts!$C$227:$H$227</c:f>
              <c:strCache>
                <c:ptCount val="6"/>
                <c:pt idx="0">
                  <c:v>FY25</c:v>
                </c:pt>
                <c:pt idx="1">
                  <c:v>FY26</c:v>
                </c:pt>
                <c:pt idx="2">
                  <c:v>FY27E</c:v>
                </c:pt>
                <c:pt idx="3">
                  <c:v>FY28E</c:v>
                </c:pt>
                <c:pt idx="4">
                  <c:v>FY29E</c:v>
                </c:pt>
                <c:pt idx="5">
                  <c:v>FY30E</c:v>
                </c:pt>
              </c:strCache>
            </c:strRef>
          </c:cat>
          <c:val>
            <c:numRef>
              <c:f>Charts!$C$228:$H$228</c:f>
              <c:numCache>
                <c:formatCode>_(* #,##0_);_(* \(#,##0\);_(* "-"??_);_(@_)</c:formatCode>
                <c:ptCount val="6"/>
                <c:pt idx="0">
                  <c:v>361.20854700854704</c:v>
                </c:pt>
                <c:pt idx="1">
                  <c:v>384.91696003313319</c:v>
                </c:pt>
                <c:pt idx="2">
                  <c:v>443.73321724508804</c:v>
                </c:pt>
                <c:pt idx="3">
                  <c:v>478.4597087245553</c:v>
                </c:pt>
                <c:pt idx="4">
                  <c:v>462.31415919190414</c:v>
                </c:pt>
                <c:pt idx="5">
                  <c:v>473.21196592813391</c:v>
                </c:pt>
              </c:numCache>
            </c:numRef>
          </c:val>
          <c:smooth val="1"/>
          <c:extLst>
            <c:ext xmlns:c16="http://schemas.microsoft.com/office/drawing/2014/chart" uri="{C3380CC4-5D6E-409C-BE32-E72D297353CC}">
              <c16:uniqueId val="{00000000-E28D-485A-A07D-EC386CF3DB3C}"/>
            </c:ext>
          </c:extLst>
        </c:ser>
        <c:dLbls>
          <c:dLblPos val="t"/>
          <c:showLegendKey val="0"/>
          <c:showVal val="1"/>
          <c:showCatName val="0"/>
          <c:showSerName val="0"/>
          <c:showPercent val="0"/>
          <c:showBubbleSize val="0"/>
        </c:dLbls>
        <c:marker val="1"/>
        <c:smooth val="0"/>
        <c:axId val="606850335"/>
        <c:axId val="606846975"/>
      </c:lineChart>
      <c:catAx>
        <c:axId val="606850335"/>
        <c:scaling>
          <c:orientation val="minMax"/>
        </c:scaling>
        <c:delete val="0"/>
        <c:axPos val="b"/>
        <c:numFmt formatCode="General" sourceLinked="1"/>
        <c:majorTickMark val="none"/>
        <c:minorTickMark val="none"/>
        <c:tickLblPos val="nextTo"/>
        <c:crossAx val="606846975"/>
        <c:crosses val="autoZero"/>
        <c:auto val="1"/>
        <c:lblAlgn val="ctr"/>
        <c:lblOffset val="100"/>
        <c:noMultiLvlLbl val="0"/>
      </c:catAx>
      <c:valAx>
        <c:axId val="606846975"/>
        <c:scaling>
          <c:orientation val="minMax"/>
          <c:min val="300"/>
        </c:scaling>
        <c:delete val="1"/>
        <c:axPos val="l"/>
        <c:numFmt formatCode="_(* #,##0_);_(* \(#,##0\);_(* &quot;-&quot;??_);_(@_)" sourceLinked="1"/>
        <c:majorTickMark val="out"/>
        <c:minorTickMark val="none"/>
        <c:tickLblPos val="nextTo"/>
        <c:crossAx val="606850335"/>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Segment EBITDA Margins</a:t>
            </a:r>
          </a:p>
        </c:rich>
      </c:tx>
      <c:overlay val="0"/>
    </c:title>
    <c:autoTitleDeleted val="0"/>
    <c:plotArea>
      <c:layout/>
      <c:lineChart>
        <c:grouping val="standard"/>
        <c:varyColors val="0"/>
        <c:ser>
          <c:idx val="0"/>
          <c:order val="0"/>
          <c:tx>
            <c:strRef>
              <c:f>Charts!$B$231</c:f>
              <c:strCache>
                <c:ptCount val="1"/>
                <c:pt idx="0">
                  <c:v>Ports</c:v>
                </c:pt>
              </c:strCache>
            </c:strRef>
          </c:tx>
          <c:spPr>
            <a:ln w="31750"/>
          </c:spPr>
          <c:marker>
            <c:symbol val="square"/>
            <c:size val="5"/>
            <c:spPr>
              <a:ln w="28575">
                <a:noFill/>
              </a:ln>
            </c:spPr>
          </c:marker>
          <c:dLbls>
            <c:spPr>
              <a:solidFill>
                <a:schemeClr val="accent1"/>
              </a:solidFill>
              <a:ln>
                <a:noFill/>
              </a:ln>
              <a:effectLst/>
            </c:spPr>
            <c:txPr>
              <a:bodyPr wrap="square" lIns="38100" tIns="19050" rIns="38100" bIns="19050" anchor="ctr">
                <a:spAutoFit/>
              </a:bodyPr>
              <a:lstStyle/>
              <a:p>
                <a:pPr>
                  <a:defRPr>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Charts!$C$230:$H$230</c:f>
              <c:strCache>
                <c:ptCount val="6"/>
                <c:pt idx="0">
                  <c:v>FY25</c:v>
                </c:pt>
                <c:pt idx="1">
                  <c:v>FY26</c:v>
                </c:pt>
                <c:pt idx="2">
                  <c:v>FY27E</c:v>
                </c:pt>
                <c:pt idx="3">
                  <c:v>FY28E</c:v>
                </c:pt>
                <c:pt idx="4">
                  <c:v>FY29E</c:v>
                </c:pt>
                <c:pt idx="5">
                  <c:v>FY30E</c:v>
                </c:pt>
              </c:strCache>
            </c:strRef>
          </c:cat>
          <c:val>
            <c:numRef>
              <c:f>Charts!$C$231:$H$231</c:f>
              <c:numCache>
                <c:formatCode>0%</c:formatCode>
                <c:ptCount val="6"/>
                <c:pt idx="0">
                  <c:v>0.52794748872493569</c:v>
                </c:pt>
                <c:pt idx="1">
                  <c:v>0.52981013189409731</c:v>
                </c:pt>
                <c:pt idx="2">
                  <c:v>0.45081845675601417</c:v>
                </c:pt>
                <c:pt idx="3">
                  <c:v>0.5069850341958525</c:v>
                </c:pt>
                <c:pt idx="4">
                  <c:v>0.51130059440641795</c:v>
                </c:pt>
                <c:pt idx="5">
                  <c:v>0.52695697674060382</c:v>
                </c:pt>
              </c:numCache>
            </c:numRef>
          </c:val>
          <c:smooth val="0"/>
          <c:extLst>
            <c:ext xmlns:c16="http://schemas.microsoft.com/office/drawing/2014/chart" uri="{C3380CC4-5D6E-409C-BE32-E72D297353CC}">
              <c16:uniqueId val="{00000000-DCBA-4115-A5A3-73703E182A5E}"/>
            </c:ext>
          </c:extLst>
        </c:ser>
        <c:ser>
          <c:idx val="1"/>
          <c:order val="1"/>
          <c:tx>
            <c:strRef>
              <c:f>Charts!$B$232</c:f>
              <c:strCache>
                <c:ptCount val="1"/>
                <c:pt idx="0">
                  <c:v>Logistics</c:v>
                </c:pt>
              </c:strCache>
            </c:strRef>
          </c:tx>
          <c:spPr>
            <a:ln w="31750"/>
          </c:spPr>
          <c:marker>
            <c:symbol val="square"/>
            <c:size val="5"/>
          </c:marker>
          <c:dLbls>
            <c:spPr>
              <a:solidFill>
                <a:schemeClr val="accent2"/>
              </a:solid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Charts!$C$230:$H$230</c:f>
              <c:strCache>
                <c:ptCount val="6"/>
                <c:pt idx="0">
                  <c:v>FY25</c:v>
                </c:pt>
                <c:pt idx="1">
                  <c:v>FY26</c:v>
                </c:pt>
                <c:pt idx="2">
                  <c:v>FY27E</c:v>
                </c:pt>
                <c:pt idx="3">
                  <c:v>FY28E</c:v>
                </c:pt>
                <c:pt idx="4">
                  <c:v>FY29E</c:v>
                </c:pt>
                <c:pt idx="5">
                  <c:v>FY30E</c:v>
                </c:pt>
              </c:strCache>
            </c:strRef>
          </c:cat>
          <c:val>
            <c:numRef>
              <c:f>Charts!$C$232:$H$232</c:f>
              <c:numCache>
                <c:formatCode>0%</c:formatCode>
                <c:ptCount val="6"/>
                <c:pt idx="0">
                  <c:v>0.124</c:v>
                </c:pt>
                <c:pt idx="1">
                  <c:v>0.1983821533035702</c:v>
                </c:pt>
                <c:pt idx="2">
                  <c:v>0.243494368255078</c:v>
                </c:pt>
                <c:pt idx="3">
                  <c:v>0.23384702238750171</c:v>
                </c:pt>
                <c:pt idx="4">
                  <c:v>0.21413856588891775</c:v>
                </c:pt>
                <c:pt idx="5">
                  <c:v>0.2140087289588655</c:v>
                </c:pt>
              </c:numCache>
            </c:numRef>
          </c:val>
          <c:smooth val="1"/>
          <c:extLst>
            <c:ext xmlns:c16="http://schemas.microsoft.com/office/drawing/2014/chart" uri="{C3380CC4-5D6E-409C-BE32-E72D297353CC}">
              <c16:uniqueId val="{00000001-DCBA-4115-A5A3-73703E182A5E}"/>
            </c:ext>
          </c:extLst>
        </c:ser>
        <c:ser>
          <c:idx val="2"/>
          <c:order val="2"/>
          <c:tx>
            <c:strRef>
              <c:f>Charts!$B$233</c:f>
              <c:strCache>
                <c:ptCount val="1"/>
                <c:pt idx="0">
                  <c:v>Consolidated</c:v>
                </c:pt>
              </c:strCache>
            </c:strRef>
          </c:tx>
          <c:spPr>
            <a:ln w="31750">
              <a:solidFill>
                <a:srgbClr val="FF0000"/>
              </a:solidFill>
            </a:ln>
          </c:spPr>
          <c:marker>
            <c:symbol val="square"/>
            <c:size val="5"/>
            <c:spPr>
              <a:solidFill>
                <a:srgbClr val="FF0000"/>
              </a:solidFill>
              <a:ln>
                <a:noFill/>
              </a:ln>
            </c:spPr>
          </c:marker>
          <c:dLbls>
            <c:spPr>
              <a:solidFill>
                <a:srgbClr val="FF0000"/>
              </a:solidFill>
              <a:ln>
                <a:noFill/>
              </a:ln>
              <a:effectLst/>
            </c:spPr>
            <c:txPr>
              <a:bodyPr wrap="square" lIns="38100" tIns="19050" rIns="38100" bIns="19050" anchor="ctr">
                <a:spAutoFit/>
              </a:bodyPr>
              <a:lstStyle/>
              <a:p>
                <a:pPr>
                  <a:defRPr b="1">
                    <a:solidFill>
                      <a:schemeClr val="bg1"/>
                    </a:solidFil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Charts!$C$230:$H$230</c:f>
              <c:strCache>
                <c:ptCount val="6"/>
                <c:pt idx="0">
                  <c:v>FY25</c:v>
                </c:pt>
                <c:pt idx="1">
                  <c:v>FY26</c:v>
                </c:pt>
                <c:pt idx="2">
                  <c:v>FY27E</c:v>
                </c:pt>
                <c:pt idx="3">
                  <c:v>FY28E</c:v>
                </c:pt>
                <c:pt idx="4">
                  <c:v>FY29E</c:v>
                </c:pt>
                <c:pt idx="5">
                  <c:v>FY30E</c:v>
                </c:pt>
              </c:strCache>
            </c:strRef>
          </c:cat>
          <c:val>
            <c:numRef>
              <c:f>Charts!$C$233:$H$233</c:f>
              <c:numCache>
                <c:formatCode>0%</c:formatCode>
                <c:ptCount val="6"/>
                <c:pt idx="0">
                  <c:v>0.50538633733529326</c:v>
                </c:pt>
                <c:pt idx="1">
                  <c:v>0.48564005192634807</c:v>
                </c:pt>
                <c:pt idx="2">
                  <c:v>0.40489103350763284</c:v>
                </c:pt>
                <c:pt idx="3">
                  <c:v>0.43653528913894885</c:v>
                </c:pt>
                <c:pt idx="4">
                  <c:v>0.40156530224663267</c:v>
                </c:pt>
                <c:pt idx="5">
                  <c:v>0.40045886822155324</c:v>
                </c:pt>
              </c:numCache>
            </c:numRef>
          </c:val>
          <c:smooth val="1"/>
          <c:extLst>
            <c:ext xmlns:c16="http://schemas.microsoft.com/office/drawing/2014/chart" uri="{C3380CC4-5D6E-409C-BE32-E72D297353CC}">
              <c16:uniqueId val="{00000002-DCBA-4115-A5A3-73703E182A5E}"/>
            </c:ext>
          </c:extLst>
        </c:ser>
        <c:dLbls>
          <c:dLblPos val="t"/>
          <c:showLegendKey val="0"/>
          <c:showVal val="1"/>
          <c:showCatName val="0"/>
          <c:showSerName val="0"/>
          <c:showPercent val="0"/>
          <c:showBubbleSize val="0"/>
        </c:dLbls>
        <c:marker val="1"/>
        <c:smooth val="0"/>
        <c:axId val="51936495"/>
        <c:axId val="51936975"/>
      </c:lineChart>
      <c:catAx>
        <c:axId val="51936495"/>
        <c:scaling>
          <c:orientation val="minMax"/>
        </c:scaling>
        <c:delete val="0"/>
        <c:axPos val="b"/>
        <c:numFmt formatCode="General" sourceLinked="1"/>
        <c:majorTickMark val="none"/>
        <c:minorTickMark val="none"/>
        <c:tickLblPos val="nextTo"/>
        <c:crossAx val="51936975"/>
        <c:crosses val="autoZero"/>
        <c:auto val="1"/>
        <c:lblAlgn val="ctr"/>
        <c:lblOffset val="100"/>
        <c:noMultiLvlLbl val="0"/>
      </c:catAx>
      <c:valAx>
        <c:axId val="51936975"/>
        <c:scaling>
          <c:orientation val="minMax"/>
        </c:scaling>
        <c:delete val="1"/>
        <c:axPos val="l"/>
        <c:numFmt formatCode="0%" sourceLinked="1"/>
        <c:majorTickMark val="out"/>
        <c:minorTickMark val="none"/>
        <c:tickLblPos val="nextTo"/>
        <c:crossAx val="51936495"/>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Consolidated CAPEX - by Segment</a:t>
            </a:r>
          </a:p>
        </c:rich>
      </c:tx>
      <c:overlay val="0"/>
    </c:title>
    <c:autoTitleDeleted val="0"/>
    <c:plotArea>
      <c:layout>
        <c:manualLayout>
          <c:layoutTarget val="inner"/>
          <c:xMode val="edge"/>
          <c:yMode val="edge"/>
          <c:x val="9.0533015473529321E-2"/>
          <c:y val="0.18236509420410299"/>
          <c:w val="0.85705313346284839"/>
          <c:h val="0.63102722371095943"/>
        </c:manualLayout>
      </c:layout>
      <c:barChart>
        <c:barDir val="col"/>
        <c:grouping val="percentStacked"/>
        <c:varyColors val="0"/>
        <c:ser>
          <c:idx val="0"/>
          <c:order val="0"/>
          <c:tx>
            <c:strRef>
              <c:f>Charts!$B$245</c:f>
              <c:strCache>
                <c:ptCount val="1"/>
                <c:pt idx="0">
                  <c:v>Ports</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Charts!$C$213:$H$213</c:f>
              <c:strCache>
                <c:ptCount val="6"/>
                <c:pt idx="0">
                  <c:v>FY25</c:v>
                </c:pt>
                <c:pt idx="1">
                  <c:v>FY26</c:v>
                </c:pt>
                <c:pt idx="2">
                  <c:v>FY27E</c:v>
                </c:pt>
                <c:pt idx="3">
                  <c:v>FY28E</c:v>
                </c:pt>
                <c:pt idx="4">
                  <c:v>FY29E</c:v>
                </c:pt>
                <c:pt idx="5">
                  <c:v>FY30E</c:v>
                </c:pt>
              </c:strCache>
            </c:strRef>
          </c:cat>
          <c:val>
            <c:numRef>
              <c:f>Charts!$C$245:$H$245</c:f>
              <c:numCache>
                <c:formatCode>0%</c:formatCode>
                <c:ptCount val="6"/>
                <c:pt idx="0">
                  <c:v>0.67105371363909994</c:v>
                </c:pt>
                <c:pt idx="1">
                  <c:v>0.39798686808688255</c:v>
                </c:pt>
                <c:pt idx="2">
                  <c:v>0.7582489485191426</c:v>
                </c:pt>
                <c:pt idx="3">
                  <c:v>0.8035079442771127</c:v>
                </c:pt>
                <c:pt idx="4">
                  <c:v>0.81519499846610999</c:v>
                </c:pt>
                <c:pt idx="5">
                  <c:v>0.77700623298463423</c:v>
                </c:pt>
              </c:numCache>
            </c:numRef>
          </c:val>
          <c:extLst>
            <c:ext xmlns:c16="http://schemas.microsoft.com/office/drawing/2014/chart" uri="{C3380CC4-5D6E-409C-BE32-E72D297353CC}">
              <c16:uniqueId val="{00000000-C842-4852-8D57-A139ED790685}"/>
            </c:ext>
          </c:extLst>
        </c:ser>
        <c:ser>
          <c:idx val="1"/>
          <c:order val="1"/>
          <c:tx>
            <c:strRef>
              <c:f>Charts!$B$246</c:f>
              <c:strCache>
                <c:ptCount val="1"/>
                <c:pt idx="0">
                  <c:v>Logistics</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Charts!$C$213:$H$213</c:f>
              <c:strCache>
                <c:ptCount val="6"/>
                <c:pt idx="0">
                  <c:v>FY25</c:v>
                </c:pt>
                <c:pt idx="1">
                  <c:v>FY26</c:v>
                </c:pt>
                <c:pt idx="2">
                  <c:v>FY27E</c:v>
                </c:pt>
                <c:pt idx="3">
                  <c:v>FY28E</c:v>
                </c:pt>
                <c:pt idx="4">
                  <c:v>FY29E</c:v>
                </c:pt>
                <c:pt idx="5">
                  <c:v>FY30E</c:v>
                </c:pt>
              </c:strCache>
            </c:strRef>
          </c:cat>
          <c:val>
            <c:numRef>
              <c:f>Charts!$C$246:$H$246</c:f>
              <c:numCache>
                <c:formatCode>0%</c:formatCode>
                <c:ptCount val="6"/>
                <c:pt idx="0">
                  <c:v>0.32894628636090012</c:v>
                </c:pt>
                <c:pt idx="1">
                  <c:v>0.60201313191311745</c:v>
                </c:pt>
                <c:pt idx="2">
                  <c:v>0.2417510514808574</c:v>
                </c:pt>
                <c:pt idx="3">
                  <c:v>0.1964920557228873</c:v>
                </c:pt>
                <c:pt idx="4">
                  <c:v>0.18480500153389001</c:v>
                </c:pt>
                <c:pt idx="5">
                  <c:v>0.22299376701536575</c:v>
                </c:pt>
              </c:numCache>
            </c:numRef>
          </c:val>
          <c:extLst>
            <c:ext xmlns:c16="http://schemas.microsoft.com/office/drawing/2014/chart" uri="{C3380CC4-5D6E-409C-BE32-E72D297353CC}">
              <c16:uniqueId val="{00000001-C842-4852-8D57-A139ED790685}"/>
            </c:ext>
          </c:extLst>
        </c:ser>
        <c:dLbls>
          <c:dLblPos val="ctr"/>
          <c:showLegendKey val="0"/>
          <c:showVal val="1"/>
          <c:showCatName val="0"/>
          <c:showSerName val="0"/>
          <c:showPercent val="0"/>
          <c:showBubbleSize val="0"/>
        </c:dLbls>
        <c:gapWidth val="30"/>
        <c:overlap val="100"/>
        <c:axId val="505261151"/>
        <c:axId val="505261631"/>
      </c:barChart>
      <c:catAx>
        <c:axId val="505261151"/>
        <c:scaling>
          <c:orientation val="minMax"/>
        </c:scaling>
        <c:delete val="0"/>
        <c:axPos val="b"/>
        <c:numFmt formatCode="General" sourceLinked="1"/>
        <c:majorTickMark val="none"/>
        <c:minorTickMark val="none"/>
        <c:tickLblPos val="nextTo"/>
        <c:crossAx val="505261631"/>
        <c:crosses val="autoZero"/>
        <c:auto val="1"/>
        <c:lblAlgn val="ctr"/>
        <c:lblOffset val="100"/>
        <c:noMultiLvlLbl val="0"/>
      </c:catAx>
      <c:valAx>
        <c:axId val="505261631"/>
        <c:scaling>
          <c:orientation val="minMax"/>
        </c:scaling>
        <c:delete val="1"/>
        <c:axPos val="l"/>
        <c:numFmt formatCode="0%" sourceLinked="1"/>
        <c:majorTickMark val="none"/>
        <c:minorTickMark val="none"/>
        <c:tickLblPos val="nextTo"/>
        <c:crossAx val="505261151"/>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Net Debt/ EBITDA</a:t>
            </a:r>
          </a:p>
        </c:rich>
      </c:tx>
      <c:overlay val="0"/>
    </c:title>
    <c:autoTitleDeleted val="0"/>
    <c:plotArea>
      <c:layout/>
      <c:lineChart>
        <c:grouping val="standard"/>
        <c:varyColors val="0"/>
        <c:ser>
          <c:idx val="1"/>
          <c:order val="0"/>
          <c:tx>
            <c:strRef>
              <c:f>Charts!$B$88</c:f>
              <c:strCache>
                <c:ptCount val="1"/>
                <c:pt idx="0">
                  <c:v>Net Debt/EBITDA</c:v>
                </c:pt>
              </c:strCache>
            </c:strRef>
          </c:tx>
          <c:spPr>
            <a:ln w="28575">
              <a:solidFill>
                <a:schemeClr val="accent1"/>
              </a:solidFill>
            </a:ln>
          </c:spPr>
          <c:marker>
            <c:symbol val="none"/>
          </c:marker>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Charts!$J$86:$O$86</c:f>
              <c:strCache>
                <c:ptCount val="6"/>
                <c:pt idx="0">
                  <c:v>FY25</c:v>
                </c:pt>
                <c:pt idx="1">
                  <c:v>FY26</c:v>
                </c:pt>
                <c:pt idx="2">
                  <c:v>FY27E</c:v>
                </c:pt>
                <c:pt idx="3">
                  <c:v>FY28E</c:v>
                </c:pt>
                <c:pt idx="4">
                  <c:v>FY29E</c:v>
                </c:pt>
                <c:pt idx="5">
                  <c:v>FY30E</c:v>
                </c:pt>
              </c:strCache>
            </c:strRef>
          </c:cat>
          <c:val>
            <c:numRef>
              <c:f>Charts!$J$88:$O$88</c:f>
              <c:numCache>
                <c:formatCode>_(* #,##0.0_);_(* \(#,##0.0\);_(* "-"??_);_(@_)</c:formatCode>
                <c:ptCount val="6"/>
                <c:pt idx="0">
                  <c:v>0.89160897894950875</c:v>
                </c:pt>
                <c:pt idx="1">
                  <c:v>1.5708771646829742</c:v>
                </c:pt>
                <c:pt idx="2">
                  <c:v>0.91473530150921256</c:v>
                </c:pt>
                <c:pt idx="3">
                  <c:v>1.8337019224366602</c:v>
                </c:pt>
                <c:pt idx="4">
                  <c:v>2.2366778043597755</c:v>
                </c:pt>
                <c:pt idx="5">
                  <c:v>1.9895481896072915</c:v>
                </c:pt>
              </c:numCache>
            </c:numRef>
          </c:val>
          <c:smooth val="1"/>
          <c:extLst>
            <c:ext xmlns:c16="http://schemas.microsoft.com/office/drawing/2014/chart" uri="{C3380CC4-5D6E-409C-BE32-E72D297353CC}">
              <c16:uniqueId val="{00000001-B16C-42BB-BBE4-FE7186AED96D}"/>
            </c:ext>
          </c:extLst>
        </c:ser>
        <c:dLbls>
          <c:dLblPos val="t"/>
          <c:showLegendKey val="0"/>
          <c:showVal val="1"/>
          <c:showCatName val="0"/>
          <c:showSerName val="0"/>
          <c:showPercent val="0"/>
          <c:showBubbleSize val="0"/>
        </c:dLbls>
        <c:smooth val="0"/>
        <c:axId val="812975023"/>
        <c:axId val="812975503"/>
      </c:lineChart>
      <c:catAx>
        <c:axId val="812975023"/>
        <c:scaling>
          <c:orientation val="minMax"/>
        </c:scaling>
        <c:delete val="0"/>
        <c:axPos val="b"/>
        <c:numFmt formatCode="General" sourceLinked="1"/>
        <c:majorTickMark val="none"/>
        <c:minorTickMark val="none"/>
        <c:tickLblPos val="nextTo"/>
        <c:crossAx val="812975503"/>
        <c:crosses val="autoZero"/>
        <c:auto val="1"/>
        <c:lblAlgn val="ctr"/>
        <c:lblOffset val="100"/>
        <c:noMultiLvlLbl val="0"/>
      </c:catAx>
      <c:valAx>
        <c:axId val="812975503"/>
        <c:scaling>
          <c:orientation val="minMax"/>
        </c:scaling>
        <c:delete val="1"/>
        <c:axPos val="l"/>
        <c:numFmt formatCode="_(* #,##0.0_);_(* \(#,##0.0\);_(* &quot;-&quot;??_);_(@_)" sourceLinked="1"/>
        <c:majorTickMark val="none"/>
        <c:minorTickMark val="none"/>
        <c:tickLblPos val="nextTo"/>
        <c:crossAx val="812975023"/>
        <c:crosses val="autoZero"/>
        <c:crossBetween val="between"/>
      </c:valAx>
    </c:plotArea>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JSW Infra Consolidated Ports Revenue</a:t>
            </a:r>
            <a:r>
              <a:rPr lang="en-US" baseline="0"/>
              <a:t> (Rs. bn)</a:t>
            </a:r>
            <a:endParaRPr lang="en-US"/>
          </a:p>
        </c:rich>
      </c:tx>
      <c:overlay val="0"/>
    </c:title>
    <c:autoTitleDeleted val="0"/>
    <c:plotArea>
      <c:layout/>
      <c:barChart>
        <c:barDir val="col"/>
        <c:grouping val="clustered"/>
        <c:varyColors val="0"/>
        <c:ser>
          <c:idx val="0"/>
          <c:order val="0"/>
          <c:tx>
            <c:strRef>
              <c:f>Charts!$B$210</c:f>
              <c:strCache>
                <c:ptCount val="1"/>
                <c:pt idx="0">
                  <c:v>Ports</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Charts!$C$209:$H$209</c:f>
              <c:strCache>
                <c:ptCount val="6"/>
                <c:pt idx="0">
                  <c:v>FY25</c:v>
                </c:pt>
                <c:pt idx="1">
                  <c:v>FY26</c:v>
                </c:pt>
                <c:pt idx="2">
                  <c:v>FY27E</c:v>
                </c:pt>
                <c:pt idx="3">
                  <c:v>FY28E</c:v>
                </c:pt>
                <c:pt idx="4">
                  <c:v>FY29E</c:v>
                </c:pt>
                <c:pt idx="5">
                  <c:v>FY30E</c:v>
                </c:pt>
              </c:strCache>
            </c:strRef>
          </c:cat>
          <c:val>
            <c:numRef>
              <c:f>Charts!$C$210:$H$210</c:f>
              <c:numCache>
                <c:formatCode>_(* #,##0_);_(* \(#,##0\);_(* "-"??_);_(@_)</c:formatCode>
                <c:ptCount val="6"/>
                <c:pt idx="0">
                  <c:v>42.261400000000002</c:v>
                </c:pt>
                <c:pt idx="1">
                  <c:v>46.469100000000005</c:v>
                </c:pt>
                <c:pt idx="2">
                  <c:v>56.778376356466381</c:v>
                </c:pt>
                <c:pt idx="3">
                  <c:v>80.642965033257582</c:v>
                </c:pt>
                <c:pt idx="4">
                  <c:v>91.045521087915347</c:v>
                </c:pt>
                <c:pt idx="5">
                  <c:v>112.33586105782224</c:v>
                </c:pt>
              </c:numCache>
            </c:numRef>
          </c:val>
          <c:extLst>
            <c:ext xmlns:c16="http://schemas.microsoft.com/office/drawing/2014/chart" uri="{C3380CC4-5D6E-409C-BE32-E72D297353CC}">
              <c16:uniqueId val="{00000000-73BD-4D34-9A5D-CF6ECDE69029}"/>
            </c:ext>
          </c:extLst>
        </c:ser>
        <c:dLbls>
          <c:dLblPos val="outEnd"/>
          <c:showLegendKey val="0"/>
          <c:showVal val="1"/>
          <c:showCatName val="0"/>
          <c:showSerName val="0"/>
          <c:showPercent val="0"/>
          <c:showBubbleSize val="0"/>
        </c:dLbls>
        <c:gapWidth val="30"/>
        <c:overlap val="-27"/>
        <c:axId val="205184544"/>
        <c:axId val="205173024"/>
      </c:barChart>
      <c:catAx>
        <c:axId val="205184544"/>
        <c:scaling>
          <c:orientation val="minMax"/>
        </c:scaling>
        <c:delete val="0"/>
        <c:axPos val="b"/>
        <c:numFmt formatCode="General" sourceLinked="1"/>
        <c:majorTickMark val="none"/>
        <c:minorTickMark val="none"/>
        <c:tickLblPos val="nextTo"/>
        <c:crossAx val="205173024"/>
        <c:crosses val="autoZero"/>
        <c:auto val="1"/>
        <c:lblAlgn val="ctr"/>
        <c:lblOffset val="100"/>
        <c:noMultiLvlLbl val="0"/>
      </c:catAx>
      <c:valAx>
        <c:axId val="205173024"/>
        <c:scaling>
          <c:orientation val="minMax"/>
        </c:scaling>
        <c:delete val="1"/>
        <c:axPos val="l"/>
        <c:numFmt formatCode="_(* #,##0_);_(* \(#,##0\);_(* &quot;-&quot;??_);_(@_)" sourceLinked="1"/>
        <c:majorTickMark val="none"/>
        <c:minorTickMark val="none"/>
        <c:tickLblPos val="nextTo"/>
        <c:crossAx val="205184544"/>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JSW Infra Consolidated Ports EBITDA</a:t>
            </a:r>
            <a:r>
              <a:rPr lang="en-US" baseline="0"/>
              <a:t> (Rs. bn)</a:t>
            </a:r>
            <a:endParaRPr lang="en-US"/>
          </a:p>
        </c:rich>
      </c:tx>
      <c:overlay val="0"/>
    </c:title>
    <c:autoTitleDeleted val="0"/>
    <c:plotArea>
      <c:layout>
        <c:manualLayout>
          <c:layoutTarget val="inner"/>
          <c:xMode val="edge"/>
          <c:yMode val="edge"/>
          <c:x val="1.5642694663167107E-2"/>
          <c:y val="0.13453776611256926"/>
          <c:w val="0.98123692038495192"/>
          <c:h val="0.76269247594050738"/>
        </c:manualLayout>
      </c:layout>
      <c:barChart>
        <c:barDir val="col"/>
        <c:grouping val="clustered"/>
        <c:varyColors val="0"/>
        <c:ser>
          <c:idx val="0"/>
          <c:order val="0"/>
          <c:tx>
            <c:strRef>
              <c:f>Charts!$B$287</c:f>
              <c:strCache>
                <c:ptCount val="1"/>
                <c:pt idx="0">
                  <c:v>Ports</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Charts!$C$286:$H$286</c:f>
              <c:strCache>
                <c:ptCount val="6"/>
                <c:pt idx="0">
                  <c:v>FY25</c:v>
                </c:pt>
                <c:pt idx="1">
                  <c:v>FY26</c:v>
                </c:pt>
                <c:pt idx="2">
                  <c:v>FY27E</c:v>
                </c:pt>
                <c:pt idx="3">
                  <c:v>FY28E</c:v>
                </c:pt>
                <c:pt idx="4">
                  <c:v>FY29E</c:v>
                </c:pt>
                <c:pt idx="5">
                  <c:v>FY30E</c:v>
                </c:pt>
              </c:strCache>
            </c:strRef>
          </c:cat>
          <c:val>
            <c:numRef>
              <c:f>Charts!$C$287:$H$287</c:f>
              <c:numCache>
                <c:formatCode>_(* #,##0_);_(* \(#,##0\);_(* "-"??_);_(@_)</c:formatCode>
                <c:ptCount val="6"/>
                <c:pt idx="0">
                  <c:v>22.311799999999998</c:v>
                </c:pt>
                <c:pt idx="1">
                  <c:v>24.619799999999998</c:v>
                </c:pt>
                <c:pt idx="2">
                  <c:v>25.596740006134336</c:v>
                </c:pt>
                <c:pt idx="3">
                  <c:v>40.884776385041036</c:v>
                </c:pt>
                <c:pt idx="4">
                  <c:v>46.55162905029318</c:v>
                </c:pt>
                <c:pt idx="5">
                  <c:v>59.196165722582535</c:v>
                </c:pt>
              </c:numCache>
            </c:numRef>
          </c:val>
          <c:extLst>
            <c:ext xmlns:c16="http://schemas.microsoft.com/office/drawing/2014/chart" uri="{C3380CC4-5D6E-409C-BE32-E72D297353CC}">
              <c16:uniqueId val="{00000000-9503-4FAF-ADB5-09C11E9C347B}"/>
            </c:ext>
          </c:extLst>
        </c:ser>
        <c:dLbls>
          <c:dLblPos val="outEnd"/>
          <c:showLegendKey val="0"/>
          <c:showVal val="1"/>
          <c:showCatName val="0"/>
          <c:showSerName val="0"/>
          <c:showPercent val="0"/>
          <c:showBubbleSize val="0"/>
        </c:dLbls>
        <c:gapWidth val="30"/>
        <c:axId val="205184544"/>
        <c:axId val="205173024"/>
      </c:barChart>
      <c:lineChart>
        <c:grouping val="standard"/>
        <c:varyColors val="0"/>
        <c:ser>
          <c:idx val="1"/>
          <c:order val="1"/>
          <c:tx>
            <c:strRef>
              <c:f>Charts!$B$288</c:f>
              <c:strCache>
                <c:ptCount val="1"/>
                <c:pt idx="0">
                  <c:v>Margin, %</c:v>
                </c:pt>
              </c:strCache>
            </c:strRef>
          </c:tx>
          <c:spPr>
            <a:ln w="28575"/>
          </c:spPr>
          <c:marker>
            <c:symbol val="none"/>
          </c:marker>
          <c:dLbls>
            <c:dLbl>
              <c:idx val="2"/>
              <c:layout>
                <c:manualLayout>
                  <c:x val="-4.0755555555555559E-2"/>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03-4FAF-ADB5-09C11E9C347B}"/>
                </c:ext>
              </c:extLst>
            </c:dLbl>
            <c:spPr>
              <a:solidFill>
                <a:schemeClr val="accent2"/>
              </a:solidFill>
              <a:ln>
                <a:noFill/>
              </a:ln>
              <a:effectLst/>
            </c:spPr>
            <c:txPr>
              <a:bodyPr wrap="square" lIns="38100" tIns="19050" rIns="38100" bIns="19050" anchor="ctr">
                <a:spAutoFit/>
              </a:bodyPr>
              <a:lstStyle/>
              <a:p>
                <a:pPr>
                  <a:defRPr b="1">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Charts!$C$286:$H$286</c:f>
              <c:strCache>
                <c:ptCount val="6"/>
                <c:pt idx="0">
                  <c:v>FY25</c:v>
                </c:pt>
                <c:pt idx="1">
                  <c:v>FY26</c:v>
                </c:pt>
                <c:pt idx="2">
                  <c:v>FY27E</c:v>
                </c:pt>
                <c:pt idx="3">
                  <c:v>FY28E</c:v>
                </c:pt>
                <c:pt idx="4">
                  <c:v>FY29E</c:v>
                </c:pt>
                <c:pt idx="5">
                  <c:v>FY30E</c:v>
                </c:pt>
              </c:strCache>
            </c:strRef>
          </c:cat>
          <c:val>
            <c:numRef>
              <c:f>Charts!$C$288:$H$288</c:f>
              <c:numCache>
                <c:formatCode>0%</c:formatCode>
                <c:ptCount val="6"/>
                <c:pt idx="0">
                  <c:v>0.52794748872493569</c:v>
                </c:pt>
                <c:pt idx="1">
                  <c:v>0.52981013189409731</c:v>
                </c:pt>
                <c:pt idx="2">
                  <c:v>0.45081845675601417</c:v>
                </c:pt>
                <c:pt idx="3">
                  <c:v>0.5069850341958525</c:v>
                </c:pt>
                <c:pt idx="4">
                  <c:v>0.51130059440641795</c:v>
                </c:pt>
                <c:pt idx="5">
                  <c:v>0.52695697674060382</c:v>
                </c:pt>
              </c:numCache>
            </c:numRef>
          </c:val>
          <c:smooth val="1"/>
          <c:extLst>
            <c:ext xmlns:c16="http://schemas.microsoft.com/office/drawing/2014/chart" uri="{C3380CC4-5D6E-409C-BE32-E72D297353CC}">
              <c16:uniqueId val="{00000001-9503-4FAF-ADB5-09C11E9C347B}"/>
            </c:ext>
          </c:extLst>
        </c:ser>
        <c:dLbls>
          <c:showLegendKey val="0"/>
          <c:showVal val="0"/>
          <c:showCatName val="0"/>
          <c:showSerName val="0"/>
          <c:showPercent val="0"/>
          <c:showBubbleSize val="0"/>
        </c:dLbls>
        <c:marker val="1"/>
        <c:smooth val="0"/>
        <c:axId val="127029232"/>
        <c:axId val="127021072"/>
      </c:lineChart>
      <c:catAx>
        <c:axId val="205184544"/>
        <c:scaling>
          <c:orientation val="minMax"/>
        </c:scaling>
        <c:delete val="0"/>
        <c:axPos val="b"/>
        <c:numFmt formatCode="General" sourceLinked="1"/>
        <c:majorTickMark val="none"/>
        <c:minorTickMark val="none"/>
        <c:tickLblPos val="nextTo"/>
        <c:crossAx val="205173024"/>
        <c:crosses val="autoZero"/>
        <c:auto val="1"/>
        <c:lblAlgn val="ctr"/>
        <c:lblOffset val="100"/>
        <c:noMultiLvlLbl val="0"/>
      </c:catAx>
      <c:valAx>
        <c:axId val="205173024"/>
        <c:scaling>
          <c:orientation val="minMax"/>
        </c:scaling>
        <c:delete val="0"/>
        <c:axPos val="l"/>
        <c:numFmt formatCode="_(* #,##0_);_(* \(#,##0\);_(* &quot;-&quot;??_);_(@_)" sourceLinked="1"/>
        <c:majorTickMark val="out"/>
        <c:minorTickMark val="none"/>
        <c:tickLblPos val="none"/>
        <c:spPr>
          <a:ln>
            <a:noFill/>
          </a:ln>
        </c:spPr>
        <c:crossAx val="205184544"/>
        <c:crosses val="autoZero"/>
        <c:crossBetween val="between"/>
      </c:valAx>
      <c:valAx>
        <c:axId val="127021072"/>
        <c:scaling>
          <c:orientation val="minMax"/>
          <c:max val="0.58000000000000007"/>
          <c:min val="0.4"/>
        </c:scaling>
        <c:delete val="0"/>
        <c:axPos val="r"/>
        <c:numFmt formatCode="0%" sourceLinked="1"/>
        <c:majorTickMark val="out"/>
        <c:minorTickMark val="none"/>
        <c:tickLblPos val="none"/>
        <c:spPr>
          <a:ln>
            <a:noFill/>
          </a:ln>
        </c:spPr>
        <c:crossAx val="127029232"/>
        <c:crosses val="max"/>
        <c:crossBetween val="between"/>
      </c:valAx>
      <c:catAx>
        <c:axId val="127029232"/>
        <c:scaling>
          <c:orientation val="minMax"/>
        </c:scaling>
        <c:delete val="1"/>
        <c:axPos val="b"/>
        <c:numFmt formatCode="General" sourceLinked="1"/>
        <c:majorTickMark val="out"/>
        <c:minorTickMark val="none"/>
        <c:tickLblPos val="nextTo"/>
        <c:crossAx val="127021072"/>
        <c:crosses val="autoZero"/>
        <c:auto val="1"/>
        <c:lblAlgn val="ctr"/>
        <c:lblOffset val="100"/>
        <c:noMultiLvlLbl val="0"/>
      </c:catAx>
    </c:plotArea>
    <c:legend>
      <c:legendPos val="t"/>
      <c:legendEntry>
        <c:idx val="0"/>
        <c:delete val="1"/>
      </c:legendEntry>
      <c:layout>
        <c:manualLayout>
          <c:xMode val="edge"/>
          <c:yMode val="edge"/>
          <c:x val="0.77659072615923008"/>
          <c:y val="4.7152960046660836E-2"/>
          <c:w val="0.16237392825896763"/>
          <c:h val="7.8125546806649182E-2"/>
        </c:manualLayout>
      </c:layout>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dirty="0"/>
              <a:t>Realisation (Ports Revenue</a:t>
            </a:r>
            <a:r>
              <a:rPr lang="en-US" sz="900" baseline="0" dirty="0"/>
              <a:t> - Rs. mn/ Ports Cargo - MT)</a:t>
            </a:r>
            <a:endParaRPr lang="en-US" sz="900" dirty="0"/>
          </a:p>
        </c:rich>
      </c:tx>
      <c:overlay val="0"/>
    </c:title>
    <c:autoTitleDeleted val="0"/>
    <c:plotArea>
      <c:layout/>
      <c:lineChart>
        <c:grouping val="standard"/>
        <c:varyColors val="0"/>
        <c:ser>
          <c:idx val="0"/>
          <c:order val="0"/>
          <c:tx>
            <c:strRef>
              <c:f>Charts!$B$228</c:f>
              <c:strCache>
                <c:ptCount val="1"/>
                <c:pt idx="0">
                  <c:v>Ports Revenue/ Ports Cargo</c:v>
                </c:pt>
              </c:strCache>
            </c:strRef>
          </c:tx>
          <c:spPr>
            <a:ln w="31750"/>
            <a:effectLst>
              <a:outerShdw blurRad="50800" dist="38100" dir="2700000" algn="tl" rotWithShape="0">
                <a:prstClr val="black">
                  <a:alpha val="40000"/>
                </a:prstClr>
              </a:outerShdw>
            </a:effectLst>
          </c:spPr>
          <c:marker>
            <c:symbol val="square"/>
            <c:size val="5"/>
            <c:spPr>
              <a:effectLst>
                <a:outerShdw blurRad="50800" dist="38100" dir="2700000" algn="tl" rotWithShape="0">
                  <a:prstClr val="black">
                    <a:alpha val="40000"/>
                  </a:prstClr>
                </a:outerShdw>
              </a:effectLst>
            </c:spPr>
          </c:marker>
          <c:dLbls>
            <c:spPr>
              <a:solidFill>
                <a:schemeClr val="accent2"/>
              </a:solidFill>
              <a:ln>
                <a:noFill/>
              </a:ln>
              <a:effectLst/>
            </c:spPr>
            <c:txPr>
              <a:bodyPr wrap="square" lIns="38100" tIns="19050" rIns="38100" bIns="19050" anchor="ctr">
                <a:spAutoFit/>
              </a:bodyPr>
              <a:lstStyle/>
              <a:p>
                <a:pPr>
                  <a:defRPr b="1">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Charts!$C$227:$H$227</c:f>
              <c:strCache>
                <c:ptCount val="6"/>
                <c:pt idx="0">
                  <c:v>FY25</c:v>
                </c:pt>
                <c:pt idx="1">
                  <c:v>FY26</c:v>
                </c:pt>
                <c:pt idx="2">
                  <c:v>FY27E</c:v>
                </c:pt>
                <c:pt idx="3">
                  <c:v>FY28E</c:v>
                </c:pt>
                <c:pt idx="4">
                  <c:v>FY29E</c:v>
                </c:pt>
                <c:pt idx="5">
                  <c:v>FY30E</c:v>
                </c:pt>
              </c:strCache>
            </c:strRef>
          </c:cat>
          <c:val>
            <c:numRef>
              <c:f>Charts!$C$228:$H$228</c:f>
              <c:numCache>
                <c:formatCode>_(* #,##0_);_(* \(#,##0\);_(* "-"??_);_(@_)</c:formatCode>
                <c:ptCount val="6"/>
                <c:pt idx="0">
                  <c:v>361.20854700854704</c:v>
                </c:pt>
                <c:pt idx="1">
                  <c:v>384.91696003313319</c:v>
                </c:pt>
                <c:pt idx="2">
                  <c:v>443.73321724508804</c:v>
                </c:pt>
                <c:pt idx="3">
                  <c:v>478.4597087245553</c:v>
                </c:pt>
                <c:pt idx="4">
                  <c:v>462.31415919190414</c:v>
                </c:pt>
                <c:pt idx="5">
                  <c:v>473.21196592813391</c:v>
                </c:pt>
              </c:numCache>
            </c:numRef>
          </c:val>
          <c:smooth val="1"/>
          <c:extLst>
            <c:ext xmlns:c16="http://schemas.microsoft.com/office/drawing/2014/chart" uri="{C3380CC4-5D6E-409C-BE32-E72D297353CC}">
              <c16:uniqueId val="{00000000-5E20-4085-B499-0AEDC8591573}"/>
            </c:ext>
          </c:extLst>
        </c:ser>
        <c:dLbls>
          <c:dLblPos val="t"/>
          <c:showLegendKey val="0"/>
          <c:showVal val="1"/>
          <c:showCatName val="0"/>
          <c:showSerName val="0"/>
          <c:showPercent val="0"/>
          <c:showBubbleSize val="0"/>
        </c:dLbls>
        <c:marker val="1"/>
        <c:smooth val="0"/>
        <c:axId val="606850335"/>
        <c:axId val="606846975"/>
      </c:lineChart>
      <c:catAx>
        <c:axId val="606850335"/>
        <c:scaling>
          <c:orientation val="minMax"/>
        </c:scaling>
        <c:delete val="0"/>
        <c:axPos val="b"/>
        <c:numFmt formatCode="General" sourceLinked="1"/>
        <c:majorTickMark val="none"/>
        <c:minorTickMark val="none"/>
        <c:tickLblPos val="nextTo"/>
        <c:crossAx val="606846975"/>
        <c:crosses val="autoZero"/>
        <c:auto val="1"/>
        <c:lblAlgn val="ctr"/>
        <c:lblOffset val="100"/>
        <c:noMultiLvlLbl val="0"/>
      </c:catAx>
      <c:valAx>
        <c:axId val="606846975"/>
        <c:scaling>
          <c:orientation val="minMax"/>
          <c:min val="300"/>
        </c:scaling>
        <c:delete val="1"/>
        <c:axPos val="l"/>
        <c:numFmt formatCode="_(* #,##0_);_(* \(#,##0\);_(* &quot;-&quot;??_);_(@_)" sourceLinked="1"/>
        <c:majorTickMark val="out"/>
        <c:minorTickMark val="none"/>
        <c:tickLblPos val="nextTo"/>
        <c:crossAx val="606850335"/>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dirty="0"/>
              <a:t>EBITDA/ tonne</a:t>
            </a:r>
            <a:r>
              <a:rPr lang="en-US" sz="900" baseline="0" dirty="0"/>
              <a:t> </a:t>
            </a:r>
            <a:r>
              <a:rPr lang="en-US" sz="900" dirty="0"/>
              <a:t> (Ports EBITDA</a:t>
            </a:r>
            <a:r>
              <a:rPr lang="en-US" sz="900" baseline="0" dirty="0"/>
              <a:t> - Rs. mn/ Ports Cargo - MT)</a:t>
            </a:r>
            <a:endParaRPr lang="en-US" sz="900" dirty="0"/>
          </a:p>
        </c:rich>
      </c:tx>
      <c:overlay val="0"/>
    </c:title>
    <c:autoTitleDeleted val="0"/>
    <c:plotArea>
      <c:layout/>
      <c:lineChart>
        <c:grouping val="standard"/>
        <c:varyColors val="0"/>
        <c:ser>
          <c:idx val="0"/>
          <c:order val="0"/>
          <c:tx>
            <c:strRef>
              <c:f>Charts!$B$229</c:f>
              <c:strCache>
                <c:ptCount val="1"/>
                <c:pt idx="0">
                  <c:v>Ports EBITDA/ Ports Cargo</c:v>
                </c:pt>
              </c:strCache>
            </c:strRef>
          </c:tx>
          <c:spPr>
            <a:ln w="28575"/>
          </c:spPr>
          <c:marker>
            <c:symbol val="square"/>
            <c:size val="5"/>
            <c:spPr>
              <a:effectLst>
                <a:outerShdw blurRad="50800" dist="38100" dir="2700000" algn="tl" rotWithShape="0">
                  <a:prstClr val="black">
                    <a:alpha val="40000"/>
                  </a:prstClr>
                </a:outerShdw>
              </a:effectLst>
            </c:spPr>
          </c:marker>
          <c:dPt>
            <c:idx val="3"/>
            <c:bubble3D val="0"/>
            <c:spPr>
              <a:ln w="28575"/>
              <a:effectLst>
                <a:outerShdw blurRad="50800" dist="38100" dir="2700000" algn="tl" rotWithShape="0">
                  <a:prstClr val="black">
                    <a:alpha val="40000"/>
                  </a:prstClr>
                </a:outerShdw>
              </a:effectLst>
            </c:spPr>
            <c:extLst>
              <c:ext xmlns:c16="http://schemas.microsoft.com/office/drawing/2014/chart" uri="{C3380CC4-5D6E-409C-BE32-E72D297353CC}">
                <c16:uniqueId val="{00000001-2B64-4B43-ADDD-D3550B18603E}"/>
              </c:ext>
            </c:extLst>
          </c:dPt>
          <c:dLbls>
            <c:spPr>
              <a:solidFill>
                <a:schemeClr val="accent2"/>
              </a:solidFill>
              <a:ln>
                <a:noFill/>
              </a:ln>
              <a:effectLst/>
            </c:spPr>
            <c:txPr>
              <a:bodyPr wrap="square" lIns="38100" tIns="19050" rIns="38100" bIns="19050" anchor="ctr">
                <a:spAutoFit/>
              </a:bodyPr>
              <a:lstStyle/>
              <a:p>
                <a:pPr>
                  <a:defRPr b="1">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Charts!$C$227:$H$227</c:f>
              <c:strCache>
                <c:ptCount val="6"/>
                <c:pt idx="0">
                  <c:v>FY25</c:v>
                </c:pt>
                <c:pt idx="1">
                  <c:v>FY26</c:v>
                </c:pt>
                <c:pt idx="2">
                  <c:v>FY27E</c:v>
                </c:pt>
                <c:pt idx="3">
                  <c:v>FY28E</c:v>
                </c:pt>
                <c:pt idx="4">
                  <c:v>FY29E</c:v>
                </c:pt>
                <c:pt idx="5">
                  <c:v>FY30E</c:v>
                </c:pt>
              </c:strCache>
            </c:strRef>
          </c:cat>
          <c:val>
            <c:numRef>
              <c:f>Charts!$C$229:$H$229</c:f>
              <c:numCache>
                <c:formatCode>_(* #,##0_);_(* \(#,##0\);_(* "-"??_);_(@_)</c:formatCode>
                <c:ptCount val="6"/>
                <c:pt idx="0">
                  <c:v>190.6991452991453</c:v>
                </c:pt>
                <c:pt idx="1">
                  <c:v>203.93290536342928</c:v>
                </c:pt>
                <c:pt idx="2">
                  <c:v>200.04312420981177</c:v>
                </c:pt>
                <c:pt idx="3">
                  <c:v>242.57191178905629</c:v>
                </c:pt>
                <c:pt idx="4">
                  <c:v>236.38150439732394</c:v>
                </c:pt>
                <c:pt idx="5">
                  <c:v>249.36234692296705</c:v>
                </c:pt>
              </c:numCache>
            </c:numRef>
          </c:val>
          <c:smooth val="1"/>
          <c:extLst>
            <c:ext xmlns:c16="http://schemas.microsoft.com/office/drawing/2014/chart" uri="{C3380CC4-5D6E-409C-BE32-E72D297353CC}">
              <c16:uniqueId val="{00000000-2B64-4B43-ADDD-D3550B18603E}"/>
            </c:ext>
          </c:extLst>
        </c:ser>
        <c:dLbls>
          <c:dLblPos val="t"/>
          <c:showLegendKey val="0"/>
          <c:showVal val="1"/>
          <c:showCatName val="0"/>
          <c:showSerName val="0"/>
          <c:showPercent val="0"/>
          <c:showBubbleSize val="0"/>
        </c:dLbls>
        <c:marker val="1"/>
        <c:smooth val="0"/>
        <c:axId val="606850335"/>
        <c:axId val="606846975"/>
      </c:lineChart>
      <c:catAx>
        <c:axId val="606850335"/>
        <c:scaling>
          <c:orientation val="minMax"/>
        </c:scaling>
        <c:delete val="0"/>
        <c:axPos val="b"/>
        <c:numFmt formatCode="General" sourceLinked="1"/>
        <c:majorTickMark val="none"/>
        <c:minorTickMark val="none"/>
        <c:tickLblPos val="nextTo"/>
        <c:crossAx val="606846975"/>
        <c:crosses val="autoZero"/>
        <c:auto val="1"/>
        <c:lblAlgn val="ctr"/>
        <c:lblOffset val="100"/>
        <c:noMultiLvlLbl val="0"/>
      </c:catAx>
      <c:valAx>
        <c:axId val="606846975"/>
        <c:scaling>
          <c:orientation val="minMax"/>
        </c:scaling>
        <c:delete val="0"/>
        <c:axPos val="l"/>
        <c:numFmt formatCode="_(* #,##0_);_(* \(#,##0\);_(* &quot;-&quot;??_);_(@_)" sourceLinked="1"/>
        <c:majorTickMark val="out"/>
        <c:minorTickMark val="none"/>
        <c:tickLblPos val="nextTo"/>
        <c:crossAx val="606850335"/>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JSW Infra</a:t>
            </a:r>
            <a:r>
              <a:rPr lang="en-IN" baseline="0"/>
              <a:t> - Logistics EBITDA (Rs. bn) </a:t>
            </a:r>
            <a:endParaRPr lang="en-IN"/>
          </a:p>
        </c:rich>
      </c:tx>
      <c:overlay val="0"/>
    </c:title>
    <c:autoTitleDeleted val="0"/>
    <c:plotArea>
      <c:layout/>
      <c:barChart>
        <c:barDir val="col"/>
        <c:grouping val="stacked"/>
        <c:varyColors val="0"/>
        <c:ser>
          <c:idx val="0"/>
          <c:order val="0"/>
          <c:tx>
            <c:strRef>
              <c:f>Charts!$B$250</c:f>
              <c:strCache>
                <c:ptCount val="1"/>
                <c:pt idx="0">
                  <c:v>Navkar</c:v>
                </c:pt>
              </c:strCache>
            </c:strRef>
          </c:tx>
          <c:invertIfNegative val="0"/>
          <c:cat>
            <c:strRef>
              <c:f>Charts!$C$249:$G$249</c:f>
              <c:strCache>
                <c:ptCount val="5"/>
                <c:pt idx="0">
                  <c:v>FY26</c:v>
                </c:pt>
                <c:pt idx="1">
                  <c:v>FY27E</c:v>
                </c:pt>
                <c:pt idx="2">
                  <c:v>FY28E</c:v>
                </c:pt>
                <c:pt idx="3">
                  <c:v>FY29E</c:v>
                </c:pt>
                <c:pt idx="4">
                  <c:v>FY30E</c:v>
                </c:pt>
              </c:strCache>
            </c:strRef>
          </c:cat>
          <c:val>
            <c:numRef>
              <c:f>Charts!$C$250:$G$250</c:f>
              <c:numCache>
                <c:formatCode>#,##0.0_);\(#,##0.0\)</c:formatCode>
                <c:ptCount val="5"/>
                <c:pt idx="0">
                  <c:v>1.1816390000000001</c:v>
                </c:pt>
                <c:pt idx="1">
                  <c:v>1.2035938984650003</c:v>
                </c:pt>
                <c:pt idx="2">
                  <c:v>1.4694391367271002</c:v>
                </c:pt>
                <c:pt idx="3">
                  <c:v>1.6712753401271763</c:v>
                </c:pt>
                <c:pt idx="4">
                  <c:v>1.9251670402539389</c:v>
                </c:pt>
              </c:numCache>
            </c:numRef>
          </c:val>
          <c:extLst>
            <c:ext xmlns:c16="http://schemas.microsoft.com/office/drawing/2014/chart" uri="{C3380CC4-5D6E-409C-BE32-E72D297353CC}">
              <c16:uniqueId val="{00000000-DA0B-4B04-B80E-A48B93EE5EF3}"/>
            </c:ext>
          </c:extLst>
        </c:ser>
        <c:ser>
          <c:idx val="1"/>
          <c:order val="1"/>
          <c:tx>
            <c:strRef>
              <c:f>Charts!$B$251</c:f>
              <c:strCache>
                <c:ptCount val="1"/>
                <c:pt idx="0">
                  <c:v>JSW Rail Logistics</c:v>
                </c:pt>
              </c:strCache>
            </c:strRef>
          </c:tx>
          <c:invertIfNegative val="0"/>
          <c:cat>
            <c:strRef>
              <c:f>Charts!$C$249:$G$249</c:f>
              <c:strCache>
                <c:ptCount val="5"/>
                <c:pt idx="0">
                  <c:v>FY26</c:v>
                </c:pt>
                <c:pt idx="1">
                  <c:v>FY27E</c:v>
                </c:pt>
                <c:pt idx="2">
                  <c:v>FY28E</c:v>
                </c:pt>
                <c:pt idx="3">
                  <c:v>FY29E</c:v>
                </c:pt>
                <c:pt idx="4">
                  <c:v>FY30E</c:v>
                </c:pt>
              </c:strCache>
            </c:strRef>
          </c:cat>
          <c:val>
            <c:numRef>
              <c:f>Charts!$C$251:$G$251</c:f>
              <c:numCache>
                <c:formatCode>#,##0.0_);\(#,##0.0\)</c:formatCode>
                <c:ptCount val="5"/>
                <c:pt idx="0">
                  <c:v>0.23586099999999988</c:v>
                </c:pt>
                <c:pt idx="1">
                  <c:v>2.4305424999999996</c:v>
                </c:pt>
                <c:pt idx="2">
                  <c:v>3.5852054599999996</c:v>
                </c:pt>
                <c:pt idx="3">
                  <c:v>5.2435233579666667</c:v>
                </c:pt>
                <c:pt idx="4">
                  <c:v>6.7054813542973335</c:v>
                </c:pt>
              </c:numCache>
            </c:numRef>
          </c:val>
          <c:extLst>
            <c:ext xmlns:c16="http://schemas.microsoft.com/office/drawing/2014/chart" uri="{C3380CC4-5D6E-409C-BE32-E72D297353CC}">
              <c16:uniqueId val="{00000001-DA0B-4B04-B80E-A48B93EE5EF3}"/>
            </c:ext>
          </c:extLst>
        </c:ser>
        <c:ser>
          <c:idx val="2"/>
          <c:order val="2"/>
          <c:tx>
            <c:strRef>
              <c:f>Charts!$B$252</c:f>
              <c:strCache>
                <c:ptCount val="1"/>
                <c:pt idx="0">
                  <c:v>Upcoming Terminals</c:v>
                </c:pt>
              </c:strCache>
            </c:strRef>
          </c:tx>
          <c:invertIfNegative val="0"/>
          <c:cat>
            <c:strRef>
              <c:f>Charts!$C$249:$G$249</c:f>
              <c:strCache>
                <c:ptCount val="5"/>
                <c:pt idx="0">
                  <c:v>FY26</c:v>
                </c:pt>
                <c:pt idx="1">
                  <c:v>FY27E</c:v>
                </c:pt>
                <c:pt idx="2">
                  <c:v>FY28E</c:v>
                </c:pt>
                <c:pt idx="3">
                  <c:v>FY29E</c:v>
                </c:pt>
                <c:pt idx="4">
                  <c:v>FY30E</c:v>
                </c:pt>
              </c:strCache>
            </c:strRef>
          </c:cat>
          <c:val>
            <c:numRef>
              <c:f>Charts!$C$252:$G$252</c:f>
              <c:numCache>
                <c:formatCode>#,##0.0_);\(#,##0.0\)</c:formatCode>
                <c:ptCount val="5"/>
                <c:pt idx="0">
                  <c:v>0</c:v>
                </c:pt>
                <c:pt idx="1">
                  <c:v>0.30000000000000071</c:v>
                </c:pt>
                <c:pt idx="2">
                  <c:v>1.5000000000000004</c:v>
                </c:pt>
                <c:pt idx="3">
                  <c:v>4.5</c:v>
                </c:pt>
                <c:pt idx="4">
                  <c:v>7.68</c:v>
                </c:pt>
              </c:numCache>
            </c:numRef>
          </c:val>
          <c:extLst>
            <c:ext xmlns:c16="http://schemas.microsoft.com/office/drawing/2014/chart" uri="{C3380CC4-5D6E-409C-BE32-E72D297353CC}">
              <c16:uniqueId val="{00000002-DA0B-4B04-B80E-A48B93EE5EF3}"/>
            </c:ext>
          </c:extLst>
        </c:ser>
        <c:ser>
          <c:idx val="3"/>
          <c:order val="3"/>
          <c:tx>
            <c:strRef>
              <c:f>Charts!$B$253</c:f>
              <c:strCache>
                <c:ptCount val="1"/>
                <c:pt idx="0">
                  <c:v>Total Logistics EBITDA</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Charts!$C$249:$G$249</c:f>
              <c:strCache>
                <c:ptCount val="5"/>
                <c:pt idx="0">
                  <c:v>FY26</c:v>
                </c:pt>
                <c:pt idx="1">
                  <c:v>FY27E</c:v>
                </c:pt>
                <c:pt idx="2">
                  <c:v>FY28E</c:v>
                </c:pt>
                <c:pt idx="3">
                  <c:v>FY29E</c:v>
                </c:pt>
                <c:pt idx="4">
                  <c:v>FY30E</c:v>
                </c:pt>
              </c:strCache>
            </c:strRef>
          </c:cat>
          <c:val>
            <c:numRef>
              <c:f>Charts!$C$253:$G$253</c:f>
              <c:numCache>
                <c:formatCode>#,##0_);\(#,##0\)</c:formatCode>
                <c:ptCount val="5"/>
                <c:pt idx="0">
                  <c:v>1.4175</c:v>
                </c:pt>
                <c:pt idx="1">
                  <c:v>3.9341363984650006</c:v>
                </c:pt>
                <c:pt idx="2">
                  <c:v>6.5546445967271003</c:v>
                </c:pt>
                <c:pt idx="3">
                  <c:v>11.414798698093843</c:v>
                </c:pt>
                <c:pt idx="4">
                  <c:v>16.310648394551272</c:v>
                </c:pt>
              </c:numCache>
            </c:numRef>
          </c:val>
          <c:extLst>
            <c:ext xmlns:c16="http://schemas.microsoft.com/office/drawing/2014/chart" uri="{C3380CC4-5D6E-409C-BE32-E72D297353CC}">
              <c16:uniqueId val="{00000003-DA0B-4B04-B80E-A48B93EE5EF3}"/>
            </c:ext>
          </c:extLst>
        </c:ser>
        <c:dLbls>
          <c:showLegendKey val="0"/>
          <c:showVal val="0"/>
          <c:showCatName val="0"/>
          <c:showSerName val="0"/>
          <c:showPercent val="0"/>
          <c:showBubbleSize val="0"/>
        </c:dLbls>
        <c:gapWidth val="30"/>
        <c:overlap val="100"/>
        <c:axId val="214808736"/>
        <c:axId val="214815936"/>
      </c:barChart>
      <c:lineChart>
        <c:grouping val="standard"/>
        <c:varyColors val="0"/>
        <c:ser>
          <c:idx val="4"/>
          <c:order val="4"/>
          <c:tx>
            <c:strRef>
              <c:f>Charts!$B$254</c:f>
              <c:strCache>
                <c:ptCount val="1"/>
                <c:pt idx="0">
                  <c:v>Logistics Margin, %</c:v>
                </c:pt>
              </c:strCache>
            </c:strRef>
          </c:tx>
          <c:spPr>
            <a:ln w="28575">
              <a:solidFill>
                <a:schemeClr val="accent1"/>
              </a:solidFill>
            </a:ln>
          </c:spPr>
          <c:marker>
            <c:symbol val="none"/>
          </c:marker>
          <c:dLbls>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81-4A84-8705-F27967467312}"/>
                </c:ext>
              </c:extLst>
            </c:dLbl>
            <c:spPr>
              <a:solidFill>
                <a:schemeClr val="accent2"/>
              </a:solidFill>
              <a:ln>
                <a:noFill/>
              </a:ln>
              <a:effectLst/>
            </c:spPr>
            <c:txPr>
              <a:bodyPr wrap="square" lIns="38100" tIns="19050" rIns="38100" bIns="19050" anchor="ctr">
                <a:spAutoFit/>
              </a:bodyPr>
              <a:lstStyle/>
              <a:p>
                <a:pPr>
                  <a:defRPr>
                    <a:solidFill>
                      <a:schemeClr val="bg1"/>
                    </a:solidFil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Charts!$C$249:$G$249</c:f>
              <c:strCache>
                <c:ptCount val="5"/>
                <c:pt idx="0">
                  <c:v>FY26</c:v>
                </c:pt>
                <c:pt idx="1">
                  <c:v>FY27E</c:v>
                </c:pt>
                <c:pt idx="2">
                  <c:v>FY28E</c:v>
                </c:pt>
                <c:pt idx="3">
                  <c:v>FY29E</c:v>
                </c:pt>
                <c:pt idx="4">
                  <c:v>FY30E</c:v>
                </c:pt>
              </c:strCache>
            </c:strRef>
          </c:cat>
          <c:val>
            <c:numRef>
              <c:f>Charts!$C$254:$G$254</c:f>
              <c:numCache>
                <c:formatCode>0%</c:formatCode>
                <c:ptCount val="5"/>
                <c:pt idx="0">
                  <c:v>0.1983821533035702</c:v>
                </c:pt>
                <c:pt idx="1">
                  <c:v>0.243494368255078</c:v>
                </c:pt>
                <c:pt idx="2">
                  <c:v>0.23384702238750171</c:v>
                </c:pt>
                <c:pt idx="3">
                  <c:v>0.21413856588891775</c:v>
                </c:pt>
                <c:pt idx="4">
                  <c:v>0.2140087289588655</c:v>
                </c:pt>
              </c:numCache>
            </c:numRef>
          </c:val>
          <c:smooth val="1"/>
          <c:extLst>
            <c:ext xmlns:c16="http://schemas.microsoft.com/office/drawing/2014/chart" uri="{C3380CC4-5D6E-409C-BE32-E72D297353CC}">
              <c16:uniqueId val="{00000004-DA0B-4B04-B80E-A48B93EE5EF3}"/>
            </c:ext>
          </c:extLst>
        </c:ser>
        <c:dLbls>
          <c:showLegendKey val="0"/>
          <c:showVal val="0"/>
          <c:showCatName val="0"/>
          <c:showSerName val="0"/>
          <c:showPercent val="0"/>
          <c:showBubbleSize val="0"/>
        </c:dLbls>
        <c:marker val="1"/>
        <c:smooth val="0"/>
        <c:axId val="703987184"/>
        <c:axId val="703985264"/>
      </c:lineChart>
      <c:catAx>
        <c:axId val="214808736"/>
        <c:scaling>
          <c:orientation val="minMax"/>
        </c:scaling>
        <c:delete val="0"/>
        <c:axPos val="b"/>
        <c:numFmt formatCode="General" sourceLinked="1"/>
        <c:majorTickMark val="none"/>
        <c:minorTickMark val="none"/>
        <c:tickLblPos val="nextTo"/>
        <c:crossAx val="214815936"/>
        <c:crosses val="autoZero"/>
        <c:auto val="1"/>
        <c:lblAlgn val="ctr"/>
        <c:lblOffset val="100"/>
        <c:noMultiLvlLbl val="0"/>
      </c:catAx>
      <c:valAx>
        <c:axId val="214815936"/>
        <c:scaling>
          <c:orientation val="minMax"/>
          <c:max val="20"/>
        </c:scaling>
        <c:delete val="0"/>
        <c:axPos val="l"/>
        <c:majorGridlines>
          <c:spPr>
            <a:ln>
              <a:solidFill>
                <a:schemeClr val="bg1">
                  <a:lumMod val="75000"/>
                </a:schemeClr>
              </a:solidFill>
              <a:prstDash val="dash"/>
            </a:ln>
          </c:spPr>
        </c:majorGridlines>
        <c:numFmt formatCode="#,##0.0_);\(#,##0.0\)" sourceLinked="1"/>
        <c:majorTickMark val="out"/>
        <c:minorTickMark val="none"/>
        <c:tickLblPos val="nextTo"/>
        <c:crossAx val="214808736"/>
        <c:crosses val="autoZero"/>
        <c:crossBetween val="between"/>
      </c:valAx>
      <c:valAx>
        <c:axId val="703985264"/>
        <c:scaling>
          <c:orientation val="minMax"/>
        </c:scaling>
        <c:delete val="0"/>
        <c:axPos val="r"/>
        <c:numFmt formatCode="0%" sourceLinked="1"/>
        <c:majorTickMark val="out"/>
        <c:minorTickMark val="none"/>
        <c:tickLblPos val="none"/>
        <c:spPr>
          <a:ln>
            <a:noFill/>
          </a:ln>
        </c:spPr>
        <c:crossAx val="703987184"/>
        <c:crosses val="max"/>
        <c:crossBetween val="between"/>
      </c:valAx>
      <c:catAx>
        <c:axId val="703987184"/>
        <c:scaling>
          <c:orientation val="minMax"/>
        </c:scaling>
        <c:delete val="1"/>
        <c:axPos val="b"/>
        <c:numFmt formatCode="General" sourceLinked="1"/>
        <c:majorTickMark val="out"/>
        <c:minorTickMark val="none"/>
        <c:tickLblPos val="nextTo"/>
        <c:crossAx val="703985264"/>
        <c:crosses val="autoZero"/>
        <c:auto val="1"/>
        <c:lblAlgn val="ctr"/>
        <c:lblOffset val="100"/>
        <c:noMultiLvlLbl val="0"/>
      </c:catAx>
    </c:plotArea>
    <c:legend>
      <c:legendPos val="b"/>
      <c:legendEntry>
        <c:idx val="3"/>
        <c:delete val="1"/>
      </c:legendEntry>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JSW Infra</a:t>
            </a:r>
            <a:r>
              <a:rPr lang="en-IN" baseline="0"/>
              <a:t> - Logistics Revenue (Rs. bn) </a:t>
            </a:r>
            <a:endParaRPr lang="en-IN"/>
          </a:p>
        </c:rich>
      </c:tx>
      <c:overlay val="0"/>
    </c:title>
    <c:autoTitleDeleted val="0"/>
    <c:plotArea>
      <c:layout/>
      <c:barChart>
        <c:barDir val="col"/>
        <c:grouping val="stacked"/>
        <c:varyColors val="0"/>
        <c:ser>
          <c:idx val="0"/>
          <c:order val="0"/>
          <c:tx>
            <c:strRef>
              <c:f>Charts!$B$256</c:f>
              <c:strCache>
                <c:ptCount val="1"/>
                <c:pt idx="0">
                  <c:v>Navkar</c:v>
                </c:pt>
              </c:strCache>
            </c:strRef>
          </c:tx>
          <c:invertIfNegative val="0"/>
          <c:cat>
            <c:strRef>
              <c:f>Charts!$C$249:$G$249</c:f>
              <c:strCache>
                <c:ptCount val="5"/>
                <c:pt idx="0">
                  <c:v>FY26</c:v>
                </c:pt>
                <c:pt idx="1">
                  <c:v>FY27E</c:v>
                </c:pt>
                <c:pt idx="2">
                  <c:v>FY28E</c:v>
                </c:pt>
                <c:pt idx="3">
                  <c:v>FY29E</c:v>
                </c:pt>
                <c:pt idx="4">
                  <c:v>FY30E</c:v>
                </c:pt>
              </c:strCache>
            </c:strRef>
          </c:cat>
          <c:val>
            <c:numRef>
              <c:f>Charts!$C$256:$G$256</c:f>
              <c:numCache>
                <c:formatCode>_(* #,##0_);_(* \(#,##0\);_(* "-"??_);_(@_)</c:formatCode>
                <c:ptCount val="5"/>
                <c:pt idx="0">
                  <c:v>6.8745890000000003</c:v>
                </c:pt>
                <c:pt idx="1">
                  <c:v>7.434868003500001</c:v>
                </c:pt>
                <c:pt idx="2">
                  <c:v>7.6579140436050013</c:v>
                </c:pt>
                <c:pt idx="3">
                  <c:v>7.8876514649131515</c:v>
                </c:pt>
                <c:pt idx="4">
                  <c:v>8.6764166114044681</c:v>
                </c:pt>
              </c:numCache>
            </c:numRef>
          </c:val>
          <c:extLst>
            <c:ext xmlns:c16="http://schemas.microsoft.com/office/drawing/2014/chart" uri="{C3380CC4-5D6E-409C-BE32-E72D297353CC}">
              <c16:uniqueId val="{00000000-B89A-462B-8910-9E62BD01BD2A}"/>
            </c:ext>
          </c:extLst>
        </c:ser>
        <c:ser>
          <c:idx val="1"/>
          <c:order val="1"/>
          <c:tx>
            <c:strRef>
              <c:f>Charts!$B$257</c:f>
              <c:strCache>
                <c:ptCount val="1"/>
                <c:pt idx="0">
                  <c:v>JSW Rail Logistics</c:v>
                </c:pt>
              </c:strCache>
            </c:strRef>
          </c:tx>
          <c:invertIfNegative val="0"/>
          <c:cat>
            <c:strRef>
              <c:f>Charts!$C$249:$G$249</c:f>
              <c:strCache>
                <c:ptCount val="5"/>
                <c:pt idx="0">
                  <c:v>FY26</c:v>
                </c:pt>
                <c:pt idx="1">
                  <c:v>FY27E</c:v>
                </c:pt>
                <c:pt idx="2">
                  <c:v>FY28E</c:v>
                </c:pt>
                <c:pt idx="3">
                  <c:v>FY29E</c:v>
                </c:pt>
                <c:pt idx="4">
                  <c:v>FY30E</c:v>
                </c:pt>
              </c:strCache>
            </c:strRef>
          </c:cat>
          <c:val>
            <c:numRef>
              <c:f>Charts!$C$257:$G$257</c:f>
              <c:numCache>
                <c:formatCode>#,##0_);\(#,##0\)</c:formatCode>
                <c:ptCount val="5"/>
                <c:pt idx="0">
                  <c:v>0.27071099999999859</c:v>
                </c:pt>
                <c:pt idx="1">
                  <c:v>6.7221233333333332</c:v>
                </c:pt>
                <c:pt idx="2">
                  <c:v>10.371712033333333</c:v>
                </c:pt>
                <c:pt idx="3">
                  <c:v>15.418013727666667</c:v>
                </c:pt>
                <c:pt idx="4">
                  <c:v>19.538457771996665</c:v>
                </c:pt>
              </c:numCache>
            </c:numRef>
          </c:val>
          <c:extLst>
            <c:ext xmlns:c16="http://schemas.microsoft.com/office/drawing/2014/chart" uri="{C3380CC4-5D6E-409C-BE32-E72D297353CC}">
              <c16:uniqueId val="{00000001-B89A-462B-8910-9E62BD01BD2A}"/>
            </c:ext>
          </c:extLst>
        </c:ser>
        <c:ser>
          <c:idx val="2"/>
          <c:order val="2"/>
          <c:tx>
            <c:strRef>
              <c:f>Charts!$B$258</c:f>
              <c:strCache>
                <c:ptCount val="1"/>
                <c:pt idx="0">
                  <c:v>Upcoming Terminals</c:v>
                </c:pt>
              </c:strCache>
            </c:strRef>
          </c:tx>
          <c:invertIfNegative val="0"/>
          <c:cat>
            <c:strRef>
              <c:f>Charts!$C$249:$G$249</c:f>
              <c:strCache>
                <c:ptCount val="5"/>
                <c:pt idx="0">
                  <c:v>FY26</c:v>
                </c:pt>
                <c:pt idx="1">
                  <c:v>FY27E</c:v>
                </c:pt>
                <c:pt idx="2">
                  <c:v>FY28E</c:v>
                </c:pt>
                <c:pt idx="3">
                  <c:v>FY29E</c:v>
                </c:pt>
                <c:pt idx="4">
                  <c:v>FY30E</c:v>
                </c:pt>
              </c:strCache>
            </c:strRef>
          </c:cat>
          <c:val>
            <c:numRef>
              <c:f>Charts!$C$258:$G$258</c:f>
              <c:numCache>
                <c:formatCode>#,##0_);\(#,##0\)</c:formatCode>
                <c:ptCount val="5"/>
                <c:pt idx="0">
                  <c:v>0</c:v>
                </c:pt>
                <c:pt idx="1">
                  <c:v>1.9999999999999991</c:v>
                </c:pt>
                <c:pt idx="2">
                  <c:v>10.000000000000004</c:v>
                </c:pt>
                <c:pt idx="3">
                  <c:v>30.000000000000004</c:v>
                </c:pt>
                <c:pt idx="4">
                  <c:v>47.999999999999993</c:v>
                </c:pt>
              </c:numCache>
            </c:numRef>
          </c:val>
          <c:extLst>
            <c:ext xmlns:c16="http://schemas.microsoft.com/office/drawing/2014/chart" uri="{C3380CC4-5D6E-409C-BE32-E72D297353CC}">
              <c16:uniqueId val="{00000002-B89A-462B-8910-9E62BD01BD2A}"/>
            </c:ext>
          </c:extLst>
        </c:ser>
        <c:ser>
          <c:idx val="3"/>
          <c:order val="3"/>
          <c:tx>
            <c:strRef>
              <c:f>Charts!$B$259</c:f>
              <c:strCache>
                <c:ptCount val="1"/>
                <c:pt idx="0">
                  <c:v>Total Logistics</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Charts!$C$249:$G$249</c:f>
              <c:strCache>
                <c:ptCount val="5"/>
                <c:pt idx="0">
                  <c:v>FY26</c:v>
                </c:pt>
                <c:pt idx="1">
                  <c:v>FY27E</c:v>
                </c:pt>
                <c:pt idx="2">
                  <c:v>FY28E</c:v>
                </c:pt>
                <c:pt idx="3">
                  <c:v>FY29E</c:v>
                </c:pt>
                <c:pt idx="4">
                  <c:v>FY30E</c:v>
                </c:pt>
              </c:strCache>
            </c:strRef>
          </c:cat>
          <c:val>
            <c:numRef>
              <c:f>Charts!$C$259:$G$259</c:f>
              <c:numCache>
                <c:formatCode>#,##0_);\(#,##0\)</c:formatCode>
                <c:ptCount val="5"/>
                <c:pt idx="0">
                  <c:v>7.1452999999999989</c:v>
                </c:pt>
                <c:pt idx="1">
                  <c:v>16.156991336833332</c:v>
                </c:pt>
                <c:pt idx="2">
                  <c:v>28.029626076938335</c:v>
                </c:pt>
                <c:pt idx="3">
                  <c:v>53.305665192579823</c:v>
                </c:pt>
                <c:pt idx="4">
                  <c:v>76.214874383401124</c:v>
                </c:pt>
              </c:numCache>
            </c:numRef>
          </c:val>
          <c:extLst>
            <c:ext xmlns:c16="http://schemas.microsoft.com/office/drawing/2014/chart" uri="{C3380CC4-5D6E-409C-BE32-E72D297353CC}">
              <c16:uniqueId val="{00000003-B89A-462B-8910-9E62BD01BD2A}"/>
            </c:ext>
          </c:extLst>
        </c:ser>
        <c:dLbls>
          <c:showLegendKey val="0"/>
          <c:showVal val="0"/>
          <c:showCatName val="0"/>
          <c:showSerName val="0"/>
          <c:showPercent val="0"/>
          <c:showBubbleSize val="0"/>
        </c:dLbls>
        <c:gapWidth val="30"/>
        <c:overlap val="100"/>
        <c:axId val="214808736"/>
        <c:axId val="214815936"/>
      </c:barChart>
      <c:catAx>
        <c:axId val="214808736"/>
        <c:scaling>
          <c:orientation val="minMax"/>
        </c:scaling>
        <c:delete val="0"/>
        <c:axPos val="b"/>
        <c:numFmt formatCode="General" sourceLinked="1"/>
        <c:majorTickMark val="none"/>
        <c:minorTickMark val="none"/>
        <c:tickLblPos val="nextTo"/>
        <c:crossAx val="214815936"/>
        <c:crosses val="autoZero"/>
        <c:auto val="1"/>
        <c:lblAlgn val="ctr"/>
        <c:lblOffset val="100"/>
        <c:noMultiLvlLbl val="0"/>
      </c:catAx>
      <c:valAx>
        <c:axId val="214815936"/>
        <c:scaling>
          <c:orientation val="minMax"/>
          <c:max val="90"/>
        </c:scaling>
        <c:delete val="0"/>
        <c:axPos val="l"/>
        <c:majorGridlines>
          <c:spPr>
            <a:ln>
              <a:solidFill>
                <a:schemeClr val="bg1">
                  <a:lumMod val="75000"/>
                </a:schemeClr>
              </a:solidFill>
              <a:prstDash val="dash"/>
            </a:ln>
          </c:spPr>
        </c:majorGridlines>
        <c:numFmt formatCode="_(* #,##0_);_(* \(#,##0\);_(* &quot;-&quot;??_);_(@_)" sourceLinked="1"/>
        <c:majorTickMark val="out"/>
        <c:minorTickMark val="none"/>
        <c:tickLblPos val="nextTo"/>
        <c:crossAx val="214808736"/>
        <c:crosses val="autoZero"/>
        <c:crossBetween val="between"/>
      </c:valAx>
    </c:plotArea>
    <c:legend>
      <c:legendPos val="b"/>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Logistics Revenue - by Segment</a:t>
            </a:r>
          </a:p>
        </c:rich>
      </c:tx>
      <c:overlay val="0"/>
    </c:title>
    <c:autoTitleDeleted val="0"/>
    <c:plotArea>
      <c:layout>
        <c:manualLayout>
          <c:layoutTarget val="inner"/>
          <c:xMode val="edge"/>
          <c:yMode val="edge"/>
          <c:x val="9.0533015473529321E-2"/>
          <c:y val="0.18236509420410299"/>
          <c:w val="0.85705313346284839"/>
          <c:h val="0.63102722371095943"/>
        </c:manualLayout>
      </c:layout>
      <c:barChart>
        <c:barDir val="col"/>
        <c:grouping val="percentStacked"/>
        <c:varyColors val="0"/>
        <c:ser>
          <c:idx val="0"/>
          <c:order val="0"/>
          <c:tx>
            <c:strRef>
              <c:f>Charts!$B$269</c:f>
              <c:strCache>
                <c:ptCount val="1"/>
                <c:pt idx="0">
                  <c:v>Navkar</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Charts!$C$268:$G$268</c:f>
              <c:strCache>
                <c:ptCount val="5"/>
                <c:pt idx="0">
                  <c:v>FY26E</c:v>
                </c:pt>
                <c:pt idx="1">
                  <c:v>FY27E</c:v>
                </c:pt>
                <c:pt idx="2">
                  <c:v>FY28E</c:v>
                </c:pt>
                <c:pt idx="3">
                  <c:v>FY29E</c:v>
                </c:pt>
                <c:pt idx="4">
                  <c:v>FY30E</c:v>
                </c:pt>
              </c:strCache>
            </c:strRef>
          </c:cat>
          <c:val>
            <c:numRef>
              <c:f>Charts!$C$269:$G$269</c:f>
              <c:numCache>
                <c:formatCode>0%</c:formatCode>
                <c:ptCount val="5"/>
                <c:pt idx="0">
                  <c:v>0.96211341721131394</c:v>
                </c:pt>
                <c:pt idx="1">
                  <c:v>0.46016413876206164</c:v>
                </c:pt>
                <c:pt idx="2">
                  <c:v>0.27320785595158648</c:v>
                </c:pt>
                <c:pt idx="3">
                  <c:v>0.1479702286129827</c:v>
                </c:pt>
                <c:pt idx="4">
                  <c:v>0.11384151298022882</c:v>
                </c:pt>
              </c:numCache>
            </c:numRef>
          </c:val>
          <c:extLst>
            <c:ext xmlns:c16="http://schemas.microsoft.com/office/drawing/2014/chart" uri="{C3380CC4-5D6E-409C-BE32-E72D297353CC}">
              <c16:uniqueId val="{00000000-886F-4452-915C-27B44C64101A}"/>
            </c:ext>
          </c:extLst>
        </c:ser>
        <c:ser>
          <c:idx val="1"/>
          <c:order val="1"/>
          <c:tx>
            <c:strRef>
              <c:f>Charts!$B$270</c:f>
              <c:strCache>
                <c:ptCount val="1"/>
                <c:pt idx="0">
                  <c:v>JSW Rail Logistics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886F-4452-915C-27B44C64101A}"/>
                </c:ext>
              </c:extLst>
            </c:dLbl>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Charts!$C$268:$G$268</c:f>
              <c:strCache>
                <c:ptCount val="5"/>
                <c:pt idx="0">
                  <c:v>FY26E</c:v>
                </c:pt>
                <c:pt idx="1">
                  <c:v>FY27E</c:v>
                </c:pt>
                <c:pt idx="2">
                  <c:v>FY28E</c:v>
                </c:pt>
                <c:pt idx="3">
                  <c:v>FY29E</c:v>
                </c:pt>
                <c:pt idx="4">
                  <c:v>FY30E</c:v>
                </c:pt>
              </c:strCache>
            </c:strRef>
          </c:cat>
          <c:val>
            <c:numRef>
              <c:f>Charts!$C$270:$G$270</c:f>
              <c:numCache>
                <c:formatCode>0%</c:formatCode>
                <c:ptCount val="5"/>
                <c:pt idx="0">
                  <c:v>3.7886582788686077E-2</c:v>
                </c:pt>
                <c:pt idx="1">
                  <c:v>0.41605043867349295</c:v>
                </c:pt>
                <c:pt idx="2">
                  <c:v>0.37002677113366012</c:v>
                </c:pt>
                <c:pt idx="3">
                  <c:v>0.28923780750067185</c:v>
                </c:pt>
                <c:pt idx="4">
                  <c:v>0.25636016499493119</c:v>
                </c:pt>
              </c:numCache>
            </c:numRef>
          </c:val>
          <c:extLst>
            <c:ext xmlns:c16="http://schemas.microsoft.com/office/drawing/2014/chart" uri="{C3380CC4-5D6E-409C-BE32-E72D297353CC}">
              <c16:uniqueId val="{00000002-886F-4452-915C-27B44C64101A}"/>
            </c:ext>
          </c:extLst>
        </c:ser>
        <c:ser>
          <c:idx val="2"/>
          <c:order val="2"/>
          <c:tx>
            <c:strRef>
              <c:f>Charts!$B$271</c:f>
              <c:strCache>
                <c:ptCount val="1"/>
                <c:pt idx="0">
                  <c:v>Upcoming Terminals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886F-4452-915C-27B44C64101A}"/>
                </c:ext>
              </c:extLst>
            </c:dLbl>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Charts!$C$268:$G$268</c:f>
              <c:strCache>
                <c:ptCount val="5"/>
                <c:pt idx="0">
                  <c:v>FY26E</c:v>
                </c:pt>
                <c:pt idx="1">
                  <c:v>FY27E</c:v>
                </c:pt>
                <c:pt idx="2">
                  <c:v>FY28E</c:v>
                </c:pt>
                <c:pt idx="3">
                  <c:v>FY29E</c:v>
                </c:pt>
                <c:pt idx="4">
                  <c:v>FY30E</c:v>
                </c:pt>
              </c:strCache>
            </c:strRef>
          </c:cat>
          <c:val>
            <c:numRef>
              <c:f>Charts!$C$271:$G$271</c:f>
              <c:numCache>
                <c:formatCode>0%</c:formatCode>
                <c:ptCount val="5"/>
                <c:pt idx="0">
                  <c:v>0</c:v>
                </c:pt>
                <c:pt idx="1">
                  <c:v>0.1237854225644455</c:v>
                </c:pt>
                <c:pt idx="2">
                  <c:v>0.35676537291475346</c:v>
                </c:pt>
                <c:pt idx="3">
                  <c:v>0.56279196388634545</c:v>
                </c:pt>
                <c:pt idx="4">
                  <c:v>0.62979832202483998</c:v>
                </c:pt>
              </c:numCache>
            </c:numRef>
          </c:val>
          <c:extLst>
            <c:ext xmlns:c16="http://schemas.microsoft.com/office/drawing/2014/chart" uri="{C3380CC4-5D6E-409C-BE32-E72D297353CC}">
              <c16:uniqueId val="{00000004-886F-4452-915C-27B44C64101A}"/>
            </c:ext>
          </c:extLst>
        </c:ser>
        <c:dLbls>
          <c:dLblPos val="ctr"/>
          <c:showLegendKey val="0"/>
          <c:showVal val="1"/>
          <c:showCatName val="0"/>
          <c:showSerName val="0"/>
          <c:showPercent val="0"/>
          <c:showBubbleSize val="0"/>
        </c:dLbls>
        <c:gapWidth val="30"/>
        <c:overlap val="100"/>
        <c:axId val="505261151"/>
        <c:axId val="505261631"/>
      </c:barChart>
      <c:catAx>
        <c:axId val="505261151"/>
        <c:scaling>
          <c:orientation val="minMax"/>
        </c:scaling>
        <c:delete val="0"/>
        <c:axPos val="b"/>
        <c:numFmt formatCode="General" sourceLinked="1"/>
        <c:majorTickMark val="none"/>
        <c:minorTickMark val="none"/>
        <c:tickLblPos val="nextTo"/>
        <c:crossAx val="505261631"/>
        <c:crosses val="autoZero"/>
        <c:auto val="1"/>
        <c:lblAlgn val="ctr"/>
        <c:lblOffset val="100"/>
        <c:noMultiLvlLbl val="0"/>
      </c:catAx>
      <c:valAx>
        <c:axId val="505261631"/>
        <c:scaling>
          <c:orientation val="minMax"/>
        </c:scaling>
        <c:delete val="1"/>
        <c:axPos val="l"/>
        <c:numFmt formatCode="0%" sourceLinked="1"/>
        <c:majorTickMark val="none"/>
        <c:minorTickMark val="none"/>
        <c:tickLblPos val="nextTo"/>
        <c:crossAx val="505261151"/>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Logistics EBITDA - by Segment</a:t>
            </a:r>
          </a:p>
        </c:rich>
      </c:tx>
      <c:overlay val="0"/>
    </c:title>
    <c:autoTitleDeleted val="0"/>
    <c:plotArea>
      <c:layout>
        <c:manualLayout>
          <c:layoutTarget val="inner"/>
          <c:xMode val="edge"/>
          <c:yMode val="edge"/>
          <c:x val="9.0533015473529321E-2"/>
          <c:y val="0.18236509420410299"/>
          <c:w val="0.85705313346284839"/>
          <c:h val="0.63102722371095943"/>
        </c:manualLayout>
      </c:layout>
      <c:barChart>
        <c:barDir val="col"/>
        <c:grouping val="percentStacked"/>
        <c:varyColors val="0"/>
        <c:ser>
          <c:idx val="0"/>
          <c:order val="0"/>
          <c:tx>
            <c:strRef>
              <c:f>Charts!$B$275</c:f>
              <c:strCache>
                <c:ptCount val="1"/>
                <c:pt idx="0">
                  <c:v>Navkar</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Charts!$C$261:$G$261</c:f>
              <c:strCache>
                <c:ptCount val="5"/>
                <c:pt idx="0">
                  <c:v>FY26</c:v>
                </c:pt>
                <c:pt idx="1">
                  <c:v>FY27E</c:v>
                </c:pt>
                <c:pt idx="2">
                  <c:v>FY28E</c:v>
                </c:pt>
                <c:pt idx="3">
                  <c:v>FY29E</c:v>
                </c:pt>
                <c:pt idx="4">
                  <c:v>FY30E</c:v>
                </c:pt>
              </c:strCache>
            </c:strRef>
          </c:cat>
          <c:val>
            <c:numRef>
              <c:f>Charts!$C$275:$G$275</c:f>
              <c:numCache>
                <c:formatCode>0%</c:formatCode>
                <c:ptCount val="5"/>
                <c:pt idx="0">
                  <c:v>0.83360776014109361</c:v>
                </c:pt>
                <c:pt idx="1">
                  <c:v>0.30593598608696226</c:v>
                </c:pt>
                <c:pt idx="2">
                  <c:v>0.22418288513473764</c:v>
                </c:pt>
                <c:pt idx="3">
                  <c:v>0.14641303664919317</c:v>
                </c:pt>
                <c:pt idx="4">
                  <c:v>0.11803130039251286</c:v>
                </c:pt>
              </c:numCache>
            </c:numRef>
          </c:val>
          <c:extLst>
            <c:ext xmlns:c16="http://schemas.microsoft.com/office/drawing/2014/chart" uri="{C3380CC4-5D6E-409C-BE32-E72D297353CC}">
              <c16:uniqueId val="{00000000-4593-4565-95CA-335EFDE7F775}"/>
            </c:ext>
          </c:extLst>
        </c:ser>
        <c:ser>
          <c:idx val="1"/>
          <c:order val="1"/>
          <c:tx>
            <c:strRef>
              <c:f>Charts!$B$276</c:f>
              <c:strCache>
                <c:ptCount val="1"/>
                <c:pt idx="0">
                  <c:v>JSW Rail Logistics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4593-4565-95CA-335EFDE7F775}"/>
                </c:ext>
              </c:extLst>
            </c:dLbl>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Charts!$C$261:$G$261</c:f>
              <c:strCache>
                <c:ptCount val="5"/>
                <c:pt idx="0">
                  <c:v>FY26</c:v>
                </c:pt>
                <c:pt idx="1">
                  <c:v>FY27E</c:v>
                </c:pt>
                <c:pt idx="2">
                  <c:v>FY28E</c:v>
                </c:pt>
                <c:pt idx="3">
                  <c:v>FY29E</c:v>
                </c:pt>
                <c:pt idx="4">
                  <c:v>FY30E</c:v>
                </c:pt>
              </c:strCache>
            </c:strRef>
          </c:cat>
          <c:val>
            <c:numRef>
              <c:f>Charts!$C$276:$G$276</c:f>
              <c:numCache>
                <c:formatCode>0%</c:formatCode>
                <c:ptCount val="5"/>
                <c:pt idx="0">
                  <c:v>0.16639223985890644</c:v>
                </c:pt>
                <c:pt idx="1">
                  <c:v>0.61780839651323094</c:v>
                </c:pt>
                <c:pt idx="2">
                  <c:v>0.54697175523295094</c:v>
                </c:pt>
                <c:pt idx="3">
                  <c:v>0.45936187721315508</c:v>
                </c:pt>
                <c:pt idx="4">
                  <c:v>0.41111065557255</c:v>
                </c:pt>
              </c:numCache>
            </c:numRef>
          </c:val>
          <c:extLst>
            <c:ext xmlns:c16="http://schemas.microsoft.com/office/drawing/2014/chart" uri="{C3380CC4-5D6E-409C-BE32-E72D297353CC}">
              <c16:uniqueId val="{00000002-4593-4565-95CA-335EFDE7F775}"/>
            </c:ext>
          </c:extLst>
        </c:ser>
        <c:ser>
          <c:idx val="2"/>
          <c:order val="2"/>
          <c:tx>
            <c:strRef>
              <c:f>Charts!$B$277</c:f>
              <c:strCache>
                <c:ptCount val="1"/>
                <c:pt idx="0">
                  <c:v>Upcoming Terminals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4593-4565-95CA-335EFDE7F775}"/>
                </c:ext>
              </c:extLst>
            </c:dLbl>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Charts!$C$261:$G$261</c:f>
              <c:strCache>
                <c:ptCount val="5"/>
                <c:pt idx="0">
                  <c:v>FY26</c:v>
                </c:pt>
                <c:pt idx="1">
                  <c:v>FY27E</c:v>
                </c:pt>
                <c:pt idx="2">
                  <c:v>FY28E</c:v>
                </c:pt>
                <c:pt idx="3">
                  <c:v>FY29E</c:v>
                </c:pt>
                <c:pt idx="4">
                  <c:v>FY30E</c:v>
                </c:pt>
              </c:strCache>
            </c:strRef>
          </c:cat>
          <c:val>
            <c:numRef>
              <c:f>Charts!$C$277:$G$277</c:f>
              <c:numCache>
                <c:formatCode>0%</c:formatCode>
                <c:ptCount val="5"/>
                <c:pt idx="0">
                  <c:v>0</c:v>
                </c:pt>
                <c:pt idx="1">
                  <c:v>7.6255617399806741E-2</c:v>
                </c:pt>
                <c:pt idx="2">
                  <c:v>0.22884535963231148</c:v>
                </c:pt>
                <c:pt idx="3">
                  <c:v>0.39422508613765173</c:v>
                </c:pt>
                <c:pt idx="4">
                  <c:v>0.47085804403493714</c:v>
                </c:pt>
              </c:numCache>
            </c:numRef>
          </c:val>
          <c:extLst>
            <c:ext xmlns:c16="http://schemas.microsoft.com/office/drawing/2014/chart" uri="{C3380CC4-5D6E-409C-BE32-E72D297353CC}">
              <c16:uniqueId val="{00000004-4593-4565-95CA-335EFDE7F775}"/>
            </c:ext>
          </c:extLst>
        </c:ser>
        <c:dLbls>
          <c:dLblPos val="ctr"/>
          <c:showLegendKey val="0"/>
          <c:showVal val="1"/>
          <c:showCatName val="0"/>
          <c:showSerName val="0"/>
          <c:showPercent val="0"/>
          <c:showBubbleSize val="0"/>
        </c:dLbls>
        <c:gapWidth val="30"/>
        <c:overlap val="100"/>
        <c:axId val="505261151"/>
        <c:axId val="505261631"/>
      </c:barChart>
      <c:catAx>
        <c:axId val="505261151"/>
        <c:scaling>
          <c:orientation val="minMax"/>
        </c:scaling>
        <c:delete val="0"/>
        <c:axPos val="b"/>
        <c:numFmt formatCode="General" sourceLinked="1"/>
        <c:majorTickMark val="none"/>
        <c:minorTickMark val="none"/>
        <c:tickLblPos val="nextTo"/>
        <c:crossAx val="505261631"/>
        <c:crosses val="autoZero"/>
        <c:auto val="1"/>
        <c:lblAlgn val="ctr"/>
        <c:lblOffset val="100"/>
        <c:noMultiLvlLbl val="0"/>
      </c:catAx>
      <c:valAx>
        <c:axId val="505261631"/>
        <c:scaling>
          <c:orientation val="minMax"/>
        </c:scaling>
        <c:delete val="1"/>
        <c:axPos val="l"/>
        <c:numFmt formatCode="0%" sourceLinked="1"/>
        <c:majorTickMark val="none"/>
        <c:minorTickMark val="none"/>
        <c:tickLblPos val="nextTo"/>
        <c:crossAx val="505261151"/>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Charts!$B$148</c:f>
          <c:strCache>
            <c:ptCount val="1"/>
            <c:pt idx="0">
              <c:v>Total Capacity, MT</c:v>
            </c:pt>
          </c:strCache>
        </c:strRef>
      </c:tx>
      <c:layout>
        <c:manualLayout>
          <c:xMode val="edge"/>
          <c:yMode val="edge"/>
          <c:x val="0.43848307859435159"/>
          <c:y val="0.12655011434350882"/>
        </c:manualLayout>
      </c:layout>
      <c:overlay val="0"/>
      <c:spPr>
        <a:solidFill>
          <a:schemeClr val="bg1"/>
        </a:solidFill>
      </c:spPr>
    </c:title>
    <c:autoTitleDeleted val="0"/>
    <c:plotArea>
      <c:layout/>
      <c:barChart>
        <c:barDir val="col"/>
        <c:grouping val="clustered"/>
        <c:varyColors val="0"/>
        <c:ser>
          <c:idx val="0"/>
          <c:order val="0"/>
          <c:tx>
            <c:strRef>
              <c:f>Charts!$B$148</c:f>
              <c:strCache>
                <c:ptCount val="1"/>
                <c:pt idx="0">
                  <c:v>Total Capacity, MT</c:v>
                </c:pt>
              </c:strCache>
            </c:strRef>
          </c:tx>
          <c:invertIfNegative val="0"/>
          <c:dLbls>
            <c:spPr>
              <a:noFill/>
              <a:ln>
                <a:noFill/>
              </a:ln>
              <a:effectLst/>
            </c:spPr>
            <c:txPr>
              <a:bodyPr/>
              <a:lstStyle/>
              <a:p>
                <a:pPr>
                  <a:defRPr sz="9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Charts!$F$86:$O$86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Charts!$F$148:$O$148</c:f>
              <c:numCache>
                <c:formatCode>#,##0_);\(#,##0\)</c:formatCode>
                <c:ptCount val="10"/>
                <c:pt idx="0">
                  <c:v>111</c:v>
                </c:pt>
                <c:pt idx="1">
                  <c:v>154.19999999999999</c:v>
                </c:pt>
                <c:pt idx="2">
                  <c:v>158.39999999999998</c:v>
                </c:pt>
                <c:pt idx="3">
                  <c:v>169.99999999999997</c:v>
                </c:pt>
                <c:pt idx="4">
                  <c:v>176.89999999999998</c:v>
                </c:pt>
                <c:pt idx="5">
                  <c:v>182.79999999999998</c:v>
                </c:pt>
                <c:pt idx="6">
                  <c:v>197.62</c:v>
                </c:pt>
                <c:pt idx="7">
                  <c:v>299.92</c:v>
                </c:pt>
                <c:pt idx="8">
                  <c:v>341.92</c:v>
                </c:pt>
                <c:pt idx="9">
                  <c:v>401.92</c:v>
                </c:pt>
              </c:numCache>
            </c:numRef>
          </c:val>
          <c:extLst>
            <c:ext xmlns:c16="http://schemas.microsoft.com/office/drawing/2014/chart" uri="{C3380CC4-5D6E-409C-BE32-E72D297353CC}">
              <c16:uniqueId val="{00000000-623B-4BDF-8037-AF1EEEC5CE09}"/>
            </c:ext>
          </c:extLst>
        </c:ser>
        <c:dLbls>
          <c:dLblPos val="outEnd"/>
          <c:showLegendKey val="0"/>
          <c:showVal val="1"/>
          <c:showCatName val="0"/>
          <c:showSerName val="0"/>
          <c:showPercent val="0"/>
          <c:showBubbleSize val="0"/>
        </c:dLbls>
        <c:gapWidth val="30"/>
        <c:axId val="812975023"/>
        <c:axId val="812975503"/>
      </c:barChart>
      <c:catAx>
        <c:axId val="812975023"/>
        <c:scaling>
          <c:orientation val="minMax"/>
        </c:scaling>
        <c:delete val="0"/>
        <c:axPos val="b"/>
        <c:numFmt formatCode="General" sourceLinked="1"/>
        <c:majorTickMark val="none"/>
        <c:minorTickMark val="none"/>
        <c:tickLblPos val="nextTo"/>
        <c:txPr>
          <a:bodyPr/>
          <a:lstStyle/>
          <a:p>
            <a:pPr>
              <a:defRPr sz="900"/>
            </a:pPr>
            <a:endParaRPr lang="en-US"/>
          </a:p>
        </c:txPr>
        <c:crossAx val="812975503"/>
        <c:crosses val="autoZero"/>
        <c:auto val="1"/>
        <c:lblAlgn val="ctr"/>
        <c:lblOffset val="100"/>
        <c:noMultiLvlLbl val="0"/>
      </c:catAx>
      <c:valAx>
        <c:axId val="812975503"/>
        <c:scaling>
          <c:orientation val="minMax"/>
        </c:scaling>
        <c:delete val="0"/>
        <c:axPos val="l"/>
        <c:numFmt formatCode="#,##0_);\(#,##0\)" sourceLinked="1"/>
        <c:majorTickMark val="none"/>
        <c:minorTickMark val="none"/>
        <c:tickLblPos val="none"/>
        <c:spPr>
          <a:ln>
            <a:noFill/>
          </a:ln>
        </c:spPr>
        <c:crossAx val="812975023"/>
        <c:crosses val="autoZero"/>
        <c:crossBetween val="between"/>
      </c:valAx>
    </c:plotArea>
    <c:plotVisOnly val="1"/>
    <c:dispBlanksAs val="gap"/>
    <c:showDLblsOverMax val="0"/>
  </c:chart>
  <c:spPr>
    <a:ln w="3175">
      <a:noFill/>
    </a:ln>
  </c:spPr>
  <c:txPr>
    <a:bodyPr/>
    <a:lstStyle/>
    <a:p>
      <a:pPr>
        <a:defRPr sz="800">
          <a:latin typeface="Calibri"/>
          <a:ea typeface="Calibri"/>
          <a:cs typeface="Calibri"/>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Ports</a:t>
            </a:r>
            <a:r>
              <a:rPr lang="en-IN" baseline="0"/>
              <a:t> Cargo Volume Growth YoY</a:t>
            </a:r>
            <a:endParaRPr lang="en-IN"/>
          </a:p>
        </c:rich>
      </c:tx>
      <c:overlay val="0"/>
    </c:title>
    <c:autoTitleDeleted val="0"/>
    <c:plotArea>
      <c:layout/>
      <c:barChart>
        <c:barDir val="col"/>
        <c:grouping val="clustered"/>
        <c:varyColors val="0"/>
        <c:ser>
          <c:idx val="0"/>
          <c:order val="0"/>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Charts!$I$2:$O$2</c:f>
              <c:strCache>
                <c:ptCount val="7"/>
                <c:pt idx="0">
                  <c:v>FY24</c:v>
                </c:pt>
                <c:pt idx="1">
                  <c:v>FY25</c:v>
                </c:pt>
                <c:pt idx="2">
                  <c:v>FY26</c:v>
                </c:pt>
                <c:pt idx="3">
                  <c:v>FY27E</c:v>
                </c:pt>
                <c:pt idx="4">
                  <c:v>FY28E</c:v>
                </c:pt>
                <c:pt idx="5">
                  <c:v>FY29E</c:v>
                </c:pt>
                <c:pt idx="6">
                  <c:v>FY30E</c:v>
                </c:pt>
              </c:strCache>
            </c:strRef>
          </c:cat>
          <c:val>
            <c:numRef>
              <c:f>Charts!$I$6:$O$6</c:f>
              <c:numCache>
                <c:formatCode>0.0%</c:formatCode>
                <c:ptCount val="7"/>
                <c:pt idx="0">
                  <c:v>0.15768784277192993</c:v>
                </c:pt>
                <c:pt idx="1">
                  <c:v>8.8694524393702734E-2</c:v>
                </c:pt>
                <c:pt idx="2">
                  <c:v>3.1837606837606724E-2</c:v>
                </c:pt>
                <c:pt idx="3">
                  <c:v>5.9897370055912447E-2</c:v>
                </c:pt>
                <c:pt idx="4">
                  <c:v>0.31722537126206785</c:v>
                </c:pt>
                <c:pt idx="5">
                  <c:v>0.16842347929295665</c:v>
                </c:pt>
                <c:pt idx="6">
                  <c:v>0.20542809505014881</c:v>
                </c:pt>
              </c:numCache>
            </c:numRef>
          </c:val>
          <c:extLst>
            <c:ext xmlns:c16="http://schemas.microsoft.com/office/drawing/2014/chart" uri="{C3380CC4-5D6E-409C-BE32-E72D297353CC}">
              <c16:uniqueId val="{00000000-9ABE-43CB-B5ED-1416E8A3DF2A}"/>
            </c:ext>
          </c:extLst>
        </c:ser>
        <c:dLbls>
          <c:dLblPos val="outEnd"/>
          <c:showLegendKey val="0"/>
          <c:showVal val="1"/>
          <c:showCatName val="0"/>
          <c:showSerName val="0"/>
          <c:showPercent val="0"/>
          <c:showBubbleSize val="0"/>
        </c:dLbls>
        <c:gapWidth val="30"/>
        <c:overlap val="-27"/>
        <c:axId val="1451635280"/>
        <c:axId val="1451619440"/>
      </c:barChart>
      <c:catAx>
        <c:axId val="1451635280"/>
        <c:scaling>
          <c:orientation val="minMax"/>
        </c:scaling>
        <c:delete val="0"/>
        <c:axPos val="b"/>
        <c:numFmt formatCode="General" sourceLinked="1"/>
        <c:majorTickMark val="none"/>
        <c:minorTickMark val="none"/>
        <c:tickLblPos val="nextTo"/>
        <c:crossAx val="1451619440"/>
        <c:crosses val="autoZero"/>
        <c:auto val="1"/>
        <c:lblAlgn val="ctr"/>
        <c:lblOffset val="100"/>
        <c:noMultiLvlLbl val="0"/>
      </c:catAx>
      <c:valAx>
        <c:axId val="1451619440"/>
        <c:scaling>
          <c:orientation val="minMax"/>
        </c:scaling>
        <c:delete val="1"/>
        <c:axPos val="l"/>
        <c:numFmt formatCode="0.0%" sourceLinked="1"/>
        <c:majorTickMark val="none"/>
        <c:minorTickMark val="none"/>
        <c:tickLblPos val="nextTo"/>
        <c:crossAx val="1451635280"/>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Charts!$B$41</c:f>
          <c:strCache>
            <c:ptCount val="1"/>
            <c:pt idx="0">
              <c:v>Volumes - Cargowise, MT</c:v>
            </c:pt>
          </c:strCache>
        </c:strRef>
      </c:tx>
      <c:layout>
        <c:manualLayout>
          <c:xMode val="edge"/>
          <c:yMode val="edge"/>
          <c:x val="0.36759273713807722"/>
          <c:y val="3.0679947352888242E-2"/>
        </c:manualLayout>
      </c:layout>
      <c:overlay val="0"/>
    </c:title>
    <c:autoTitleDeleted val="0"/>
    <c:plotArea>
      <c:layout>
        <c:manualLayout>
          <c:layoutTarget val="inner"/>
          <c:xMode val="edge"/>
          <c:yMode val="edge"/>
          <c:x val="2.334840264259825E-2"/>
          <c:y val="0.13389260488455362"/>
          <c:w val="0.97578160240845635"/>
          <c:h val="0.55765313702461683"/>
        </c:manualLayout>
      </c:layout>
      <c:barChart>
        <c:barDir val="col"/>
        <c:grouping val="stacked"/>
        <c:varyColors val="0"/>
        <c:ser>
          <c:idx val="0"/>
          <c:order val="0"/>
          <c:tx>
            <c:strRef>
              <c:f>Charts!$B$94</c:f>
              <c:strCache>
                <c:ptCount val="1"/>
                <c:pt idx="0">
                  <c:v>Iron Ore</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Charts!$F$94:$O$94</c:f>
              <c:numCache>
                <c:formatCode>0%</c:formatCode>
                <c:ptCount val="10"/>
                <c:pt idx="0">
                  <c:v>0.25486751573708094</c:v>
                </c:pt>
                <c:pt idx="1">
                  <c:v>0.22849589140982193</c:v>
                </c:pt>
                <c:pt idx="2">
                  <c:v>0.24004452583575706</c:v>
                </c:pt>
                <c:pt idx="3">
                  <c:v>0.37654252583154157</c:v>
                </c:pt>
                <c:pt idx="4">
                  <c:v>0.29314814814814816</c:v>
                </c:pt>
                <c:pt idx="5">
                  <c:v>0.27985918409608618</c:v>
                </c:pt>
                <c:pt idx="6">
                  <c:v>0.28842264742183871</c:v>
                </c:pt>
                <c:pt idx="7">
                  <c:v>0.3870075803677222</c:v>
                </c:pt>
                <c:pt idx="8">
                  <c:v>0.41077138251501644</c:v>
                </c:pt>
                <c:pt idx="9">
                  <c:v>0.36557522715783236</c:v>
                </c:pt>
              </c:numCache>
            </c:numRef>
          </c:val>
          <c:extLst>
            <c:ext xmlns:c16="http://schemas.microsoft.com/office/drawing/2014/chart" uri="{C3380CC4-5D6E-409C-BE32-E72D297353CC}">
              <c16:uniqueId val="{00000000-775E-415F-8CA4-B3C378459255}"/>
            </c:ext>
          </c:extLst>
        </c:ser>
        <c:ser>
          <c:idx val="1"/>
          <c:order val="1"/>
          <c:tx>
            <c:strRef>
              <c:f>Charts!$B$95</c:f>
              <c:strCache>
                <c:ptCount val="1"/>
                <c:pt idx="0">
                  <c:v>Thermal Coal</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Charts!$F$95:$O$95</c:f>
              <c:numCache>
                <c:formatCode>0%</c:formatCode>
                <c:ptCount val="10"/>
                <c:pt idx="0">
                  <c:v>8.5199824330259105E-2</c:v>
                </c:pt>
                <c:pt idx="1">
                  <c:v>8.4072938518638035E-2</c:v>
                </c:pt>
                <c:pt idx="2">
                  <c:v>0.28999245933426693</c:v>
                </c:pt>
                <c:pt idx="3">
                  <c:v>0.33302886348761218</c:v>
                </c:pt>
                <c:pt idx="4">
                  <c:v>0.34645298290598292</c:v>
                </c:pt>
                <c:pt idx="5">
                  <c:v>0.33158003727479812</c:v>
                </c:pt>
                <c:pt idx="6">
                  <c:v>0.32044034474008321</c:v>
                </c:pt>
                <c:pt idx="7">
                  <c:v>0.25948795319801371</c:v>
                </c:pt>
                <c:pt idx="8">
                  <c:v>0.23352335746894329</c:v>
                </c:pt>
                <c:pt idx="9">
                  <c:v>0.20252856581967923</c:v>
                </c:pt>
              </c:numCache>
            </c:numRef>
          </c:val>
          <c:extLst>
            <c:ext xmlns:c16="http://schemas.microsoft.com/office/drawing/2014/chart" uri="{C3380CC4-5D6E-409C-BE32-E72D297353CC}">
              <c16:uniqueId val="{00000001-775E-415F-8CA4-B3C378459255}"/>
            </c:ext>
          </c:extLst>
        </c:ser>
        <c:ser>
          <c:idx val="2"/>
          <c:order val="2"/>
          <c:tx>
            <c:strRef>
              <c:f>Charts!$B$96</c:f>
              <c:strCache>
                <c:ptCount val="1"/>
                <c:pt idx="0">
                  <c:v>Non-Thermal Coal</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Charts!$F$96:$O$96</c:f>
              <c:numCache>
                <c:formatCode>0%</c:formatCode>
                <c:ptCount val="10"/>
                <c:pt idx="0">
                  <c:v>0.52071439027960764</c:v>
                </c:pt>
                <c:pt idx="1">
                  <c:v>0.53848813311817545</c:v>
                </c:pt>
                <c:pt idx="2">
                  <c:v>0.33606233617005993</c:v>
                </c:pt>
                <c:pt idx="3">
                  <c:v>0.18840618659614441</c:v>
                </c:pt>
                <c:pt idx="4">
                  <c:v>0.13742450142450144</c:v>
                </c:pt>
                <c:pt idx="5">
                  <c:v>0.16545868709877823</c:v>
                </c:pt>
                <c:pt idx="6">
                  <c:v>0.16484105370192956</c:v>
                </c:pt>
                <c:pt idx="7">
                  <c:v>0.15296475002649779</c:v>
                </c:pt>
                <c:pt idx="8">
                  <c:v>0.1419616970178777</c:v>
                </c:pt>
                <c:pt idx="9">
                  <c:v>0.12241029201940144</c:v>
                </c:pt>
              </c:numCache>
            </c:numRef>
          </c:val>
          <c:extLst>
            <c:ext xmlns:c16="http://schemas.microsoft.com/office/drawing/2014/chart" uri="{C3380CC4-5D6E-409C-BE32-E72D297353CC}">
              <c16:uniqueId val="{00000002-775E-415F-8CA4-B3C378459255}"/>
            </c:ext>
          </c:extLst>
        </c:ser>
        <c:ser>
          <c:idx val="3"/>
          <c:order val="3"/>
          <c:tx>
            <c:strRef>
              <c:f>Charts!$B$97</c:f>
              <c:strCache>
                <c:ptCount val="1"/>
                <c:pt idx="0">
                  <c:v>Liquid and Gas</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Charts!$F$97:$O$97</c:f>
              <c:numCache>
                <c:formatCode>0%</c:formatCode>
                <c:ptCount val="10"/>
                <c:pt idx="0">
                  <c:v>5.4896794027228801E-3</c:v>
                </c:pt>
                <c:pt idx="1">
                  <c:v>4.3569469097950618E-3</c:v>
                </c:pt>
                <c:pt idx="2">
                  <c:v>5.7093611978886131E-3</c:v>
                </c:pt>
                <c:pt idx="3">
                  <c:v>1.5353384318372729E-2</c:v>
                </c:pt>
                <c:pt idx="4">
                  <c:v>6.7268008547008554E-2</c:v>
                </c:pt>
                <c:pt idx="5">
                  <c:v>5.9962725201905161E-2</c:v>
                </c:pt>
                <c:pt idx="6">
                  <c:v>4.7033002175511589E-2</c:v>
                </c:pt>
                <c:pt idx="7">
                  <c:v>4.981587498651599E-2</c:v>
                </c:pt>
                <c:pt idx="8">
                  <c:v>4.8978640028636278E-2</c:v>
                </c:pt>
                <c:pt idx="9">
                  <c:v>4.1699912187585703E-2</c:v>
                </c:pt>
              </c:numCache>
            </c:numRef>
          </c:val>
          <c:extLst>
            <c:ext xmlns:c16="http://schemas.microsoft.com/office/drawing/2014/chart" uri="{C3380CC4-5D6E-409C-BE32-E72D297353CC}">
              <c16:uniqueId val="{00000003-775E-415F-8CA4-B3C378459255}"/>
            </c:ext>
          </c:extLst>
        </c:ser>
        <c:ser>
          <c:idx val="4"/>
          <c:order val="4"/>
          <c:tx>
            <c:strRef>
              <c:f>Charts!$B$98</c:f>
              <c:strCache>
                <c:ptCount val="1"/>
                <c:pt idx="0">
                  <c:v>Container</c:v>
                </c:pt>
              </c:strCache>
            </c:strRef>
          </c:tx>
          <c:invertIfNegative val="0"/>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Charts!$F$98:$O$98</c:f>
              <c:numCache>
                <c:formatCode>0%</c:formatCode>
                <c:ptCount val="10"/>
                <c:pt idx="0">
                  <c:v>0</c:v>
                </c:pt>
                <c:pt idx="1">
                  <c:v>0</c:v>
                </c:pt>
                <c:pt idx="2">
                  <c:v>2.3376063772487337E-2</c:v>
                </c:pt>
                <c:pt idx="3">
                  <c:v>2.4120282561418918E-2</c:v>
                </c:pt>
                <c:pt idx="4">
                  <c:v>2.0597803418803417E-2</c:v>
                </c:pt>
                <c:pt idx="5">
                  <c:v>2.0658521433008906E-2</c:v>
                </c:pt>
                <c:pt idx="6">
                  <c:v>3.2980058552889734E-2</c:v>
                </c:pt>
                <c:pt idx="7">
                  <c:v>3.3428354386146136E-2</c:v>
                </c:pt>
                <c:pt idx="8">
                  <c:v>5.2885679844756062E-2</c:v>
                </c:pt>
                <c:pt idx="9">
                  <c:v>9.4835885155822738E-2</c:v>
                </c:pt>
              </c:numCache>
            </c:numRef>
          </c:val>
          <c:extLst>
            <c:ext xmlns:c16="http://schemas.microsoft.com/office/drawing/2014/chart" uri="{C3380CC4-5D6E-409C-BE32-E72D297353CC}">
              <c16:uniqueId val="{00000004-775E-415F-8CA4-B3C378459255}"/>
            </c:ext>
          </c:extLst>
        </c:ser>
        <c:ser>
          <c:idx val="5"/>
          <c:order val="5"/>
          <c:tx>
            <c:strRef>
              <c:f>Charts!$B$99</c:f>
              <c:strCache>
                <c:ptCount val="1"/>
                <c:pt idx="0">
                  <c:v>Other Bulk</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Charts!$F$16:$O$16</c:f>
              <c:strCache>
                <c:ptCount val="10"/>
                <c:pt idx="0">
                  <c:v>FY21</c:v>
                </c:pt>
                <c:pt idx="1">
                  <c:v>FY22</c:v>
                </c:pt>
                <c:pt idx="2">
                  <c:v>FY23</c:v>
                </c:pt>
                <c:pt idx="3">
                  <c:v>FY24</c:v>
                </c:pt>
                <c:pt idx="4">
                  <c:v>FY25</c:v>
                </c:pt>
                <c:pt idx="5">
                  <c:v>FY26</c:v>
                </c:pt>
                <c:pt idx="6">
                  <c:v>FY27E</c:v>
                </c:pt>
                <c:pt idx="7">
                  <c:v>FY28E</c:v>
                </c:pt>
                <c:pt idx="8">
                  <c:v>FY29E</c:v>
                </c:pt>
                <c:pt idx="9">
                  <c:v>FY30E</c:v>
                </c:pt>
              </c:strCache>
            </c:strRef>
          </c:cat>
          <c:val>
            <c:numRef>
              <c:f>Charts!$F$99:$O$99</c:f>
              <c:numCache>
                <c:formatCode>0%</c:formatCode>
                <c:ptCount val="10"/>
                <c:pt idx="0">
                  <c:v>0.13372859025032935</c:v>
                </c:pt>
                <c:pt idx="1">
                  <c:v>0.14458609004356948</c:v>
                </c:pt>
                <c:pt idx="2">
                  <c:v>0.10481525368954001</c:v>
                </c:pt>
                <c:pt idx="3">
                  <c:v>6.2548757204910002E-2</c:v>
                </c:pt>
                <c:pt idx="4">
                  <c:v>0.13510855555555557</c:v>
                </c:pt>
                <c:pt idx="5">
                  <c:v>0.14248084489542348</c:v>
                </c:pt>
                <c:pt idx="6">
                  <c:v>0.14628289340774742</c:v>
                </c:pt>
                <c:pt idx="7">
                  <c:v>0.1172954870351041</c:v>
                </c:pt>
                <c:pt idx="8">
                  <c:v>0.11187924312477023</c:v>
                </c:pt>
                <c:pt idx="9">
                  <c:v>0.17295011765967844</c:v>
                </c:pt>
              </c:numCache>
            </c:numRef>
          </c:val>
          <c:extLst>
            <c:ext xmlns:c16="http://schemas.microsoft.com/office/drawing/2014/chart" uri="{C3380CC4-5D6E-409C-BE32-E72D297353CC}">
              <c16:uniqueId val="{00000005-775E-415F-8CA4-B3C378459255}"/>
            </c:ext>
          </c:extLst>
        </c:ser>
        <c:dLbls>
          <c:showLegendKey val="0"/>
          <c:showVal val="0"/>
          <c:showCatName val="0"/>
          <c:showSerName val="0"/>
          <c:showPercent val="0"/>
          <c:showBubbleSize val="0"/>
        </c:dLbls>
        <c:gapWidth val="30"/>
        <c:overlap val="100"/>
        <c:axId val="41707423"/>
        <c:axId val="41716063"/>
      </c:barChart>
      <c:catAx>
        <c:axId val="41707423"/>
        <c:scaling>
          <c:orientation val="minMax"/>
        </c:scaling>
        <c:delete val="0"/>
        <c:axPos val="b"/>
        <c:numFmt formatCode="General" sourceLinked="1"/>
        <c:majorTickMark val="none"/>
        <c:minorTickMark val="none"/>
        <c:tickLblPos val="nextTo"/>
        <c:crossAx val="41716063"/>
        <c:crosses val="autoZero"/>
        <c:auto val="1"/>
        <c:lblAlgn val="ctr"/>
        <c:lblOffset val="100"/>
        <c:noMultiLvlLbl val="0"/>
      </c:catAx>
      <c:valAx>
        <c:axId val="41716063"/>
        <c:scaling>
          <c:orientation val="minMax"/>
          <c:max val="1"/>
        </c:scaling>
        <c:delete val="0"/>
        <c:axPos val="l"/>
        <c:numFmt formatCode="0%" sourceLinked="1"/>
        <c:majorTickMark val="out"/>
        <c:minorTickMark val="none"/>
        <c:tickLblPos val="nextTo"/>
        <c:spPr>
          <a:ln>
            <a:noFill/>
          </a:ln>
        </c:spPr>
        <c:crossAx val="41707423"/>
        <c:crosses val="autoZero"/>
        <c:crossBetween val="between"/>
      </c:valAx>
    </c:plotArea>
    <c:legend>
      <c:legendPos val="b"/>
      <c:overlay val="0"/>
    </c:legend>
    <c:plotVisOnly val="1"/>
    <c:dispBlanksAs val="gap"/>
    <c:showDLblsOverMax val="0"/>
  </c:chart>
  <c:spPr>
    <a:ln w="3175">
      <a:no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JSW Infra - Logistics Margin,</a:t>
            </a:r>
            <a:r>
              <a:rPr lang="en-IN" baseline="0"/>
              <a:t> %</a:t>
            </a:r>
            <a:endParaRPr lang="en-IN"/>
          </a:p>
        </c:rich>
      </c:tx>
      <c:overlay val="0"/>
    </c:title>
    <c:autoTitleDeleted val="0"/>
    <c:plotArea>
      <c:layout/>
      <c:lineChart>
        <c:grouping val="standard"/>
        <c:varyColors val="0"/>
        <c:ser>
          <c:idx val="0"/>
          <c:order val="0"/>
          <c:tx>
            <c:strRef>
              <c:f>Charts!$B$262</c:f>
              <c:strCache>
                <c:ptCount val="1"/>
                <c:pt idx="0">
                  <c:v>Navkar</c:v>
                </c:pt>
              </c:strCache>
            </c:strRef>
          </c:tx>
          <c:spPr>
            <a:ln w="28575"/>
            <a:effectLst>
              <a:outerShdw blurRad="50800" dist="38100" dir="2700000" algn="tl" rotWithShape="0">
                <a:prstClr val="black">
                  <a:alpha val="40000"/>
                </a:prstClr>
              </a:outerShdw>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57-4AD5-BE46-4ABD1DB113FB}"/>
                </c:ext>
              </c:extLst>
            </c:dLbl>
            <c:dLbl>
              <c:idx val="1"/>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57-4AD5-BE46-4ABD1DB113FB}"/>
                </c:ext>
              </c:extLst>
            </c:dLbl>
            <c:spPr>
              <a:noFill/>
              <a:ln>
                <a:noFill/>
              </a:ln>
              <a:effectLst/>
            </c:spPr>
            <c:txPr>
              <a:bodyPr wrap="square" lIns="38100" tIns="19050" rIns="38100" bIns="19050" anchor="ctr">
                <a:spAutoFit/>
              </a:bodyPr>
              <a:lstStyle/>
              <a:p>
                <a:pPr>
                  <a:defRPr b="1"/>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Charts!$D$261:$G$261</c:f>
              <c:strCache>
                <c:ptCount val="4"/>
                <c:pt idx="0">
                  <c:v>FY27E</c:v>
                </c:pt>
                <c:pt idx="1">
                  <c:v>FY28E</c:v>
                </c:pt>
                <c:pt idx="2">
                  <c:v>FY29E</c:v>
                </c:pt>
                <c:pt idx="3">
                  <c:v>FY30E</c:v>
                </c:pt>
              </c:strCache>
            </c:strRef>
          </c:cat>
          <c:val>
            <c:numRef>
              <c:f>Charts!$D$262:$G$262</c:f>
              <c:numCache>
                <c:formatCode>0%</c:formatCode>
                <c:ptCount val="4"/>
                <c:pt idx="0">
                  <c:v>0.16188503923652747</c:v>
                </c:pt>
                <c:pt idx="1">
                  <c:v>0.19188503923652744</c:v>
                </c:pt>
                <c:pt idx="2">
                  <c:v>0.21188503923652743</c:v>
                </c:pt>
                <c:pt idx="3">
                  <c:v>0.22188503923652744</c:v>
                </c:pt>
              </c:numCache>
            </c:numRef>
          </c:val>
          <c:smooth val="0"/>
          <c:extLst>
            <c:ext xmlns:c16="http://schemas.microsoft.com/office/drawing/2014/chart" uri="{C3380CC4-5D6E-409C-BE32-E72D297353CC}">
              <c16:uniqueId val="{00000000-4757-4AD5-BE46-4ABD1DB113FB}"/>
            </c:ext>
          </c:extLst>
        </c:ser>
        <c:ser>
          <c:idx val="1"/>
          <c:order val="1"/>
          <c:tx>
            <c:strRef>
              <c:f>Charts!$B$263</c:f>
              <c:strCache>
                <c:ptCount val="1"/>
                <c:pt idx="0">
                  <c:v>JSW Rail Logistics</c:v>
                </c:pt>
              </c:strCache>
            </c:strRef>
          </c:tx>
          <c:spPr>
            <a:ln w="28575"/>
            <a:effectLst>
              <a:outerShdw blurRad="50800" dist="38100" dir="2700000" algn="tl" rotWithShape="0">
                <a:prstClr val="black">
                  <a:alpha val="40000"/>
                </a:prstClr>
              </a:outerShdw>
            </a:effectLst>
          </c:spPr>
          <c:marker>
            <c:symbol val="none"/>
          </c:marker>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Charts!$D$261:$G$261</c:f>
              <c:strCache>
                <c:ptCount val="4"/>
                <c:pt idx="0">
                  <c:v>FY27E</c:v>
                </c:pt>
                <c:pt idx="1">
                  <c:v>FY28E</c:v>
                </c:pt>
                <c:pt idx="2">
                  <c:v>FY29E</c:v>
                </c:pt>
                <c:pt idx="3">
                  <c:v>FY30E</c:v>
                </c:pt>
              </c:strCache>
            </c:strRef>
          </c:cat>
          <c:val>
            <c:numRef>
              <c:f>Charts!$D$263:$G$263</c:f>
              <c:numCache>
                <c:formatCode>0%</c:formatCode>
                <c:ptCount val="4"/>
                <c:pt idx="0">
                  <c:v>0.36157362480208383</c:v>
                </c:pt>
                <c:pt idx="1">
                  <c:v>0.34567151965631282</c:v>
                </c:pt>
                <c:pt idx="2">
                  <c:v>0.34009071794750645</c:v>
                </c:pt>
                <c:pt idx="3">
                  <c:v>0.3431939937402792</c:v>
                </c:pt>
              </c:numCache>
            </c:numRef>
          </c:val>
          <c:smooth val="0"/>
          <c:extLst>
            <c:ext xmlns:c16="http://schemas.microsoft.com/office/drawing/2014/chart" uri="{C3380CC4-5D6E-409C-BE32-E72D297353CC}">
              <c16:uniqueId val="{00000001-4757-4AD5-BE46-4ABD1DB113FB}"/>
            </c:ext>
          </c:extLst>
        </c:ser>
        <c:ser>
          <c:idx val="2"/>
          <c:order val="2"/>
          <c:tx>
            <c:strRef>
              <c:f>Charts!$B$264</c:f>
              <c:strCache>
                <c:ptCount val="1"/>
                <c:pt idx="0">
                  <c:v>Upcoming Terminals</c:v>
                </c:pt>
              </c:strCache>
            </c:strRef>
          </c:tx>
          <c:spPr>
            <a:ln w="28575"/>
            <a:effectLst>
              <a:outerShdw blurRad="50800" dist="38100" dir="2700000" algn="tl" rotWithShape="0">
                <a:prstClr val="black">
                  <a:alpha val="40000"/>
                </a:prstClr>
              </a:outerShdw>
            </a:effectLst>
          </c:spPr>
          <c:marker>
            <c:symbol val="none"/>
          </c:marker>
          <c:dLbls>
            <c:spPr>
              <a:noFill/>
              <a:ln>
                <a:noFill/>
              </a:ln>
              <a:effectLst/>
            </c:spPr>
            <c:txPr>
              <a:bodyPr wrap="square" lIns="38100" tIns="19050" rIns="38100" bIns="19050" anchor="ctr">
                <a:spAutoFit/>
              </a:bodyPr>
              <a:lstStyle/>
              <a:p>
                <a:pPr>
                  <a:defRPr b="1"/>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Charts!$D$261:$G$261</c:f>
              <c:strCache>
                <c:ptCount val="4"/>
                <c:pt idx="0">
                  <c:v>FY27E</c:v>
                </c:pt>
                <c:pt idx="1">
                  <c:v>FY28E</c:v>
                </c:pt>
                <c:pt idx="2">
                  <c:v>FY29E</c:v>
                </c:pt>
                <c:pt idx="3">
                  <c:v>FY30E</c:v>
                </c:pt>
              </c:strCache>
            </c:strRef>
          </c:cat>
          <c:val>
            <c:numRef>
              <c:f>Charts!$D$264:$G$264</c:f>
              <c:numCache>
                <c:formatCode>0%</c:formatCode>
                <c:ptCount val="4"/>
                <c:pt idx="0">
                  <c:v>0.15000000000000041</c:v>
                </c:pt>
                <c:pt idx="1">
                  <c:v>0.15</c:v>
                </c:pt>
                <c:pt idx="2">
                  <c:v>0.15</c:v>
                </c:pt>
                <c:pt idx="3">
                  <c:v>0.16000000000000003</c:v>
                </c:pt>
              </c:numCache>
            </c:numRef>
          </c:val>
          <c:smooth val="0"/>
          <c:extLst>
            <c:ext xmlns:c16="http://schemas.microsoft.com/office/drawing/2014/chart" uri="{C3380CC4-5D6E-409C-BE32-E72D297353CC}">
              <c16:uniqueId val="{00000002-4757-4AD5-BE46-4ABD1DB113FB}"/>
            </c:ext>
          </c:extLst>
        </c:ser>
        <c:ser>
          <c:idx val="3"/>
          <c:order val="3"/>
          <c:tx>
            <c:strRef>
              <c:f>Charts!$B$265</c:f>
              <c:strCache>
                <c:ptCount val="1"/>
                <c:pt idx="0">
                  <c:v>Total Logistics EBITDA</c:v>
                </c:pt>
              </c:strCache>
            </c:strRef>
          </c:tx>
          <c:spPr>
            <a:ln w="28575"/>
            <a:effectLst>
              <a:outerShdw blurRad="50800" dist="38100" dir="2700000" algn="tl" rotWithShape="0">
                <a:prstClr val="black">
                  <a:alpha val="40000"/>
                </a:prstClr>
              </a:outerShdw>
            </a:effectLst>
          </c:spPr>
          <c:marker>
            <c:symbol val="none"/>
          </c:marker>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Charts!$D$261:$G$261</c:f>
              <c:strCache>
                <c:ptCount val="4"/>
                <c:pt idx="0">
                  <c:v>FY27E</c:v>
                </c:pt>
                <c:pt idx="1">
                  <c:v>FY28E</c:v>
                </c:pt>
                <c:pt idx="2">
                  <c:v>FY29E</c:v>
                </c:pt>
                <c:pt idx="3">
                  <c:v>FY30E</c:v>
                </c:pt>
              </c:strCache>
            </c:strRef>
          </c:cat>
          <c:val>
            <c:numRef>
              <c:f>Charts!$D$265:$G$265</c:f>
              <c:numCache>
                <c:formatCode>0%</c:formatCode>
                <c:ptCount val="4"/>
                <c:pt idx="0">
                  <c:v>0.243494368255078</c:v>
                </c:pt>
                <c:pt idx="1">
                  <c:v>0.23384702238750171</c:v>
                </c:pt>
                <c:pt idx="2">
                  <c:v>0.21413856588891775</c:v>
                </c:pt>
                <c:pt idx="3">
                  <c:v>0.2140087289588655</c:v>
                </c:pt>
              </c:numCache>
            </c:numRef>
          </c:val>
          <c:smooth val="0"/>
          <c:extLst>
            <c:ext xmlns:c16="http://schemas.microsoft.com/office/drawing/2014/chart" uri="{C3380CC4-5D6E-409C-BE32-E72D297353CC}">
              <c16:uniqueId val="{00000003-4757-4AD5-BE46-4ABD1DB113FB}"/>
            </c:ext>
          </c:extLst>
        </c:ser>
        <c:dLbls>
          <c:dLblPos val="t"/>
          <c:showLegendKey val="0"/>
          <c:showVal val="1"/>
          <c:showCatName val="0"/>
          <c:showSerName val="0"/>
          <c:showPercent val="0"/>
          <c:showBubbleSize val="0"/>
        </c:dLbls>
        <c:smooth val="0"/>
        <c:axId val="840457311"/>
        <c:axId val="840442911"/>
      </c:lineChart>
      <c:catAx>
        <c:axId val="840457311"/>
        <c:scaling>
          <c:orientation val="minMax"/>
        </c:scaling>
        <c:delete val="0"/>
        <c:axPos val="b"/>
        <c:numFmt formatCode="General" sourceLinked="1"/>
        <c:majorTickMark val="none"/>
        <c:minorTickMark val="none"/>
        <c:tickLblPos val="nextTo"/>
        <c:crossAx val="840442911"/>
        <c:crosses val="autoZero"/>
        <c:auto val="1"/>
        <c:lblAlgn val="ctr"/>
        <c:lblOffset val="100"/>
        <c:noMultiLvlLbl val="0"/>
      </c:catAx>
      <c:valAx>
        <c:axId val="840442911"/>
        <c:scaling>
          <c:orientation val="minMax"/>
        </c:scaling>
        <c:delete val="1"/>
        <c:axPos val="l"/>
        <c:numFmt formatCode="0%" sourceLinked="1"/>
        <c:majorTickMark val="out"/>
        <c:minorTickMark val="none"/>
        <c:tickLblPos val="nextTo"/>
        <c:crossAx val="840457311"/>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Navkar Corp. Volumes ('000 TEUs)</a:t>
            </a:r>
          </a:p>
        </c:rich>
      </c:tx>
      <c:overlay val="0"/>
    </c:title>
    <c:autoTitleDeleted val="0"/>
    <c:plotArea>
      <c:layout/>
      <c:barChart>
        <c:barDir val="col"/>
        <c:grouping val="stacked"/>
        <c:varyColors val="0"/>
        <c:ser>
          <c:idx val="0"/>
          <c:order val="0"/>
          <c:tx>
            <c:strRef>
              <c:f>'Navkar Qtrly'!$B$4</c:f>
              <c:strCache>
                <c:ptCount val="1"/>
                <c:pt idx="0">
                  <c:v>ICD Volume</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'Navkar Qtrly'!$F$2:$N$2</c:f>
              <c:strCache>
                <c:ptCount val="9"/>
                <c:pt idx="0">
                  <c:v>4QFY24</c:v>
                </c:pt>
                <c:pt idx="1">
                  <c:v>1QFY25</c:v>
                </c:pt>
                <c:pt idx="2">
                  <c:v>2QFY25</c:v>
                </c:pt>
                <c:pt idx="3">
                  <c:v>3QFY25</c:v>
                </c:pt>
                <c:pt idx="4">
                  <c:v>4QFY25</c:v>
                </c:pt>
                <c:pt idx="5">
                  <c:v>1QFY26</c:v>
                </c:pt>
                <c:pt idx="6">
                  <c:v>2QFY26</c:v>
                </c:pt>
                <c:pt idx="7">
                  <c:v>3QFY26</c:v>
                </c:pt>
                <c:pt idx="8">
                  <c:v>4QFY26</c:v>
                </c:pt>
              </c:strCache>
            </c:strRef>
          </c:cat>
          <c:val>
            <c:numRef>
              <c:f>'Navkar Qtrly'!$F$4:$N$4</c:f>
              <c:numCache>
                <c:formatCode>#,##0_);\(#,##0\)</c:formatCode>
                <c:ptCount val="9"/>
                <c:pt idx="0">
                  <c:v>13</c:v>
                </c:pt>
                <c:pt idx="1">
                  <c:v>15</c:v>
                </c:pt>
                <c:pt idx="2">
                  <c:v>16</c:v>
                </c:pt>
                <c:pt idx="3">
                  <c:v>17</c:v>
                </c:pt>
                <c:pt idx="4">
                  <c:v>18</c:v>
                </c:pt>
                <c:pt idx="5">
                  <c:v>19</c:v>
                </c:pt>
                <c:pt idx="6">
                  <c:v>20</c:v>
                </c:pt>
                <c:pt idx="7">
                  <c:v>21.518987341772153</c:v>
                </c:pt>
                <c:pt idx="8">
                  <c:v>21.518987341772153</c:v>
                </c:pt>
              </c:numCache>
            </c:numRef>
          </c:val>
          <c:extLst>
            <c:ext xmlns:c16="http://schemas.microsoft.com/office/drawing/2014/chart" uri="{C3380CC4-5D6E-409C-BE32-E72D297353CC}">
              <c16:uniqueId val="{00000000-B0EB-40AF-9E6B-C0D3AF41FF9E}"/>
            </c:ext>
          </c:extLst>
        </c:ser>
        <c:ser>
          <c:idx val="1"/>
          <c:order val="1"/>
          <c:tx>
            <c:strRef>
              <c:f>'Navkar Qtrly'!$B$5</c:f>
              <c:strCache>
                <c:ptCount val="1"/>
                <c:pt idx="0">
                  <c:v>CFS Volume</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'Navkar Qtrly'!$F$2:$N$2</c:f>
              <c:strCache>
                <c:ptCount val="9"/>
                <c:pt idx="0">
                  <c:v>4QFY24</c:v>
                </c:pt>
                <c:pt idx="1">
                  <c:v>1QFY25</c:v>
                </c:pt>
                <c:pt idx="2">
                  <c:v>2QFY25</c:v>
                </c:pt>
                <c:pt idx="3">
                  <c:v>3QFY25</c:v>
                </c:pt>
                <c:pt idx="4">
                  <c:v>4QFY25</c:v>
                </c:pt>
                <c:pt idx="5">
                  <c:v>1QFY26</c:v>
                </c:pt>
                <c:pt idx="6">
                  <c:v>2QFY26</c:v>
                </c:pt>
                <c:pt idx="7">
                  <c:v>3QFY26</c:v>
                </c:pt>
                <c:pt idx="8">
                  <c:v>4QFY26</c:v>
                </c:pt>
              </c:strCache>
            </c:strRef>
          </c:cat>
          <c:val>
            <c:numRef>
              <c:f>'Navkar Qtrly'!$F$5:$N$5</c:f>
              <c:numCache>
                <c:formatCode>#,##0_);\(#,##0\)</c:formatCode>
                <c:ptCount val="9"/>
                <c:pt idx="0">
                  <c:v>46</c:v>
                </c:pt>
                <c:pt idx="1">
                  <c:v>48</c:v>
                </c:pt>
                <c:pt idx="2">
                  <c:v>49</c:v>
                </c:pt>
                <c:pt idx="3">
                  <c:v>54</c:v>
                </c:pt>
                <c:pt idx="4">
                  <c:v>57</c:v>
                </c:pt>
                <c:pt idx="5">
                  <c:v>62</c:v>
                </c:pt>
                <c:pt idx="6">
                  <c:v>59</c:v>
                </c:pt>
                <c:pt idx="7">
                  <c:v>63.481012658227847</c:v>
                </c:pt>
                <c:pt idx="8">
                  <c:v>63.481012658227847</c:v>
                </c:pt>
              </c:numCache>
            </c:numRef>
          </c:val>
          <c:extLst>
            <c:ext xmlns:c16="http://schemas.microsoft.com/office/drawing/2014/chart" uri="{C3380CC4-5D6E-409C-BE32-E72D297353CC}">
              <c16:uniqueId val="{00000001-B0EB-40AF-9E6B-C0D3AF41FF9E}"/>
            </c:ext>
          </c:extLst>
        </c:ser>
        <c:ser>
          <c:idx val="2"/>
          <c:order val="2"/>
          <c:tx>
            <c:strRef>
              <c:f>'Navkar Qtrly'!$B$6</c:f>
              <c:strCache>
                <c:ptCount val="1"/>
                <c:pt idx="0">
                  <c:v>Total Volume ('000 TEUS)</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'Navkar Qtrly'!$F$2:$N$2</c:f>
              <c:strCache>
                <c:ptCount val="9"/>
                <c:pt idx="0">
                  <c:v>4QFY24</c:v>
                </c:pt>
                <c:pt idx="1">
                  <c:v>1QFY25</c:v>
                </c:pt>
                <c:pt idx="2">
                  <c:v>2QFY25</c:v>
                </c:pt>
                <c:pt idx="3">
                  <c:v>3QFY25</c:v>
                </c:pt>
                <c:pt idx="4">
                  <c:v>4QFY25</c:v>
                </c:pt>
                <c:pt idx="5">
                  <c:v>1QFY26</c:v>
                </c:pt>
                <c:pt idx="6">
                  <c:v>2QFY26</c:v>
                </c:pt>
                <c:pt idx="7">
                  <c:v>3QFY26</c:v>
                </c:pt>
                <c:pt idx="8">
                  <c:v>4QFY26</c:v>
                </c:pt>
              </c:strCache>
            </c:strRef>
          </c:cat>
          <c:val>
            <c:numRef>
              <c:f>'Navkar Qtrly'!$F$6:$N$6</c:f>
              <c:numCache>
                <c:formatCode>#,##0_);\(#,##0\)</c:formatCode>
                <c:ptCount val="9"/>
                <c:pt idx="0">
                  <c:v>59</c:v>
                </c:pt>
                <c:pt idx="1">
                  <c:v>63</c:v>
                </c:pt>
                <c:pt idx="2">
                  <c:v>65</c:v>
                </c:pt>
                <c:pt idx="3">
                  <c:v>71</c:v>
                </c:pt>
                <c:pt idx="4">
                  <c:v>75</c:v>
                </c:pt>
                <c:pt idx="5">
                  <c:v>81</c:v>
                </c:pt>
                <c:pt idx="6">
                  <c:v>79</c:v>
                </c:pt>
                <c:pt idx="7">
                  <c:v>85</c:v>
                </c:pt>
                <c:pt idx="8">
                  <c:v>86</c:v>
                </c:pt>
              </c:numCache>
            </c:numRef>
          </c:val>
          <c:extLst>
            <c:ext xmlns:c16="http://schemas.microsoft.com/office/drawing/2014/chart" uri="{C3380CC4-5D6E-409C-BE32-E72D297353CC}">
              <c16:uniqueId val="{00000002-B0EB-40AF-9E6B-C0D3AF41FF9E}"/>
            </c:ext>
          </c:extLst>
        </c:ser>
        <c:dLbls>
          <c:dLblPos val="ctr"/>
          <c:showLegendKey val="0"/>
          <c:showVal val="1"/>
          <c:showCatName val="0"/>
          <c:showSerName val="0"/>
          <c:showPercent val="0"/>
          <c:showBubbleSize val="0"/>
        </c:dLbls>
        <c:gapWidth val="30"/>
        <c:overlap val="100"/>
        <c:axId val="649464943"/>
        <c:axId val="649481743"/>
      </c:barChart>
      <c:catAx>
        <c:axId val="649464943"/>
        <c:scaling>
          <c:orientation val="minMax"/>
        </c:scaling>
        <c:delete val="0"/>
        <c:axPos val="b"/>
        <c:numFmt formatCode="General" sourceLinked="1"/>
        <c:majorTickMark val="none"/>
        <c:minorTickMark val="none"/>
        <c:tickLblPos val="nextTo"/>
        <c:crossAx val="649481743"/>
        <c:crosses val="autoZero"/>
        <c:auto val="1"/>
        <c:lblAlgn val="ctr"/>
        <c:lblOffset val="100"/>
        <c:noMultiLvlLbl val="0"/>
      </c:catAx>
      <c:valAx>
        <c:axId val="649481743"/>
        <c:scaling>
          <c:orientation val="minMax"/>
          <c:max val="100"/>
        </c:scaling>
        <c:delete val="1"/>
        <c:axPos val="l"/>
        <c:numFmt formatCode="#,##0_);\(#,##0\)" sourceLinked="1"/>
        <c:majorTickMark val="out"/>
        <c:minorTickMark val="none"/>
        <c:tickLblPos val="nextTo"/>
        <c:crossAx val="649464943"/>
        <c:crosses val="autoZero"/>
        <c:crossBetween val="between"/>
      </c:valAx>
    </c:plotArea>
    <c:legend>
      <c:legendPos val="b"/>
      <c:legendEntry>
        <c:idx val="2"/>
        <c:delete val="1"/>
      </c:legendEntry>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Navkar Corp. Avg Realisation Rs. /TEU</a:t>
            </a:r>
          </a:p>
        </c:rich>
      </c:tx>
      <c:overlay val="0"/>
    </c:title>
    <c:autoTitleDeleted val="0"/>
    <c:plotArea>
      <c:layout/>
      <c:lineChart>
        <c:grouping val="standard"/>
        <c:varyColors val="0"/>
        <c:ser>
          <c:idx val="0"/>
          <c:order val="0"/>
          <c:tx>
            <c:strRef>
              <c:f>'Navkar Qtrly'!$B$9</c:f>
              <c:strCache>
                <c:ptCount val="1"/>
                <c:pt idx="0">
                  <c:v>Avg Realisation Rs. /TEU</c:v>
                </c:pt>
              </c:strCache>
            </c:strRef>
          </c:tx>
          <c:spPr>
            <a:ln w="28575"/>
          </c:spPr>
          <c:marker>
            <c:symbol val="none"/>
          </c:marker>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'Navkar Qtrly'!$F$2:$N$2</c:f>
              <c:strCache>
                <c:ptCount val="9"/>
                <c:pt idx="0">
                  <c:v>4QFY24</c:v>
                </c:pt>
                <c:pt idx="1">
                  <c:v>1QFY25</c:v>
                </c:pt>
                <c:pt idx="2">
                  <c:v>2QFY25</c:v>
                </c:pt>
                <c:pt idx="3">
                  <c:v>3QFY25</c:v>
                </c:pt>
                <c:pt idx="4">
                  <c:v>4QFY25</c:v>
                </c:pt>
                <c:pt idx="5">
                  <c:v>1QFY26</c:v>
                </c:pt>
                <c:pt idx="6">
                  <c:v>2QFY26</c:v>
                </c:pt>
                <c:pt idx="7">
                  <c:v>3QFY26</c:v>
                </c:pt>
                <c:pt idx="8">
                  <c:v>4QFY26</c:v>
                </c:pt>
              </c:strCache>
            </c:strRef>
          </c:cat>
          <c:val>
            <c:numRef>
              <c:f>'Navkar Qtrly'!$F$9:$N$9</c:f>
              <c:numCache>
                <c:formatCode>#,##0_);\(#,##0\)</c:formatCode>
                <c:ptCount val="9"/>
                <c:pt idx="0">
                  <c:v>19987.050847457627</c:v>
                </c:pt>
                <c:pt idx="1">
                  <c:v>18671.174603174604</c:v>
                </c:pt>
                <c:pt idx="2">
                  <c:v>20479.938461538462</c:v>
                </c:pt>
                <c:pt idx="3">
                  <c:v>18235.943661971833</c:v>
                </c:pt>
                <c:pt idx="4">
                  <c:v>13902.773333333334</c:v>
                </c:pt>
                <c:pt idx="5">
                  <c:v>17093.555555555555</c:v>
                </c:pt>
                <c:pt idx="6">
                  <c:v>20555.392405063292</c:v>
                </c:pt>
                <c:pt idx="7">
                  <c:v>21864.400000000001</c:v>
                </c:pt>
                <c:pt idx="8">
                  <c:v>23344.89534883721</c:v>
                </c:pt>
              </c:numCache>
            </c:numRef>
          </c:val>
          <c:smooth val="1"/>
          <c:extLst>
            <c:ext xmlns:c16="http://schemas.microsoft.com/office/drawing/2014/chart" uri="{C3380CC4-5D6E-409C-BE32-E72D297353CC}">
              <c16:uniqueId val="{00000000-F830-4765-B48E-BAEA8A91043A}"/>
            </c:ext>
          </c:extLst>
        </c:ser>
        <c:dLbls>
          <c:dLblPos val="ctr"/>
          <c:showLegendKey val="0"/>
          <c:showVal val="1"/>
          <c:showCatName val="0"/>
          <c:showSerName val="0"/>
          <c:showPercent val="0"/>
          <c:showBubbleSize val="0"/>
        </c:dLbls>
        <c:smooth val="0"/>
        <c:axId val="649464943"/>
        <c:axId val="649481743"/>
      </c:lineChart>
      <c:catAx>
        <c:axId val="649464943"/>
        <c:scaling>
          <c:orientation val="minMax"/>
        </c:scaling>
        <c:delete val="0"/>
        <c:axPos val="b"/>
        <c:numFmt formatCode="General" sourceLinked="1"/>
        <c:majorTickMark val="none"/>
        <c:minorTickMark val="none"/>
        <c:tickLblPos val="nextTo"/>
        <c:crossAx val="649481743"/>
        <c:crosses val="autoZero"/>
        <c:auto val="1"/>
        <c:lblAlgn val="ctr"/>
        <c:lblOffset val="100"/>
        <c:noMultiLvlLbl val="0"/>
      </c:catAx>
      <c:valAx>
        <c:axId val="649481743"/>
        <c:scaling>
          <c:orientation val="minMax"/>
        </c:scaling>
        <c:delete val="1"/>
        <c:axPos val="l"/>
        <c:numFmt formatCode="#,##0_);\(#,##0\)" sourceLinked="1"/>
        <c:majorTickMark val="out"/>
        <c:minorTickMark val="none"/>
        <c:tickLblPos val="nextTo"/>
        <c:crossAx val="649464943"/>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Navkar Corp. Revenue</a:t>
            </a:r>
            <a:r>
              <a:rPr lang="en-IN" baseline="0"/>
              <a:t> (Rs. mn)</a:t>
            </a:r>
            <a:endParaRPr lang="en-IN"/>
          </a:p>
        </c:rich>
      </c:tx>
      <c:overlay val="0"/>
    </c:title>
    <c:autoTitleDeleted val="0"/>
    <c:plotArea>
      <c:layout/>
      <c:barChart>
        <c:barDir val="col"/>
        <c:grouping val="stacked"/>
        <c:varyColors val="0"/>
        <c:ser>
          <c:idx val="0"/>
          <c:order val="0"/>
          <c:tx>
            <c:strRef>
              <c:f>'Navkar Qtrly'!$B$12</c:f>
              <c:strCache>
                <c:ptCount val="1"/>
                <c:pt idx="0">
                  <c:v>Revenue from Operations</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'Navkar Qtrly'!$F$2:$N$2</c:f>
              <c:strCache>
                <c:ptCount val="9"/>
                <c:pt idx="0">
                  <c:v>4QFY24</c:v>
                </c:pt>
                <c:pt idx="1">
                  <c:v>1QFY25</c:v>
                </c:pt>
                <c:pt idx="2">
                  <c:v>2QFY25</c:v>
                </c:pt>
                <c:pt idx="3">
                  <c:v>3QFY25</c:v>
                </c:pt>
                <c:pt idx="4">
                  <c:v>4QFY25</c:v>
                </c:pt>
                <c:pt idx="5">
                  <c:v>1QFY26</c:v>
                </c:pt>
                <c:pt idx="6">
                  <c:v>2QFY26</c:v>
                </c:pt>
                <c:pt idx="7">
                  <c:v>3QFY26</c:v>
                </c:pt>
                <c:pt idx="8">
                  <c:v>4QFY26</c:v>
                </c:pt>
              </c:strCache>
            </c:strRef>
          </c:cat>
          <c:val>
            <c:numRef>
              <c:f>'Navkar Qtrly'!$F$12:$N$12</c:f>
              <c:numCache>
                <c:formatCode>#,##0_);\(#,##0\)</c:formatCode>
                <c:ptCount val="9"/>
                <c:pt idx="0">
                  <c:v>1179.2360000000001</c:v>
                </c:pt>
                <c:pt idx="1">
                  <c:v>1176.2840000000001</c:v>
                </c:pt>
                <c:pt idx="2">
                  <c:v>1331.1959999999999</c:v>
                </c:pt>
                <c:pt idx="3">
                  <c:v>1294.752</c:v>
                </c:pt>
                <c:pt idx="4">
                  <c:v>1042.7080000000001</c:v>
                </c:pt>
                <c:pt idx="5">
                  <c:v>1384.578</c:v>
                </c:pt>
                <c:pt idx="6">
                  <c:v>1623.876</c:v>
                </c:pt>
                <c:pt idx="7">
                  <c:v>1858.4739999999999</c:v>
                </c:pt>
                <c:pt idx="8">
                  <c:v>2007.6610000000001</c:v>
                </c:pt>
              </c:numCache>
            </c:numRef>
          </c:val>
          <c:extLst>
            <c:ext xmlns:c16="http://schemas.microsoft.com/office/drawing/2014/chart" uri="{C3380CC4-5D6E-409C-BE32-E72D297353CC}">
              <c16:uniqueId val="{00000000-DFF0-4E9B-AE15-4888D0FC67B4}"/>
            </c:ext>
          </c:extLst>
        </c:ser>
        <c:dLbls>
          <c:dLblPos val="ctr"/>
          <c:showLegendKey val="0"/>
          <c:showVal val="1"/>
          <c:showCatName val="0"/>
          <c:showSerName val="0"/>
          <c:showPercent val="0"/>
          <c:showBubbleSize val="0"/>
        </c:dLbls>
        <c:gapWidth val="30"/>
        <c:overlap val="100"/>
        <c:axId val="649464943"/>
        <c:axId val="649481743"/>
      </c:barChart>
      <c:catAx>
        <c:axId val="649464943"/>
        <c:scaling>
          <c:orientation val="minMax"/>
        </c:scaling>
        <c:delete val="0"/>
        <c:axPos val="b"/>
        <c:numFmt formatCode="General" sourceLinked="1"/>
        <c:majorTickMark val="none"/>
        <c:minorTickMark val="none"/>
        <c:tickLblPos val="nextTo"/>
        <c:crossAx val="649481743"/>
        <c:crosses val="autoZero"/>
        <c:auto val="1"/>
        <c:lblAlgn val="ctr"/>
        <c:lblOffset val="100"/>
        <c:noMultiLvlLbl val="0"/>
      </c:catAx>
      <c:valAx>
        <c:axId val="649481743"/>
        <c:scaling>
          <c:orientation val="minMax"/>
        </c:scaling>
        <c:delete val="1"/>
        <c:axPos val="l"/>
        <c:numFmt formatCode="#,##0_);\(#,##0\)" sourceLinked="1"/>
        <c:majorTickMark val="out"/>
        <c:minorTickMark val="none"/>
        <c:tickLblPos val="nextTo"/>
        <c:crossAx val="649464943"/>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Navkar Corp. EBITDA</a:t>
            </a:r>
            <a:r>
              <a:rPr lang="en-IN" baseline="0"/>
              <a:t> (Rs. mn)</a:t>
            </a:r>
            <a:endParaRPr lang="en-IN"/>
          </a:p>
        </c:rich>
      </c:tx>
      <c:overlay val="0"/>
    </c:title>
    <c:autoTitleDeleted val="0"/>
    <c:plotArea>
      <c:layout/>
      <c:barChart>
        <c:barDir val="col"/>
        <c:grouping val="clustered"/>
        <c:varyColors val="0"/>
        <c:ser>
          <c:idx val="0"/>
          <c:order val="0"/>
          <c:tx>
            <c:strRef>
              <c:f>'Navkar Qtrly'!$B$19</c:f>
              <c:strCache>
                <c:ptCount val="1"/>
                <c:pt idx="0">
                  <c:v>EBITDA</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'Navkar Qtrly'!$F$2:$N$2</c:f>
              <c:strCache>
                <c:ptCount val="9"/>
                <c:pt idx="0">
                  <c:v>4QFY24</c:v>
                </c:pt>
                <c:pt idx="1">
                  <c:v>1QFY25</c:v>
                </c:pt>
                <c:pt idx="2">
                  <c:v>2QFY25</c:v>
                </c:pt>
                <c:pt idx="3">
                  <c:v>3QFY25</c:v>
                </c:pt>
                <c:pt idx="4">
                  <c:v>4QFY25</c:v>
                </c:pt>
                <c:pt idx="5">
                  <c:v>1QFY26</c:v>
                </c:pt>
                <c:pt idx="6">
                  <c:v>2QFY26</c:v>
                </c:pt>
                <c:pt idx="7">
                  <c:v>3QFY26</c:v>
                </c:pt>
                <c:pt idx="8">
                  <c:v>4QFY26</c:v>
                </c:pt>
              </c:strCache>
            </c:strRef>
          </c:cat>
          <c:val>
            <c:numRef>
              <c:f>'Navkar Qtrly'!$F$19:$N$19</c:f>
              <c:numCache>
                <c:formatCode>#,##0_);\(#,##0\)</c:formatCode>
                <c:ptCount val="9"/>
                <c:pt idx="0">
                  <c:v>193.37900000000013</c:v>
                </c:pt>
                <c:pt idx="1">
                  <c:v>20.57100000000014</c:v>
                </c:pt>
                <c:pt idx="2">
                  <c:v>147.34799999999996</c:v>
                </c:pt>
                <c:pt idx="3">
                  <c:v>73.266999999999825</c:v>
                </c:pt>
                <c:pt idx="4">
                  <c:v>-186.08799999999997</c:v>
                </c:pt>
                <c:pt idx="5">
                  <c:v>204.4849999999999</c:v>
                </c:pt>
                <c:pt idx="6">
                  <c:v>243.89400000000001</c:v>
                </c:pt>
                <c:pt idx="7">
                  <c:v>334.81399999999985</c:v>
                </c:pt>
                <c:pt idx="8">
                  <c:v>398.44600000000014</c:v>
                </c:pt>
              </c:numCache>
            </c:numRef>
          </c:val>
          <c:extLst>
            <c:ext xmlns:c16="http://schemas.microsoft.com/office/drawing/2014/chart" uri="{C3380CC4-5D6E-409C-BE32-E72D297353CC}">
              <c16:uniqueId val="{00000000-0F8F-4AC1-B64C-A4D97EC783EF}"/>
            </c:ext>
          </c:extLst>
        </c:ser>
        <c:dLbls>
          <c:dLblPos val="ctr"/>
          <c:showLegendKey val="0"/>
          <c:showVal val="1"/>
          <c:showCatName val="0"/>
          <c:showSerName val="0"/>
          <c:showPercent val="0"/>
          <c:showBubbleSize val="0"/>
        </c:dLbls>
        <c:gapWidth val="30"/>
        <c:axId val="649464943"/>
        <c:axId val="649481743"/>
      </c:barChart>
      <c:lineChart>
        <c:grouping val="standard"/>
        <c:varyColors val="0"/>
        <c:ser>
          <c:idx val="1"/>
          <c:order val="1"/>
          <c:tx>
            <c:strRef>
              <c:f>'Navkar Qtrly'!$B$20</c:f>
              <c:strCache>
                <c:ptCount val="1"/>
                <c:pt idx="0">
                  <c:v>Margin, %</c:v>
                </c:pt>
              </c:strCache>
            </c:strRef>
          </c:tx>
          <c:spPr>
            <a:ln w="31750"/>
          </c:spPr>
          <c:marker>
            <c:symbol val="none"/>
          </c:marker>
          <c:dLbls>
            <c:dLbl>
              <c:idx val="4"/>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8F-4AC1-B64C-A4D97EC783EF}"/>
                </c:ext>
              </c:extLst>
            </c:dLbl>
            <c:numFmt formatCode="0%" sourceLinked="0"/>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'Navkar Qtrly'!$F$2:$N$2</c:f>
              <c:strCache>
                <c:ptCount val="9"/>
                <c:pt idx="0">
                  <c:v>4QFY24</c:v>
                </c:pt>
                <c:pt idx="1">
                  <c:v>1QFY25</c:v>
                </c:pt>
                <c:pt idx="2">
                  <c:v>2QFY25</c:v>
                </c:pt>
                <c:pt idx="3">
                  <c:v>3QFY25</c:v>
                </c:pt>
                <c:pt idx="4">
                  <c:v>4QFY25</c:v>
                </c:pt>
                <c:pt idx="5">
                  <c:v>1QFY26</c:v>
                </c:pt>
                <c:pt idx="6">
                  <c:v>2QFY26</c:v>
                </c:pt>
                <c:pt idx="7">
                  <c:v>3QFY26</c:v>
                </c:pt>
                <c:pt idx="8">
                  <c:v>4QFY26</c:v>
                </c:pt>
              </c:strCache>
            </c:strRef>
          </c:cat>
          <c:val>
            <c:numRef>
              <c:f>'Navkar Qtrly'!$F$20:$N$20</c:f>
              <c:numCache>
                <c:formatCode>0.0%</c:formatCode>
                <c:ptCount val="9"/>
                <c:pt idx="0">
                  <c:v>0.16398668290316792</c:v>
                </c:pt>
                <c:pt idx="1">
                  <c:v>1.7488123616405678E-2</c:v>
                </c:pt>
                <c:pt idx="2">
                  <c:v>0.11068843355899505</c:v>
                </c:pt>
                <c:pt idx="3">
                  <c:v>5.6587670843528205E-2</c:v>
                </c:pt>
                <c:pt idx="4">
                  <c:v>-0.17846607103810458</c:v>
                </c:pt>
                <c:pt idx="5">
                  <c:v>0.14768759867627529</c:v>
                </c:pt>
                <c:pt idx="6">
                  <c:v>0.1501925023831869</c:v>
                </c:pt>
                <c:pt idx="7">
                  <c:v>0.18015533173991127</c:v>
                </c:pt>
                <c:pt idx="8">
                  <c:v>0.19846278828945729</c:v>
                </c:pt>
              </c:numCache>
            </c:numRef>
          </c:val>
          <c:smooth val="1"/>
          <c:extLst>
            <c:ext xmlns:c16="http://schemas.microsoft.com/office/drawing/2014/chart" uri="{C3380CC4-5D6E-409C-BE32-E72D297353CC}">
              <c16:uniqueId val="{00000001-0F8F-4AC1-B64C-A4D97EC783EF}"/>
            </c:ext>
          </c:extLst>
        </c:ser>
        <c:dLbls>
          <c:showLegendKey val="0"/>
          <c:showVal val="0"/>
          <c:showCatName val="0"/>
          <c:showSerName val="0"/>
          <c:showPercent val="0"/>
          <c:showBubbleSize val="0"/>
        </c:dLbls>
        <c:marker val="1"/>
        <c:smooth val="0"/>
        <c:axId val="629373055"/>
        <c:axId val="629380255"/>
      </c:lineChart>
      <c:catAx>
        <c:axId val="649464943"/>
        <c:scaling>
          <c:orientation val="minMax"/>
        </c:scaling>
        <c:delete val="0"/>
        <c:axPos val="b"/>
        <c:numFmt formatCode="General" sourceLinked="1"/>
        <c:majorTickMark val="none"/>
        <c:minorTickMark val="none"/>
        <c:tickLblPos val="low"/>
        <c:crossAx val="649481743"/>
        <c:crosses val="autoZero"/>
        <c:auto val="1"/>
        <c:lblAlgn val="ctr"/>
        <c:lblOffset val="100"/>
        <c:noMultiLvlLbl val="0"/>
      </c:catAx>
      <c:valAx>
        <c:axId val="649481743"/>
        <c:scaling>
          <c:orientation val="minMax"/>
        </c:scaling>
        <c:delete val="0"/>
        <c:axPos val="l"/>
        <c:numFmt formatCode="#,##0_);\(#,##0\)" sourceLinked="1"/>
        <c:majorTickMark val="out"/>
        <c:minorTickMark val="none"/>
        <c:tickLblPos val="none"/>
        <c:spPr>
          <a:ln>
            <a:noFill/>
          </a:ln>
        </c:spPr>
        <c:crossAx val="649464943"/>
        <c:crosses val="autoZero"/>
        <c:crossBetween val="between"/>
      </c:valAx>
      <c:valAx>
        <c:axId val="629380255"/>
        <c:scaling>
          <c:orientation val="minMax"/>
        </c:scaling>
        <c:delete val="0"/>
        <c:axPos val="r"/>
        <c:numFmt formatCode="0.0%" sourceLinked="1"/>
        <c:majorTickMark val="out"/>
        <c:minorTickMark val="none"/>
        <c:tickLblPos val="none"/>
        <c:spPr>
          <a:ln>
            <a:noFill/>
          </a:ln>
        </c:spPr>
        <c:crossAx val="629373055"/>
        <c:crosses val="max"/>
        <c:crossBetween val="between"/>
      </c:valAx>
      <c:catAx>
        <c:axId val="629373055"/>
        <c:scaling>
          <c:orientation val="minMax"/>
        </c:scaling>
        <c:delete val="1"/>
        <c:axPos val="b"/>
        <c:numFmt formatCode="General" sourceLinked="1"/>
        <c:majorTickMark val="out"/>
        <c:minorTickMark val="none"/>
        <c:tickLblPos val="nextTo"/>
        <c:crossAx val="629380255"/>
        <c:crosses val="autoZero"/>
        <c:auto val="1"/>
        <c:lblAlgn val="ctr"/>
        <c:lblOffset val="100"/>
        <c:noMultiLvlLbl val="0"/>
      </c:catAx>
    </c:plotArea>
    <c:legend>
      <c:legendPos val="b"/>
      <c:legendEntry>
        <c:idx val="0"/>
        <c:delete val="1"/>
      </c:legendEntry>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'HDFC Life'!$B$2</c:f>
          <c:strCache>
            <c:ptCount val="1"/>
            <c:pt idx="0">
              <c:v>JSW Infra Cargo handled, MT</c:v>
            </c:pt>
          </c:strCache>
        </c:strRef>
      </c:tx>
      <c:overlay val="0"/>
    </c:title>
    <c:autoTitleDeleted val="0"/>
    <c:plotArea>
      <c:layout/>
      <c:barChart>
        <c:barDir val="col"/>
        <c:grouping val="clustered"/>
        <c:varyColors val="0"/>
        <c:ser>
          <c:idx val="0"/>
          <c:order val="0"/>
          <c:tx>
            <c:strRef>
              <c:f>'HDFC Life'!$B$3</c:f>
              <c:strCache>
                <c:ptCount val="1"/>
                <c:pt idx="0">
                  <c:v>Total Cargo handled</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Life'!$C$2:$I$2</c:f>
              <c:strCache>
                <c:ptCount val="7"/>
                <c:pt idx="0">
                  <c:v>1QFY25</c:v>
                </c:pt>
                <c:pt idx="1">
                  <c:v>2QFY25</c:v>
                </c:pt>
                <c:pt idx="2">
                  <c:v>3QFY25</c:v>
                </c:pt>
                <c:pt idx="3">
                  <c:v>4QFY25</c:v>
                </c:pt>
                <c:pt idx="4">
                  <c:v>1QFY26</c:v>
                </c:pt>
                <c:pt idx="5">
                  <c:v>2QFY26</c:v>
                </c:pt>
                <c:pt idx="6">
                  <c:v>3QFY26</c:v>
                </c:pt>
              </c:strCache>
            </c:strRef>
          </c:cat>
          <c:val>
            <c:numRef>
              <c:f>'HDFC Life'!$C$3:$I$3</c:f>
              <c:numCache>
                <c:formatCode>#,##0_);\(#,##0\)</c:formatCode>
                <c:ptCount val="7"/>
                <c:pt idx="0">
                  <c:v>28.1</c:v>
                </c:pt>
                <c:pt idx="1">
                  <c:v>27.5</c:v>
                </c:pt>
                <c:pt idx="2">
                  <c:v>29.4</c:v>
                </c:pt>
                <c:pt idx="3">
                  <c:v>31.2</c:v>
                </c:pt>
                <c:pt idx="4">
                  <c:v>29.4</c:v>
                </c:pt>
                <c:pt idx="5">
                  <c:v>28.87</c:v>
                </c:pt>
                <c:pt idx="6">
                  <c:v>31.7</c:v>
                </c:pt>
              </c:numCache>
            </c:numRef>
          </c:val>
          <c:extLst>
            <c:ext xmlns:c16="http://schemas.microsoft.com/office/drawing/2014/chart" uri="{C3380CC4-5D6E-409C-BE32-E72D297353CC}">
              <c16:uniqueId val="{00000000-DE08-464F-8089-D2064139DE0F}"/>
            </c:ext>
          </c:extLst>
        </c:ser>
        <c:dLbls>
          <c:dLblPos val="outEnd"/>
          <c:showLegendKey val="0"/>
          <c:showVal val="1"/>
          <c:showCatName val="0"/>
          <c:showSerName val="0"/>
          <c:showPercent val="0"/>
          <c:showBubbleSize val="0"/>
        </c:dLbls>
        <c:gapWidth val="30"/>
        <c:overlap val="-27"/>
        <c:axId val="1444148447"/>
        <c:axId val="393033007"/>
      </c:barChart>
      <c:lineChart>
        <c:grouping val="standard"/>
        <c:varyColors val="0"/>
        <c:ser>
          <c:idx val="1"/>
          <c:order val="1"/>
          <c:tx>
            <c:strRef>
              <c:f>'HDFC Life'!$B$4</c:f>
              <c:strCache>
                <c:ptCount val="1"/>
                <c:pt idx="0">
                  <c:v>yoy growth,%</c:v>
                </c:pt>
              </c:strCache>
            </c:strRef>
          </c:tx>
          <c:spPr>
            <a:ln w="31750"/>
            <a:effectLst>
              <a:outerShdw blurRad="50800" dist="38100" dir="2700000" algn="tl" rotWithShape="0">
                <a:prstClr val="black">
                  <a:alpha val="40000"/>
                </a:prstClr>
              </a:outerShdw>
            </a:effectLst>
          </c:spPr>
          <c:marker>
            <c:symbol val="none"/>
          </c:marker>
          <c:dLbls>
            <c:spPr>
              <a:solidFill>
                <a:schemeClr val="accent2"/>
              </a:solid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Life'!$C$2:$I$2</c:f>
              <c:strCache>
                <c:ptCount val="7"/>
                <c:pt idx="0">
                  <c:v>1QFY25</c:v>
                </c:pt>
                <c:pt idx="1">
                  <c:v>2QFY25</c:v>
                </c:pt>
                <c:pt idx="2">
                  <c:v>3QFY25</c:v>
                </c:pt>
                <c:pt idx="3">
                  <c:v>4QFY25</c:v>
                </c:pt>
                <c:pt idx="4">
                  <c:v>1QFY26</c:v>
                </c:pt>
                <c:pt idx="5">
                  <c:v>2QFY26</c:v>
                </c:pt>
                <c:pt idx="6">
                  <c:v>3QFY26</c:v>
                </c:pt>
              </c:strCache>
            </c:strRef>
          </c:cat>
          <c:val>
            <c:numRef>
              <c:f>'HDFC Life'!$C$4:$I$4</c:f>
              <c:numCache>
                <c:formatCode>0%</c:formatCode>
                <c:ptCount val="7"/>
                <c:pt idx="0">
                  <c:v>0.10629921259842523</c:v>
                </c:pt>
                <c:pt idx="1">
                  <c:v>0.16033755274261607</c:v>
                </c:pt>
                <c:pt idx="2">
                  <c:v>4.6263345195729499E-2</c:v>
                </c:pt>
                <c:pt idx="3">
                  <c:v>4.3478260869565188E-2</c:v>
                </c:pt>
                <c:pt idx="4">
                  <c:v>4.6263345195729499E-2</c:v>
                </c:pt>
                <c:pt idx="5">
                  <c:v>4.9818181818181761E-2</c:v>
                </c:pt>
                <c:pt idx="6">
                  <c:v>7.8231292517006779E-2</c:v>
                </c:pt>
              </c:numCache>
            </c:numRef>
          </c:val>
          <c:smooth val="0"/>
          <c:extLst>
            <c:ext xmlns:c16="http://schemas.microsoft.com/office/drawing/2014/chart" uri="{C3380CC4-5D6E-409C-BE32-E72D297353CC}">
              <c16:uniqueId val="{00000001-DE08-464F-8089-D2064139DE0F}"/>
            </c:ext>
          </c:extLst>
        </c:ser>
        <c:dLbls>
          <c:showLegendKey val="0"/>
          <c:showVal val="1"/>
          <c:showCatName val="0"/>
          <c:showSerName val="0"/>
          <c:showPercent val="0"/>
          <c:showBubbleSize val="0"/>
        </c:dLbls>
        <c:marker val="1"/>
        <c:smooth val="0"/>
        <c:axId val="393045007"/>
        <c:axId val="393044527"/>
      </c:lineChart>
      <c:catAx>
        <c:axId val="1444148447"/>
        <c:scaling>
          <c:orientation val="minMax"/>
        </c:scaling>
        <c:delete val="0"/>
        <c:axPos val="b"/>
        <c:numFmt formatCode="General" sourceLinked="1"/>
        <c:majorTickMark val="none"/>
        <c:minorTickMark val="none"/>
        <c:tickLblPos val="nextTo"/>
        <c:crossAx val="393033007"/>
        <c:crosses val="autoZero"/>
        <c:auto val="1"/>
        <c:lblAlgn val="ctr"/>
        <c:lblOffset val="100"/>
        <c:noMultiLvlLbl val="0"/>
      </c:catAx>
      <c:valAx>
        <c:axId val="393033007"/>
        <c:scaling>
          <c:orientation val="minMax"/>
        </c:scaling>
        <c:delete val="0"/>
        <c:axPos val="l"/>
        <c:numFmt formatCode="#,##0_);\(#,##0\)" sourceLinked="1"/>
        <c:majorTickMark val="none"/>
        <c:minorTickMark val="none"/>
        <c:tickLblPos val="none"/>
        <c:spPr>
          <a:ln>
            <a:noFill/>
          </a:ln>
        </c:spPr>
        <c:crossAx val="1444148447"/>
        <c:crosses val="autoZero"/>
        <c:crossBetween val="between"/>
      </c:valAx>
      <c:valAx>
        <c:axId val="393044527"/>
        <c:scaling>
          <c:orientation val="minMax"/>
        </c:scaling>
        <c:delete val="0"/>
        <c:axPos val="r"/>
        <c:numFmt formatCode="0%" sourceLinked="1"/>
        <c:majorTickMark val="none"/>
        <c:minorTickMark val="none"/>
        <c:tickLblPos val="none"/>
        <c:spPr>
          <a:ln>
            <a:noFill/>
          </a:ln>
        </c:spPr>
        <c:crossAx val="393045007"/>
        <c:crosses val="max"/>
        <c:crossBetween val="between"/>
      </c:valAx>
      <c:catAx>
        <c:axId val="393045007"/>
        <c:scaling>
          <c:orientation val="minMax"/>
        </c:scaling>
        <c:delete val="1"/>
        <c:axPos val="b"/>
        <c:numFmt formatCode="General" sourceLinked="1"/>
        <c:majorTickMark val="none"/>
        <c:minorTickMark val="none"/>
        <c:tickLblPos val="nextTo"/>
        <c:crossAx val="393044527"/>
        <c:crosses val="autoZero"/>
        <c:auto val="1"/>
        <c:lblAlgn val="ctr"/>
        <c:lblOffset val="100"/>
        <c:noMultiLvlLbl val="0"/>
      </c:catAx>
    </c:plotArea>
    <c:legend>
      <c:legendPos val="b"/>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'HDFC Life'!$B$7</c:f>
          <c:strCache>
            <c:ptCount val="1"/>
            <c:pt idx="0">
              <c:v>JSW Infra Cargo handled, MT</c:v>
            </c:pt>
          </c:strCache>
        </c:strRef>
      </c:tx>
      <c:overlay val="0"/>
    </c:title>
    <c:autoTitleDeleted val="0"/>
    <c:plotArea>
      <c:layout/>
      <c:barChart>
        <c:barDir val="col"/>
        <c:grouping val="stacked"/>
        <c:varyColors val="0"/>
        <c:ser>
          <c:idx val="0"/>
          <c:order val="0"/>
          <c:tx>
            <c:strRef>
              <c:f>'HDFC Life'!$B$8</c:f>
              <c:strCache>
                <c:ptCount val="1"/>
                <c:pt idx="0">
                  <c:v>Group</c:v>
                </c:pt>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Life'!$C$7:$I$7</c:f>
              <c:strCache>
                <c:ptCount val="7"/>
                <c:pt idx="0">
                  <c:v>1QFY25</c:v>
                </c:pt>
                <c:pt idx="1">
                  <c:v>2QFY25</c:v>
                </c:pt>
                <c:pt idx="2">
                  <c:v>3QFY25</c:v>
                </c:pt>
                <c:pt idx="3">
                  <c:v>4QFY25</c:v>
                </c:pt>
                <c:pt idx="4">
                  <c:v>1QFY26</c:v>
                </c:pt>
                <c:pt idx="5">
                  <c:v>2QFY26</c:v>
                </c:pt>
                <c:pt idx="6">
                  <c:v>3QFY26</c:v>
                </c:pt>
              </c:strCache>
            </c:strRef>
          </c:cat>
          <c:val>
            <c:numRef>
              <c:f>'HDFC Life'!$C$8:$I$8</c:f>
              <c:numCache>
                <c:formatCode>0%</c:formatCode>
                <c:ptCount val="7"/>
                <c:pt idx="0">
                  <c:v>0.49822064056939508</c:v>
                </c:pt>
                <c:pt idx="1">
                  <c:v>0.5127272727272727</c:v>
                </c:pt>
                <c:pt idx="2">
                  <c:v>0.51360544217687076</c:v>
                </c:pt>
                <c:pt idx="3">
                  <c:v>0.50320512820512819</c:v>
                </c:pt>
                <c:pt idx="4">
                  <c:v>0.47959183673469385</c:v>
                </c:pt>
                <c:pt idx="5">
                  <c:v>0.54277797021129204</c:v>
                </c:pt>
                <c:pt idx="6">
                  <c:v>0.50473186119873814</c:v>
                </c:pt>
              </c:numCache>
            </c:numRef>
          </c:val>
          <c:extLst>
            <c:ext xmlns:c16="http://schemas.microsoft.com/office/drawing/2014/chart" uri="{C3380CC4-5D6E-409C-BE32-E72D297353CC}">
              <c16:uniqueId val="{00000000-3E8C-4281-B36D-EA897699A868}"/>
            </c:ext>
          </c:extLst>
        </c:ser>
        <c:ser>
          <c:idx val="1"/>
          <c:order val="1"/>
          <c:tx>
            <c:strRef>
              <c:f>'HDFC Life'!$B$9</c:f>
              <c:strCache>
                <c:ptCount val="1"/>
                <c:pt idx="0">
                  <c:v>Third Party</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Life'!$C$7:$I$7</c:f>
              <c:strCache>
                <c:ptCount val="7"/>
                <c:pt idx="0">
                  <c:v>1QFY25</c:v>
                </c:pt>
                <c:pt idx="1">
                  <c:v>2QFY25</c:v>
                </c:pt>
                <c:pt idx="2">
                  <c:v>3QFY25</c:v>
                </c:pt>
                <c:pt idx="3">
                  <c:v>4QFY25</c:v>
                </c:pt>
                <c:pt idx="4">
                  <c:v>1QFY26</c:v>
                </c:pt>
                <c:pt idx="5">
                  <c:v>2QFY26</c:v>
                </c:pt>
                <c:pt idx="6">
                  <c:v>3QFY26</c:v>
                </c:pt>
              </c:strCache>
            </c:strRef>
          </c:cat>
          <c:val>
            <c:numRef>
              <c:f>'HDFC Life'!$C$9:$I$9</c:f>
              <c:numCache>
                <c:formatCode>0%</c:formatCode>
                <c:ptCount val="7"/>
                <c:pt idx="0">
                  <c:v>0.50177935943060492</c:v>
                </c:pt>
                <c:pt idx="1">
                  <c:v>0.4872727272727273</c:v>
                </c:pt>
                <c:pt idx="2">
                  <c:v>0.48639455782312929</c:v>
                </c:pt>
                <c:pt idx="3">
                  <c:v>0.49679487179487181</c:v>
                </c:pt>
                <c:pt idx="4">
                  <c:v>0.52040816326530615</c:v>
                </c:pt>
                <c:pt idx="5">
                  <c:v>0.45722202978870796</c:v>
                </c:pt>
                <c:pt idx="6">
                  <c:v>0.4952681388012618</c:v>
                </c:pt>
              </c:numCache>
            </c:numRef>
          </c:val>
          <c:extLst>
            <c:ext xmlns:c16="http://schemas.microsoft.com/office/drawing/2014/chart" uri="{C3380CC4-5D6E-409C-BE32-E72D297353CC}">
              <c16:uniqueId val="{00000001-3E8C-4281-B36D-EA897699A868}"/>
            </c:ext>
          </c:extLst>
        </c:ser>
        <c:dLbls>
          <c:showLegendKey val="0"/>
          <c:showVal val="0"/>
          <c:showCatName val="0"/>
          <c:showSerName val="0"/>
          <c:showPercent val="0"/>
          <c:showBubbleSize val="0"/>
        </c:dLbls>
        <c:gapWidth val="30"/>
        <c:overlap val="100"/>
        <c:axId val="1709351424"/>
        <c:axId val="1709343744"/>
      </c:barChart>
      <c:catAx>
        <c:axId val="1709351424"/>
        <c:scaling>
          <c:orientation val="minMax"/>
        </c:scaling>
        <c:delete val="0"/>
        <c:axPos val="b"/>
        <c:numFmt formatCode="General" sourceLinked="1"/>
        <c:majorTickMark val="none"/>
        <c:minorTickMark val="none"/>
        <c:tickLblPos val="nextTo"/>
        <c:crossAx val="1709343744"/>
        <c:crosses val="autoZero"/>
        <c:auto val="1"/>
        <c:lblAlgn val="ctr"/>
        <c:lblOffset val="100"/>
        <c:noMultiLvlLbl val="0"/>
      </c:catAx>
      <c:valAx>
        <c:axId val="1709343744"/>
        <c:scaling>
          <c:orientation val="minMax"/>
          <c:max val="1"/>
        </c:scaling>
        <c:delete val="1"/>
        <c:axPos val="l"/>
        <c:numFmt formatCode="0%" sourceLinked="1"/>
        <c:majorTickMark val="out"/>
        <c:minorTickMark val="none"/>
        <c:tickLblPos val="nextTo"/>
        <c:crossAx val="1709351424"/>
        <c:crosses val="autoZero"/>
        <c:crossBetween val="between"/>
      </c:valAx>
    </c:plotArea>
    <c:legend>
      <c:legendPos val="b"/>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'HDFC Life'!$B$21</c:f>
          <c:strCache>
            <c:ptCount val="1"/>
            <c:pt idx="0">
              <c:v>JSW Infra EBITDA, Rs. bn</c:v>
            </c:pt>
          </c:strCache>
        </c:strRef>
      </c:tx>
      <c:overlay val="0"/>
    </c:title>
    <c:autoTitleDeleted val="0"/>
    <c:plotArea>
      <c:layout/>
      <c:barChart>
        <c:barDir val="col"/>
        <c:grouping val="stacked"/>
        <c:varyColors val="0"/>
        <c:ser>
          <c:idx val="0"/>
          <c:order val="0"/>
          <c:tx>
            <c:strRef>
              <c:f>'HDFC Life'!$B$22</c:f>
              <c:strCache>
                <c:ptCount val="1"/>
                <c:pt idx="0">
                  <c:v>Ports</c:v>
                </c:pt>
              </c:strCache>
            </c:strRef>
          </c:tx>
          <c:invertIfNegative val="0"/>
          <c:cat>
            <c:strRef>
              <c:f>'HDFC Life'!$C$21:$I$21</c:f>
              <c:strCache>
                <c:ptCount val="7"/>
                <c:pt idx="0">
                  <c:v>1QFY25</c:v>
                </c:pt>
                <c:pt idx="1">
                  <c:v>2QFY25</c:v>
                </c:pt>
                <c:pt idx="2">
                  <c:v>3QFY25</c:v>
                </c:pt>
                <c:pt idx="3">
                  <c:v>4QFY25</c:v>
                </c:pt>
                <c:pt idx="4">
                  <c:v>1QFY26</c:v>
                </c:pt>
                <c:pt idx="5">
                  <c:v>2QFY26</c:v>
                </c:pt>
                <c:pt idx="6">
                  <c:v>3QFY26</c:v>
                </c:pt>
              </c:strCache>
            </c:strRef>
          </c:cat>
          <c:val>
            <c:numRef>
              <c:f>'HDFC Life'!$C$22:$I$22</c:f>
              <c:numCache>
                <c:formatCode>_(* #,##0_);_(* \(#,##0\);_(* "-"??_);_(@_)</c:formatCode>
                <c:ptCount val="7"/>
                <c:pt idx="0">
                  <c:v>5.1464000000000016</c:v>
                </c:pt>
                <c:pt idx="1">
                  <c:v>5.2054000000000009</c:v>
                </c:pt>
                <c:pt idx="2">
                  <c:v>5.6908000000000012</c:v>
                </c:pt>
                <c:pt idx="3">
                  <c:v>6.268200000000002</c:v>
                </c:pt>
                <c:pt idx="4">
                  <c:v>5.61</c:v>
                </c:pt>
                <c:pt idx="5">
                  <c:v>5.8498000000000001</c:v>
                </c:pt>
                <c:pt idx="6">
                  <c:v>6.11</c:v>
                </c:pt>
              </c:numCache>
            </c:numRef>
          </c:val>
          <c:extLst>
            <c:ext xmlns:c16="http://schemas.microsoft.com/office/drawing/2014/chart" uri="{C3380CC4-5D6E-409C-BE32-E72D297353CC}">
              <c16:uniqueId val="{00000000-856F-43C9-A9C5-087AAD4328A5}"/>
            </c:ext>
          </c:extLst>
        </c:ser>
        <c:ser>
          <c:idx val="1"/>
          <c:order val="1"/>
          <c:tx>
            <c:strRef>
              <c:f>'HDFC Life'!$B$23</c:f>
              <c:strCache>
                <c:ptCount val="1"/>
                <c:pt idx="0">
                  <c:v>Logistics</c:v>
                </c:pt>
              </c:strCache>
            </c:strRef>
          </c:tx>
          <c:invertIfNegative val="0"/>
          <c:cat>
            <c:strRef>
              <c:f>'HDFC Life'!$C$21:$I$21</c:f>
              <c:strCache>
                <c:ptCount val="7"/>
                <c:pt idx="0">
                  <c:v>1QFY25</c:v>
                </c:pt>
                <c:pt idx="1">
                  <c:v>2QFY25</c:v>
                </c:pt>
                <c:pt idx="2">
                  <c:v>3QFY25</c:v>
                </c:pt>
                <c:pt idx="3">
                  <c:v>4QFY25</c:v>
                </c:pt>
                <c:pt idx="4">
                  <c:v>1QFY26</c:v>
                </c:pt>
                <c:pt idx="5">
                  <c:v>2QFY26</c:v>
                </c:pt>
                <c:pt idx="6">
                  <c:v>3QFY26</c:v>
                </c:pt>
              </c:strCache>
            </c:strRef>
          </c:cat>
          <c:val>
            <c:numRef>
              <c:f>'HDFC Life'!$C$23:$I$23</c:f>
              <c:numCache>
                <c:formatCode>_(* #,##0_);_(* \(#,##0\);_(* "-"??_);_(@_)</c:formatCode>
                <c:ptCount val="7"/>
                <c:pt idx="0">
                  <c:v>0</c:v>
                </c:pt>
                <c:pt idx="1">
                  <c:v>0</c:v>
                </c:pt>
                <c:pt idx="2">
                  <c:v>0.17</c:v>
                </c:pt>
                <c:pt idx="3">
                  <c:v>0.14099999999999999</c:v>
                </c:pt>
                <c:pt idx="4">
                  <c:v>0.20160000000000036</c:v>
                </c:pt>
                <c:pt idx="5">
                  <c:v>0.247</c:v>
                </c:pt>
                <c:pt idx="6">
                  <c:v>0.32700000000000001</c:v>
                </c:pt>
              </c:numCache>
            </c:numRef>
          </c:val>
          <c:extLst>
            <c:ext xmlns:c16="http://schemas.microsoft.com/office/drawing/2014/chart" uri="{C3380CC4-5D6E-409C-BE32-E72D297353CC}">
              <c16:uniqueId val="{00000001-856F-43C9-A9C5-087AAD4328A5}"/>
            </c:ext>
          </c:extLst>
        </c:ser>
        <c:ser>
          <c:idx val="2"/>
          <c:order val="2"/>
          <c:tx>
            <c:strRef>
              <c:f>'HDFC Life'!$B$24</c:f>
              <c:strCache>
                <c:ptCount val="1"/>
                <c:pt idx="0">
                  <c:v>Total</c:v>
                </c:pt>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Life'!$C$21:$I$21</c:f>
              <c:strCache>
                <c:ptCount val="7"/>
                <c:pt idx="0">
                  <c:v>1QFY25</c:v>
                </c:pt>
                <c:pt idx="1">
                  <c:v>2QFY25</c:v>
                </c:pt>
                <c:pt idx="2">
                  <c:v>3QFY25</c:v>
                </c:pt>
                <c:pt idx="3">
                  <c:v>4QFY25</c:v>
                </c:pt>
                <c:pt idx="4">
                  <c:v>1QFY26</c:v>
                </c:pt>
                <c:pt idx="5">
                  <c:v>2QFY26</c:v>
                </c:pt>
                <c:pt idx="6">
                  <c:v>3QFY26</c:v>
                </c:pt>
              </c:strCache>
            </c:strRef>
          </c:cat>
          <c:val>
            <c:numRef>
              <c:f>'HDFC Life'!$C$24:$I$24</c:f>
              <c:numCache>
                <c:formatCode>_(* #,##0_);_(* \(#,##0\);_(* "-"??_);_(@_)</c:formatCode>
                <c:ptCount val="7"/>
                <c:pt idx="0">
                  <c:v>5.1464000000000016</c:v>
                </c:pt>
                <c:pt idx="1">
                  <c:v>5.2054000000000009</c:v>
                </c:pt>
                <c:pt idx="2">
                  <c:v>5.8608000000000011</c:v>
                </c:pt>
                <c:pt idx="3">
                  <c:v>6.409200000000002</c:v>
                </c:pt>
                <c:pt idx="4">
                  <c:v>5.8116000000000003</c:v>
                </c:pt>
                <c:pt idx="5">
                  <c:v>6.0968</c:v>
                </c:pt>
                <c:pt idx="6">
                  <c:v>6.4370000000000003</c:v>
                </c:pt>
              </c:numCache>
            </c:numRef>
          </c:val>
          <c:extLst>
            <c:ext xmlns:c16="http://schemas.microsoft.com/office/drawing/2014/chart" uri="{C3380CC4-5D6E-409C-BE32-E72D297353CC}">
              <c16:uniqueId val="{00000002-856F-43C9-A9C5-087AAD4328A5}"/>
            </c:ext>
          </c:extLst>
        </c:ser>
        <c:dLbls>
          <c:showLegendKey val="0"/>
          <c:showVal val="0"/>
          <c:showCatName val="0"/>
          <c:showSerName val="0"/>
          <c:showPercent val="0"/>
          <c:showBubbleSize val="0"/>
        </c:dLbls>
        <c:gapWidth val="30"/>
        <c:overlap val="100"/>
        <c:axId val="1709337984"/>
        <c:axId val="1709342304"/>
      </c:barChart>
      <c:lineChart>
        <c:grouping val="standard"/>
        <c:varyColors val="0"/>
        <c:ser>
          <c:idx val="3"/>
          <c:order val="3"/>
          <c:tx>
            <c:strRef>
              <c:f>'HDFC Life'!$B$25</c:f>
              <c:strCache>
                <c:ptCount val="1"/>
                <c:pt idx="0">
                  <c:v>Consol EBITDA Margin,%</c:v>
                </c:pt>
              </c:strCache>
            </c:strRef>
          </c:tx>
          <c:spPr>
            <a:ln w="31750">
              <a:solidFill>
                <a:schemeClr val="accent2"/>
              </a:solidFill>
            </a:ln>
          </c:spPr>
          <c:marker>
            <c:symbol val="none"/>
          </c:marker>
          <c:dLbls>
            <c:spPr>
              <a:solidFill>
                <a:schemeClr val="accent2"/>
              </a:solidFill>
              <a:ln>
                <a:noFill/>
              </a:ln>
            </c:spPr>
            <c:txPr>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'HDFC Life'!$C$21:$I$21</c:f>
              <c:strCache>
                <c:ptCount val="7"/>
                <c:pt idx="0">
                  <c:v>1QFY25</c:v>
                </c:pt>
                <c:pt idx="1">
                  <c:v>2QFY25</c:v>
                </c:pt>
                <c:pt idx="2">
                  <c:v>3QFY25</c:v>
                </c:pt>
                <c:pt idx="3">
                  <c:v>4QFY25</c:v>
                </c:pt>
                <c:pt idx="4">
                  <c:v>1QFY26</c:v>
                </c:pt>
                <c:pt idx="5">
                  <c:v>2QFY26</c:v>
                </c:pt>
                <c:pt idx="6">
                  <c:v>3QFY26</c:v>
                </c:pt>
              </c:strCache>
            </c:strRef>
          </c:cat>
          <c:val>
            <c:numRef>
              <c:f>'HDFC Life'!$C$25:$I$25</c:f>
              <c:numCache>
                <c:formatCode>0%</c:formatCode>
                <c:ptCount val="7"/>
                <c:pt idx="0">
                  <c:v>0.5096606157837924</c:v>
                </c:pt>
                <c:pt idx="1">
                  <c:v>0.51983302708316692</c:v>
                </c:pt>
                <c:pt idx="2">
                  <c:v>0.49590888706497555</c:v>
                </c:pt>
                <c:pt idx="3">
                  <c:v>0.499477859692327</c:v>
                </c:pt>
                <c:pt idx="4">
                  <c:v>0.47486211545532536</c:v>
                </c:pt>
                <c:pt idx="5">
                  <c:v>0.48173579121200388</c:v>
                </c:pt>
                <c:pt idx="6">
                  <c:v>0.4769349317605916</c:v>
                </c:pt>
              </c:numCache>
            </c:numRef>
          </c:val>
          <c:smooth val="0"/>
          <c:extLst>
            <c:ext xmlns:c16="http://schemas.microsoft.com/office/drawing/2014/chart" uri="{C3380CC4-5D6E-409C-BE32-E72D297353CC}">
              <c16:uniqueId val="{00000003-856F-43C9-A9C5-087AAD4328A5}"/>
            </c:ext>
          </c:extLst>
        </c:ser>
        <c:dLbls>
          <c:showLegendKey val="0"/>
          <c:showVal val="0"/>
          <c:showCatName val="0"/>
          <c:showSerName val="0"/>
          <c:showPercent val="0"/>
          <c:showBubbleSize val="0"/>
        </c:dLbls>
        <c:marker val="1"/>
        <c:smooth val="0"/>
        <c:axId val="1709346144"/>
        <c:axId val="1709349504"/>
      </c:lineChart>
      <c:catAx>
        <c:axId val="1709337984"/>
        <c:scaling>
          <c:orientation val="minMax"/>
        </c:scaling>
        <c:delete val="0"/>
        <c:axPos val="b"/>
        <c:numFmt formatCode="General" sourceLinked="1"/>
        <c:majorTickMark val="none"/>
        <c:minorTickMark val="none"/>
        <c:tickLblPos val="nextTo"/>
        <c:crossAx val="1709342304"/>
        <c:crosses val="autoZero"/>
        <c:auto val="1"/>
        <c:lblAlgn val="ctr"/>
        <c:lblOffset val="100"/>
        <c:noMultiLvlLbl val="0"/>
      </c:catAx>
      <c:valAx>
        <c:axId val="1709342304"/>
        <c:scaling>
          <c:orientation val="minMax"/>
          <c:max val="8"/>
        </c:scaling>
        <c:delete val="0"/>
        <c:axPos val="l"/>
        <c:numFmt formatCode="_(* #,##0_);_(* \(#,##0\);_(* &quot;-&quot;??_);_(@_)" sourceLinked="1"/>
        <c:majorTickMark val="none"/>
        <c:minorTickMark val="none"/>
        <c:tickLblPos val="none"/>
        <c:spPr>
          <a:ln>
            <a:noFill/>
          </a:ln>
        </c:spPr>
        <c:crossAx val="1709337984"/>
        <c:crosses val="autoZero"/>
        <c:crossBetween val="between"/>
      </c:valAx>
      <c:valAx>
        <c:axId val="1709349504"/>
        <c:scaling>
          <c:orientation val="minMax"/>
        </c:scaling>
        <c:delete val="0"/>
        <c:axPos val="r"/>
        <c:numFmt formatCode="0%" sourceLinked="1"/>
        <c:majorTickMark val="none"/>
        <c:minorTickMark val="none"/>
        <c:tickLblPos val="none"/>
        <c:spPr>
          <a:ln>
            <a:noFill/>
          </a:ln>
        </c:spPr>
        <c:crossAx val="1709346144"/>
        <c:crosses val="max"/>
        <c:crossBetween val="between"/>
      </c:valAx>
      <c:catAx>
        <c:axId val="1709346144"/>
        <c:scaling>
          <c:orientation val="minMax"/>
        </c:scaling>
        <c:delete val="1"/>
        <c:axPos val="b"/>
        <c:numFmt formatCode="General" sourceLinked="1"/>
        <c:majorTickMark val="out"/>
        <c:minorTickMark val="none"/>
        <c:tickLblPos val="nextTo"/>
        <c:crossAx val="1709349504"/>
        <c:crosses val="autoZero"/>
        <c:auto val="1"/>
        <c:lblAlgn val="ctr"/>
        <c:lblOffset val="100"/>
        <c:noMultiLvlLbl val="0"/>
      </c:catAx>
    </c:plotArea>
    <c:legend>
      <c:legendPos val="b"/>
      <c:legendEntry>
        <c:idx val="2"/>
        <c:delete val="1"/>
      </c:legendEntry>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'HDFC Life'!$B$27</c:f>
          <c:strCache>
            <c:ptCount val="1"/>
            <c:pt idx="0">
              <c:v>JSW Infra EBITDA Mix</c:v>
            </c:pt>
          </c:strCache>
        </c:strRef>
      </c:tx>
      <c:overlay val="0"/>
    </c:title>
    <c:autoTitleDeleted val="0"/>
    <c:plotArea>
      <c:layout/>
      <c:barChart>
        <c:barDir val="col"/>
        <c:grouping val="stacked"/>
        <c:varyColors val="0"/>
        <c:ser>
          <c:idx val="0"/>
          <c:order val="0"/>
          <c:tx>
            <c:strRef>
              <c:f>'HDFC Life'!$B$28</c:f>
              <c:strCache>
                <c:ptCount val="1"/>
                <c:pt idx="0">
                  <c:v>Ports</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Life'!$C$7:$I$7</c:f>
              <c:strCache>
                <c:ptCount val="7"/>
                <c:pt idx="0">
                  <c:v>1QFY25</c:v>
                </c:pt>
                <c:pt idx="1">
                  <c:v>2QFY25</c:v>
                </c:pt>
                <c:pt idx="2">
                  <c:v>3QFY25</c:v>
                </c:pt>
                <c:pt idx="3">
                  <c:v>4QFY25</c:v>
                </c:pt>
                <c:pt idx="4">
                  <c:v>1QFY26</c:v>
                </c:pt>
                <c:pt idx="5">
                  <c:v>2QFY26</c:v>
                </c:pt>
                <c:pt idx="6">
                  <c:v>3QFY26</c:v>
                </c:pt>
              </c:strCache>
            </c:strRef>
          </c:cat>
          <c:val>
            <c:numRef>
              <c:f>'HDFC Life'!$C$28:$I$28</c:f>
              <c:numCache>
                <c:formatCode>0%</c:formatCode>
                <c:ptCount val="7"/>
                <c:pt idx="0">
                  <c:v>1</c:v>
                </c:pt>
                <c:pt idx="1">
                  <c:v>1</c:v>
                </c:pt>
                <c:pt idx="2">
                  <c:v>0.97099372099372105</c:v>
                </c:pt>
                <c:pt idx="3">
                  <c:v>0.97800037446171129</c:v>
                </c:pt>
                <c:pt idx="4">
                  <c:v>0.96531075779475528</c:v>
                </c:pt>
                <c:pt idx="5">
                  <c:v>0.95948694397060752</c:v>
                </c:pt>
                <c:pt idx="6">
                  <c:v>0.94919993785925116</c:v>
                </c:pt>
              </c:numCache>
            </c:numRef>
          </c:val>
          <c:extLst>
            <c:ext xmlns:c16="http://schemas.microsoft.com/office/drawing/2014/chart" uri="{C3380CC4-5D6E-409C-BE32-E72D297353CC}">
              <c16:uniqueId val="{00000000-536C-413D-98FD-2DF450179913}"/>
            </c:ext>
          </c:extLst>
        </c:ser>
        <c:ser>
          <c:idx val="1"/>
          <c:order val="1"/>
          <c:tx>
            <c:strRef>
              <c:f>'HDFC Life'!$B$29</c:f>
              <c:strCache>
                <c:ptCount val="1"/>
                <c:pt idx="0">
                  <c:v>Logistics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536C-413D-98FD-2DF450179913}"/>
                </c:ext>
              </c:extLst>
            </c:dLbl>
            <c:dLbl>
              <c:idx val="1"/>
              <c:delete val="1"/>
              <c:extLst>
                <c:ext xmlns:c15="http://schemas.microsoft.com/office/drawing/2012/chart" uri="{CE6537A1-D6FC-4f65-9D91-7224C49458BB}"/>
                <c:ext xmlns:c16="http://schemas.microsoft.com/office/drawing/2014/chart" uri="{C3380CC4-5D6E-409C-BE32-E72D297353CC}">
                  <c16:uniqueId val="{00000002-536C-413D-98FD-2DF450179913}"/>
                </c:ext>
              </c:extLst>
            </c:dLbl>
            <c:dLbl>
              <c:idx val="2"/>
              <c:delete val="1"/>
              <c:extLst>
                <c:ext xmlns:c15="http://schemas.microsoft.com/office/drawing/2012/chart" uri="{CE6537A1-D6FC-4f65-9D91-7224C49458BB}"/>
                <c:ext xmlns:c16="http://schemas.microsoft.com/office/drawing/2014/chart" uri="{C3380CC4-5D6E-409C-BE32-E72D297353CC}">
                  <c16:uniqueId val="{00000004-536C-413D-98FD-2DF450179913}"/>
                </c:ext>
              </c:extLst>
            </c:dLbl>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Life'!$C$7:$I$7</c:f>
              <c:strCache>
                <c:ptCount val="7"/>
                <c:pt idx="0">
                  <c:v>1QFY25</c:v>
                </c:pt>
                <c:pt idx="1">
                  <c:v>2QFY25</c:v>
                </c:pt>
                <c:pt idx="2">
                  <c:v>3QFY25</c:v>
                </c:pt>
                <c:pt idx="3">
                  <c:v>4QFY25</c:v>
                </c:pt>
                <c:pt idx="4">
                  <c:v>1QFY26</c:v>
                </c:pt>
                <c:pt idx="5">
                  <c:v>2QFY26</c:v>
                </c:pt>
                <c:pt idx="6">
                  <c:v>3QFY26</c:v>
                </c:pt>
              </c:strCache>
            </c:strRef>
          </c:cat>
          <c:val>
            <c:numRef>
              <c:f>'HDFC Life'!$C$29:$I$29</c:f>
              <c:numCache>
                <c:formatCode>0%</c:formatCode>
                <c:ptCount val="7"/>
                <c:pt idx="0" formatCode="_(* #,##0_);_(* \(#,##0\);_(* &quot;-&quot;??_);_(@_)">
                  <c:v>0</c:v>
                </c:pt>
                <c:pt idx="1">
                  <c:v>0</c:v>
                </c:pt>
                <c:pt idx="2">
                  <c:v>2.9006279006278946E-2</c:v>
                </c:pt>
                <c:pt idx="3">
                  <c:v>2.1999625538288714E-2</c:v>
                </c:pt>
                <c:pt idx="4">
                  <c:v>3.4689242205244719E-2</c:v>
                </c:pt>
                <c:pt idx="5">
                  <c:v>4.051305602939248E-2</c:v>
                </c:pt>
                <c:pt idx="6">
                  <c:v>5.0800062140748836E-2</c:v>
                </c:pt>
              </c:numCache>
            </c:numRef>
          </c:val>
          <c:extLst>
            <c:ext xmlns:c16="http://schemas.microsoft.com/office/drawing/2014/chart" uri="{C3380CC4-5D6E-409C-BE32-E72D297353CC}">
              <c16:uniqueId val="{00000001-536C-413D-98FD-2DF450179913}"/>
            </c:ext>
          </c:extLst>
        </c:ser>
        <c:dLbls>
          <c:showLegendKey val="0"/>
          <c:showVal val="0"/>
          <c:showCatName val="0"/>
          <c:showSerName val="0"/>
          <c:showPercent val="0"/>
          <c:showBubbleSize val="0"/>
        </c:dLbls>
        <c:gapWidth val="30"/>
        <c:overlap val="100"/>
        <c:axId val="1709351424"/>
        <c:axId val="1709343744"/>
      </c:barChart>
      <c:catAx>
        <c:axId val="1709351424"/>
        <c:scaling>
          <c:orientation val="minMax"/>
        </c:scaling>
        <c:delete val="0"/>
        <c:axPos val="b"/>
        <c:numFmt formatCode="General" sourceLinked="1"/>
        <c:majorTickMark val="none"/>
        <c:minorTickMark val="none"/>
        <c:tickLblPos val="nextTo"/>
        <c:crossAx val="1709343744"/>
        <c:crosses val="autoZero"/>
        <c:auto val="1"/>
        <c:lblAlgn val="ctr"/>
        <c:lblOffset val="100"/>
        <c:noMultiLvlLbl val="0"/>
      </c:catAx>
      <c:valAx>
        <c:axId val="1709343744"/>
        <c:scaling>
          <c:orientation val="minMax"/>
          <c:max val="1"/>
          <c:min val="0.25"/>
        </c:scaling>
        <c:delete val="1"/>
        <c:axPos val="l"/>
        <c:numFmt formatCode="0%" sourceLinked="1"/>
        <c:majorTickMark val="out"/>
        <c:minorTickMark val="none"/>
        <c:tickLblPos val="nextTo"/>
        <c:crossAx val="1709351424"/>
        <c:crosses val="autoZero"/>
        <c:crossBetween val="between"/>
      </c:valAx>
    </c:plotArea>
    <c:legend>
      <c:legendPos val="b"/>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'HDFC Life'!$B$12</c:f>
          <c:strCache>
            <c:ptCount val="1"/>
            <c:pt idx="0">
              <c:v>JSW Infra Revenue, Rs. bn</c:v>
            </c:pt>
          </c:strCache>
        </c:strRef>
      </c:tx>
      <c:overlay val="0"/>
    </c:title>
    <c:autoTitleDeleted val="0"/>
    <c:plotArea>
      <c:layout/>
      <c:barChart>
        <c:barDir val="col"/>
        <c:grouping val="stacked"/>
        <c:varyColors val="0"/>
        <c:ser>
          <c:idx val="0"/>
          <c:order val="0"/>
          <c:tx>
            <c:strRef>
              <c:f>'HDFC Life'!$B$13</c:f>
              <c:strCache>
                <c:ptCount val="1"/>
                <c:pt idx="0">
                  <c:v>Ports</c:v>
                </c:pt>
              </c:strCache>
            </c:strRef>
          </c:tx>
          <c:invertIfNegative val="0"/>
          <c:cat>
            <c:strRef>
              <c:f>'HDFC Life'!$C$12:$I$12</c:f>
              <c:strCache>
                <c:ptCount val="7"/>
                <c:pt idx="0">
                  <c:v>1QFY25</c:v>
                </c:pt>
                <c:pt idx="1">
                  <c:v>2QFY25</c:v>
                </c:pt>
                <c:pt idx="2">
                  <c:v>3QFY25</c:v>
                </c:pt>
                <c:pt idx="3">
                  <c:v>4QFY25</c:v>
                </c:pt>
                <c:pt idx="4">
                  <c:v>1QFY26</c:v>
                </c:pt>
                <c:pt idx="5">
                  <c:v>2QFY26</c:v>
                </c:pt>
                <c:pt idx="6">
                  <c:v>3QFY26</c:v>
                </c:pt>
              </c:strCache>
            </c:strRef>
          </c:cat>
          <c:val>
            <c:numRef>
              <c:f>'HDFC Life'!$C$13:$I$13</c:f>
              <c:numCache>
                <c:formatCode>_(* #,##0_);_(* \(#,##0\);_(* "-"??_);_(@_)</c:formatCode>
                <c:ptCount val="7"/>
                <c:pt idx="0">
                  <c:v>10.097700000000001</c:v>
                </c:pt>
                <c:pt idx="1">
                  <c:v>10.0136</c:v>
                </c:pt>
                <c:pt idx="2">
                  <c:v>10.630100000000001</c:v>
                </c:pt>
                <c:pt idx="3">
                  <c:v>11.5227</c:v>
                </c:pt>
                <c:pt idx="4">
                  <c:v>10.857100000000001</c:v>
                </c:pt>
                <c:pt idx="5">
                  <c:v>11.0289</c:v>
                </c:pt>
                <c:pt idx="6">
                  <c:v>11.6381</c:v>
                </c:pt>
              </c:numCache>
            </c:numRef>
          </c:val>
          <c:extLst>
            <c:ext xmlns:c16="http://schemas.microsoft.com/office/drawing/2014/chart" uri="{C3380CC4-5D6E-409C-BE32-E72D297353CC}">
              <c16:uniqueId val="{00000000-9899-49E1-9540-4CE5298A7394}"/>
            </c:ext>
          </c:extLst>
        </c:ser>
        <c:ser>
          <c:idx val="1"/>
          <c:order val="1"/>
          <c:tx>
            <c:strRef>
              <c:f>'HDFC Life'!$B$14</c:f>
              <c:strCache>
                <c:ptCount val="1"/>
                <c:pt idx="0">
                  <c:v>Logistics</c:v>
                </c:pt>
              </c:strCache>
            </c:strRef>
          </c:tx>
          <c:invertIfNegative val="0"/>
          <c:cat>
            <c:strRef>
              <c:f>'HDFC Life'!$C$12:$I$12</c:f>
              <c:strCache>
                <c:ptCount val="7"/>
                <c:pt idx="0">
                  <c:v>1QFY25</c:v>
                </c:pt>
                <c:pt idx="1">
                  <c:v>2QFY25</c:v>
                </c:pt>
                <c:pt idx="2">
                  <c:v>3QFY25</c:v>
                </c:pt>
                <c:pt idx="3">
                  <c:v>4QFY25</c:v>
                </c:pt>
                <c:pt idx="4">
                  <c:v>1QFY26</c:v>
                </c:pt>
                <c:pt idx="5">
                  <c:v>2QFY26</c:v>
                </c:pt>
                <c:pt idx="6">
                  <c:v>3QFY26</c:v>
                </c:pt>
              </c:strCache>
            </c:strRef>
          </c:cat>
          <c:val>
            <c:numRef>
              <c:f>'HDFC Life'!$C$14:$I$14</c:f>
              <c:numCache>
                <c:formatCode>_(* #,##0_);_(* \(#,##0\);_(* "-"??_);_(@_)</c:formatCode>
                <c:ptCount val="7"/>
                <c:pt idx="0">
                  <c:v>0</c:v>
                </c:pt>
                <c:pt idx="1">
                  <c:v>0</c:v>
                </c:pt>
                <c:pt idx="2">
                  <c:v>1.1882000000000001</c:v>
                </c:pt>
                <c:pt idx="3">
                  <c:v>1.3090999999999999</c:v>
                </c:pt>
                <c:pt idx="4">
                  <c:v>1.3814000000000002</c:v>
                </c:pt>
                <c:pt idx="5">
                  <c:v>1.627</c:v>
                </c:pt>
                <c:pt idx="6">
                  <c:v>1.8585</c:v>
                </c:pt>
              </c:numCache>
            </c:numRef>
          </c:val>
          <c:extLst>
            <c:ext xmlns:c16="http://schemas.microsoft.com/office/drawing/2014/chart" uri="{C3380CC4-5D6E-409C-BE32-E72D297353CC}">
              <c16:uniqueId val="{00000001-9899-49E1-9540-4CE5298A7394}"/>
            </c:ext>
          </c:extLst>
        </c:ser>
        <c:ser>
          <c:idx val="2"/>
          <c:order val="2"/>
          <c:tx>
            <c:strRef>
              <c:f>'HDFC Life'!$B$15</c:f>
              <c:strCache>
                <c:ptCount val="1"/>
              </c:strCache>
            </c:strRef>
          </c:tx>
          <c:spPr>
            <a:noFill/>
          </c:spPr>
          <c:invertIfNegative val="0"/>
          <c:dLbls>
            <c:spPr>
              <a:noFill/>
              <a:ln>
                <a:noFill/>
              </a:ln>
              <a:effectLst/>
            </c:spPr>
            <c:txPr>
              <a:bodyPr wrap="square" lIns="38100" tIns="19050" rIns="38100" bIns="19050" anchor="ctr">
                <a:spAutoFit/>
              </a:bodyPr>
              <a:lstStyle/>
              <a:p>
                <a:pPr>
                  <a:defRPr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Life'!$C$12:$I$12</c:f>
              <c:strCache>
                <c:ptCount val="7"/>
                <c:pt idx="0">
                  <c:v>1QFY25</c:v>
                </c:pt>
                <c:pt idx="1">
                  <c:v>2QFY25</c:v>
                </c:pt>
                <c:pt idx="2">
                  <c:v>3QFY25</c:v>
                </c:pt>
                <c:pt idx="3">
                  <c:v>4QFY25</c:v>
                </c:pt>
                <c:pt idx="4">
                  <c:v>1QFY26</c:v>
                </c:pt>
                <c:pt idx="5">
                  <c:v>2QFY26</c:v>
                </c:pt>
                <c:pt idx="6">
                  <c:v>3QFY26</c:v>
                </c:pt>
              </c:strCache>
            </c:strRef>
          </c:cat>
          <c:val>
            <c:numRef>
              <c:f>'HDFC Life'!$C$15:$I$15</c:f>
              <c:numCache>
                <c:formatCode>_(* #,##0_);_(* \(#,##0\);_(* "-"??_);_(@_)</c:formatCode>
                <c:ptCount val="7"/>
                <c:pt idx="0">
                  <c:v>10.097700000000001</c:v>
                </c:pt>
                <c:pt idx="1">
                  <c:v>10.0136</c:v>
                </c:pt>
                <c:pt idx="2">
                  <c:v>11.818300000000001</c:v>
                </c:pt>
                <c:pt idx="3">
                  <c:v>12.831800000000001</c:v>
                </c:pt>
                <c:pt idx="4">
                  <c:v>12.238500000000002</c:v>
                </c:pt>
                <c:pt idx="5">
                  <c:v>12.655900000000001</c:v>
                </c:pt>
                <c:pt idx="6">
                  <c:v>13.496599999999999</c:v>
                </c:pt>
              </c:numCache>
            </c:numRef>
          </c:val>
          <c:extLst>
            <c:ext xmlns:c16="http://schemas.microsoft.com/office/drawing/2014/chart" uri="{C3380CC4-5D6E-409C-BE32-E72D297353CC}">
              <c16:uniqueId val="{00000002-9899-49E1-9540-4CE5298A7394}"/>
            </c:ext>
          </c:extLst>
        </c:ser>
        <c:dLbls>
          <c:showLegendKey val="0"/>
          <c:showVal val="0"/>
          <c:showCatName val="0"/>
          <c:showSerName val="0"/>
          <c:showPercent val="0"/>
          <c:showBubbleSize val="0"/>
        </c:dLbls>
        <c:gapWidth val="30"/>
        <c:overlap val="100"/>
        <c:axId val="1709388384"/>
        <c:axId val="1709381184"/>
      </c:barChart>
      <c:catAx>
        <c:axId val="1709388384"/>
        <c:scaling>
          <c:orientation val="minMax"/>
        </c:scaling>
        <c:delete val="0"/>
        <c:axPos val="b"/>
        <c:numFmt formatCode="General" sourceLinked="1"/>
        <c:majorTickMark val="none"/>
        <c:minorTickMark val="none"/>
        <c:tickLblPos val="nextTo"/>
        <c:crossAx val="1709381184"/>
        <c:crosses val="autoZero"/>
        <c:auto val="1"/>
        <c:lblAlgn val="ctr"/>
        <c:lblOffset val="100"/>
        <c:noMultiLvlLbl val="0"/>
      </c:catAx>
      <c:valAx>
        <c:axId val="1709381184"/>
        <c:scaling>
          <c:orientation val="minMax"/>
          <c:max val="16"/>
        </c:scaling>
        <c:delete val="1"/>
        <c:axPos val="l"/>
        <c:numFmt formatCode="_(* #,##0_);_(* \(#,##0\);_(* &quot;-&quot;??_);_(@_)" sourceLinked="1"/>
        <c:majorTickMark val="out"/>
        <c:minorTickMark val="none"/>
        <c:tickLblPos val="nextTo"/>
        <c:crossAx val="1709388384"/>
        <c:crosses val="autoZero"/>
        <c:crossBetween val="between"/>
      </c:valAx>
    </c:plotArea>
    <c:legend>
      <c:legendPos val="b"/>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'HDFC Life'!$B$17</c:f>
          <c:strCache>
            <c:ptCount val="1"/>
            <c:pt idx="0">
              <c:v>JSW Infra Revenue Mix</c:v>
            </c:pt>
          </c:strCache>
        </c:strRef>
      </c:tx>
      <c:overlay val="0"/>
    </c:title>
    <c:autoTitleDeleted val="0"/>
    <c:plotArea>
      <c:layout/>
      <c:barChart>
        <c:barDir val="col"/>
        <c:grouping val="stacked"/>
        <c:varyColors val="0"/>
        <c:ser>
          <c:idx val="0"/>
          <c:order val="0"/>
          <c:tx>
            <c:strRef>
              <c:f>'HDFC Life'!$B$18</c:f>
              <c:strCache>
                <c:ptCount val="1"/>
                <c:pt idx="0">
                  <c:v>Ports</c:v>
                </c:pt>
              </c:strCache>
            </c:strRef>
          </c:tx>
          <c:invertIfNegative val="0"/>
          <c:dLbls>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Life'!$C$7:$I$7</c:f>
              <c:strCache>
                <c:ptCount val="7"/>
                <c:pt idx="0">
                  <c:v>1QFY25</c:v>
                </c:pt>
                <c:pt idx="1">
                  <c:v>2QFY25</c:v>
                </c:pt>
                <c:pt idx="2">
                  <c:v>3QFY25</c:v>
                </c:pt>
                <c:pt idx="3">
                  <c:v>4QFY25</c:v>
                </c:pt>
                <c:pt idx="4">
                  <c:v>1QFY26</c:v>
                </c:pt>
                <c:pt idx="5">
                  <c:v>2QFY26</c:v>
                </c:pt>
                <c:pt idx="6">
                  <c:v>3QFY26</c:v>
                </c:pt>
              </c:strCache>
            </c:strRef>
          </c:cat>
          <c:val>
            <c:numRef>
              <c:f>'HDFC Life'!$C$18:$I$18</c:f>
              <c:numCache>
                <c:formatCode>0%</c:formatCode>
                <c:ptCount val="7"/>
                <c:pt idx="0">
                  <c:v>1</c:v>
                </c:pt>
                <c:pt idx="1">
                  <c:v>1</c:v>
                </c:pt>
                <c:pt idx="2">
                  <c:v>0.89946100538994611</c:v>
                </c:pt>
                <c:pt idx="3">
                  <c:v>0.89798001839180774</c:v>
                </c:pt>
                <c:pt idx="4">
                  <c:v>0.8871266903623809</c:v>
                </c:pt>
                <c:pt idx="5">
                  <c:v>0.87144335843361587</c:v>
                </c:pt>
                <c:pt idx="6">
                  <c:v>0.86229865299408748</c:v>
                </c:pt>
              </c:numCache>
            </c:numRef>
          </c:val>
          <c:extLst>
            <c:ext xmlns:c16="http://schemas.microsoft.com/office/drawing/2014/chart" uri="{C3380CC4-5D6E-409C-BE32-E72D297353CC}">
              <c16:uniqueId val="{00000000-D438-4047-8BAD-2B968C6B3946}"/>
            </c:ext>
          </c:extLst>
        </c:ser>
        <c:ser>
          <c:idx val="1"/>
          <c:order val="1"/>
          <c:tx>
            <c:strRef>
              <c:f>'HDFC Life'!$B$19</c:f>
              <c:strCache>
                <c:ptCount val="1"/>
                <c:pt idx="0">
                  <c:v>Logistics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D438-4047-8BAD-2B968C6B3946}"/>
                </c:ext>
              </c:extLst>
            </c:dLbl>
            <c:dLbl>
              <c:idx val="1"/>
              <c:delete val="1"/>
              <c:extLst>
                <c:ext xmlns:c15="http://schemas.microsoft.com/office/drawing/2012/chart" uri="{CE6537A1-D6FC-4f65-9D91-7224C49458BB}"/>
                <c:ext xmlns:c16="http://schemas.microsoft.com/office/drawing/2014/chart" uri="{C3380CC4-5D6E-409C-BE32-E72D297353CC}">
                  <c16:uniqueId val="{00000002-D438-4047-8BAD-2B968C6B3946}"/>
                </c:ext>
              </c:extLst>
            </c:dLbl>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Life'!$C$7:$I$7</c:f>
              <c:strCache>
                <c:ptCount val="7"/>
                <c:pt idx="0">
                  <c:v>1QFY25</c:v>
                </c:pt>
                <c:pt idx="1">
                  <c:v>2QFY25</c:v>
                </c:pt>
                <c:pt idx="2">
                  <c:v>3QFY25</c:v>
                </c:pt>
                <c:pt idx="3">
                  <c:v>4QFY25</c:v>
                </c:pt>
                <c:pt idx="4">
                  <c:v>1QFY26</c:v>
                </c:pt>
                <c:pt idx="5">
                  <c:v>2QFY26</c:v>
                </c:pt>
                <c:pt idx="6">
                  <c:v>3QFY26</c:v>
                </c:pt>
              </c:strCache>
            </c:strRef>
          </c:cat>
          <c:val>
            <c:numRef>
              <c:f>'HDFC Life'!$C$19:$I$19</c:f>
              <c:numCache>
                <c:formatCode>0%</c:formatCode>
                <c:ptCount val="7"/>
                <c:pt idx="0" formatCode="_(* #,##0_);_(* \(#,##0\);_(* &quot;-&quot;??_);_(@_)">
                  <c:v>0</c:v>
                </c:pt>
                <c:pt idx="1">
                  <c:v>0</c:v>
                </c:pt>
                <c:pt idx="2">
                  <c:v>0.10053899461005389</c:v>
                </c:pt>
                <c:pt idx="3">
                  <c:v>0.10201998160819226</c:v>
                </c:pt>
                <c:pt idx="4">
                  <c:v>0.1128733096376191</c:v>
                </c:pt>
                <c:pt idx="5">
                  <c:v>0.12855664156638413</c:v>
                </c:pt>
                <c:pt idx="6">
                  <c:v>0.13770134700591252</c:v>
                </c:pt>
              </c:numCache>
            </c:numRef>
          </c:val>
          <c:extLst>
            <c:ext xmlns:c16="http://schemas.microsoft.com/office/drawing/2014/chart" uri="{C3380CC4-5D6E-409C-BE32-E72D297353CC}">
              <c16:uniqueId val="{00000001-D438-4047-8BAD-2B968C6B3946}"/>
            </c:ext>
          </c:extLst>
        </c:ser>
        <c:dLbls>
          <c:showLegendKey val="0"/>
          <c:showVal val="0"/>
          <c:showCatName val="0"/>
          <c:showSerName val="0"/>
          <c:showPercent val="0"/>
          <c:showBubbleSize val="0"/>
        </c:dLbls>
        <c:gapWidth val="30"/>
        <c:overlap val="100"/>
        <c:axId val="1709351424"/>
        <c:axId val="1709343744"/>
      </c:barChart>
      <c:catAx>
        <c:axId val="1709351424"/>
        <c:scaling>
          <c:orientation val="minMax"/>
        </c:scaling>
        <c:delete val="0"/>
        <c:axPos val="b"/>
        <c:numFmt formatCode="General" sourceLinked="1"/>
        <c:majorTickMark val="none"/>
        <c:minorTickMark val="none"/>
        <c:tickLblPos val="nextTo"/>
        <c:crossAx val="1709343744"/>
        <c:crosses val="autoZero"/>
        <c:auto val="1"/>
        <c:lblAlgn val="ctr"/>
        <c:lblOffset val="100"/>
        <c:noMultiLvlLbl val="0"/>
      </c:catAx>
      <c:valAx>
        <c:axId val="1709343744"/>
        <c:scaling>
          <c:orientation val="minMax"/>
          <c:max val="1"/>
          <c:min val="0.25"/>
        </c:scaling>
        <c:delete val="1"/>
        <c:axPos val="l"/>
        <c:numFmt formatCode="0%" sourceLinked="1"/>
        <c:majorTickMark val="out"/>
        <c:minorTickMark val="none"/>
        <c:tickLblPos val="nextTo"/>
        <c:crossAx val="1709351424"/>
        <c:crosses val="autoZero"/>
        <c:crossBetween val="between"/>
      </c:valAx>
    </c:plotArea>
    <c:legend>
      <c:legendPos val="b"/>
      <c:overlay val="0"/>
    </c:legend>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Capacity,</a:t>
            </a:r>
            <a:r>
              <a:rPr lang="en-IN" baseline="0"/>
              <a:t> MT</a:t>
            </a:r>
            <a:endParaRPr lang="en-IN"/>
          </a:p>
        </c:rich>
      </c:tx>
      <c:overlay val="0"/>
    </c:title>
    <c:autoTitleDeleted val="0"/>
    <c:plotArea>
      <c:layout/>
      <c:barChart>
        <c:barDir val="col"/>
        <c:grouping val="clustered"/>
        <c:varyColors val="0"/>
        <c:ser>
          <c:idx val="0"/>
          <c:order val="0"/>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Life'!$B$65:$B$70</c:f>
              <c:strCache>
                <c:ptCount val="6"/>
                <c:pt idx="0">
                  <c:v>Adani</c:v>
                </c:pt>
                <c:pt idx="1">
                  <c:v>JSWIL</c:v>
                </c:pt>
                <c:pt idx="2">
                  <c:v>DP World</c:v>
                </c:pt>
                <c:pt idx="3">
                  <c:v>PSA</c:v>
                </c:pt>
                <c:pt idx="4">
                  <c:v>APM Terminals</c:v>
                </c:pt>
                <c:pt idx="5">
                  <c:v>JM Baxi</c:v>
                </c:pt>
              </c:strCache>
            </c:strRef>
          </c:cat>
          <c:val>
            <c:numRef>
              <c:f>'HDFC Life'!$C$65:$C$70</c:f>
              <c:numCache>
                <c:formatCode>General</c:formatCode>
                <c:ptCount val="6"/>
                <c:pt idx="0">
                  <c:v>653</c:v>
                </c:pt>
                <c:pt idx="1">
                  <c:v>181</c:v>
                </c:pt>
                <c:pt idx="2">
                  <c:v>86</c:v>
                </c:pt>
                <c:pt idx="3">
                  <c:v>63</c:v>
                </c:pt>
                <c:pt idx="4">
                  <c:v>48</c:v>
                </c:pt>
                <c:pt idx="5">
                  <c:v>42</c:v>
                </c:pt>
              </c:numCache>
            </c:numRef>
          </c:val>
          <c:extLst>
            <c:ext xmlns:c16="http://schemas.microsoft.com/office/drawing/2014/chart" uri="{C3380CC4-5D6E-409C-BE32-E72D297353CC}">
              <c16:uniqueId val="{00000000-6AA4-4B4F-810E-7B7486A81F02}"/>
            </c:ext>
          </c:extLst>
        </c:ser>
        <c:dLbls>
          <c:dLblPos val="outEnd"/>
          <c:showLegendKey val="0"/>
          <c:showVal val="1"/>
          <c:showCatName val="0"/>
          <c:showSerName val="0"/>
          <c:showPercent val="0"/>
          <c:showBubbleSize val="0"/>
        </c:dLbls>
        <c:gapWidth val="30"/>
        <c:overlap val="-27"/>
        <c:axId val="1726791936"/>
        <c:axId val="1726787616"/>
      </c:barChart>
      <c:catAx>
        <c:axId val="1726791936"/>
        <c:scaling>
          <c:orientation val="minMax"/>
        </c:scaling>
        <c:delete val="0"/>
        <c:axPos val="b"/>
        <c:numFmt formatCode="General" sourceLinked="1"/>
        <c:majorTickMark val="none"/>
        <c:minorTickMark val="none"/>
        <c:tickLblPos val="nextTo"/>
        <c:crossAx val="1726787616"/>
        <c:crosses val="autoZero"/>
        <c:auto val="1"/>
        <c:lblAlgn val="ctr"/>
        <c:lblOffset val="100"/>
        <c:noMultiLvlLbl val="0"/>
      </c:catAx>
      <c:valAx>
        <c:axId val="1726787616"/>
        <c:scaling>
          <c:orientation val="minMax"/>
        </c:scaling>
        <c:delete val="1"/>
        <c:axPos val="l"/>
        <c:numFmt formatCode="General" sourceLinked="1"/>
        <c:majorTickMark val="none"/>
        <c:minorTickMark val="none"/>
        <c:tickLblPos val="nextTo"/>
        <c:crossAx val="1726791936"/>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'HDFC Life'!$B$74</c:f>
          <c:strCache>
            <c:ptCount val="1"/>
            <c:pt idx="0">
              <c:v>Group Customer Volume Trend - CAGR of 15% in FY21-25</c:v>
            </c:pt>
          </c:strCache>
        </c:strRef>
      </c:tx>
      <c:overlay val="0"/>
    </c:title>
    <c:autoTitleDeleted val="0"/>
    <c:plotArea>
      <c:layout/>
      <c:barChart>
        <c:barDir val="col"/>
        <c:grouping val="clustered"/>
        <c:varyColors val="0"/>
        <c:ser>
          <c:idx val="0"/>
          <c:order val="0"/>
          <c:invertIfNegative val="0"/>
          <c:dPt>
            <c:idx val="5"/>
            <c:invertIfNegative val="0"/>
            <c:bubble3D val="0"/>
            <c:spPr>
              <a:solidFill>
                <a:schemeClr val="accent1">
                  <a:lumMod val="20000"/>
                  <a:lumOff val="80000"/>
                </a:schemeClr>
              </a:solidFill>
            </c:spPr>
            <c:extLst>
              <c:ext xmlns:c16="http://schemas.microsoft.com/office/drawing/2014/chart" uri="{C3380CC4-5D6E-409C-BE32-E72D297353CC}">
                <c16:uniqueId val="{00000002-AF54-41D8-A25D-794F7FBBED57}"/>
              </c:ext>
            </c:extLst>
          </c:dPt>
          <c:dPt>
            <c:idx val="6"/>
            <c:invertIfNegative val="0"/>
            <c:bubble3D val="0"/>
            <c:spPr>
              <a:solidFill>
                <a:schemeClr val="accent1">
                  <a:lumMod val="20000"/>
                  <a:lumOff val="80000"/>
                </a:schemeClr>
              </a:solidFill>
            </c:spPr>
            <c:extLst>
              <c:ext xmlns:c16="http://schemas.microsoft.com/office/drawing/2014/chart" uri="{C3380CC4-5D6E-409C-BE32-E72D297353CC}">
                <c16:uniqueId val="{00000001-AF54-41D8-A25D-794F7FBBED57}"/>
              </c:ext>
            </c:extLst>
          </c:dPt>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'HDFC Life'!$C$73:$I$73</c:f>
              <c:strCache>
                <c:ptCount val="7"/>
                <c:pt idx="0">
                  <c:v>FY21</c:v>
                </c:pt>
                <c:pt idx="1">
                  <c:v>FY22</c:v>
                </c:pt>
                <c:pt idx="2">
                  <c:v>FY23</c:v>
                </c:pt>
                <c:pt idx="3">
                  <c:v>FY24</c:v>
                </c:pt>
                <c:pt idx="4">
                  <c:v>FY25</c:v>
                </c:pt>
                <c:pt idx="5">
                  <c:v>9MFY25</c:v>
                </c:pt>
                <c:pt idx="6">
                  <c:v>9MFY26</c:v>
                </c:pt>
              </c:strCache>
            </c:strRef>
          </c:cat>
          <c:val>
            <c:numRef>
              <c:f>'HDFC Life'!$C$74:$I$74</c:f>
              <c:numCache>
                <c:formatCode>_(* #,##0_);_(* \(#,##0\);_(* "-"??_);_(@_)</c:formatCode>
                <c:ptCount val="7"/>
                <c:pt idx="0">
                  <c:v>34.240000000000009</c:v>
                </c:pt>
                <c:pt idx="1">
                  <c:v>43.325000000000003</c:v>
                </c:pt>
                <c:pt idx="2">
                  <c:v>61.830000000000013</c:v>
                </c:pt>
                <c:pt idx="3">
                  <c:v>64.480897466710957</c:v>
                </c:pt>
                <c:pt idx="4">
                  <c:v>59.67</c:v>
                </c:pt>
                <c:pt idx="5">
                  <c:v>43.2</c:v>
                </c:pt>
                <c:pt idx="6">
                  <c:v>45.769999999999996</c:v>
                </c:pt>
              </c:numCache>
            </c:numRef>
          </c:val>
          <c:extLst>
            <c:ext xmlns:c16="http://schemas.microsoft.com/office/drawing/2014/chart" uri="{C3380CC4-5D6E-409C-BE32-E72D297353CC}">
              <c16:uniqueId val="{00000000-AF54-41D8-A25D-794F7FBBED57}"/>
            </c:ext>
          </c:extLst>
        </c:ser>
        <c:dLbls>
          <c:dLblPos val="outEnd"/>
          <c:showLegendKey val="0"/>
          <c:showVal val="1"/>
          <c:showCatName val="0"/>
          <c:showSerName val="0"/>
          <c:showPercent val="0"/>
          <c:showBubbleSize val="0"/>
        </c:dLbls>
        <c:gapWidth val="30"/>
        <c:overlap val="-27"/>
        <c:axId val="1905152224"/>
        <c:axId val="1905151744"/>
      </c:barChart>
      <c:catAx>
        <c:axId val="1905152224"/>
        <c:scaling>
          <c:orientation val="minMax"/>
        </c:scaling>
        <c:delete val="0"/>
        <c:axPos val="b"/>
        <c:numFmt formatCode="General" sourceLinked="1"/>
        <c:majorTickMark val="none"/>
        <c:minorTickMark val="none"/>
        <c:tickLblPos val="nextTo"/>
        <c:crossAx val="1905151744"/>
        <c:crosses val="autoZero"/>
        <c:auto val="1"/>
        <c:lblAlgn val="ctr"/>
        <c:lblOffset val="100"/>
        <c:noMultiLvlLbl val="0"/>
      </c:catAx>
      <c:valAx>
        <c:axId val="1905151744"/>
        <c:scaling>
          <c:orientation val="minMax"/>
          <c:max val="85"/>
        </c:scaling>
        <c:delete val="1"/>
        <c:axPos val="l"/>
        <c:numFmt formatCode="_(* #,##0_);_(* \(#,##0\);_(* &quot;-&quot;??_);_(@_)" sourceLinked="1"/>
        <c:majorTickMark val="out"/>
        <c:minorTickMark val="none"/>
        <c:tickLblPos val="nextTo"/>
        <c:crossAx val="1905152224"/>
        <c:crosses val="autoZero"/>
        <c:crossBetween val="between"/>
      </c:valAx>
    </c:plotArea>
    <c:plotVisOnly val="1"/>
    <c:dispBlanksAs val="gap"/>
    <c:showDLblsOverMax val="0"/>
  </c:chart>
  <c:spPr>
    <a:ln w="3175">
      <a:solidFill>
        <a:schemeClr val="accent1"/>
      </a:solidFill>
    </a:ln>
  </c:spPr>
  <c:txPr>
    <a:bodyPr/>
    <a:lstStyle/>
    <a:p>
      <a:pPr>
        <a:defRPr sz="900">
          <a:latin typeface="Calibri"/>
          <a:ea typeface="Calibri"/>
          <a:cs typeface="Calibri"/>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6" Type="http://schemas.openxmlformats.org/officeDocument/2006/relationships/chart" Target="../charts/chart38.xml"/><Relationship Id="rId21" Type="http://schemas.openxmlformats.org/officeDocument/2006/relationships/chart" Target="../charts/chart33.xml"/><Relationship Id="rId42" Type="http://schemas.openxmlformats.org/officeDocument/2006/relationships/chart" Target="../charts/chart54.xml"/><Relationship Id="rId47" Type="http://schemas.openxmlformats.org/officeDocument/2006/relationships/chart" Target="../charts/chart59.xml"/><Relationship Id="rId63" Type="http://schemas.openxmlformats.org/officeDocument/2006/relationships/chart" Target="../charts/chart75.xml"/><Relationship Id="rId68" Type="http://schemas.openxmlformats.org/officeDocument/2006/relationships/chart" Target="../charts/chart80.xml"/><Relationship Id="rId84" Type="http://schemas.openxmlformats.org/officeDocument/2006/relationships/chart" Target="../charts/chart96.xml"/><Relationship Id="rId89" Type="http://schemas.openxmlformats.org/officeDocument/2006/relationships/chart" Target="../charts/chart101.xml"/><Relationship Id="rId16" Type="http://schemas.openxmlformats.org/officeDocument/2006/relationships/chart" Target="../charts/chart28.xml"/><Relationship Id="rId11" Type="http://schemas.openxmlformats.org/officeDocument/2006/relationships/chart" Target="../charts/chart23.xml"/><Relationship Id="rId32" Type="http://schemas.openxmlformats.org/officeDocument/2006/relationships/chart" Target="../charts/chart44.xml"/><Relationship Id="rId37" Type="http://schemas.openxmlformats.org/officeDocument/2006/relationships/chart" Target="../charts/chart49.xml"/><Relationship Id="rId53" Type="http://schemas.openxmlformats.org/officeDocument/2006/relationships/chart" Target="../charts/chart65.xml"/><Relationship Id="rId58" Type="http://schemas.openxmlformats.org/officeDocument/2006/relationships/chart" Target="../charts/chart70.xml"/><Relationship Id="rId74" Type="http://schemas.openxmlformats.org/officeDocument/2006/relationships/chart" Target="../charts/chart86.xml"/><Relationship Id="rId79" Type="http://schemas.openxmlformats.org/officeDocument/2006/relationships/chart" Target="../charts/chart91.xml"/><Relationship Id="rId5" Type="http://schemas.openxmlformats.org/officeDocument/2006/relationships/chart" Target="../charts/chart17.xml"/><Relationship Id="rId90" Type="http://schemas.openxmlformats.org/officeDocument/2006/relationships/chart" Target="../charts/chart102.xml"/><Relationship Id="rId14" Type="http://schemas.openxmlformats.org/officeDocument/2006/relationships/chart" Target="../charts/chart26.xml"/><Relationship Id="rId22" Type="http://schemas.openxmlformats.org/officeDocument/2006/relationships/chart" Target="../charts/chart34.xml"/><Relationship Id="rId27" Type="http://schemas.openxmlformats.org/officeDocument/2006/relationships/chart" Target="../charts/chart39.xml"/><Relationship Id="rId30" Type="http://schemas.openxmlformats.org/officeDocument/2006/relationships/chart" Target="../charts/chart42.xml"/><Relationship Id="rId35" Type="http://schemas.openxmlformats.org/officeDocument/2006/relationships/chart" Target="../charts/chart47.xml"/><Relationship Id="rId43" Type="http://schemas.openxmlformats.org/officeDocument/2006/relationships/chart" Target="../charts/chart55.xml"/><Relationship Id="rId48" Type="http://schemas.openxmlformats.org/officeDocument/2006/relationships/chart" Target="../charts/chart60.xml"/><Relationship Id="rId56" Type="http://schemas.openxmlformats.org/officeDocument/2006/relationships/chart" Target="../charts/chart68.xml"/><Relationship Id="rId64" Type="http://schemas.openxmlformats.org/officeDocument/2006/relationships/chart" Target="../charts/chart76.xml"/><Relationship Id="rId69" Type="http://schemas.openxmlformats.org/officeDocument/2006/relationships/chart" Target="../charts/chart81.xml"/><Relationship Id="rId77" Type="http://schemas.openxmlformats.org/officeDocument/2006/relationships/chart" Target="../charts/chart89.xml"/><Relationship Id="rId8" Type="http://schemas.openxmlformats.org/officeDocument/2006/relationships/chart" Target="../charts/chart20.xml"/><Relationship Id="rId51" Type="http://schemas.openxmlformats.org/officeDocument/2006/relationships/chart" Target="../charts/chart63.xml"/><Relationship Id="rId72" Type="http://schemas.openxmlformats.org/officeDocument/2006/relationships/chart" Target="../charts/chart84.xml"/><Relationship Id="rId80" Type="http://schemas.openxmlformats.org/officeDocument/2006/relationships/chart" Target="../charts/chart92.xml"/><Relationship Id="rId85" Type="http://schemas.openxmlformats.org/officeDocument/2006/relationships/chart" Target="../charts/chart97.xml"/><Relationship Id="rId3" Type="http://schemas.openxmlformats.org/officeDocument/2006/relationships/chart" Target="../charts/chart15.xml"/><Relationship Id="rId12" Type="http://schemas.openxmlformats.org/officeDocument/2006/relationships/chart" Target="../charts/chart24.xml"/><Relationship Id="rId17" Type="http://schemas.openxmlformats.org/officeDocument/2006/relationships/chart" Target="../charts/chart29.xml"/><Relationship Id="rId25" Type="http://schemas.openxmlformats.org/officeDocument/2006/relationships/chart" Target="../charts/chart37.xml"/><Relationship Id="rId33" Type="http://schemas.openxmlformats.org/officeDocument/2006/relationships/chart" Target="../charts/chart45.xml"/><Relationship Id="rId38" Type="http://schemas.openxmlformats.org/officeDocument/2006/relationships/chart" Target="../charts/chart50.xml"/><Relationship Id="rId46" Type="http://schemas.openxmlformats.org/officeDocument/2006/relationships/chart" Target="../charts/chart58.xml"/><Relationship Id="rId59" Type="http://schemas.openxmlformats.org/officeDocument/2006/relationships/chart" Target="../charts/chart71.xml"/><Relationship Id="rId67" Type="http://schemas.openxmlformats.org/officeDocument/2006/relationships/chart" Target="../charts/chart79.xml"/><Relationship Id="rId20" Type="http://schemas.openxmlformats.org/officeDocument/2006/relationships/chart" Target="../charts/chart32.xml"/><Relationship Id="rId41" Type="http://schemas.openxmlformats.org/officeDocument/2006/relationships/chart" Target="../charts/chart53.xml"/><Relationship Id="rId54" Type="http://schemas.openxmlformats.org/officeDocument/2006/relationships/chart" Target="../charts/chart66.xml"/><Relationship Id="rId62" Type="http://schemas.openxmlformats.org/officeDocument/2006/relationships/chart" Target="../charts/chart74.xml"/><Relationship Id="rId70" Type="http://schemas.openxmlformats.org/officeDocument/2006/relationships/chart" Target="../charts/chart82.xml"/><Relationship Id="rId75" Type="http://schemas.openxmlformats.org/officeDocument/2006/relationships/chart" Target="../charts/chart87.xml"/><Relationship Id="rId83" Type="http://schemas.openxmlformats.org/officeDocument/2006/relationships/chart" Target="../charts/chart95.xml"/><Relationship Id="rId88" Type="http://schemas.openxmlformats.org/officeDocument/2006/relationships/chart" Target="../charts/chart100.xml"/><Relationship Id="rId91" Type="http://schemas.openxmlformats.org/officeDocument/2006/relationships/chart" Target="../charts/chart103.xml"/><Relationship Id="rId1" Type="http://schemas.openxmlformats.org/officeDocument/2006/relationships/chart" Target="../charts/chart13.xml"/><Relationship Id="rId6" Type="http://schemas.openxmlformats.org/officeDocument/2006/relationships/chart" Target="../charts/chart18.xml"/><Relationship Id="rId15" Type="http://schemas.openxmlformats.org/officeDocument/2006/relationships/chart" Target="../charts/chart27.xml"/><Relationship Id="rId23" Type="http://schemas.openxmlformats.org/officeDocument/2006/relationships/chart" Target="../charts/chart35.xml"/><Relationship Id="rId28" Type="http://schemas.openxmlformats.org/officeDocument/2006/relationships/chart" Target="../charts/chart40.xml"/><Relationship Id="rId36" Type="http://schemas.openxmlformats.org/officeDocument/2006/relationships/chart" Target="../charts/chart48.xml"/><Relationship Id="rId49" Type="http://schemas.openxmlformats.org/officeDocument/2006/relationships/chart" Target="../charts/chart61.xml"/><Relationship Id="rId57" Type="http://schemas.openxmlformats.org/officeDocument/2006/relationships/chart" Target="../charts/chart69.xml"/><Relationship Id="rId10" Type="http://schemas.openxmlformats.org/officeDocument/2006/relationships/chart" Target="../charts/chart22.xml"/><Relationship Id="rId31" Type="http://schemas.openxmlformats.org/officeDocument/2006/relationships/chart" Target="../charts/chart43.xml"/><Relationship Id="rId44" Type="http://schemas.openxmlformats.org/officeDocument/2006/relationships/chart" Target="../charts/chart56.xml"/><Relationship Id="rId52" Type="http://schemas.openxmlformats.org/officeDocument/2006/relationships/chart" Target="../charts/chart64.xml"/><Relationship Id="rId60" Type="http://schemas.openxmlformats.org/officeDocument/2006/relationships/chart" Target="../charts/chart72.xml"/><Relationship Id="rId65" Type="http://schemas.openxmlformats.org/officeDocument/2006/relationships/chart" Target="../charts/chart77.xml"/><Relationship Id="rId73" Type="http://schemas.openxmlformats.org/officeDocument/2006/relationships/chart" Target="../charts/chart85.xml"/><Relationship Id="rId78" Type="http://schemas.openxmlformats.org/officeDocument/2006/relationships/chart" Target="../charts/chart90.xml"/><Relationship Id="rId81" Type="http://schemas.openxmlformats.org/officeDocument/2006/relationships/chart" Target="../charts/chart93.xml"/><Relationship Id="rId86" Type="http://schemas.openxmlformats.org/officeDocument/2006/relationships/chart" Target="../charts/chart98.xml"/><Relationship Id="rId4" Type="http://schemas.openxmlformats.org/officeDocument/2006/relationships/chart" Target="../charts/chart16.xml"/><Relationship Id="rId9" Type="http://schemas.openxmlformats.org/officeDocument/2006/relationships/chart" Target="../charts/chart21.xml"/><Relationship Id="rId13" Type="http://schemas.openxmlformats.org/officeDocument/2006/relationships/chart" Target="../charts/chart25.xml"/><Relationship Id="rId18" Type="http://schemas.openxmlformats.org/officeDocument/2006/relationships/chart" Target="../charts/chart30.xml"/><Relationship Id="rId39" Type="http://schemas.openxmlformats.org/officeDocument/2006/relationships/chart" Target="../charts/chart51.xml"/><Relationship Id="rId34" Type="http://schemas.openxmlformats.org/officeDocument/2006/relationships/chart" Target="../charts/chart46.xml"/><Relationship Id="rId50" Type="http://schemas.openxmlformats.org/officeDocument/2006/relationships/chart" Target="../charts/chart62.xml"/><Relationship Id="rId55" Type="http://schemas.openxmlformats.org/officeDocument/2006/relationships/chart" Target="../charts/chart67.xml"/><Relationship Id="rId76" Type="http://schemas.openxmlformats.org/officeDocument/2006/relationships/chart" Target="../charts/chart88.xml"/><Relationship Id="rId7" Type="http://schemas.openxmlformats.org/officeDocument/2006/relationships/chart" Target="../charts/chart19.xml"/><Relationship Id="rId71" Type="http://schemas.openxmlformats.org/officeDocument/2006/relationships/chart" Target="../charts/chart83.xml"/><Relationship Id="rId92" Type="http://schemas.openxmlformats.org/officeDocument/2006/relationships/chart" Target="../charts/chart104.xml"/><Relationship Id="rId2" Type="http://schemas.openxmlformats.org/officeDocument/2006/relationships/chart" Target="../charts/chart14.xml"/><Relationship Id="rId29" Type="http://schemas.openxmlformats.org/officeDocument/2006/relationships/chart" Target="../charts/chart41.xml"/><Relationship Id="rId24" Type="http://schemas.openxmlformats.org/officeDocument/2006/relationships/chart" Target="../charts/chart36.xml"/><Relationship Id="rId40" Type="http://schemas.openxmlformats.org/officeDocument/2006/relationships/chart" Target="../charts/chart52.xml"/><Relationship Id="rId45" Type="http://schemas.openxmlformats.org/officeDocument/2006/relationships/chart" Target="../charts/chart57.xml"/><Relationship Id="rId66" Type="http://schemas.openxmlformats.org/officeDocument/2006/relationships/chart" Target="../charts/chart78.xml"/><Relationship Id="rId87" Type="http://schemas.openxmlformats.org/officeDocument/2006/relationships/chart" Target="../charts/chart99.xml"/><Relationship Id="rId61" Type="http://schemas.openxmlformats.org/officeDocument/2006/relationships/chart" Target="../charts/chart73.xml"/><Relationship Id="rId82" Type="http://schemas.openxmlformats.org/officeDocument/2006/relationships/chart" Target="../charts/chart94.xml"/><Relationship Id="rId19" Type="http://schemas.openxmlformats.org/officeDocument/2006/relationships/chart" Target="../charts/chart3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chart" Target="../charts/chart107.xml"/><Relationship Id="rId2" Type="http://schemas.openxmlformats.org/officeDocument/2006/relationships/chart" Target="../charts/chart106.xml"/><Relationship Id="rId1" Type="http://schemas.openxmlformats.org/officeDocument/2006/relationships/chart" Target="../charts/chart105.xml"/><Relationship Id="rId4" Type="http://schemas.openxmlformats.org/officeDocument/2006/relationships/chart" Target="../charts/chart108.xml"/></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8" Type="http://schemas.openxmlformats.org/officeDocument/2006/relationships/chart" Target="../charts/chart116.xml"/><Relationship Id="rId3" Type="http://schemas.openxmlformats.org/officeDocument/2006/relationships/chart" Target="../charts/chart111.xml"/><Relationship Id="rId7" Type="http://schemas.openxmlformats.org/officeDocument/2006/relationships/chart" Target="../charts/chart115.xml"/><Relationship Id="rId2" Type="http://schemas.openxmlformats.org/officeDocument/2006/relationships/chart" Target="../charts/chart110.xml"/><Relationship Id="rId1" Type="http://schemas.openxmlformats.org/officeDocument/2006/relationships/chart" Target="../charts/chart109.xml"/><Relationship Id="rId6" Type="http://schemas.openxmlformats.org/officeDocument/2006/relationships/chart" Target="../charts/chart114.xml"/><Relationship Id="rId5" Type="http://schemas.openxmlformats.org/officeDocument/2006/relationships/chart" Target="../charts/chart113.xml"/><Relationship Id="rId4" Type="http://schemas.openxmlformats.org/officeDocument/2006/relationships/chart" Target="../charts/chart112.xml"/></Relationships>
</file>

<file path=xl/drawings/drawing1.xml><?xml version="1.0" encoding="utf-8"?>
<xdr:wsDr xmlns:xdr="http://schemas.openxmlformats.org/drawingml/2006/spreadsheetDrawing" xmlns:a="http://schemas.openxmlformats.org/drawingml/2006/main">
  <xdr:twoCellAnchor>
    <xdr:from>
      <xdr:col>9</xdr:col>
      <xdr:colOff>552456</xdr:colOff>
      <xdr:row>56</xdr:row>
      <xdr:rowOff>85725</xdr:rowOff>
    </xdr:from>
    <xdr:to>
      <xdr:col>16</xdr:col>
      <xdr:colOff>523875</xdr:colOff>
      <xdr:row>74</xdr:row>
      <xdr:rowOff>47625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571500</xdr:colOff>
      <xdr:row>190</xdr:row>
      <xdr:rowOff>133349</xdr:rowOff>
    </xdr:from>
    <xdr:to>
      <xdr:col>28</xdr:col>
      <xdr:colOff>559593</xdr:colOff>
      <xdr:row>207</xdr:row>
      <xdr:rowOff>38099</xdr:rowOff>
    </xdr:to>
    <xdr:graphicFrame macro="">
      <xdr:nvGraphicFramePr>
        <xdr:cNvPr id="10" name="Chart 9">
          <a:extLst>
            <a:ext uri="{FF2B5EF4-FFF2-40B4-BE49-F238E27FC236}">
              <a16:creationId xmlns:a16="http://schemas.microsoft.com/office/drawing/2014/main" id="{105B2045-3928-780F-D1D3-C5B8D4626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283366</xdr:colOff>
      <xdr:row>202</xdr:row>
      <xdr:rowOff>107155</xdr:rowOff>
    </xdr:from>
    <xdr:to>
      <xdr:col>38</xdr:col>
      <xdr:colOff>4759</xdr:colOff>
      <xdr:row>219</xdr:row>
      <xdr:rowOff>97630</xdr:rowOff>
    </xdr:to>
    <xdr:graphicFrame macro="">
      <xdr:nvGraphicFramePr>
        <xdr:cNvPr id="11" name="Chart 10">
          <a:extLst>
            <a:ext uri="{FF2B5EF4-FFF2-40B4-BE49-F238E27FC236}">
              <a16:creationId xmlns:a16="http://schemas.microsoft.com/office/drawing/2014/main" id="{E6C25101-E747-6B2E-2148-5E0B3E6AF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580313</xdr:colOff>
      <xdr:row>207</xdr:row>
      <xdr:rowOff>163862</xdr:rowOff>
    </xdr:from>
    <xdr:to>
      <xdr:col>33</xdr:col>
      <xdr:colOff>61920</xdr:colOff>
      <xdr:row>209</xdr:row>
      <xdr:rowOff>84532</xdr:rowOff>
    </xdr:to>
    <xdr:sp macro="" textlink="">
      <xdr:nvSpPr>
        <xdr:cNvPr id="12" name="TextBox 11">
          <a:extLst>
            <a:ext uri="{FF2B5EF4-FFF2-40B4-BE49-F238E27FC236}">
              <a16:creationId xmlns:a16="http://schemas.microsoft.com/office/drawing/2014/main" id="{863CCFE1-1440-C2C1-3EE7-2A9B6B317FBC}"/>
            </a:ext>
          </a:extLst>
        </xdr:cNvPr>
        <xdr:cNvSpPr txBox="1"/>
      </xdr:nvSpPr>
      <xdr:spPr>
        <a:xfrm rot="20159228">
          <a:off x="22725938" y="34632456"/>
          <a:ext cx="815107" cy="2540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56% CAGR</a:t>
          </a:r>
        </a:p>
      </xdr:txBody>
    </xdr:sp>
    <xdr:clientData/>
  </xdr:twoCellAnchor>
  <xdr:twoCellAnchor>
    <xdr:from>
      <xdr:col>30</xdr:col>
      <xdr:colOff>259554</xdr:colOff>
      <xdr:row>222</xdr:row>
      <xdr:rowOff>50007</xdr:rowOff>
    </xdr:from>
    <xdr:to>
      <xdr:col>38</xdr:col>
      <xdr:colOff>647697</xdr:colOff>
      <xdr:row>239</xdr:row>
      <xdr:rowOff>40481</xdr:rowOff>
    </xdr:to>
    <xdr:graphicFrame macro="">
      <xdr:nvGraphicFramePr>
        <xdr:cNvPr id="13" name="Chart 12">
          <a:extLst>
            <a:ext uri="{FF2B5EF4-FFF2-40B4-BE49-F238E27FC236}">
              <a16:creationId xmlns:a16="http://schemas.microsoft.com/office/drawing/2014/main" id="{0373BEDB-FB02-D241-8D46-5E0D905BB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409574</xdr:colOff>
      <xdr:row>240</xdr:row>
      <xdr:rowOff>116680</xdr:rowOff>
    </xdr:from>
    <xdr:to>
      <xdr:col>30</xdr:col>
      <xdr:colOff>238124</xdr:colOff>
      <xdr:row>257</xdr:row>
      <xdr:rowOff>107155</xdr:rowOff>
    </xdr:to>
    <xdr:graphicFrame macro="">
      <xdr:nvGraphicFramePr>
        <xdr:cNvPr id="14" name="Chart 13">
          <a:extLst>
            <a:ext uri="{FF2B5EF4-FFF2-40B4-BE49-F238E27FC236}">
              <a16:creationId xmlns:a16="http://schemas.microsoft.com/office/drawing/2014/main" id="{0CC7EADD-5D80-4D3A-7687-121648C70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1293019</xdr:colOff>
      <xdr:row>242</xdr:row>
      <xdr:rowOff>78581</xdr:rowOff>
    </xdr:from>
    <xdr:to>
      <xdr:col>28</xdr:col>
      <xdr:colOff>466725</xdr:colOff>
      <xdr:row>248</xdr:row>
      <xdr:rowOff>92857</xdr:rowOff>
    </xdr:to>
    <xdr:cxnSp macro="">
      <xdr:nvCxnSpPr>
        <xdr:cNvPr id="2" name="Straight Arrow Connector 1">
          <a:extLst>
            <a:ext uri="{FF2B5EF4-FFF2-40B4-BE49-F238E27FC236}">
              <a16:creationId xmlns:a16="http://schemas.microsoft.com/office/drawing/2014/main" id="{9DBBD850-A972-1469-C3CA-203D8A4F54F6}"/>
            </a:ext>
          </a:extLst>
        </xdr:cNvPr>
        <xdr:cNvCxnSpPr/>
      </xdr:nvCxnSpPr>
      <xdr:spPr>
        <a:xfrm flipV="1">
          <a:off x="15713869" y="36978431"/>
          <a:ext cx="3450431" cy="92867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433388</xdr:colOff>
      <xdr:row>241</xdr:row>
      <xdr:rowOff>95249</xdr:rowOff>
    </xdr:from>
    <xdr:to>
      <xdr:col>26</xdr:col>
      <xdr:colOff>110257</xdr:colOff>
      <xdr:row>243</xdr:row>
      <xdr:rowOff>20681</xdr:rowOff>
    </xdr:to>
    <xdr:sp macro="" textlink="">
      <xdr:nvSpPr>
        <xdr:cNvPr id="5" name="TextBox 4">
          <a:extLst>
            <a:ext uri="{FF2B5EF4-FFF2-40B4-BE49-F238E27FC236}">
              <a16:creationId xmlns:a16="http://schemas.microsoft.com/office/drawing/2014/main" id="{ACAEA30C-DCE3-4D44-856A-2B831AA45826}"/>
            </a:ext>
          </a:extLst>
        </xdr:cNvPr>
        <xdr:cNvSpPr txBox="1"/>
      </xdr:nvSpPr>
      <xdr:spPr>
        <a:xfrm rot="20644353">
          <a:off x="18149888" y="40231218"/>
          <a:ext cx="819869" cy="2588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23% CAGR</a:t>
          </a:r>
        </a:p>
      </xdr:txBody>
    </xdr:sp>
    <xdr:clientData/>
  </xdr:twoCellAnchor>
  <xdr:twoCellAnchor>
    <xdr:from>
      <xdr:col>30</xdr:col>
      <xdr:colOff>392907</xdr:colOff>
      <xdr:row>241</xdr:row>
      <xdr:rowOff>130968</xdr:rowOff>
    </xdr:from>
    <xdr:to>
      <xdr:col>39</xdr:col>
      <xdr:colOff>119062</xdr:colOff>
      <xdr:row>258</xdr:row>
      <xdr:rowOff>116681</xdr:rowOff>
    </xdr:to>
    <xdr:graphicFrame macro="">
      <xdr:nvGraphicFramePr>
        <xdr:cNvPr id="6" name="Chart 5">
          <a:extLst>
            <a:ext uri="{FF2B5EF4-FFF2-40B4-BE49-F238E27FC236}">
              <a16:creationId xmlns:a16="http://schemas.microsoft.com/office/drawing/2014/main" id="{169D3846-A5BC-43CD-837B-24591F68B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1428</xdr:colOff>
      <xdr:row>244</xdr:row>
      <xdr:rowOff>110488</xdr:rowOff>
    </xdr:from>
    <xdr:to>
      <xdr:col>24</xdr:col>
      <xdr:colOff>241458</xdr:colOff>
      <xdr:row>261</xdr:row>
      <xdr:rowOff>100963</xdr:rowOff>
    </xdr:to>
    <xdr:graphicFrame macro="">
      <xdr:nvGraphicFramePr>
        <xdr:cNvPr id="17" name="Chart 16">
          <a:extLst>
            <a:ext uri="{FF2B5EF4-FFF2-40B4-BE49-F238E27FC236}">
              <a16:creationId xmlns:a16="http://schemas.microsoft.com/office/drawing/2014/main" id="{CAD276B3-252C-D4C8-5B5E-208E0675E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0</xdr:colOff>
      <xdr:row>138</xdr:row>
      <xdr:rowOff>0</xdr:rowOff>
    </xdr:from>
    <xdr:to>
      <xdr:col>35</xdr:col>
      <xdr:colOff>41293</xdr:colOff>
      <xdr:row>153</xdr:row>
      <xdr:rowOff>21980</xdr:rowOff>
    </xdr:to>
    <xdr:graphicFrame macro="">
      <xdr:nvGraphicFramePr>
        <xdr:cNvPr id="7" name="Chart 6">
          <a:extLst>
            <a:ext uri="{FF2B5EF4-FFF2-40B4-BE49-F238E27FC236}">
              <a16:creationId xmlns:a16="http://schemas.microsoft.com/office/drawing/2014/main" id="{CA3ECA79-332B-4CD0-8D60-AAC384780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67235</xdr:colOff>
      <xdr:row>149</xdr:row>
      <xdr:rowOff>134471</xdr:rowOff>
    </xdr:from>
    <xdr:to>
      <xdr:col>43</xdr:col>
      <xdr:colOff>86934</xdr:colOff>
      <xdr:row>161</xdr:row>
      <xdr:rowOff>58281</xdr:rowOff>
    </xdr:to>
    <xdr:graphicFrame macro="">
      <xdr:nvGraphicFramePr>
        <xdr:cNvPr id="8" name="Chart 7">
          <a:extLst>
            <a:ext uri="{FF2B5EF4-FFF2-40B4-BE49-F238E27FC236}">
              <a16:creationId xmlns:a16="http://schemas.microsoft.com/office/drawing/2014/main" id="{BD343B57-135C-4503-AE14-F662D21AE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342900</xdr:colOff>
      <xdr:row>120</xdr:row>
      <xdr:rowOff>38100</xdr:rowOff>
    </xdr:from>
    <xdr:to>
      <xdr:col>31</xdr:col>
      <xdr:colOff>484380</xdr:colOff>
      <xdr:row>129</xdr:row>
      <xdr:rowOff>146388</xdr:rowOff>
    </xdr:to>
    <xdr:graphicFrame macro="">
      <xdr:nvGraphicFramePr>
        <xdr:cNvPr id="4" name="Chart 3">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0.16562</cdr:x>
      <cdr:y>0.14081</cdr:y>
    </cdr:from>
    <cdr:to>
      <cdr:x>0.76071</cdr:x>
      <cdr:y>0.58347</cdr:y>
    </cdr:to>
    <cdr:cxnSp macro="">
      <cdr:nvCxnSpPr>
        <cdr:cNvPr id="3" name="Straight Arrow Connector 2">
          <a:extLst xmlns:a="http://schemas.openxmlformats.org/drawingml/2006/main">
            <a:ext uri="{FF2B5EF4-FFF2-40B4-BE49-F238E27FC236}">
              <a16:creationId xmlns:a16="http://schemas.microsoft.com/office/drawing/2014/main" id="{9324372B-CE97-F313-6D23-CE9EBA5A714B}"/>
            </a:ext>
          </a:extLst>
        </cdr:cNvPr>
        <cdr:cNvCxnSpPr/>
      </cdr:nvCxnSpPr>
      <cdr:spPr>
        <a:xfrm xmlns:a="http://schemas.openxmlformats.org/drawingml/2006/main" flipV="1">
          <a:off x="947718" y="397675"/>
          <a:ext cx="3405190" cy="1250144"/>
        </a:xfrm>
        <a:prstGeom xmlns:a="http://schemas.openxmlformats.org/drawingml/2006/main" prst="straightConnector1">
          <a:avLst/>
        </a:prstGeom>
        <a:ln xmlns:a="http://schemas.openxmlformats.org/drawingml/2006/main">
          <a:solidFill>
            <a:sysClr val="windowText" lastClr="000000"/>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24</xdr:col>
      <xdr:colOff>19048</xdr:colOff>
      <xdr:row>210</xdr:row>
      <xdr:rowOff>119061</xdr:rowOff>
    </xdr:from>
    <xdr:to>
      <xdr:col>33</xdr:col>
      <xdr:colOff>371473</xdr:colOff>
      <xdr:row>229</xdr:row>
      <xdr:rowOff>119061</xdr:rowOff>
    </xdr:to>
    <xdr:graphicFrame macro="">
      <xdr:nvGraphicFramePr>
        <xdr:cNvPr id="2" name="Chart 1">
          <a:extLst>
            <a:ext uri="{FF2B5EF4-FFF2-40B4-BE49-F238E27FC236}">
              <a16:creationId xmlns:a16="http://schemas.microsoft.com/office/drawing/2014/main" id="{D93F5B02-CC01-F076-B1BF-458E034B8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419100</xdr:colOff>
      <xdr:row>210</xdr:row>
      <xdr:rowOff>80962</xdr:rowOff>
    </xdr:from>
    <xdr:to>
      <xdr:col>22</xdr:col>
      <xdr:colOff>123825</xdr:colOff>
      <xdr:row>228</xdr:row>
      <xdr:rowOff>80962</xdr:rowOff>
    </xdr:to>
    <xdr:graphicFrame macro="">
      <xdr:nvGraphicFramePr>
        <xdr:cNvPr id="2" name="Chart 1">
          <a:extLst>
            <a:ext uri="{FF2B5EF4-FFF2-40B4-BE49-F238E27FC236}">
              <a16:creationId xmlns:a16="http://schemas.microsoft.com/office/drawing/2014/main" id="{9E2E8A6C-51F4-4C20-7C1A-A88E2129E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34</xdr:col>
      <xdr:colOff>514350</xdr:colOff>
      <xdr:row>27</xdr:row>
      <xdr:rowOff>9525</xdr:rowOff>
    </xdr:from>
    <xdr:to>
      <xdr:col>44</xdr:col>
      <xdr:colOff>49956</xdr:colOff>
      <xdr:row>42</xdr:row>
      <xdr:rowOff>29554</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385482</xdr:colOff>
      <xdr:row>17</xdr:row>
      <xdr:rowOff>99732</xdr:rowOff>
    </xdr:from>
    <xdr:to>
      <xdr:col>55</xdr:col>
      <xdr:colOff>149408</xdr:colOff>
      <xdr:row>30</xdr:row>
      <xdr:rowOff>106938</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257175</xdr:colOff>
      <xdr:row>15</xdr:row>
      <xdr:rowOff>95250</xdr:rowOff>
    </xdr:from>
    <xdr:to>
      <xdr:col>24</xdr:col>
      <xdr:colOff>16618</xdr:colOff>
      <xdr:row>28</xdr:row>
      <xdr:rowOff>102456</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122464</xdr:colOff>
      <xdr:row>28</xdr:row>
      <xdr:rowOff>163286</xdr:rowOff>
    </xdr:from>
    <xdr:to>
      <xdr:col>36</xdr:col>
      <xdr:colOff>76749</xdr:colOff>
      <xdr:row>43</xdr:row>
      <xdr:rowOff>170493</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476250</xdr:colOff>
      <xdr:row>14</xdr:row>
      <xdr:rowOff>0</xdr:rowOff>
    </xdr:from>
    <xdr:to>
      <xdr:col>34</xdr:col>
      <xdr:colOff>11856</xdr:colOff>
      <xdr:row>27</xdr:row>
      <xdr:rowOff>20029</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542925</xdr:colOff>
      <xdr:row>45</xdr:row>
      <xdr:rowOff>47625</xdr:rowOff>
    </xdr:from>
    <xdr:to>
      <xdr:col>36</xdr:col>
      <xdr:colOff>96819</xdr:colOff>
      <xdr:row>58</xdr:row>
      <xdr:rowOff>54832</xdr:rowOff>
    </xdr:to>
    <xdr:graphicFrame macro="">
      <xdr:nvGraphicFramePr>
        <xdr:cNvPr id="11" name="Chart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46264</xdr:colOff>
      <xdr:row>48</xdr:row>
      <xdr:rowOff>35379</xdr:rowOff>
    </xdr:from>
    <xdr:to>
      <xdr:col>28</xdr:col>
      <xdr:colOff>205676</xdr:colOff>
      <xdr:row>61</xdr:row>
      <xdr:rowOff>43948</xdr:rowOff>
    </xdr:to>
    <xdr:graphicFrame macro="">
      <xdr:nvGraphicFramePr>
        <xdr:cNvPr id="13" name="Chart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59</xdr:row>
      <xdr:rowOff>95250</xdr:rowOff>
    </xdr:from>
    <xdr:to>
      <xdr:col>26</xdr:col>
      <xdr:colOff>163494</xdr:colOff>
      <xdr:row>72</xdr:row>
      <xdr:rowOff>102458</xdr:rowOff>
    </xdr:to>
    <xdr:graphicFrame macro="">
      <xdr:nvGraphicFramePr>
        <xdr:cNvPr id="14" name="Chart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70716</xdr:colOff>
      <xdr:row>70</xdr:row>
      <xdr:rowOff>122671</xdr:rowOff>
    </xdr:from>
    <xdr:to>
      <xdr:col>25</xdr:col>
      <xdr:colOff>265257</xdr:colOff>
      <xdr:row>85</xdr:row>
      <xdr:rowOff>2598</xdr:rowOff>
    </xdr:to>
    <xdr:graphicFrame macro="">
      <xdr:nvGraphicFramePr>
        <xdr:cNvPr id="16" name="Chart 15">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228600</xdr:colOff>
      <xdr:row>70</xdr:row>
      <xdr:rowOff>152400</xdr:rowOff>
    </xdr:from>
    <xdr:to>
      <xdr:col>36</xdr:col>
      <xdr:colOff>182884</xdr:colOff>
      <xdr:row>83</xdr:row>
      <xdr:rowOff>159607</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66675</xdr:colOff>
      <xdr:row>77</xdr:row>
      <xdr:rowOff>47625</xdr:rowOff>
    </xdr:from>
    <xdr:to>
      <xdr:col>26</xdr:col>
      <xdr:colOff>211880</xdr:colOff>
      <xdr:row>90</xdr:row>
      <xdr:rowOff>80998</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363632</xdr:colOff>
      <xdr:row>4</xdr:row>
      <xdr:rowOff>104214</xdr:rowOff>
    </xdr:from>
    <xdr:to>
      <xdr:col>29</xdr:col>
      <xdr:colOff>466937</xdr:colOff>
      <xdr:row>17</xdr:row>
      <xdr:rowOff>124243</xdr:rowOff>
    </xdr:to>
    <xdr:graphicFrame macro="">
      <xdr:nvGraphicFramePr>
        <xdr:cNvPr id="20" name="Chart 19">
          <a:extLst>
            <a:ext uri="{FF2B5EF4-FFF2-40B4-BE49-F238E27FC236}">
              <a16:creationId xmlns:a16="http://schemas.microsoft.com/office/drawing/2014/main" i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85725</xdr:colOff>
      <xdr:row>112</xdr:row>
      <xdr:rowOff>101973</xdr:rowOff>
    </xdr:from>
    <xdr:to>
      <xdr:col>21</xdr:col>
      <xdr:colOff>189046</xdr:colOff>
      <xdr:row>130</xdr:row>
      <xdr:rowOff>6954</xdr:rowOff>
    </xdr:to>
    <xdr:graphicFrame macro="">
      <xdr:nvGraphicFramePr>
        <xdr:cNvPr id="26" name="Chart 25">
          <a:extLst>
            <a:ext uri="{FF2B5EF4-FFF2-40B4-BE49-F238E27FC236}">
              <a16:creationId xmlns:a16="http://schemas.microsoft.com/office/drawing/2014/main" id="{00000000-0008-0000-03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9524</xdr:colOff>
      <xdr:row>111</xdr:row>
      <xdr:rowOff>19050</xdr:rowOff>
    </xdr:from>
    <xdr:to>
      <xdr:col>28</xdr:col>
      <xdr:colOff>106108</xdr:colOff>
      <xdr:row>124</xdr:row>
      <xdr:rowOff>15927</xdr:rowOff>
    </xdr:to>
    <xdr:graphicFrame macro="">
      <xdr:nvGraphicFramePr>
        <xdr:cNvPr id="27" name="Chart 26">
          <a:extLst>
            <a:ext uri="{FF2B5EF4-FFF2-40B4-BE49-F238E27FC236}">
              <a16:creationId xmlns:a16="http://schemas.microsoft.com/office/drawing/2014/main" id="{00000000-0008-0000-0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28</xdr:col>
      <xdr:colOff>85725</xdr:colOff>
      <xdr:row>110</xdr:row>
      <xdr:rowOff>152400</xdr:rowOff>
    </xdr:from>
    <xdr:to>
      <xdr:col>34</xdr:col>
      <xdr:colOff>156533</xdr:colOff>
      <xdr:row>124</xdr:row>
      <xdr:rowOff>127862</xdr:rowOff>
    </xdr:to>
    <xdr:graphicFrame macro="">
      <xdr:nvGraphicFramePr>
        <xdr:cNvPr id="28" name="Chart 27">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476250</xdr:colOff>
      <xdr:row>92</xdr:row>
      <xdr:rowOff>133350</xdr:rowOff>
    </xdr:from>
    <xdr:to>
      <xdr:col>21</xdr:col>
      <xdr:colOff>527114</xdr:colOff>
      <xdr:row>109</xdr:row>
      <xdr:rowOff>40386</xdr:rowOff>
    </xdr:to>
    <xdr:graphicFrame macro="">
      <xdr:nvGraphicFramePr>
        <xdr:cNvPr id="29" name="Chart 28">
          <a:extLst>
            <a:ext uri="{FF2B5EF4-FFF2-40B4-BE49-F238E27FC236}">
              <a16:creationId xmlns:a16="http://schemas.microsoft.com/office/drawing/2014/main" id="{00000000-0008-0000-03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76199</xdr:colOff>
      <xdr:row>93</xdr:row>
      <xdr:rowOff>57150</xdr:rowOff>
    </xdr:from>
    <xdr:to>
      <xdr:col>28</xdr:col>
      <xdr:colOff>181927</xdr:colOff>
      <xdr:row>108</xdr:row>
      <xdr:rowOff>134874</xdr:rowOff>
    </xdr:to>
    <xdr:graphicFrame macro="">
      <xdr:nvGraphicFramePr>
        <xdr:cNvPr id="30" name="Chart 29">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27</xdr:col>
      <xdr:colOff>16669</xdr:colOff>
      <xdr:row>84</xdr:row>
      <xdr:rowOff>164306</xdr:rowOff>
    </xdr:from>
    <xdr:to>
      <xdr:col>36</xdr:col>
      <xdr:colOff>127538</xdr:colOff>
      <xdr:row>99</xdr:row>
      <xdr:rowOff>50006</xdr:rowOff>
    </xdr:to>
    <xdr:graphicFrame macro="">
      <xdr:nvGraphicFramePr>
        <xdr:cNvPr id="32" name="Chart 31">
          <a:extLst>
            <a:ext uri="{FF2B5EF4-FFF2-40B4-BE49-F238E27FC236}">
              <a16:creationId xmlns:a16="http://schemas.microsoft.com/office/drawing/2014/main" id="{00000000-0008-0000-0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36</xdr:col>
      <xdr:colOff>316804</xdr:colOff>
      <xdr:row>99</xdr:row>
      <xdr:rowOff>64859</xdr:rowOff>
    </xdr:from>
    <xdr:to>
      <xdr:col>45</xdr:col>
      <xdr:colOff>395407</xdr:colOff>
      <xdr:row>114</xdr:row>
      <xdr:rowOff>15378</xdr:rowOff>
    </xdr:to>
    <xdr:graphicFrame macro="">
      <xdr:nvGraphicFramePr>
        <xdr:cNvPr id="12" name="Chart 11">
          <a:extLst>
            <a:ext uri="{FF2B5EF4-FFF2-40B4-BE49-F238E27FC236}">
              <a16:creationId xmlns:a16="http://schemas.microsoft.com/office/drawing/2014/main" id="{AEDC1772-158F-49BD-A2E3-25554D98B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518866</xdr:colOff>
      <xdr:row>119</xdr:row>
      <xdr:rowOff>113416</xdr:rowOff>
    </xdr:from>
    <xdr:to>
      <xdr:col>44</xdr:col>
      <xdr:colOff>12708</xdr:colOff>
      <xdr:row>135</xdr:row>
      <xdr:rowOff>58162</xdr:rowOff>
    </xdr:to>
    <xdr:graphicFrame macro="">
      <xdr:nvGraphicFramePr>
        <xdr:cNvPr id="17" name="Chart 16">
          <a:extLst>
            <a:ext uri="{FF2B5EF4-FFF2-40B4-BE49-F238E27FC236}">
              <a16:creationId xmlns:a16="http://schemas.microsoft.com/office/drawing/2014/main" id="{8CAEA16F-9FE6-4AA8-9DC5-F3A20DD9C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37</xdr:col>
      <xdr:colOff>207478</xdr:colOff>
      <xdr:row>43</xdr:row>
      <xdr:rowOff>58745</xdr:rowOff>
    </xdr:from>
    <xdr:to>
      <xdr:col>46</xdr:col>
      <xdr:colOff>292159</xdr:colOff>
      <xdr:row>57</xdr:row>
      <xdr:rowOff>157392</xdr:rowOff>
    </xdr:to>
    <xdr:graphicFrame macro="">
      <xdr:nvGraphicFramePr>
        <xdr:cNvPr id="18" name="Chart 17">
          <a:extLst>
            <a:ext uri="{FF2B5EF4-FFF2-40B4-BE49-F238E27FC236}">
              <a16:creationId xmlns:a16="http://schemas.microsoft.com/office/drawing/2014/main" id="{3F52EF8C-CE66-4D4F-9288-3B16FD031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56</xdr:col>
      <xdr:colOff>190500</xdr:colOff>
      <xdr:row>71</xdr:row>
      <xdr:rowOff>127000</xdr:rowOff>
    </xdr:from>
    <xdr:to>
      <xdr:col>65</xdr:col>
      <xdr:colOff>272818</xdr:colOff>
      <xdr:row>84</xdr:row>
      <xdr:rowOff>170045</xdr:rowOff>
    </xdr:to>
    <xdr:graphicFrame macro="">
      <xdr:nvGraphicFramePr>
        <xdr:cNvPr id="19" name="Chart 18">
          <a:extLst>
            <a:ext uri="{FF2B5EF4-FFF2-40B4-BE49-F238E27FC236}">
              <a16:creationId xmlns:a16="http://schemas.microsoft.com/office/drawing/2014/main" id="{5CE5B6EC-99E1-E986-DD4D-201A64074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46</xdr:col>
      <xdr:colOff>190500</xdr:colOff>
      <xdr:row>73</xdr:row>
      <xdr:rowOff>0</xdr:rowOff>
    </xdr:from>
    <xdr:to>
      <xdr:col>55</xdr:col>
      <xdr:colOff>125394</xdr:colOff>
      <xdr:row>86</xdr:row>
      <xdr:rowOff>7206</xdr:rowOff>
    </xdr:to>
    <xdr:graphicFrame macro="">
      <xdr:nvGraphicFramePr>
        <xdr:cNvPr id="21" name="Chart 20">
          <a:extLst>
            <a:ext uri="{FF2B5EF4-FFF2-40B4-BE49-F238E27FC236}">
              <a16:creationId xmlns:a16="http://schemas.microsoft.com/office/drawing/2014/main" id="{66AD0F04-75BE-0EE0-4A24-10EE724AD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31</xdr:col>
      <xdr:colOff>367756</xdr:colOff>
      <xdr:row>137</xdr:row>
      <xdr:rowOff>35655</xdr:rowOff>
    </xdr:from>
    <xdr:to>
      <xdr:col>47</xdr:col>
      <xdr:colOff>79719</xdr:colOff>
      <xdr:row>145</xdr:row>
      <xdr:rowOff>120999</xdr:rowOff>
    </xdr:to>
    <xdr:graphicFrame macro="">
      <xdr:nvGraphicFramePr>
        <xdr:cNvPr id="4" name="Chart 3">
          <a:extLst>
            <a:ext uri="{FF2B5EF4-FFF2-40B4-BE49-F238E27FC236}">
              <a16:creationId xmlns:a16="http://schemas.microsoft.com/office/drawing/2014/main" id="{BD343B57-135C-4503-AE14-F662D21AE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253339</xdr:colOff>
      <xdr:row>65</xdr:row>
      <xdr:rowOff>42554</xdr:rowOff>
    </xdr:from>
    <xdr:to>
      <xdr:col>8</xdr:col>
      <xdr:colOff>115126</xdr:colOff>
      <xdr:row>77</xdr:row>
      <xdr:rowOff>73079</xdr:rowOff>
    </xdr:to>
    <xdr:graphicFrame macro="">
      <xdr:nvGraphicFramePr>
        <xdr:cNvPr id="22" name="Chart 21">
          <a:extLst>
            <a:ext uri="{FF2B5EF4-FFF2-40B4-BE49-F238E27FC236}">
              <a16:creationId xmlns:a16="http://schemas.microsoft.com/office/drawing/2014/main" id="{D26B9FAE-5385-D5E3-DE7A-419422A28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15</xdr:col>
      <xdr:colOff>462802</xdr:colOff>
      <xdr:row>174</xdr:row>
      <xdr:rowOff>63593</xdr:rowOff>
    </xdr:from>
    <xdr:to>
      <xdr:col>25</xdr:col>
      <xdr:colOff>77320</xdr:colOff>
      <xdr:row>188</xdr:row>
      <xdr:rowOff>139793</xdr:rowOff>
    </xdr:to>
    <xdr:graphicFrame macro="">
      <xdr:nvGraphicFramePr>
        <xdr:cNvPr id="24" name="Chart 23">
          <a:extLst>
            <a:ext uri="{FF2B5EF4-FFF2-40B4-BE49-F238E27FC236}">
              <a16:creationId xmlns:a16="http://schemas.microsoft.com/office/drawing/2014/main" id="{9E4787D9-B766-0B07-0563-C373693FB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25</xdr:col>
      <xdr:colOff>247650</xdr:colOff>
      <xdr:row>136</xdr:row>
      <xdr:rowOff>28575</xdr:rowOff>
    </xdr:from>
    <xdr:to>
      <xdr:col>34</xdr:col>
      <xdr:colOff>476250</xdr:colOff>
      <xdr:row>151</xdr:row>
      <xdr:rowOff>104775</xdr:rowOff>
    </xdr:to>
    <xdr:graphicFrame macro="">
      <xdr:nvGraphicFramePr>
        <xdr:cNvPr id="25" name="Chart 24">
          <a:extLst>
            <a:ext uri="{FF2B5EF4-FFF2-40B4-BE49-F238E27FC236}">
              <a16:creationId xmlns:a16="http://schemas.microsoft.com/office/drawing/2014/main" id="{5E73371F-1371-4FA2-B15D-8F2020778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16</xdr:col>
      <xdr:colOff>66675</xdr:colOff>
      <xdr:row>147</xdr:row>
      <xdr:rowOff>152400</xdr:rowOff>
    </xdr:from>
    <xdr:to>
      <xdr:col>25</xdr:col>
      <xdr:colOff>230170</xdr:colOff>
      <xdr:row>159</xdr:row>
      <xdr:rowOff>178843</xdr:rowOff>
    </xdr:to>
    <xdr:graphicFrame macro="">
      <xdr:nvGraphicFramePr>
        <xdr:cNvPr id="34" name="Chart 33">
          <a:extLst>
            <a:ext uri="{FF2B5EF4-FFF2-40B4-BE49-F238E27FC236}">
              <a16:creationId xmlns:a16="http://schemas.microsoft.com/office/drawing/2014/main" id="{00EE2CF5-0B06-4C76-8C76-F8A24B493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19</xdr:col>
      <xdr:colOff>473529</xdr:colOff>
      <xdr:row>169</xdr:row>
      <xdr:rowOff>89807</xdr:rowOff>
    </xdr:from>
    <xdr:to>
      <xdr:col>29</xdr:col>
      <xdr:colOff>38309</xdr:colOff>
      <xdr:row>181</xdr:row>
      <xdr:rowOff>110807</xdr:rowOff>
    </xdr:to>
    <xdr:graphicFrame macro="">
      <xdr:nvGraphicFramePr>
        <xdr:cNvPr id="36" name="Chart 35">
          <a:extLst>
            <a:ext uri="{FF2B5EF4-FFF2-40B4-BE49-F238E27FC236}">
              <a16:creationId xmlns:a16="http://schemas.microsoft.com/office/drawing/2014/main" id="{7A2074CF-F624-440B-AA65-316482B30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25</xdr:col>
      <xdr:colOff>397328</xdr:colOff>
      <xdr:row>153</xdr:row>
      <xdr:rowOff>76199</xdr:rowOff>
    </xdr:from>
    <xdr:to>
      <xdr:col>34</xdr:col>
      <xdr:colOff>604366</xdr:colOff>
      <xdr:row>165</xdr:row>
      <xdr:rowOff>102642</xdr:rowOff>
    </xdr:to>
    <xdr:graphicFrame macro="">
      <xdr:nvGraphicFramePr>
        <xdr:cNvPr id="33" name="Chart 32">
          <a:extLst>
            <a:ext uri="{FF2B5EF4-FFF2-40B4-BE49-F238E27FC236}">
              <a16:creationId xmlns:a16="http://schemas.microsoft.com/office/drawing/2014/main" id="{3DCCC53E-C8E3-488B-B8E9-77A97DDC9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25</xdr:col>
      <xdr:colOff>157844</xdr:colOff>
      <xdr:row>166</xdr:row>
      <xdr:rowOff>38099</xdr:rowOff>
    </xdr:from>
    <xdr:to>
      <xdr:col>34</xdr:col>
      <xdr:colOff>364882</xdr:colOff>
      <xdr:row>178</xdr:row>
      <xdr:rowOff>64542</xdr:rowOff>
    </xdr:to>
    <xdr:graphicFrame macro="">
      <xdr:nvGraphicFramePr>
        <xdr:cNvPr id="35" name="Chart 34">
          <a:extLst>
            <a:ext uri="{FF2B5EF4-FFF2-40B4-BE49-F238E27FC236}">
              <a16:creationId xmlns:a16="http://schemas.microsoft.com/office/drawing/2014/main" id="{0B896FF4-372E-49D8-9634-8BAF0070F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15</xdr:col>
      <xdr:colOff>560615</xdr:colOff>
      <xdr:row>177</xdr:row>
      <xdr:rowOff>97971</xdr:rowOff>
    </xdr:from>
    <xdr:to>
      <xdr:col>25</xdr:col>
      <xdr:colOff>114510</xdr:colOff>
      <xdr:row>189</xdr:row>
      <xdr:rowOff>124415</xdr:rowOff>
    </xdr:to>
    <xdr:graphicFrame macro="">
      <xdr:nvGraphicFramePr>
        <xdr:cNvPr id="37" name="Chart 36">
          <a:extLst>
            <a:ext uri="{FF2B5EF4-FFF2-40B4-BE49-F238E27FC236}">
              <a16:creationId xmlns:a16="http://schemas.microsoft.com/office/drawing/2014/main" id="{A8294A33-A02A-45E1-BDE7-9BF4BEA30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16</xdr:col>
      <xdr:colOff>31296</xdr:colOff>
      <xdr:row>191</xdr:row>
      <xdr:rowOff>159203</xdr:rowOff>
    </xdr:from>
    <xdr:to>
      <xdr:col>24</xdr:col>
      <xdr:colOff>583746</xdr:colOff>
      <xdr:row>206</xdr:row>
      <xdr:rowOff>126546</xdr:rowOff>
    </xdr:to>
    <xdr:graphicFrame macro="">
      <xdr:nvGraphicFramePr>
        <xdr:cNvPr id="15" name="Chart 14">
          <a:extLst>
            <a:ext uri="{FF2B5EF4-FFF2-40B4-BE49-F238E27FC236}">
              <a16:creationId xmlns:a16="http://schemas.microsoft.com/office/drawing/2014/main" id="{6D1424A1-8E7A-8686-3151-9F750296F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25</xdr:col>
      <xdr:colOff>283028</xdr:colOff>
      <xdr:row>176</xdr:row>
      <xdr:rowOff>81642</xdr:rowOff>
    </xdr:from>
    <xdr:to>
      <xdr:col>43</xdr:col>
      <xdr:colOff>69471</xdr:colOff>
      <xdr:row>191</xdr:row>
      <xdr:rowOff>3677</xdr:rowOff>
    </xdr:to>
    <xdr:graphicFrame macro="">
      <xdr:nvGraphicFramePr>
        <xdr:cNvPr id="40" name="Chart 39">
          <a:extLst>
            <a:ext uri="{FF2B5EF4-FFF2-40B4-BE49-F238E27FC236}">
              <a16:creationId xmlns:a16="http://schemas.microsoft.com/office/drawing/2014/main" id="{38BCBA30-0AA2-45CA-8806-61BB96241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16</xdr:col>
      <xdr:colOff>567338</xdr:colOff>
      <xdr:row>201</xdr:row>
      <xdr:rowOff>41141</xdr:rowOff>
    </xdr:from>
    <xdr:to>
      <xdr:col>34</xdr:col>
      <xdr:colOff>337114</xdr:colOff>
      <xdr:row>215</xdr:row>
      <xdr:rowOff>136547</xdr:rowOff>
    </xdr:to>
    <xdr:graphicFrame macro="">
      <xdr:nvGraphicFramePr>
        <xdr:cNvPr id="41" name="Chart 40">
          <a:extLst>
            <a:ext uri="{FF2B5EF4-FFF2-40B4-BE49-F238E27FC236}">
              <a16:creationId xmlns:a16="http://schemas.microsoft.com/office/drawing/2014/main" id="{912EBB95-735C-4D8F-AC6F-BC0BAD433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xdr:col>
      <xdr:colOff>606136</xdr:colOff>
      <xdr:row>23</xdr:row>
      <xdr:rowOff>103909</xdr:rowOff>
    </xdr:from>
    <xdr:to>
      <xdr:col>8</xdr:col>
      <xdr:colOff>390259</xdr:colOff>
      <xdr:row>36</xdr:row>
      <xdr:rowOff>126659</xdr:rowOff>
    </xdr:to>
    <xdr:graphicFrame macro="">
      <xdr:nvGraphicFramePr>
        <xdr:cNvPr id="38" name="Chart 37">
          <a:extLst>
            <a:ext uri="{FF2B5EF4-FFF2-40B4-BE49-F238E27FC236}">
              <a16:creationId xmlns:a16="http://schemas.microsoft.com/office/drawing/2014/main" id="{74E50012-CC7E-447B-8655-88C111AF2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14</xdr:col>
      <xdr:colOff>401730</xdr:colOff>
      <xdr:row>71</xdr:row>
      <xdr:rowOff>38100</xdr:rowOff>
    </xdr:from>
    <xdr:to>
      <xdr:col>23</xdr:col>
      <xdr:colOff>377018</xdr:colOff>
      <xdr:row>83</xdr:row>
      <xdr:rowOff>68626</xdr:rowOff>
    </xdr:to>
    <xdr:graphicFrame macro="">
      <xdr:nvGraphicFramePr>
        <xdr:cNvPr id="42" name="Chart 41">
          <a:extLst>
            <a:ext uri="{FF2B5EF4-FFF2-40B4-BE49-F238E27FC236}">
              <a16:creationId xmlns:a16="http://schemas.microsoft.com/office/drawing/2014/main" id="{14AA9E0D-CC11-492B-9B57-62FE2AF0F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19</xdr:col>
      <xdr:colOff>378918</xdr:colOff>
      <xdr:row>99</xdr:row>
      <xdr:rowOff>130627</xdr:rowOff>
    </xdr:from>
    <xdr:to>
      <xdr:col>29</xdr:col>
      <xdr:colOff>28975</xdr:colOff>
      <xdr:row>114</xdr:row>
      <xdr:rowOff>16327</xdr:rowOff>
    </xdr:to>
    <xdr:graphicFrame macro="">
      <xdr:nvGraphicFramePr>
        <xdr:cNvPr id="43" name="Chart 42">
          <a:extLst>
            <a:ext uri="{FF2B5EF4-FFF2-40B4-BE49-F238E27FC236}">
              <a16:creationId xmlns:a16="http://schemas.microsoft.com/office/drawing/2014/main" id="{49B16AE4-E57F-3FAB-EE3A-0FD59B809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44</xdr:col>
      <xdr:colOff>375329</xdr:colOff>
      <xdr:row>32</xdr:row>
      <xdr:rowOff>155898</xdr:rowOff>
    </xdr:from>
    <xdr:to>
      <xdr:col>56</xdr:col>
      <xdr:colOff>18773</xdr:colOff>
      <xdr:row>47</xdr:row>
      <xdr:rowOff>41596</xdr:rowOff>
    </xdr:to>
    <xdr:graphicFrame macro="">
      <xdr:nvGraphicFramePr>
        <xdr:cNvPr id="44" name="Chart 43">
          <a:extLst>
            <a:ext uri="{FF2B5EF4-FFF2-40B4-BE49-F238E27FC236}">
              <a16:creationId xmlns:a16="http://schemas.microsoft.com/office/drawing/2014/main" id="{AF71C700-A386-9532-BE2F-55909156C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21</xdr:col>
      <xdr:colOff>26093</xdr:colOff>
      <xdr:row>130</xdr:row>
      <xdr:rowOff>33379</xdr:rowOff>
    </xdr:from>
    <xdr:to>
      <xdr:col>32</xdr:col>
      <xdr:colOff>233723</xdr:colOff>
      <xdr:row>144</xdr:row>
      <xdr:rowOff>167263</xdr:rowOff>
    </xdr:to>
    <xdr:graphicFrame macro="">
      <xdr:nvGraphicFramePr>
        <xdr:cNvPr id="45" name="Chart 44">
          <a:extLst>
            <a:ext uri="{FF2B5EF4-FFF2-40B4-BE49-F238E27FC236}">
              <a16:creationId xmlns:a16="http://schemas.microsoft.com/office/drawing/2014/main" id="{6219F46D-9325-43A2-9A13-5728351A2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15</xdr:col>
      <xdr:colOff>0</xdr:colOff>
      <xdr:row>193</xdr:row>
      <xdr:rowOff>0</xdr:rowOff>
    </xdr:from>
    <xdr:to>
      <xdr:col>24</xdr:col>
      <xdr:colOff>163576</xdr:colOff>
      <xdr:row>205</xdr:row>
      <xdr:rowOff>25083</xdr:rowOff>
    </xdr:to>
    <xdr:graphicFrame macro="">
      <xdr:nvGraphicFramePr>
        <xdr:cNvPr id="46" name="Chart 45">
          <a:extLst>
            <a:ext uri="{FF2B5EF4-FFF2-40B4-BE49-F238E27FC236}">
              <a16:creationId xmlns:a16="http://schemas.microsoft.com/office/drawing/2014/main" id="{A8AA68B5-1939-4E3A-A048-8B6D43E5D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22</xdr:col>
      <xdr:colOff>69273</xdr:colOff>
      <xdr:row>48</xdr:row>
      <xdr:rowOff>148732</xdr:rowOff>
    </xdr:from>
    <xdr:to>
      <xdr:col>31</xdr:col>
      <xdr:colOff>110633</xdr:colOff>
      <xdr:row>63</xdr:row>
      <xdr:rowOff>171482</xdr:rowOff>
    </xdr:to>
    <xdr:graphicFrame macro="">
      <xdr:nvGraphicFramePr>
        <xdr:cNvPr id="47" name="Chart 46">
          <a:extLst>
            <a:ext uri="{FF2B5EF4-FFF2-40B4-BE49-F238E27FC236}">
              <a16:creationId xmlns:a16="http://schemas.microsoft.com/office/drawing/2014/main" id="{6B249379-384D-400C-8514-1C660F737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21</xdr:col>
      <xdr:colOff>156882</xdr:colOff>
      <xdr:row>106</xdr:row>
      <xdr:rowOff>100853</xdr:rowOff>
    </xdr:from>
    <xdr:to>
      <xdr:col>30</xdr:col>
      <xdr:colOff>398189</xdr:colOff>
      <xdr:row>119</xdr:row>
      <xdr:rowOff>62753</xdr:rowOff>
    </xdr:to>
    <xdr:graphicFrame macro="">
      <xdr:nvGraphicFramePr>
        <xdr:cNvPr id="49" name="Chart 48">
          <a:extLst>
            <a:ext uri="{FF2B5EF4-FFF2-40B4-BE49-F238E27FC236}">
              <a16:creationId xmlns:a16="http://schemas.microsoft.com/office/drawing/2014/main" id="{0976213D-E6C7-4872-98B7-6CD40EA88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29</xdr:col>
      <xdr:colOff>320967</xdr:colOff>
      <xdr:row>104</xdr:row>
      <xdr:rowOff>81483</xdr:rowOff>
    </xdr:from>
    <xdr:to>
      <xdr:col>38</xdr:col>
      <xdr:colOff>569478</xdr:colOff>
      <xdr:row>117</xdr:row>
      <xdr:rowOff>43383</xdr:rowOff>
    </xdr:to>
    <xdr:graphicFrame macro="">
      <xdr:nvGraphicFramePr>
        <xdr:cNvPr id="50" name="Chart 49">
          <a:extLst>
            <a:ext uri="{FF2B5EF4-FFF2-40B4-BE49-F238E27FC236}">
              <a16:creationId xmlns:a16="http://schemas.microsoft.com/office/drawing/2014/main" id="{BD343B57-135C-4503-AE14-F662D21AE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27</xdr:col>
      <xdr:colOff>366739</xdr:colOff>
      <xdr:row>37</xdr:row>
      <xdr:rowOff>156883</xdr:rowOff>
    </xdr:from>
    <xdr:to>
      <xdr:col>36</xdr:col>
      <xdr:colOff>407081</xdr:colOff>
      <xdr:row>51</xdr:row>
      <xdr:rowOff>24713</xdr:rowOff>
    </xdr:to>
    <xdr:graphicFrame macro="">
      <xdr:nvGraphicFramePr>
        <xdr:cNvPr id="52" name="Chart 51">
          <a:extLst>
            <a:ext uri="{FF2B5EF4-FFF2-40B4-BE49-F238E27FC236}">
              <a16:creationId xmlns:a16="http://schemas.microsoft.com/office/drawing/2014/main" id="{55CD5E79-E85F-4305-88FB-BA10AA4DF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39</xdr:col>
      <xdr:colOff>591874</xdr:colOff>
      <xdr:row>35</xdr:row>
      <xdr:rowOff>103908</xdr:rowOff>
    </xdr:from>
    <xdr:to>
      <xdr:col>49</xdr:col>
      <xdr:colOff>209726</xdr:colOff>
      <xdr:row>50</xdr:row>
      <xdr:rowOff>162238</xdr:rowOff>
    </xdr:to>
    <xdr:graphicFrame macro="">
      <xdr:nvGraphicFramePr>
        <xdr:cNvPr id="53" name="Chart 52">
          <a:extLst>
            <a:ext uri="{FF2B5EF4-FFF2-40B4-BE49-F238E27FC236}">
              <a16:creationId xmlns:a16="http://schemas.microsoft.com/office/drawing/2014/main" id="{49B16AE4-E57F-3FAB-EE3A-0FD59B809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30</xdr:col>
      <xdr:colOff>468609</xdr:colOff>
      <xdr:row>49</xdr:row>
      <xdr:rowOff>78441</xdr:rowOff>
    </xdr:from>
    <xdr:to>
      <xdr:col>49</xdr:col>
      <xdr:colOff>519503</xdr:colOff>
      <xdr:row>63</xdr:row>
      <xdr:rowOff>2240</xdr:rowOff>
    </xdr:to>
    <xdr:graphicFrame macro="">
      <xdr:nvGraphicFramePr>
        <xdr:cNvPr id="58" name="Chart 57">
          <a:extLst>
            <a:ext uri="{FF2B5EF4-FFF2-40B4-BE49-F238E27FC236}">
              <a16:creationId xmlns:a16="http://schemas.microsoft.com/office/drawing/2014/main" id="{A8AA68B5-1939-4E3A-A048-8B6D43E5D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59</xdr:col>
      <xdr:colOff>4977</xdr:colOff>
      <xdr:row>138</xdr:row>
      <xdr:rowOff>68036</xdr:rowOff>
    </xdr:from>
    <xdr:to>
      <xdr:col>68</xdr:col>
      <xdr:colOff>239978</xdr:colOff>
      <xdr:row>152</xdr:row>
      <xdr:rowOff>75164</xdr:rowOff>
    </xdr:to>
    <xdr:graphicFrame macro="">
      <xdr:nvGraphicFramePr>
        <xdr:cNvPr id="39" name="Chart 38">
          <a:extLst>
            <a:ext uri="{FF2B5EF4-FFF2-40B4-BE49-F238E27FC236}">
              <a16:creationId xmlns:a16="http://schemas.microsoft.com/office/drawing/2014/main" id="{EC715F1E-7C30-46A3-94F7-3EAA91298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49</xdr:col>
      <xdr:colOff>122465</xdr:colOff>
      <xdr:row>138</xdr:row>
      <xdr:rowOff>68036</xdr:rowOff>
    </xdr:from>
    <xdr:to>
      <xdr:col>58</xdr:col>
      <xdr:colOff>336143</xdr:colOff>
      <xdr:row>152</xdr:row>
      <xdr:rowOff>75164</xdr:rowOff>
    </xdr:to>
    <xdr:graphicFrame macro="">
      <xdr:nvGraphicFramePr>
        <xdr:cNvPr id="48" name="Chart 47">
          <a:extLst>
            <a:ext uri="{FF2B5EF4-FFF2-40B4-BE49-F238E27FC236}">
              <a16:creationId xmlns:a16="http://schemas.microsoft.com/office/drawing/2014/main" id="{7CA3421F-F3B6-4BC5-8E74-BFF5B9E5D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49</xdr:col>
      <xdr:colOff>122465</xdr:colOff>
      <xdr:row>154</xdr:row>
      <xdr:rowOff>58570</xdr:rowOff>
    </xdr:from>
    <xdr:to>
      <xdr:col>58</xdr:col>
      <xdr:colOff>326300</xdr:colOff>
      <xdr:row>167</xdr:row>
      <xdr:rowOff>65777</xdr:rowOff>
    </xdr:to>
    <xdr:graphicFrame macro="">
      <xdr:nvGraphicFramePr>
        <xdr:cNvPr id="51" name="Chart 50">
          <a:extLst>
            <a:ext uri="{FF2B5EF4-FFF2-40B4-BE49-F238E27FC236}">
              <a16:creationId xmlns:a16="http://schemas.microsoft.com/office/drawing/2014/main" id="{3F52EF8C-CE66-4D4F-9288-3B16FD031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13</xdr:col>
      <xdr:colOff>248210</xdr:colOff>
      <xdr:row>48</xdr:row>
      <xdr:rowOff>76200</xdr:rowOff>
    </xdr:from>
    <xdr:to>
      <xdr:col>20</xdr:col>
      <xdr:colOff>438151</xdr:colOff>
      <xdr:row>65</xdr:row>
      <xdr:rowOff>9525</xdr:rowOff>
    </xdr:to>
    <xdr:graphicFrame macro="">
      <xdr:nvGraphicFramePr>
        <xdr:cNvPr id="54" name="Chart 53">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29</xdr:col>
      <xdr:colOff>15282</xdr:colOff>
      <xdr:row>64</xdr:row>
      <xdr:rowOff>10187</xdr:rowOff>
    </xdr:from>
    <xdr:to>
      <xdr:col>35</xdr:col>
      <xdr:colOff>145471</xdr:colOff>
      <xdr:row>80</xdr:row>
      <xdr:rowOff>105668</xdr:rowOff>
    </xdr:to>
    <xdr:graphicFrame macro="">
      <xdr:nvGraphicFramePr>
        <xdr:cNvPr id="55" name="Chart 54">
          <a:extLst>
            <a:ext uri="{FF2B5EF4-FFF2-40B4-BE49-F238E27FC236}">
              <a16:creationId xmlns:a16="http://schemas.microsoft.com/office/drawing/2014/main" id="{00000000-0008-0000-03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49</xdr:col>
      <xdr:colOff>1869</xdr:colOff>
      <xdr:row>169</xdr:row>
      <xdr:rowOff>0</xdr:rowOff>
    </xdr:from>
    <xdr:to>
      <xdr:col>55</xdr:col>
      <xdr:colOff>68072</xdr:colOff>
      <xdr:row>184</xdr:row>
      <xdr:rowOff>77333</xdr:rowOff>
    </xdr:to>
    <xdr:graphicFrame macro="">
      <xdr:nvGraphicFramePr>
        <xdr:cNvPr id="59" name="Chart 58">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49</xdr:col>
      <xdr:colOff>0</xdr:colOff>
      <xdr:row>181</xdr:row>
      <xdr:rowOff>156342</xdr:rowOff>
    </xdr:from>
    <xdr:to>
      <xdr:col>55</xdr:col>
      <xdr:colOff>68072</xdr:colOff>
      <xdr:row>196</xdr:row>
      <xdr:rowOff>162371</xdr:rowOff>
    </xdr:to>
    <xdr:graphicFrame macro="">
      <xdr:nvGraphicFramePr>
        <xdr:cNvPr id="60" name="Chart 59">
          <a:extLst>
            <a:ext uri="{FF2B5EF4-FFF2-40B4-BE49-F238E27FC236}">
              <a16:creationId xmlns:a16="http://schemas.microsoft.com/office/drawing/2014/main" id="{00000000-0008-0000-03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33</xdr:col>
      <xdr:colOff>163285</xdr:colOff>
      <xdr:row>162</xdr:row>
      <xdr:rowOff>81643</xdr:rowOff>
    </xdr:from>
    <xdr:to>
      <xdr:col>42</xdr:col>
      <xdr:colOff>352565</xdr:colOff>
      <xdr:row>175</xdr:row>
      <xdr:rowOff>43544</xdr:rowOff>
    </xdr:to>
    <xdr:graphicFrame macro="">
      <xdr:nvGraphicFramePr>
        <xdr:cNvPr id="62" name="Chart 61">
          <a:extLst>
            <a:ext uri="{FF2B5EF4-FFF2-40B4-BE49-F238E27FC236}">
              <a16:creationId xmlns:a16="http://schemas.microsoft.com/office/drawing/2014/main" id="{A8CA88B2-325A-4A92-B50C-E066152F9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56</xdr:col>
      <xdr:colOff>190500</xdr:colOff>
      <xdr:row>168</xdr:row>
      <xdr:rowOff>0</xdr:rowOff>
    </xdr:from>
    <xdr:to>
      <xdr:col>62</xdr:col>
      <xdr:colOff>286100</xdr:colOff>
      <xdr:row>183</xdr:row>
      <xdr:rowOff>17622</xdr:rowOff>
    </xdr:to>
    <xdr:graphicFrame macro="">
      <xdr:nvGraphicFramePr>
        <xdr:cNvPr id="63" name="Chart 62">
          <a:extLst>
            <a:ext uri="{FF2B5EF4-FFF2-40B4-BE49-F238E27FC236}">
              <a16:creationId xmlns:a16="http://schemas.microsoft.com/office/drawing/2014/main" id="{35D835AC-0E0D-4385-906D-2F1367251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56</xdr:col>
      <xdr:colOff>258536</xdr:colOff>
      <xdr:row>183</xdr:row>
      <xdr:rowOff>149679</xdr:rowOff>
    </xdr:from>
    <xdr:to>
      <xdr:col>62</xdr:col>
      <xdr:colOff>327565</xdr:colOff>
      <xdr:row>197</xdr:row>
      <xdr:rowOff>174351</xdr:rowOff>
    </xdr:to>
    <xdr:graphicFrame macro="">
      <xdr:nvGraphicFramePr>
        <xdr:cNvPr id="64" name="Chart 63">
          <a:extLst>
            <a:ext uri="{FF2B5EF4-FFF2-40B4-BE49-F238E27FC236}">
              <a16:creationId xmlns:a16="http://schemas.microsoft.com/office/drawing/2014/main" id="{00000000-0008-0000-0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19</xdr:col>
      <xdr:colOff>217714</xdr:colOff>
      <xdr:row>21</xdr:row>
      <xdr:rowOff>1</xdr:rowOff>
    </xdr:from>
    <xdr:to>
      <xdr:col>25</xdr:col>
      <xdr:colOff>323442</xdr:colOff>
      <xdr:row>36</xdr:row>
      <xdr:rowOff>68581</xdr:rowOff>
    </xdr:to>
    <xdr:graphicFrame macro="">
      <xdr:nvGraphicFramePr>
        <xdr:cNvPr id="65" name="Chart 64">
          <a:extLst>
            <a:ext uri="{FF2B5EF4-FFF2-40B4-BE49-F238E27FC236}">
              <a16:creationId xmlns:a16="http://schemas.microsoft.com/office/drawing/2014/main" id="{D682CEDF-9C9B-46CC-84BD-8FE87CB3D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63</xdr:col>
      <xdr:colOff>217716</xdr:colOff>
      <xdr:row>170</xdr:row>
      <xdr:rowOff>40822</xdr:rowOff>
    </xdr:from>
    <xdr:to>
      <xdr:col>69</xdr:col>
      <xdr:colOff>294717</xdr:colOff>
      <xdr:row>184</xdr:row>
      <xdr:rowOff>110513</xdr:rowOff>
    </xdr:to>
    <xdr:graphicFrame macro="">
      <xdr:nvGraphicFramePr>
        <xdr:cNvPr id="66" name="Chart 65">
          <a:extLst>
            <a:ext uri="{FF2B5EF4-FFF2-40B4-BE49-F238E27FC236}">
              <a16:creationId xmlns:a16="http://schemas.microsoft.com/office/drawing/2014/main" id="{D682CEDF-9C9B-46CC-84BD-8FE87CB3D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63</xdr:col>
      <xdr:colOff>217715</xdr:colOff>
      <xdr:row>184</xdr:row>
      <xdr:rowOff>143465</xdr:rowOff>
    </xdr:from>
    <xdr:to>
      <xdr:col>69</xdr:col>
      <xdr:colOff>288523</xdr:colOff>
      <xdr:row>197</xdr:row>
      <xdr:rowOff>160010</xdr:rowOff>
    </xdr:to>
    <xdr:graphicFrame macro="">
      <xdr:nvGraphicFramePr>
        <xdr:cNvPr id="67" name="Chart 66">
          <a:extLst>
            <a:ext uri="{FF2B5EF4-FFF2-40B4-BE49-F238E27FC236}">
              <a16:creationId xmlns:a16="http://schemas.microsoft.com/office/drawing/2014/main" i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58</xdr:col>
      <xdr:colOff>499310</xdr:colOff>
      <xdr:row>212</xdr:row>
      <xdr:rowOff>182986</xdr:rowOff>
    </xdr:from>
    <xdr:to>
      <xdr:col>68</xdr:col>
      <xdr:colOff>40363</xdr:colOff>
      <xdr:row>225</xdr:row>
      <xdr:rowOff>190193</xdr:rowOff>
    </xdr:to>
    <xdr:graphicFrame macro="">
      <xdr:nvGraphicFramePr>
        <xdr:cNvPr id="69" name="Chart 68">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49</xdr:col>
      <xdr:colOff>23848</xdr:colOff>
      <xdr:row>213</xdr:row>
      <xdr:rowOff>113022</xdr:rowOff>
    </xdr:from>
    <xdr:to>
      <xdr:col>58</xdr:col>
      <xdr:colOff>201287</xdr:colOff>
      <xdr:row>225</xdr:row>
      <xdr:rowOff>190193</xdr:rowOff>
    </xdr:to>
    <xdr:graphicFrame macro="">
      <xdr:nvGraphicFramePr>
        <xdr:cNvPr id="70" name="Chart 69">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49</xdr:col>
      <xdr:colOff>0</xdr:colOff>
      <xdr:row>198</xdr:row>
      <xdr:rowOff>589</xdr:rowOff>
    </xdr:from>
    <xdr:to>
      <xdr:col>58</xdr:col>
      <xdr:colOff>197526</xdr:colOff>
      <xdr:row>211</xdr:row>
      <xdr:rowOff>9158</xdr:rowOff>
    </xdr:to>
    <xdr:graphicFrame macro="">
      <xdr:nvGraphicFramePr>
        <xdr:cNvPr id="71" name="Chart 70">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58</xdr:col>
      <xdr:colOff>485323</xdr:colOff>
      <xdr:row>198</xdr:row>
      <xdr:rowOff>0</xdr:rowOff>
    </xdr:from>
    <xdr:to>
      <xdr:col>68</xdr:col>
      <xdr:colOff>46694</xdr:colOff>
      <xdr:row>211</xdr:row>
      <xdr:rowOff>9157</xdr:rowOff>
    </xdr:to>
    <xdr:graphicFrame macro="">
      <xdr:nvGraphicFramePr>
        <xdr:cNvPr id="72" name="Chart 71">
          <a:extLst>
            <a:ext uri="{FF2B5EF4-FFF2-40B4-BE49-F238E27FC236}">
              <a16:creationId xmlns:a16="http://schemas.microsoft.com/office/drawing/2014/main" id="{14AA9E0D-CC11-492B-9B57-62FE2AF0F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16</xdr:col>
      <xdr:colOff>161925</xdr:colOff>
      <xdr:row>100</xdr:row>
      <xdr:rowOff>104775</xdr:rowOff>
    </xdr:from>
    <xdr:to>
      <xdr:col>25</xdr:col>
      <xdr:colOff>307130</xdr:colOff>
      <xdr:row>113</xdr:row>
      <xdr:rowOff>138148</xdr:rowOff>
    </xdr:to>
    <xdr:graphicFrame macro="">
      <xdr:nvGraphicFramePr>
        <xdr:cNvPr id="73" name="Chart 72">
          <a:extLst>
            <a:ext uri="{FF2B5EF4-FFF2-40B4-BE49-F238E27FC236}">
              <a16:creationId xmlns:a16="http://schemas.microsoft.com/office/drawing/2014/main" id="{943627D9-3801-4CF9-ACDE-3408DFEDA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50</xdr:col>
      <xdr:colOff>0</xdr:colOff>
      <xdr:row>236</xdr:row>
      <xdr:rowOff>0</xdr:rowOff>
    </xdr:from>
    <xdr:to>
      <xdr:col>55</xdr:col>
      <xdr:colOff>81212</xdr:colOff>
      <xdr:row>249</xdr:row>
      <xdr:rowOff>173563</xdr:rowOff>
    </xdr:to>
    <xdr:graphicFrame macro="">
      <xdr:nvGraphicFramePr>
        <xdr:cNvPr id="74" name="Chart 73">
          <a:extLst>
            <a:ext uri="{FF2B5EF4-FFF2-40B4-BE49-F238E27FC236}">
              <a16:creationId xmlns:a16="http://schemas.microsoft.com/office/drawing/2014/main" id="{9E4787D9-B766-0B07-0563-C373693FB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59</xdr:col>
      <xdr:colOff>371882</xdr:colOff>
      <xdr:row>236</xdr:row>
      <xdr:rowOff>0</xdr:rowOff>
    </xdr:from>
    <xdr:to>
      <xdr:col>64</xdr:col>
      <xdr:colOff>417075</xdr:colOff>
      <xdr:row>249</xdr:row>
      <xdr:rowOff>173563</xdr:rowOff>
    </xdr:to>
    <xdr:graphicFrame macro="">
      <xdr:nvGraphicFramePr>
        <xdr:cNvPr id="75" name="Chart 74">
          <a:extLst>
            <a:ext uri="{FF2B5EF4-FFF2-40B4-BE49-F238E27FC236}">
              <a16:creationId xmlns:a16="http://schemas.microsoft.com/office/drawing/2014/main" id="{943627D9-3801-4CF9-ACDE-3408DFEDA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50</xdr:col>
      <xdr:colOff>0</xdr:colOff>
      <xdr:row>266</xdr:row>
      <xdr:rowOff>170092</xdr:rowOff>
    </xdr:from>
    <xdr:to>
      <xdr:col>59</xdr:col>
      <xdr:colOff>157839</xdr:colOff>
      <xdr:row>281</xdr:row>
      <xdr:rowOff>7462</xdr:rowOff>
    </xdr:to>
    <xdr:graphicFrame macro="">
      <xdr:nvGraphicFramePr>
        <xdr:cNvPr id="76" name="Chart 75">
          <a:extLst>
            <a:ext uri="{FF2B5EF4-FFF2-40B4-BE49-F238E27FC236}">
              <a16:creationId xmlns:a16="http://schemas.microsoft.com/office/drawing/2014/main" id="{7A2074CF-F624-440B-AA65-316482B30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59</xdr:col>
      <xdr:colOff>412243</xdr:colOff>
      <xdr:row>252</xdr:row>
      <xdr:rowOff>0</xdr:rowOff>
    </xdr:from>
    <xdr:to>
      <xdr:col>69</xdr:col>
      <xdr:colOff>2387</xdr:colOff>
      <xdr:row>265</xdr:row>
      <xdr:rowOff>185227</xdr:rowOff>
    </xdr:to>
    <xdr:graphicFrame macro="">
      <xdr:nvGraphicFramePr>
        <xdr:cNvPr id="78" name="Chart 77">
          <a:extLst>
            <a:ext uri="{FF2B5EF4-FFF2-40B4-BE49-F238E27FC236}">
              <a16:creationId xmlns:a16="http://schemas.microsoft.com/office/drawing/2014/main" id="{00000000-0008-0000-0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60</xdr:col>
      <xdr:colOff>28575</xdr:colOff>
      <xdr:row>267</xdr:row>
      <xdr:rowOff>161925</xdr:rowOff>
    </xdr:from>
    <xdr:to>
      <xdr:col>69</xdr:col>
      <xdr:colOff>228398</xdr:colOff>
      <xdr:row>281</xdr:row>
      <xdr:rowOff>186174</xdr:rowOff>
    </xdr:to>
    <xdr:graphicFrame macro="">
      <xdr:nvGraphicFramePr>
        <xdr:cNvPr id="79" name="Chart 78">
          <a:extLst>
            <a:ext uri="{FF2B5EF4-FFF2-40B4-BE49-F238E27FC236}">
              <a16:creationId xmlns:a16="http://schemas.microsoft.com/office/drawing/2014/main" id="{00EE2CF5-0B06-4C76-8C76-F8A24B493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17</xdr:col>
      <xdr:colOff>219075</xdr:colOff>
      <xdr:row>26</xdr:row>
      <xdr:rowOff>171450</xdr:rowOff>
    </xdr:from>
    <xdr:to>
      <xdr:col>23</xdr:col>
      <xdr:colOff>331004</xdr:colOff>
      <xdr:row>42</xdr:row>
      <xdr:rowOff>189072</xdr:rowOff>
    </xdr:to>
    <xdr:graphicFrame macro="">
      <xdr:nvGraphicFramePr>
        <xdr:cNvPr id="56" name="Chart 55">
          <a:extLst>
            <a:ext uri="{FF2B5EF4-FFF2-40B4-BE49-F238E27FC236}">
              <a16:creationId xmlns:a16="http://schemas.microsoft.com/office/drawing/2014/main" id="{35D835AC-0E0D-4385-906D-2F1367251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15</xdr:col>
      <xdr:colOff>200025</xdr:colOff>
      <xdr:row>3</xdr:row>
      <xdr:rowOff>142875</xdr:rowOff>
    </xdr:from>
    <xdr:to>
      <xdr:col>21</xdr:col>
      <xdr:colOff>258882</xdr:colOff>
      <xdr:row>15</xdr:row>
      <xdr:rowOff>154271</xdr:rowOff>
    </xdr:to>
    <xdr:graphicFrame macro="">
      <xdr:nvGraphicFramePr>
        <xdr:cNvPr id="68" name="Chart 67">
          <a:extLst>
            <a:ext uri="{FF2B5EF4-FFF2-40B4-BE49-F238E27FC236}">
              <a16:creationId xmlns:a16="http://schemas.microsoft.com/office/drawing/2014/main" id="{55CD5E79-E85F-4305-88FB-BA10AA4DF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xdr:from>
      <xdr:col>11</xdr:col>
      <xdr:colOff>590550</xdr:colOff>
      <xdr:row>204</xdr:row>
      <xdr:rowOff>123825</xdr:rowOff>
    </xdr:from>
    <xdr:to>
      <xdr:col>15</xdr:col>
      <xdr:colOff>580406</xdr:colOff>
      <xdr:row>217</xdr:row>
      <xdr:rowOff>126003</xdr:rowOff>
    </xdr:to>
    <xdr:graphicFrame macro="">
      <xdr:nvGraphicFramePr>
        <xdr:cNvPr id="83" name="Chart 82">
          <a:extLst>
            <a:ext uri="{FF2B5EF4-FFF2-40B4-BE49-F238E27FC236}">
              <a16:creationId xmlns:a16="http://schemas.microsoft.com/office/drawing/2014/main" id="{AE139AFC-8F73-9E49-B01A-463A75B71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xdr:from>
      <xdr:col>12</xdr:col>
      <xdr:colOff>0</xdr:colOff>
      <xdr:row>219</xdr:row>
      <xdr:rowOff>0</xdr:rowOff>
    </xdr:from>
    <xdr:to>
      <xdr:col>16</xdr:col>
      <xdr:colOff>98224</xdr:colOff>
      <xdr:row>233</xdr:row>
      <xdr:rowOff>5279</xdr:rowOff>
    </xdr:to>
    <xdr:graphicFrame macro="">
      <xdr:nvGraphicFramePr>
        <xdr:cNvPr id="84" name="Chart 83">
          <a:extLst>
            <a:ext uri="{FF2B5EF4-FFF2-40B4-BE49-F238E27FC236}">
              <a16:creationId xmlns:a16="http://schemas.microsoft.com/office/drawing/2014/main" id="{68E40D60-660A-4A94-A15D-E60E1EDAA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xdr:from>
      <xdr:col>11</xdr:col>
      <xdr:colOff>523874</xdr:colOff>
      <xdr:row>233</xdr:row>
      <xdr:rowOff>119062</xdr:rowOff>
    </xdr:from>
    <xdr:to>
      <xdr:col>19</xdr:col>
      <xdr:colOff>523874</xdr:colOff>
      <xdr:row>248</xdr:row>
      <xdr:rowOff>180975</xdr:rowOff>
    </xdr:to>
    <xdr:graphicFrame macro="">
      <xdr:nvGraphicFramePr>
        <xdr:cNvPr id="85" name="Chart 84">
          <a:extLst>
            <a:ext uri="{FF2B5EF4-FFF2-40B4-BE49-F238E27FC236}">
              <a16:creationId xmlns:a16="http://schemas.microsoft.com/office/drawing/2014/main" id="{8946304E-8434-E0C4-C425-FEA620215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twoCellAnchor>
    <xdr:from>
      <xdr:col>11</xdr:col>
      <xdr:colOff>590550</xdr:colOff>
      <xdr:row>249</xdr:row>
      <xdr:rowOff>161925</xdr:rowOff>
    </xdr:from>
    <xdr:to>
      <xdr:col>19</xdr:col>
      <xdr:colOff>590550</xdr:colOff>
      <xdr:row>265</xdr:row>
      <xdr:rowOff>33338</xdr:rowOff>
    </xdr:to>
    <xdr:graphicFrame macro="">
      <xdr:nvGraphicFramePr>
        <xdr:cNvPr id="86" name="Chart 85">
          <a:extLst>
            <a:ext uri="{FF2B5EF4-FFF2-40B4-BE49-F238E27FC236}">
              <a16:creationId xmlns:a16="http://schemas.microsoft.com/office/drawing/2014/main" id="{92FAC3EA-CEF3-4257-8AE3-AD16D041A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twoCellAnchor>
  <xdr:twoCellAnchor>
    <xdr:from>
      <xdr:col>19</xdr:col>
      <xdr:colOff>571500</xdr:colOff>
      <xdr:row>217</xdr:row>
      <xdr:rowOff>161924</xdr:rowOff>
    </xdr:from>
    <xdr:to>
      <xdr:col>29</xdr:col>
      <xdr:colOff>171450</xdr:colOff>
      <xdr:row>233</xdr:row>
      <xdr:rowOff>57149</xdr:rowOff>
    </xdr:to>
    <xdr:graphicFrame macro="">
      <xdr:nvGraphicFramePr>
        <xdr:cNvPr id="87" name="Chart 86">
          <a:extLst>
            <a:ext uri="{FF2B5EF4-FFF2-40B4-BE49-F238E27FC236}">
              <a16:creationId xmlns:a16="http://schemas.microsoft.com/office/drawing/2014/main" id="{B88449EF-2CC6-80F8-B3B9-7499EBC7C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twoCellAnchor>
  <xdr:twoCellAnchor>
    <xdr:from>
      <xdr:col>18</xdr:col>
      <xdr:colOff>285750</xdr:colOff>
      <xdr:row>213</xdr:row>
      <xdr:rowOff>14287</xdr:rowOff>
    </xdr:from>
    <xdr:to>
      <xdr:col>27</xdr:col>
      <xdr:colOff>514350</xdr:colOff>
      <xdr:row>227</xdr:row>
      <xdr:rowOff>90487</xdr:rowOff>
    </xdr:to>
    <xdr:graphicFrame macro="">
      <xdr:nvGraphicFramePr>
        <xdr:cNvPr id="88" name="Chart 87">
          <a:extLst>
            <a:ext uri="{FF2B5EF4-FFF2-40B4-BE49-F238E27FC236}">
              <a16:creationId xmlns:a16="http://schemas.microsoft.com/office/drawing/2014/main" id="{F8C6E463-9DD1-0CA4-5A76-CE980F2CA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twoCellAnchor>
  <xdr:twoCellAnchor>
    <xdr:from>
      <xdr:col>44</xdr:col>
      <xdr:colOff>481693</xdr:colOff>
      <xdr:row>247</xdr:row>
      <xdr:rowOff>63953</xdr:rowOff>
    </xdr:from>
    <xdr:to>
      <xdr:col>49</xdr:col>
      <xdr:colOff>85411</xdr:colOff>
      <xdr:row>261</xdr:row>
      <xdr:rowOff>56179</xdr:rowOff>
    </xdr:to>
    <xdr:graphicFrame macro="">
      <xdr:nvGraphicFramePr>
        <xdr:cNvPr id="90" name="Chart 89">
          <a:extLst>
            <a:ext uri="{FF2B5EF4-FFF2-40B4-BE49-F238E27FC236}">
              <a16:creationId xmlns:a16="http://schemas.microsoft.com/office/drawing/2014/main" id="{92D38372-C785-4C70-9AF4-DC8E16D1E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9"/>
        </a:graphicData>
      </a:graphic>
    </xdr:graphicFrame>
    <xdr:clientData/>
  </xdr:twoCellAnchor>
  <xdr:twoCellAnchor>
    <xdr:from>
      <xdr:col>18</xdr:col>
      <xdr:colOff>542925</xdr:colOff>
      <xdr:row>99</xdr:row>
      <xdr:rowOff>180974</xdr:rowOff>
    </xdr:from>
    <xdr:to>
      <xdr:col>23</xdr:col>
      <xdr:colOff>242518</xdr:colOff>
      <xdr:row>113</xdr:row>
      <xdr:rowOff>163574</xdr:rowOff>
    </xdr:to>
    <xdr:graphicFrame macro="">
      <xdr:nvGraphicFramePr>
        <xdr:cNvPr id="92" name="Chart 91">
          <a:extLst>
            <a:ext uri="{FF2B5EF4-FFF2-40B4-BE49-F238E27FC236}">
              <a16:creationId xmlns:a16="http://schemas.microsoft.com/office/drawing/2014/main" id="{5EA7612E-EC1D-48DB-8F83-2F169D294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0"/>
        </a:graphicData>
      </a:graphic>
    </xdr:graphicFrame>
    <xdr:clientData/>
  </xdr:twoCellAnchor>
  <xdr:twoCellAnchor>
    <xdr:from>
      <xdr:col>10</xdr:col>
      <xdr:colOff>228600</xdr:colOff>
      <xdr:row>267</xdr:row>
      <xdr:rowOff>171450</xdr:rowOff>
    </xdr:from>
    <xdr:to>
      <xdr:col>18</xdr:col>
      <xdr:colOff>523875</xdr:colOff>
      <xdr:row>282</xdr:row>
      <xdr:rowOff>57150</xdr:rowOff>
    </xdr:to>
    <xdr:graphicFrame macro="">
      <xdr:nvGraphicFramePr>
        <xdr:cNvPr id="57" name="Chart 56">
          <a:extLst>
            <a:ext uri="{FF2B5EF4-FFF2-40B4-BE49-F238E27FC236}">
              <a16:creationId xmlns:a16="http://schemas.microsoft.com/office/drawing/2014/main" id="{749183AF-C165-4BD2-9305-DFE08F1C9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1"/>
        </a:graphicData>
      </a:graphic>
    </xdr:graphicFrame>
    <xdr:clientData/>
  </xdr:twoCellAnchor>
  <xdr:twoCellAnchor>
    <xdr:from>
      <xdr:col>19</xdr:col>
      <xdr:colOff>357467</xdr:colOff>
      <xdr:row>267</xdr:row>
      <xdr:rowOff>123825</xdr:rowOff>
    </xdr:from>
    <xdr:to>
      <xdr:col>28</xdr:col>
      <xdr:colOff>586067</xdr:colOff>
      <xdr:row>282</xdr:row>
      <xdr:rowOff>9525</xdr:rowOff>
    </xdr:to>
    <xdr:graphicFrame macro="">
      <xdr:nvGraphicFramePr>
        <xdr:cNvPr id="61" name="Chart 60">
          <a:extLst>
            <a:ext uri="{FF2B5EF4-FFF2-40B4-BE49-F238E27FC236}">
              <a16:creationId xmlns:a16="http://schemas.microsoft.com/office/drawing/2014/main" id="{F371D162-81B1-4B14-8D3D-BC2023AF3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2"/>
        </a:graphicData>
      </a:graphic>
    </xdr:graphicFrame>
    <xdr:clientData/>
  </xdr:twoCellAnchor>
  <xdr:twoCellAnchor>
    <xdr:from>
      <xdr:col>10</xdr:col>
      <xdr:colOff>200025</xdr:colOff>
      <xdr:row>283</xdr:row>
      <xdr:rowOff>9525</xdr:rowOff>
    </xdr:from>
    <xdr:to>
      <xdr:col>18</xdr:col>
      <xdr:colOff>497100</xdr:colOff>
      <xdr:row>297</xdr:row>
      <xdr:rowOff>85725</xdr:rowOff>
    </xdr:to>
    <xdr:graphicFrame macro="">
      <xdr:nvGraphicFramePr>
        <xdr:cNvPr id="77" name="Chart 76">
          <a:extLst>
            <a:ext uri="{FF2B5EF4-FFF2-40B4-BE49-F238E27FC236}">
              <a16:creationId xmlns:a16="http://schemas.microsoft.com/office/drawing/2014/main" id="{FD659F79-D6CB-66D5-242D-9A01BB90B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3"/>
        </a:graphicData>
      </a:graphic>
    </xdr:graphicFrame>
    <xdr:clientData/>
  </xdr:twoCellAnchor>
  <xdr:twoCellAnchor>
    <xdr:from>
      <xdr:col>19</xdr:col>
      <xdr:colOff>371475</xdr:colOff>
      <xdr:row>283</xdr:row>
      <xdr:rowOff>38100</xdr:rowOff>
    </xdr:from>
    <xdr:to>
      <xdr:col>28</xdr:col>
      <xdr:colOff>601875</xdr:colOff>
      <xdr:row>297</xdr:row>
      <xdr:rowOff>114300</xdr:rowOff>
    </xdr:to>
    <xdr:graphicFrame macro="">
      <xdr:nvGraphicFramePr>
        <xdr:cNvPr id="80" name="Chart 79">
          <a:extLst>
            <a:ext uri="{FF2B5EF4-FFF2-40B4-BE49-F238E27FC236}">
              <a16:creationId xmlns:a16="http://schemas.microsoft.com/office/drawing/2014/main" id="{0E99E90C-9BE7-468F-BED5-381984AA8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4"/>
        </a:graphicData>
      </a:graphic>
    </xdr:graphicFrame>
    <xdr:clientData/>
  </xdr:twoCellAnchor>
  <xdr:twoCellAnchor>
    <xdr:from>
      <xdr:col>19</xdr:col>
      <xdr:colOff>371475</xdr:colOff>
      <xdr:row>300</xdr:row>
      <xdr:rowOff>47625</xdr:rowOff>
    </xdr:from>
    <xdr:to>
      <xdr:col>28</xdr:col>
      <xdr:colOff>600075</xdr:colOff>
      <xdr:row>314</xdr:row>
      <xdr:rowOff>123825</xdr:rowOff>
    </xdr:to>
    <xdr:graphicFrame macro="">
      <xdr:nvGraphicFramePr>
        <xdr:cNvPr id="93" name="Chart 92">
          <a:extLst>
            <a:ext uri="{FF2B5EF4-FFF2-40B4-BE49-F238E27FC236}">
              <a16:creationId xmlns:a16="http://schemas.microsoft.com/office/drawing/2014/main" id="{D3203DA5-CF03-42D3-B69D-A831A5893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5"/>
        </a:graphicData>
      </a:graphic>
    </xdr:graphicFrame>
    <xdr:clientData/>
  </xdr:twoCellAnchor>
  <xdr:twoCellAnchor>
    <xdr:from>
      <xdr:col>10</xdr:col>
      <xdr:colOff>209550</xdr:colOff>
      <xdr:row>299</xdr:row>
      <xdr:rowOff>38100</xdr:rowOff>
    </xdr:from>
    <xdr:to>
      <xdr:col>18</xdr:col>
      <xdr:colOff>504825</xdr:colOff>
      <xdr:row>313</xdr:row>
      <xdr:rowOff>114300</xdr:rowOff>
    </xdr:to>
    <xdr:graphicFrame macro="">
      <xdr:nvGraphicFramePr>
        <xdr:cNvPr id="94" name="Chart 93">
          <a:extLst>
            <a:ext uri="{FF2B5EF4-FFF2-40B4-BE49-F238E27FC236}">
              <a16:creationId xmlns:a16="http://schemas.microsoft.com/office/drawing/2014/main" id="{42891686-ED80-4A18-878C-E5E402418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6"/>
        </a:graphicData>
      </a:graphic>
    </xdr:graphicFrame>
    <xdr:clientData/>
  </xdr:twoCellAnchor>
  <xdr:twoCellAnchor>
    <xdr:from>
      <xdr:col>9</xdr:col>
      <xdr:colOff>552450</xdr:colOff>
      <xdr:row>314</xdr:row>
      <xdr:rowOff>57150</xdr:rowOff>
    </xdr:from>
    <xdr:to>
      <xdr:col>15</xdr:col>
      <xdr:colOff>171450</xdr:colOff>
      <xdr:row>327</xdr:row>
      <xdr:rowOff>104775</xdr:rowOff>
    </xdr:to>
    <xdr:graphicFrame macro="">
      <xdr:nvGraphicFramePr>
        <xdr:cNvPr id="97" name="Chart 96">
          <a:extLst>
            <a:ext uri="{FF2B5EF4-FFF2-40B4-BE49-F238E27FC236}">
              <a16:creationId xmlns:a16="http://schemas.microsoft.com/office/drawing/2014/main" id="{4627295E-73EB-40FC-8ED3-D5445D542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7"/>
        </a:graphicData>
      </a:graphic>
    </xdr:graphicFrame>
    <xdr:clientData/>
  </xdr:twoCellAnchor>
  <xdr:twoCellAnchor>
    <xdr:from>
      <xdr:col>16</xdr:col>
      <xdr:colOff>9526</xdr:colOff>
      <xdr:row>314</xdr:row>
      <xdr:rowOff>142875</xdr:rowOff>
    </xdr:from>
    <xdr:to>
      <xdr:col>22</xdr:col>
      <xdr:colOff>266701</xdr:colOff>
      <xdr:row>328</xdr:row>
      <xdr:rowOff>0</xdr:rowOff>
    </xdr:to>
    <xdr:graphicFrame macro="">
      <xdr:nvGraphicFramePr>
        <xdr:cNvPr id="98" name="Chart 97">
          <a:extLst>
            <a:ext uri="{FF2B5EF4-FFF2-40B4-BE49-F238E27FC236}">
              <a16:creationId xmlns:a16="http://schemas.microsoft.com/office/drawing/2014/main" id="{64D7516C-85D2-40E6-B2B7-57806DDEA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8"/>
        </a:graphicData>
      </a:graphic>
    </xdr:graphicFrame>
    <xdr:clientData/>
  </xdr:twoCellAnchor>
  <xdr:twoCellAnchor>
    <xdr:from>
      <xdr:col>25</xdr:col>
      <xdr:colOff>19051</xdr:colOff>
      <xdr:row>165</xdr:row>
      <xdr:rowOff>74840</xdr:rowOff>
    </xdr:from>
    <xdr:to>
      <xdr:col>39</xdr:col>
      <xdr:colOff>496857</xdr:colOff>
      <xdr:row>173</xdr:row>
      <xdr:rowOff>139653</xdr:rowOff>
    </xdr:to>
    <xdr:graphicFrame macro="">
      <xdr:nvGraphicFramePr>
        <xdr:cNvPr id="31" name="Chart 30">
          <a:extLst>
            <a:ext uri="{FF2B5EF4-FFF2-40B4-BE49-F238E27FC236}">
              <a16:creationId xmlns:a16="http://schemas.microsoft.com/office/drawing/2014/main" id="{601C2D38-3ED3-4B8C-A251-A24147211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9"/>
        </a:graphicData>
      </a:graphic>
    </xdr:graphicFrame>
    <xdr:clientData/>
  </xdr:twoCellAnchor>
  <xdr:twoCellAnchor>
    <xdr:from>
      <xdr:col>47</xdr:col>
      <xdr:colOff>126065</xdr:colOff>
      <xdr:row>21</xdr:row>
      <xdr:rowOff>67540</xdr:rowOff>
    </xdr:from>
    <xdr:to>
      <xdr:col>56</xdr:col>
      <xdr:colOff>347533</xdr:colOff>
      <xdr:row>35</xdr:row>
      <xdr:rowOff>143740</xdr:rowOff>
    </xdr:to>
    <xdr:graphicFrame macro="">
      <xdr:nvGraphicFramePr>
        <xdr:cNvPr id="82" name="Chart 81">
          <a:extLst>
            <a:ext uri="{FF2B5EF4-FFF2-40B4-BE49-F238E27FC236}">
              <a16:creationId xmlns:a16="http://schemas.microsoft.com/office/drawing/2014/main" id="{B16CA346-D271-0856-317C-D97A69EA8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0"/>
        </a:graphicData>
      </a:graphic>
    </xdr:graphicFrame>
    <xdr:clientData/>
  </xdr:twoCellAnchor>
  <xdr:twoCellAnchor>
    <xdr:from>
      <xdr:col>5</xdr:col>
      <xdr:colOff>0</xdr:colOff>
      <xdr:row>100</xdr:row>
      <xdr:rowOff>0</xdr:rowOff>
    </xdr:from>
    <xdr:to>
      <xdr:col>12</xdr:col>
      <xdr:colOff>664637</xdr:colOff>
      <xdr:row>113</xdr:row>
      <xdr:rowOff>7207</xdr:rowOff>
    </xdr:to>
    <xdr:graphicFrame macro="">
      <xdr:nvGraphicFramePr>
        <xdr:cNvPr id="101" name="Chart 100">
          <a:extLst>
            <a:ext uri="{FF2B5EF4-FFF2-40B4-BE49-F238E27FC236}">
              <a16:creationId xmlns:a16="http://schemas.microsoft.com/office/drawing/2014/main" id="{67472F9A-D595-4081-BC7C-23C8FD8FF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1"/>
        </a:graphicData>
      </a:graphic>
    </xdr:graphicFrame>
    <xdr:clientData/>
  </xdr:twoCellAnchor>
  <xdr:twoCellAnchor>
    <xdr:from>
      <xdr:col>20</xdr:col>
      <xdr:colOff>249465</xdr:colOff>
      <xdr:row>243</xdr:row>
      <xdr:rowOff>166007</xdr:rowOff>
    </xdr:from>
    <xdr:to>
      <xdr:col>31</xdr:col>
      <xdr:colOff>517072</xdr:colOff>
      <xdr:row>260</xdr:row>
      <xdr:rowOff>172357</xdr:rowOff>
    </xdr:to>
    <xdr:graphicFrame macro="">
      <xdr:nvGraphicFramePr>
        <xdr:cNvPr id="2" name="Chart 1">
          <a:extLst>
            <a:ext uri="{FF2B5EF4-FFF2-40B4-BE49-F238E27FC236}">
              <a16:creationId xmlns:a16="http://schemas.microsoft.com/office/drawing/2014/main" id="{B8950634-C48C-D02A-7718-5D8C2D6F9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2"/>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46</xdr:col>
      <xdr:colOff>390602</xdr:colOff>
      <xdr:row>50</xdr:row>
      <xdr:rowOff>66675</xdr:rowOff>
    </xdr:from>
    <xdr:ext cx="890907" cy="382550"/>
    <xdr:pic>
      <xdr:nvPicPr>
        <xdr:cNvPr id="2" name="Picture 1" descr="Text&#10;&#10;Description automatically generated with low confidence">
          <a:extLst>
            <a:ext uri="{FF2B5EF4-FFF2-40B4-BE49-F238E27FC236}">
              <a16:creationId xmlns:a16="http://schemas.microsoft.com/office/drawing/2014/main" id="{E8145269-3EB8-45BF-9183-BFDBB3F57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993927" y="7810500"/>
          <a:ext cx="890907" cy="38255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31</xdr:col>
      <xdr:colOff>57150</xdr:colOff>
      <xdr:row>21</xdr:row>
      <xdr:rowOff>4762</xdr:rowOff>
    </xdr:from>
    <xdr:to>
      <xdr:col>41</xdr:col>
      <xdr:colOff>295275</xdr:colOff>
      <xdr:row>39</xdr:row>
      <xdr:rowOff>4762</xdr:rowOff>
    </xdr:to>
    <xdr:graphicFrame macro="">
      <xdr:nvGraphicFramePr>
        <xdr:cNvPr id="2" name="Chart 1">
          <a:extLst>
            <a:ext uri="{FF2B5EF4-FFF2-40B4-BE49-F238E27FC236}">
              <a16:creationId xmlns:a16="http://schemas.microsoft.com/office/drawing/2014/main" id="{B70DD7ED-B65F-1537-7F34-BA2CAAB2A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1028700</xdr:colOff>
      <xdr:row>40</xdr:row>
      <xdr:rowOff>19050</xdr:rowOff>
    </xdr:from>
    <xdr:to>
      <xdr:col>41</xdr:col>
      <xdr:colOff>247650</xdr:colOff>
      <xdr:row>58</xdr:row>
      <xdr:rowOff>19050</xdr:rowOff>
    </xdr:to>
    <xdr:graphicFrame macro="">
      <xdr:nvGraphicFramePr>
        <xdr:cNvPr id="3" name="Chart 2">
          <a:extLst>
            <a:ext uri="{FF2B5EF4-FFF2-40B4-BE49-F238E27FC236}">
              <a16:creationId xmlns:a16="http://schemas.microsoft.com/office/drawing/2014/main" id="{BF0AF1B0-FE21-4A9A-90C9-0B90F6775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1009650</xdr:colOff>
      <xdr:row>58</xdr:row>
      <xdr:rowOff>114300</xdr:rowOff>
    </xdr:from>
    <xdr:to>
      <xdr:col>41</xdr:col>
      <xdr:colOff>228600</xdr:colOff>
      <xdr:row>76</xdr:row>
      <xdr:rowOff>114300</xdr:rowOff>
    </xdr:to>
    <xdr:graphicFrame macro="">
      <xdr:nvGraphicFramePr>
        <xdr:cNvPr id="4" name="Chart 3">
          <a:extLst>
            <a:ext uri="{FF2B5EF4-FFF2-40B4-BE49-F238E27FC236}">
              <a16:creationId xmlns:a16="http://schemas.microsoft.com/office/drawing/2014/main" id="{242F980A-1802-4C69-83A8-7586FDE30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1019175</xdr:colOff>
      <xdr:row>77</xdr:row>
      <xdr:rowOff>104775</xdr:rowOff>
    </xdr:from>
    <xdr:to>
      <xdr:col>42</xdr:col>
      <xdr:colOff>238125</xdr:colOff>
      <xdr:row>95</xdr:row>
      <xdr:rowOff>85725</xdr:rowOff>
    </xdr:to>
    <xdr:graphicFrame macro="">
      <xdr:nvGraphicFramePr>
        <xdr:cNvPr id="5" name="Chart 4">
          <a:extLst>
            <a:ext uri="{FF2B5EF4-FFF2-40B4-BE49-F238E27FC236}">
              <a16:creationId xmlns:a16="http://schemas.microsoft.com/office/drawing/2014/main" id="{04B575BB-DB04-4412-B002-59EFA2795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0</xdr:colOff>
      <xdr:row>36</xdr:row>
      <xdr:rowOff>0</xdr:rowOff>
    </xdr:from>
    <xdr:to>
      <xdr:col>26</xdr:col>
      <xdr:colOff>134937</xdr:colOff>
      <xdr:row>48</xdr:row>
      <xdr:rowOff>122555</xdr:rowOff>
    </xdr:to>
    <xdr:pic>
      <xdr:nvPicPr>
        <xdr:cNvPr id="2" name="Picture 1">
          <a:extLst>
            <a:ext uri="{FF2B5EF4-FFF2-40B4-BE49-F238E27FC236}">
              <a16:creationId xmlns:a16="http://schemas.microsoft.com/office/drawing/2014/main" id="{665135BF-80BD-20CE-D3E3-8E565E5FFF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01400" y="5486400"/>
          <a:ext cx="2749550" cy="195135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47625</xdr:colOff>
      <xdr:row>0</xdr:row>
      <xdr:rowOff>152400</xdr:rowOff>
    </xdr:from>
    <xdr:to>
      <xdr:col>14</xdr:col>
      <xdr:colOff>666750</xdr:colOff>
      <xdr:row>16</xdr:row>
      <xdr:rowOff>57150</xdr:rowOff>
    </xdr:to>
    <xdr:graphicFrame macro="">
      <xdr:nvGraphicFramePr>
        <xdr:cNvPr id="2" name="Chart 1">
          <a:extLst>
            <a:ext uri="{FF2B5EF4-FFF2-40B4-BE49-F238E27FC236}">
              <a16:creationId xmlns:a16="http://schemas.microsoft.com/office/drawing/2014/main" id="{7D267276-3AA0-B853-269E-D8A03404D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47626</xdr:colOff>
      <xdr:row>17</xdr:row>
      <xdr:rowOff>38099</xdr:rowOff>
    </xdr:from>
    <xdr:to>
      <xdr:col>14</xdr:col>
      <xdr:colOff>647701</xdr:colOff>
      <xdr:row>32</xdr:row>
      <xdr:rowOff>66675</xdr:rowOff>
    </xdr:to>
    <xdr:graphicFrame macro="">
      <xdr:nvGraphicFramePr>
        <xdr:cNvPr id="3" name="Chart 2">
          <a:extLst>
            <a:ext uri="{FF2B5EF4-FFF2-40B4-BE49-F238E27FC236}">
              <a16:creationId xmlns:a16="http://schemas.microsoft.com/office/drawing/2014/main" id="{4597B369-38AA-4AA0-E82D-2E50AF764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57149</xdr:colOff>
      <xdr:row>33</xdr:row>
      <xdr:rowOff>28575</xdr:rowOff>
    </xdr:from>
    <xdr:to>
      <xdr:col>14</xdr:col>
      <xdr:colOff>666749</xdr:colOff>
      <xdr:row>48</xdr:row>
      <xdr:rowOff>95250</xdr:rowOff>
    </xdr:to>
    <xdr:graphicFrame macro="">
      <xdr:nvGraphicFramePr>
        <xdr:cNvPr id="4" name="Chart 3">
          <a:extLst>
            <a:ext uri="{FF2B5EF4-FFF2-40B4-BE49-F238E27FC236}">
              <a16:creationId xmlns:a16="http://schemas.microsoft.com/office/drawing/2014/main" id="{D5434213-45CB-E60A-FFEF-9DB9CCE25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723900</xdr:colOff>
      <xdr:row>33</xdr:row>
      <xdr:rowOff>47625</xdr:rowOff>
    </xdr:from>
    <xdr:to>
      <xdr:col>20</xdr:col>
      <xdr:colOff>342900</xdr:colOff>
      <xdr:row>48</xdr:row>
      <xdr:rowOff>76201</xdr:rowOff>
    </xdr:to>
    <xdr:graphicFrame macro="">
      <xdr:nvGraphicFramePr>
        <xdr:cNvPr id="5" name="Chart 4">
          <a:extLst>
            <a:ext uri="{FF2B5EF4-FFF2-40B4-BE49-F238E27FC236}">
              <a16:creationId xmlns:a16="http://schemas.microsoft.com/office/drawing/2014/main" id="{43BAB0F7-BAB6-4821-AD1A-3719D7316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76200</xdr:colOff>
      <xdr:row>49</xdr:row>
      <xdr:rowOff>119062</xdr:rowOff>
    </xdr:from>
    <xdr:to>
      <xdr:col>14</xdr:col>
      <xdr:colOff>666750</xdr:colOff>
      <xdr:row>66</xdr:row>
      <xdr:rowOff>109537</xdr:rowOff>
    </xdr:to>
    <xdr:graphicFrame macro="">
      <xdr:nvGraphicFramePr>
        <xdr:cNvPr id="7" name="Chart 6">
          <a:extLst>
            <a:ext uri="{FF2B5EF4-FFF2-40B4-BE49-F238E27FC236}">
              <a16:creationId xmlns:a16="http://schemas.microsoft.com/office/drawing/2014/main" id="{D55646B9-0513-3870-AA30-C098C85E1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723900</xdr:colOff>
      <xdr:row>49</xdr:row>
      <xdr:rowOff>114300</xdr:rowOff>
    </xdr:from>
    <xdr:to>
      <xdr:col>20</xdr:col>
      <xdr:colOff>342900</xdr:colOff>
      <xdr:row>66</xdr:row>
      <xdr:rowOff>114300</xdr:rowOff>
    </xdr:to>
    <xdr:graphicFrame macro="">
      <xdr:nvGraphicFramePr>
        <xdr:cNvPr id="8" name="Chart 7">
          <a:extLst>
            <a:ext uri="{FF2B5EF4-FFF2-40B4-BE49-F238E27FC236}">
              <a16:creationId xmlns:a16="http://schemas.microsoft.com/office/drawing/2014/main" id="{DDAB9C7C-66D5-4D22-81BB-836ACBFBD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333375</xdr:colOff>
      <xdr:row>66</xdr:row>
      <xdr:rowOff>157162</xdr:rowOff>
    </xdr:from>
    <xdr:to>
      <xdr:col>23</xdr:col>
      <xdr:colOff>190500</xdr:colOff>
      <xdr:row>83</xdr:row>
      <xdr:rowOff>147637</xdr:rowOff>
    </xdr:to>
    <xdr:graphicFrame macro="">
      <xdr:nvGraphicFramePr>
        <xdr:cNvPr id="9" name="Chart 8">
          <a:extLst>
            <a:ext uri="{FF2B5EF4-FFF2-40B4-BE49-F238E27FC236}">
              <a16:creationId xmlns:a16="http://schemas.microsoft.com/office/drawing/2014/main" id="{6BD5ADD0-7FCE-BAD4-DE21-3CF10D802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438150</xdr:colOff>
      <xdr:row>66</xdr:row>
      <xdr:rowOff>128587</xdr:rowOff>
    </xdr:from>
    <xdr:to>
      <xdr:col>14</xdr:col>
      <xdr:colOff>552450</xdr:colOff>
      <xdr:row>83</xdr:row>
      <xdr:rowOff>119062</xdr:rowOff>
    </xdr:to>
    <xdr:graphicFrame macro="">
      <xdr:nvGraphicFramePr>
        <xdr:cNvPr id="10" name="Chart 9">
          <a:extLst>
            <a:ext uri="{FF2B5EF4-FFF2-40B4-BE49-F238E27FC236}">
              <a16:creationId xmlns:a16="http://schemas.microsoft.com/office/drawing/2014/main" id="{5C858FEC-DB26-BEB9-2AB2-58D2C66C3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20.12\spark%20nas\Broking\9%20Broking\Bharani\2022\Adani%20Ports%20Model\Adani%20Ports%20&amp;%20SEZ.xlsx" TargetMode="External"/><Relationship Id="rId1" Type="http://schemas.openxmlformats.org/officeDocument/2006/relationships/externalLinkPath" Target="file:///\\192.168.20.12\spark%20nas\Broking\9%20Broking\Bharani\2022\Adani%20Ports%20Model\Adani%20Ports%20&amp;%20SE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192.168.20.12\spark%20nas\Broking\9%20Broking\Bharani\2022\Sector%20Masters%20and%20Databases\Ports\Ports%20Sector%20Master_1.xlsx" TargetMode="External"/><Relationship Id="rId1" Type="http://schemas.openxmlformats.org/officeDocument/2006/relationships/externalLinkPath" Target="file:///\\192.168.20.12\spark%20nas\Broking\9%20Broking\Bharani\2022\Sector%20Masters%20and%20Databases\Ports\Ports%20Sector%20Master_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192.168.20.12\Broking\9%20Broking\Bharani\Seetharaman\Models\JSW%20Infra_Avendus%20Spark.xlsx" TargetMode="External"/><Relationship Id="rId1" Type="http://schemas.openxmlformats.org/officeDocument/2006/relationships/externalLinkPath" Target="JSW%20Infra_Avendus%20Spark.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Y:\9%20Broking\Bharani\Seetharaman\Models\NTPC.xlsx" TargetMode="External"/><Relationship Id="rId1" Type="http://schemas.openxmlformats.org/officeDocument/2006/relationships/externalLinkPath" Target="NTPC.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192.168.20.12\spark%20nas\Broking\9%20Broking\Bharani\Seetharaman\Models\Gujarat%20Pipavav.xlsx" TargetMode="External"/><Relationship Id="rId1" Type="http://schemas.openxmlformats.org/officeDocument/2006/relationships/externalLinkPath" Target="Gujarat%20Pipavav.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192.168.20.12\Broking\9%20Broking\Bharani\Seetharaman\Models\Gujarat%20Pipavav_1.xlsx" TargetMode="External"/><Relationship Id="rId1" Type="http://schemas.openxmlformats.org/officeDocument/2006/relationships/externalLinkPath" Target="Gujarat%20Pipavav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hatsapp"/>
      <sheetName val="Equibase"/>
      <sheetName val="EquibaseQTR"/>
      <sheetName val="Charts"/>
      <sheetName val="New FinSumm"/>
      <sheetName val="Monthly"/>
      <sheetName val="Key"/>
      <sheetName val="Vln Matrix"/>
      <sheetName val="Assumptions"/>
      <sheetName val="Qtrly_New"/>
      <sheetName val="Sheet1"/>
      <sheetName val="Consol"/>
      <sheetName val="New Assumptions"/>
      <sheetName val="New Logistics"/>
      <sheetName val="Old Logistics"/>
      <sheetName val="Adani Tracks"/>
      <sheetName val="Harbour"/>
      <sheetName val="Cashflows"/>
      <sheetName val="Standalone"/>
      <sheetName val="CT-3"/>
      <sheetName val="CT-4"/>
      <sheetName val="CT-5"/>
      <sheetName val="NQXT"/>
      <sheetName val="Haifa"/>
      <sheetName val="Vizhinjam"/>
      <sheetName val="Colombo"/>
      <sheetName val="Tanzania"/>
      <sheetName val="Gopalpur"/>
      <sheetName val="Karaikal"/>
      <sheetName val="Dahej"/>
      <sheetName val="Hazira"/>
      <sheetName val="Mormugao"/>
      <sheetName val="Kandla"/>
      <sheetName val="Ennore"/>
      <sheetName val="Krishnapatnam"/>
      <sheetName val="Dhamra"/>
      <sheetName val="Gangavaram"/>
      <sheetName val="Dighi"/>
      <sheetName val="Abott"/>
      <sheetName val="Kattupalli"/>
      <sheetName val="Note"/>
      <sheetName val="Yangon"/>
      <sheetName val="Vizag"/>
      <sheetName val="HDFC Life"/>
      <sheetName val="HDFC Life Qtr"/>
      <sheetName val="AR Analysis"/>
      <sheetName val="Loan Sch."/>
    </sheetNames>
    <sheetDataSet>
      <sheetData sheetId="0"/>
      <sheetData sheetId="1"/>
      <sheetData sheetId="2"/>
      <sheetData sheetId="3">
        <row r="16">
          <cell r="R16">
            <v>1732.4585470400002</v>
          </cell>
          <cell r="S16">
            <v>1801.7568889216002</v>
          </cell>
          <cell r="T16">
            <v>1873.8271644784643</v>
          </cell>
          <cell r="U16">
            <v>1948.780251057603</v>
          </cell>
        </row>
        <row r="25">
          <cell r="I25">
            <v>121.78</v>
          </cell>
          <cell r="J25">
            <v>137.97102482943924</v>
          </cell>
          <cell r="K25">
            <v>139.18999999999997</v>
          </cell>
          <cell r="L25">
            <v>144.44</v>
          </cell>
          <cell r="M25">
            <v>150.31900000000002</v>
          </cell>
          <cell r="N25">
            <v>155.38936404902816</v>
          </cell>
          <cell r="O25">
            <v>179.58492041899999</v>
          </cell>
          <cell r="P25">
            <v>200.46692150299998</v>
          </cell>
          <cell r="Q25">
            <v>191.99873542199998</v>
          </cell>
          <cell r="R25">
            <v>205.808561345492</v>
          </cell>
          <cell r="S25">
            <v>229.01792696637312</v>
          </cell>
          <cell r="T25">
            <v>255.34041730525712</v>
          </cell>
          <cell r="U25">
            <v>275.8452042884382</v>
          </cell>
        </row>
        <row r="26">
          <cell r="I26">
            <v>6.97</v>
          </cell>
          <cell r="J26">
            <v>9.07</v>
          </cell>
          <cell r="K26">
            <v>6.3713491109999989</v>
          </cell>
          <cell r="L26">
            <v>5.8626263860000005</v>
          </cell>
          <cell r="M26">
            <v>8.0596164229999996</v>
          </cell>
          <cell r="N26">
            <v>11.376834983</v>
          </cell>
          <cell r="O26">
            <v>11.167712904</v>
          </cell>
          <cell r="P26">
            <v>10.32246898394</v>
          </cell>
          <cell r="Q26">
            <v>10.587282746</v>
          </cell>
          <cell r="R26">
            <v>11.51741825028</v>
          </cell>
          <cell r="S26">
            <v>12.532851738768802</v>
          </cell>
          <cell r="T26">
            <v>13.07467737651212</v>
          </cell>
          <cell r="U26">
            <v>14.113176515520152</v>
          </cell>
        </row>
        <row r="27">
          <cell r="I27">
            <v>21.45</v>
          </cell>
          <cell r="J27">
            <v>20.67</v>
          </cell>
          <cell r="K27">
            <v>29.705145972999997</v>
          </cell>
          <cell r="L27">
            <v>32.378717879999996</v>
          </cell>
          <cell r="M27">
            <v>33.438883830000002</v>
          </cell>
          <cell r="N27">
            <v>31.280548828999997</v>
          </cell>
          <cell r="O27">
            <v>42.807710828000005</v>
          </cell>
          <cell r="P27">
            <v>46.075598600999996</v>
          </cell>
          <cell r="Q27">
            <v>48.786923345000005</v>
          </cell>
          <cell r="R27">
            <v>55.046638464899999</v>
          </cell>
          <cell r="S27">
            <v>60.664736729598005</v>
          </cell>
          <cell r="T27">
            <v>66.926954697159488</v>
          </cell>
          <cell r="U27">
            <v>73.914773725880366</v>
          </cell>
        </row>
        <row r="28">
          <cell r="I28">
            <v>16.87</v>
          </cell>
          <cell r="J28">
            <v>19.637500000000003</v>
          </cell>
          <cell r="K28">
            <v>21.63</v>
          </cell>
          <cell r="L28">
            <v>21.947314424999998</v>
          </cell>
          <cell r="M28">
            <v>24.874648880300001</v>
          </cell>
          <cell r="N28">
            <v>25.322344067000003</v>
          </cell>
          <cell r="O28">
            <v>26.402406589999998</v>
          </cell>
          <cell r="P28">
            <v>27.353755112000002</v>
          </cell>
          <cell r="Q28">
            <v>29.754623981999998</v>
          </cell>
          <cell r="R28">
            <v>31.242355181099995</v>
          </cell>
          <cell r="S28">
            <v>33.878411728875001</v>
          </cell>
          <cell r="T28">
            <v>38.426198844206247</v>
          </cell>
          <cell r="U28">
            <v>41.702316538116939</v>
          </cell>
        </row>
        <row r="29">
          <cell r="I29">
            <v>0</v>
          </cell>
          <cell r="J29">
            <v>0</v>
          </cell>
          <cell r="K29">
            <v>0</v>
          </cell>
          <cell r="L29">
            <v>19.765304048000001</v>
          </cell>
          <cell r="M29">
            <v>40.12012293355</v>
          </cell>
          <cell r="N29">
            <v>48.257024355780381</v>
          </cell>
          <cell r="O29">
            <v>59.207019444000004</v>
          </cell>
          <cell r="P29">
            <v>54.996274642000003</v>
          </cell>
          <cell r="Q29">
            <v>59.217588472900005</v>
          </cell>
          <cell r="R29">
            <v>61.349703307050007</v>
          </cell>
          <cell r="S29">
            <v>65.101127692752513</v>
          </cell>
          <cell r="T29">
            <v>69.108517219775138</v>
          </cell>
          <cell r="U29">
            <v>72.563943080763892</v>
          </cell>
        </row>
        <row r="30">
          <cell r="I30">
            <v>0</v>
          </cell>
          <cell r="J30">
            <v>0</v>
          </cell>
          <cell r="K30">
            <v>0</v>
          </cell>
          <cell r="L30">
            <v>0</v>
          </cell>
          <cell r="M30">
            <v>0</v>
          </cell>
          <cell r="N30">
            <v>32.428236607999992</v>
          </cell>
          <cell r="O30">
            <v>37.242511391999997</v>
          </cell>
          <cell r="P30">
            <v>26.801513931999999</v>
          </cell>
          <cell r="Q30">
            <v>36.552509634999993</v>
          </cell>
          <cell r="R30">
            <v>38.251804222279993</v>
          </cell>
          <cell r="S30">
            <v>40.036539653163999</v>
          </cell>
          <cell r="T30">
            <v>45.09437281969133</v>
          </cell>
          <cell r="U30">
            <v>51.431741695934676</v>
          </cell>
        </row>
        <row r="31">
          <cell r="I31">
            <v>7.1539999999999999</v>
          </cell>
          <cell r="J31">
            <v>8.9257403999999987</v>
          </cell>
          <cell r="K31">
            <v>10.856210669999967</v>
          </cell>
          <cell r="L31">
            <v>8.7633529999999986</v>
          </cell>
          <cell r="M31">
            <v>7.3896694630000006</v>
          </cell>
          <cell r="N31">
            <v>11.487765518</v>
          </cell>
          <cell r="O31">
            <v>11.928074790000002</v>
          </cell>
          <cell r="P31">
            <v>14.086113748999999</v>
          </cell>
          <cell r="Q31">
            <v>13.020684882000001</v>
          </cell>
          <cell r="R31">
            <v>13.856016329640003</v>
          </cell>
          <cell r="S31">
            <v>15.117395844232805</v>
          </cell>
          <cell r="T31">
            <v>16.502428867917462</v>
          </cell>
          <cell r="U31">
            <v>18.023431062755815</v>
          </cell>
        </row>
        <row r="32">
          <cell r="I32">
            <v>0</v>
          </cell>
          <cell r="J32">
            <v>0</v>
          </cell>
          <cell r="K32">
            <v>0</v>
          </cell>
          <cell r="L32">
            <v>0</v>
          </cell>
          <cell r="M32">
            <v>0</v>
          </cell>
          <cell r="N32">
            <v>0</v>
          </cell>
          <cell r="O32">
            <v>12.273452614</v>
          </cell>
          <cell r="P32">
            <v>12.900772182999999</v>
          </cell>
          <cell r="Q32">
            <v>12.432910895999999</v>
          </cell>
          <cell r="R32">
            <v>12.432910895999999</v>
          </cell>
          <cell r="S32">
            <v>12.929491351200001</v>
          </cell>
          <cell r="T32">
            <v>13.445935024608001</v>
          </cell>
          <cell r="U32">
            <v>13.983036444952322</v>
          </cell>
        </row>
        <row r="33">
          <cell r="I33">
            <v>0</v>
          </cell>
          <cell r="J33">
            <v>0</v>
          </cell>
          <cell r="K33">
            <v>0</v>
          </cell>
          <cell r="L33">
            <v>0</v>
          </cell>
          <cell r="M33">
            <v>0</v>
          </cell>
          <cell r="N33">
            <v>0</v>
          </cell>
          <cell r="O33">
            <v>0</v>
          </cell>
          <cell r="P33">
            <v>2.5654343750000002</v>
          </cell>
          <cell r="Q33">
            <v>4.1653329790000004</v>
          </cell>
          <cell r="R33">
            <v>4.7267706258499995</v>
          </cell>
          <cell r="S33">
            <v>5.5723291285199998</v>
          </cell>
          <cell r="T33">
            <v>7.5567615048029992</v>
          </cell>
          <cell r="U33">
            <v>11.00506823578575</v>
          </cell>
        </row>
        <row r="34">
          <cell r="I34">
            <v>0</v>
          </cell>
          <cell r="J34">
            <v>0</v>
          </cell>
          <cell r="K34">
            <v>0</v>
          </cell>
          <cell r="L34">
            <v>0</v>
          </cell>
          <cell r="M34">
            <v>1.0824478749999997</v>
          </cell>
          <cell r="N34">
            <v>0.24</v>
          </cell>
          <cell r="O34">
            <v>0.5</v>
          </cell>
          <cell r="P34">
            <v>0.56399999999999828</v>
          </cell>
          <cell r="Q34">
            <v>0.70499999999999785</v>
          </cell>
          <cell r="R34">
            <v>0.88124999999999731</v>
          </cell>
          <cell r="S34">
            <v>1.7624999999999946</v>
          </cell>
          <cell r="T34">
            <v>3.5249999999999893</v>
          </cell>
          <cell r="U34">
            <v>4.4062499999999867</v>
          </cell>
        </row>
        <row r="35">
          <cell r="I35">
            <v>0</v>
          </cell>
          <cell r="J35">
            <v>0</v>
          </cell>
          <cell r="K35">
            <v>0</v>
          </cell>
          <cell r="L35">
            <v>0</v>
          </cell>
          <cell r="M35">
            <v>0</v>
          </cell>
          <cell r="N35">
            <v>0</v>
          </cell>
          <cell r="O35">
            <v>0</v>
          </cell>
          <cell r="P35">
            <v>7.3259850000000002</v>
          </cell>
          <cell r="Q35">
            <v>19.385100000000001</v>
          </cell>
          <cell r="R35">
            <v>21.698388600000001</v>
          </cell>
          <cell r="S35">
            <v>34.717421760000001</v>
          </cell>
          <cell r="T35">
            <v>57.283745904000007</v>
          </cell>
          <cell r="U35">
            <v>71.60468238</v>
          </cell>
        </row>
        <row r="36">
          <cell r="I36">
            <v>0.70000000000000007</v>
          </cell>
          <cell r="J36">
            <v>4.24</v>
          </cell>
          <cell r="K36">
            <v>4.5</v>
          </cell>
          <cell r="L36">
            <v>4</v>
          </cell>
          <cell r="M36">
            <v>4</v>
          </cell>
          <cell r="N36">
            <v>4.4400000000000004</v>
          </cell>
          <cell r="O36">
            <v>4.5999999999999996</v>
          </cell>
          <cell r="P36">
            <v>4.5999999999999996</v>
          </cell>
          <cell r="Q36">
            <v>3.4499999999999997</v>
          </cell>
          <cell r="R36">
            <v>3.5879999999999996</v>
          </cell>
          <cell r="S36">
            <v>3.7315199999999997</v>
          </cell>
          <cell r="T36">
            <v>3.8807807999999997</v>
          </cell>
          <cell r="U36">
            <v>4.0360120319999995</v>
          </cell>
        </row>
        <row r="37">
          <cell r="I37">
            <v>3.7800000000000002</v>
          </cell>
          <cell r="J37">
            <v>5.68</v>
          </cell>
          <cell r="K37">
            <v>5.78</v>
          </cell>
          <cell r="L37">
            <v>5.48</v>
          </cell>
          <cell r="M37">
            <v>5.48</v>
          </cell>
          <cell r="N37">
            <v>8.16</v>
          </cell>
          <cell r="O37">
            <v>9.6999999999999993</v>
          </cell>
          <cell r="P37">
            <v>9.4</v>
          </cell>
          <cell r="Q37">
            <v>7.99</v>
          </cell>
          <cell r="R37">
            <v>8.7890000000000015</v>
          </cell>
          <cell r="S37">
            <v>10.986250000000002</v>
          </cell>
          <cell r="T37">
            <v>12.634187500000001</v>
          </cell>
          <cell r="U37">
            <v>14.529315625000001</v>
          </cell>
        </row>
        <row r="38">
          <cell r="I38">
            <v>0.49640000000000001</v>
          </cell>
          <cell r="J38">
            <v>0.83864969999999994</v>
          </cell>
          <cell r="K38">
            <v>1.91</v>
          </cell>
          <cell r="L38">
            <v>3.3643155</v>
          </cell>
          <cell r="M38">
            <v>5.887552125</v>
          </cell>
          <cell r="N38">
            <v>8.23</v>
          </cell>
          <cell r="O38">
            <v>12.936</v>
          </cell>
          <cell r="P38">
            <v>12.936</v>
          </cell>
          <cell r="Q38">
            <v>12.444999999999999</v>
          </cell>
          <cell r="R38">
            <v>12.444999999999999</v>
          </cell>
          <cell r="S38">
            <v>14.311749999999996</v>
          </cell>
          <cell r="T38">
            <v>16.458512499999994</v>
          </cell>
          <cell r="U38">
            <v>18.92728937499999</v>
          </cell>
        </row>
        <row r="39">
          <cell r="I39">
            <v>0.5</v>
          </cell>
          <cell r="J39">
            <v>1.42</v>
          </cell>
          <cell r="K39">
            <v>2.84</v>
          </cell>
          <cell r="L39">
            <v>1.8</v>
          </cell>
          <cell r="M39">
            <v>1.8</v>
          </cell>
          <cell r="N39">
            <v>0</v>
          </cell>
          <cell r="O39">
            <v>0</v>
          </cell>
          <cell r="P39">
            <v>0</v>
          </cell>
          <cell r="Q39">
            <v>0</v>
          </cell>
          <cell r="R39">
            <v>0</v>
          </cell>
          <cell r="S39">
            <v>0</v>
          </cell>
          <cell r="T39">
            <v>0</v>
          </cell>
          <cell r="U39">
            <v>0</v>
          </cell>
        </row>
        <row r="40">
          <cell r="I40">
            <v>0</v>
          </cell>
          <cell r="J40">
            <v>0</v>
          </cell>
          <cell r="K40">
            <v>0</v>
          </cell>
          <cell r="L40">
            <v>0</v>
          </cell>
          <cell r="M40">
            <v>0</v>
          </cell>
          <cell r="N40">
            <v>0</v>
          </cell>
          <cell r="O40">
            <v>0</v>
          </cell>
          <cell r="P40">
            <v>0</v>
          </cell>
          <cell r="Q40">
            <v>0</v>
          </cell>
          <cell r="R40">
            <v>3</v>
          </cell>
          <cell r="S40">
            <v>3.3000000000000003</v>
          </cell>
          <cell r="T40">
            <v>3.4650000000000003</v>
          </cell>
          <cell r="U40">
            <v>3.4650000000000003</v>
          </cell>
        </row>
        <row r="86">
          <cell r="Q86">
            <v>2881.8712000000005</v>
          </cell>
          <cell r="R86">
            <v>2997.1460480000005</v>
          </cell>
          <cell r="S86">
            <v>3117.0318899200006</v>
          </cell>
          <cell r="T86">
            <v>3241.7131655168009</v>
          </cell>
          <cell r="U86">
            <v>3371.3816921374732</v>
          </cell>
        </row>
        <row r="93">
          <cell r="I93">
            <v>242</v>
          </cell>
          <cell r="J93">
            <v>249</v>
          </cell>
          <cell r="K93">
            <v>248.82</v>
          </cell>
          <cell r="L93">
            <v>264</v>
          </cell>
          <cell r="M93">
            <v>264</v>
          </cell>
          <cell r="N93">
            <v>264</v>
          </cell>
          <cell r="O93">
            <v>264</v>
          </cell>
          <cell r="P93">
            <v>264</v>
          </cell>
          <cell r="Q93">
            <v>274</v>
          </cell>
          <cell r="R93">
            <v>274</v>
          </cell>
          <cell r="S93">
            <v>316.89999999999998</v>
          </cell>
          <cell r="T93">
            <v>377.78999999999996</v>
          </cell>
          <cell r="U93">
            <v>418.48900000000003</v>
          </cell>
        </row>
        <row r="94">
          <cell r="I94">
            <v>14</v>
          </cell>
          <cell r="J94">
            <v>14</v>
          </cell>
          <cell r="K94">
            <v>14</v>
          </cell>
          <cell r="L94">
            <v>14</v>
          </cell>
          <cell r="M94">
            <v>14</v>
          </cell>
          <cell r="N94">
            <v>16</v>
          </cell>
          <cell r="O94">
            <v>16</v>
          </cell>
          <cell r="P94">
            <v>16</v>
          </cell>
          <cell r="Q94">
            <v>16</v>
          </cell>
          <cell r="R94">
            <v>16</v>
          </cell>
          <cell r="S94">
            <v>20</v>
          </cell>
          <cell r="T94">
            <v>25</v>
          </cell>
          <cell r="U94">
            <v>25</v>
          </cell>
        </row>
        <row r="95">
          <cell r="I95">
            <v>35</v>
          </cell>
          <cell r="J95">
            <v>45</v>
          </cell>
          <cell r="K95">
            <v>45</v>
          </cell>
          <cell r="L95">
            <v>45</v>
          </cell>
          <cell r="M95">
            <v>45</v>
          </cell>
          <cell r="N95">
            <v>45</v>
          </cell>
          <cell r="O95">
            <v>50</v>
          </cell>
          <cell r="P95">
            <v>50</v>
          </cell>
          <cell r="Q95">
            <v>52</v>
          </cell>
          <cell r="R95">
            <v>62.4</v>
          </cell>
          <cell r="S95">
            <v>71.759999999999991</v>
          </cell>
          <cell r="T95">
            <v>78.935999999999993</v>
          </cell>
          <cell r="U95">
            <v>86.829599999999999</v>
          </cell>
        </row>
        <row r="96">
          <cell r="I96">
            <v>30</v>
          </cell>
          <cell r="J96">
            <v>30</v>
          </cell>
          <cell r="K96">
            <v>30</v>
          </cell>
          <cell r="L96">
            <v>30</v>
          </cell>
          <cell r="M96">
            <v>30</v>
          </cell>
          <cell r="N96">
            <v>30</v>
          </cell>
          <cell r="O96">
            <v>30</v>
          </cell>
          <cell r="P96">
            <v>30</v>
          </cell>
          <cell r="Q96">
            <v>32</v>
          </cell>
          <cell r="R96">
            <v>32</v>
          </cell>
          <cell r="S96">
            <v>35.200000000000003</v>
          </cell>
          <cell r="T96">
            <v>42.24</v>
          </cell>
          <cell r="U96">
            <v>50.688000000000002</v>
          </cell>
        </row>
        <row r="97">
          <cell r="I97">
            <v>0</v>
          </cell>
          <cell r="J97">
            <v>0</v>
          </cell>
          <cell r="K97">
            <v>0</v>
          </cell>
          <cell r="L97">
            <v>64</v>
          </cell>
          <cell r="M97">
            <v>64</v>
          </cell>
          <cell r="N97">
            <v>75</v>
          </cell>
          <cell r="O97">
            <v>75</v>
          </cell>
          <cell r="P97">
            <v>75</v>
          </cell>
          <cell r="Q97">
            <v>75</v>
          </cell>
          <cell r="R97">
            <v>75</v>
          </cell>
          <cell r="S97">
            <v>78.75</v>
          </cell>
          <cell r="T97">
            <v>82.6875</v>
          </cell>
          <cell r="U97">
            <v>86.821875000000006</v>
          </cell>
        </row>
        <row r="98">
          <cell r="I98">
            <v>0</v>
          </cell>
          <cell r="J98">
            <v>0</v>
          </cell>
          <cell r="K98">
            <v>0</v>
          </cell>
          <cell r="L98">
            <v>0</v>
          </cell>
          <cell r="M98">
            <v>64</v>
          </cell>
          <cell r="N98">
            <v>64</v>
          </cell>
          <cell r="O98">
            <v>64</v>
          </cell>
          <cell r="P98">
            <v>64</v>
          </cell>
          <cell r="Q98">
            <v>64</v>
          </cell>
          <cell r="R98">
            <v>64</v>
          </cell>
          <cell r="S98">
            <v>64</v>
          </cell>
          <cell r="T98">
            <v>73.599999999999994</v>
          </cell>
          <cell r="U98">
            <v>80.224000000000004</v>
          </cell>
        </row>
        <row r="99">
          <cell r="I99">
            <v>18</v>
          </cell>
          <cell r="J99">
            <v>18</v>
          </cell>
          <cell r="K99">
            <v>18</v>
          </cell>
          <cell r="L99">
            <v>18</v>
          </cell>
          <cell r="M99">
            <v>18</v>
          </cell>
          <cell r="N99">
            <v>25</v>
          </cell>
          <cell r="O99">
            <v>25</v>
          </cell>
          <cell r="P99">
            <v>25</v>
          </cell>
          <cell r="Q99">
            <v>25</v>
          </cell>
          <cell r="R99">
            <v>25</v>
          </cell>
          <cell r="S99">
            <v>32.299999999999997</v>
          </cell>
          <cell r="T99">
            <v>32.299999999999997</v>
          </cell>
          <cell r="U99">
            <v>32.299999999999997</v>
          </cell>
        </row>
        <row r="100">
          <cell r="I100">
            <v>0</v>
          </cell>
          <cell r="J100">
            <v>0</v>
          </cell>
          <cell r="K100">
            <v>0</v>
          </cell>
          <cell r="L100">
            <v>0</v>
          </cell>
          <cell r="M100">
            <v>0</v>
          </cell>
          <cell r="N100">
            <v>0</v>
          </cell>
          <cell r="O100">
            <v>22</v>
          </cell>
          <cell r="P100">
            <v>22</v>
          </cell>
          <cell r="Q100">
            <v>22</v>
          </cell>
          <cell r="R100">
            <v>22</v>
          </cell>
          <cell r="S100">
            <v>22</v>
          </cell>
          <cell r="T100">
            <v>22</v>
          </cell>
          <cell r="U100">
            <v>22</v>
          </cell>
        </row>
        <row r="101">
          <cell r="I101">
            <v>0</v>
          </cell>
          <cell r="J101">
            <v>0</v>
          </cell>
          <cell r="K101">
            <v>0</v>
          </cell>
          <cell r="L101">
            <v>0</v>
          </cell>
          <cell r="M101">
            <v>0</v>
          </cell>
          <cell r="N101">
            <v>0</v>
          </cell>
          <cell r="O101">
            <v>0</v>
          </cell>
          <cell r="P101">
            <v>20</v>
          </cell>
          <cell r="Q101">
            <v>20</v>
          </cell>
          <cell r="R101">
            <v>20</v>
          </cell>
          <cell r="S101">
            <v>20</v>
          </cell>
          <cell r="T101">
            <v>25</v>
          </cell>
          <cell r="U101">
            <v>30</v>
          </cell>
        </row>
        <row r="102">
          <cell r="I102">
            <v>0</v>
          </cell>
          <cell r="J102">
            <v>0</v>
          </cell>
          <cell r="K102">
            <v>0</v>
          </cell>
          <cell r="L102">
            <v>0</v>
          </cell>
          <cell r="M102">
            <v>8</v>
          </cell>
          <cell r="N102">
            <v>8</v>
          </cell>
          <cell r="O102">
            <v>8</v>
          </cell>
          <cell r="P102">
            <v>8</v>
          </cell>
          <cell r="Q102">
            <v>8</v>
          </cell>
          <cell r="R102">
            <v>8</v>
          </cell>
          <cell r="S102">
            <v>8</v>
          </cell>
          <cell r="T102">
            <v>8</v>
          </cell>
          <cell r="U102">
            <v>8</v>
          </cell>
        </row>
        <row r="103">
          <cell r="I103">
            <v>0</v>
          </cell>
          <cell r="J103">
            <v>0</v>
          </cell>
          <cell r="K103">
            <v>0</v>
          </cell>
          <cell r="L103">
            <v>0</v>
          </cell>
          <cell r="M103">
            <v>0</v>
          </cell>
          <cell r="N103">
            <v>0</v>
          </cell>
          <cell r="O103">
            <v>0</v>
          </cell>
          <cell r="P103">
            <v>18</v>
          </cell>
          <cell r="Q103">
            <v>24</v>
          </cell>
          <cell r="R103">
            <v>31.3</v>
          </cell>
          <cell r="S103">
            <v>42.25</v>
          </cell>
          <cell r="T103">
            <v>60.5</v>
          </cell>
          <cell r="U103">
            <v>75.099999999999994</v>
          </cell>
        </row>
        <row r="104">
          <cell r="I104">
            <v>4</v>
          </cell>
          <cell r="J104">
            <v>5</v>
          </cell>
          <cell r="K104">
            <v>5</v>
          </cell>
          <cell r="L104">
            <v>5</v>
          </cell>
          <cell r="M104">
            <v>5</v>
          </cell>
          <cell r="N104">
            <v>5</v>
          </cell>
          <cell r="O104">
            <v>5</v>
          </cell>
          <cell r="P104">
            <v>5</v>
          </cell>
          <cell r="Q104">
            <v>5</v>
          </cell>
          <cell r="R104">
            <v>5</v>
          </cell>
          <cell r="S104">
            <v>5</v>
          </cell>
          <cell r="T104">
            <v>5</v>
          </cell>
          <cell r="U104">
            <v>5</v>
          </cell>
        </row>
        <row r="105">
          <cell r="I105">
            <v>14</v>
          </cell>
          <cell r="J105">
            <v>14</v>
          </cell>
          <cell r="K105">
            <v>14</v>
          </cell>
          <cell r="L105">
            <v>14</v>
          </cell>
          <cell r="M105">
            <v>14</v>
          </cell>
          <cell r="N105">
            <v>14</v>
          </cell>
          <cell r="O105">
            <v>14</v>
          </cell>
          <cell r="P105">
            <v>14</v>
          </cell>
          <cell r="Q105">
            <v>14</v>
          </cell>
          <cell r="R105">
            <v>19.698</v>
          </cell>
          <cell r="S105">
            <v>19.698</v>
          </cell>
          <cell r="T105">
            <v>19.698</v>
          </cell>
          <cell r="U105">
            <v>19.698</v>
          </cell>
        </row>
        <row r="106">
          <cell r="I106">
            <v>12</v>
          </cell>
          <cell r="J106">
            <v>12</v>
          </cell>
          <cell r="K106">
            <v>12</v>
          </cell>
          <cell r="L106">
            <v>12</v>
          </cell>
          <cell r="M106">
            <v>12</v>
          </cell>
          <cell r="N106">
            <v>12</v>
          </cell>
          <cell r="O106">
            <v>12</v>
          </cell>
          <cell r="P106">
            <v>12</v>
          </cell>
          <cell r="Q106">
            <v>12</v>
          </cell>
          <cell r="R106">
            <v>12</v>
          </cell>
          <cell r="S106">
            <v>12</v>
          </cell>
          <cell r="T106">
            <v>15</v>
          </cell>
          <cell r="U106">
            <v>18.75</v>
          </cell>
        </row>
        <row r="107">
          <cell r="I107">
            <v>4</v>
          </cell>
          <cell r="J107">
            <v>6</v>
          </cell>
          <cell r="K107">
            <v>6</v>
          </cell>
          <cell r="L107">
            <v>6.41</v>
          </cell>
          <cell r="M107">
            <v>0</v>
          </cell>
          <cell r="N107">
            <v>0</v>
          </cell>
          <cell r="O107">
            <v>0</v>
          </cell>
          <cell r="P107">
            <v>0</v>
          </cell>
          <cell r="Q107">
            <v>0</v>
          </cell>
          <cell r="R107">
            <v>0</v>
          </cell>
          <cell r="S107">
            <v>0</v>
          </cell>
          <cell r="T107">
            <v>0</v>
          </cell>
          <cell r="U107">
            <v>0</v>
          </cell>
        </row>
        <row r="108">
          <cell r="I108">
            <v>0</v>
          </cell>
          <cell r="J108">
            <v>0</v>
          </cell>
          <cell r="K108">
            <v>0</v>
          </cell>
          <cell r="L108">
            <v>0</v>
          </cell>
          <cell r="M108">
            <v>0</v>
          </cell>
          <cell r="N108">
            <v>0</v>
          </cell>
          <cell r="O108">
            <v>0</v>
          </cell>
          <cell r="P108">
            <v>0</v>
          </cell>
          <cell r="Q108">
            <v>3.74</v>
          </cell>
          <cell r="R108">
            <v>3.74</v>
          </cell>
          <cell r="S108">
            <v>3.74</v>
          </cell>
          <cell r="T108">
            <v>3.74</v>
          </cell>
          <cell r="U108">
            <v>3.74</v>
          </cell>
        </row>
      </sheetData>
      <sheetData sheetId="4">
        <row r="66">
          <cell r="Q66">
            <v>0.18521811985831507</v>
          </cell>
          <cell r="R66">
            <v>0.14177866185057716</v>
          </cell>
          <cell r="S66">
            <v>0.10091766489822461</v>
          </cell>
          <cell r="T66">
            <v>0.1290904061163487</v>
          </cell>
          <cell r="U66">
            <v>9.4701093359315841E-2</v>
          </cell>
          <cell r="V66">
            <v>9.6063322141895807E-2</v>
          </cell>
          <cell r="W66">
            <v>0.13907076968563806</v>
          </cell>
          <cell r="X66">
            <v>0.15111415695894173</v>
          </cell>
          <cell r="Y66">
            <v>0.14707606284673339</v>
          </cell>
          <cell r="Z66">
            <v>0.13492612766597772</v>
          </cell>
          <cell r="AA66">
            <v>0.14620579611500201</v>
          </cell>
          <cell r="AB66">
            <v>0.1575777050435877</v>
          </cell>
          <cell r="AC66">
            <v>0.16059076157523824</v>
          </cell>
        </row>
        <row r="81">
          <cell r="Y81">
            <v>19.468082512453783</v>
          </cell>
        </row>
      </sheetData>
      <sheetData sheetId="5"/>
      <sheetData sheetId="6"/>
      <sheetData sheetId="7"/>
      <sheetData sheetId="8"/>
      <sheetData sheetId="9"/>
      <sheetData sheetId="10"/>
      <sheetData sheetId="11">
        <row r="15">
          <cell r="T15">
            <v>387357.7</v>
          </cell>
          <cell r="U15">
            <v>442413.61613167764</v>
          </cell>
          <cell r="V15">
            <v>505278.33122301253</v>
          </cell>
        </row>
        <row r="67">
          <cell r="T67">
            <v>228424.6</v>
          </cell>
          <cell r="U67">
            <v>255382.90057225022</v>
          </cell>
          <cell r="V67">
            <v>291150.05331641325</v>
          </cell>
        </row>
        <row r="308">
          <cell r="R308">
            <v>0.12729472525857019</v>
          </cell>
          <cell r="S308">
            <v>0.1320976526578701</v>
          </cell>
          <cell r="T308">
            <v>0.11899016586019294</v>
          </cell>
          <cell r="U308">
            <v>0.12616681476398242</v>
          </cell>
          <cell r="V308">
            <v>0.13533809395109053</v>
          </cell>
          <cell r="W308">
            <v>0.14512584205031359</v>
          </cell>
          <cell r="X308">
            <v>0.14829042840418363</v>
          </cell>
        </row>
        <row r="309">
          <cell r="P309">
            <v>0.13728831129009358</v>
          </cell>
          <cell r="Q309">
            <v>0.12665211243513641</v>
          </cell>
          <cell r="R309">
            <v>0.16463566070070187</v>
          </cell>
          <cell r="S309">
            <v>0.1922741310117787</v>
          </cell>
          <cell r="T309">
            <v>0.16153070474150935</v>
          </cell>
          <cell r="U309">
            <v>0.1369260344647649</v>
          </cell>
          <cell r="V309">
            <v>0.14519333653941374</v>
          </cell>
          <cell r="W309">
            <v>0.15267126769541031</v>
          </cell>
          <cell r="X309">
            <v>0.14869711026882187</v>
          </cell>
        </row>
        <row r="310">
          <cell r="P310">
            <v>7.9744007149729651E-2</v>
          </cell>
          <cell r="Q310">
            <v>8.4675520098987739E-2</v>
          </cell>
          <cell r="R310">
            <v>9.6960974793098051E-2</v>
          </cell>
          <cell r="S310">
            <v>0.10678575757601497</v>
          </cell>
          <cell r="T310">
            <v>9.5790244854080789E-2</v>
          </cell>
          <cell r="U310">
            <v>9.3076931450560646E-2</v>
          </cell>
          <cell r="V310">
            <v>0.10072480051912695</v>
          </cell>
          <cell r="W310">
            <v>0.10726788395075888</v>
          </cell>
          <cell r="X310">
            <v>0.11080549979669267</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ainers Monthly"/>
      <sheetName val="MajorPorts monthly volumes"/>
      <sheetName val="ToUpdateMajorPorts"/>
      <sheetName val="New Sector"/>
      <sheetName val="Non Major Ports Data"/>
      <sheetName val="Charts New"/>
      <sheetName val="Consolidation slide"/>
      <sheetName val="Monthly"/>
      <sheetName val="Quarterly"/>
      <sheetName val="PPT"/>
      <sheetName val="Sheet1"/>
    </sheetNames>
    <sheetDataSet>
      <sheetData sheetId="0">
        <row r="8">
          <cell r="BC8">
            <v>142094</v>
          </cell>
        </row>
      </sheetData>
      <sheetData sheetId="1">
        <row r="7">
          <cell r="NB7">
            <v>101754</v>
          </cell>
        </row>
      </sheetData>
      <sheetData sheetId="2"/>
      <sheetData sheetId="3">
        <row r="7">
          <cell r="B7" t="str">
            <v>Kolkata</v>
          </cell>
        </row>
        <row r="34">
          <cell r="R34">
            <v>2308.59</v>
          </cell>
          <cell r="S34">
            <v>2426.8199999999997</v>
          </cell>
          <cell r="T34">
            <v>2496.89</v>
          </cell>
          <cell r="U34">
            <v>2503.12</v>
          </cell>
          <cell r="V34">
            <v>2530.8200000000002</v>
          </cell>
          <cell r="W34">
            <v>2626.9399999999996</v>
          </cell>
          <cell r="X34">
            <v>2710.39</v>
          </cell>
          <cell r="Y34">
            <v>2771.03</v>
          </cell>
        </row>
        <row r="100">
          <cell r="R100">
            <v>1208.4470000000001</v>
          </cell>
          <cell r="S100">
            <v>1281.779</v>
          </cell>
          <cell r="T100">
            <v>1319.9180000000001</v>
          </cell>
          <cell r="U100">
            <v>1251.4569999999999</v>
          </cell>
          <cell r="V100">
            <v>1318.9760000000001</v>
          </cell>
          <cell r="W100">
            <v>1434.192</v>
          </cell>
          <cell r="X100">
            <v>1540.2759999999998</v>
          </cell>
          <cell r="Y100">
            <v>1602.568</v>
          </cell>
          <cell r="Z100">
            <v>1665.8255260000001</v>
          </cell>
        </row>
        <row r="459">
          <cell r="Y459">
            <v>112.815275</v>
          </cell>
        </row>
      </sheetData>
      <sheetData sheetId="4">
        <row r="147">
          <cell r="E147">
            <v>58750.228999999999</v>
          </cell>
        </row>
      </sheetData>
      <sheetData sheetId="5">
        <row r="15">
          <cell r="R15">
            <v>3.4689372437716859E-2</v>
          </cell>
        </row>
      </sheetData>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wFinSumm"/>
      <sheetName val="Key"/>
      <sheetName val="Consol"/>
      <sheetName val="Standalone"/>
      <sheetName val="Qtrly"/>
      <sheetName val="Valuation"/>
      <sheetName val="Assumptions"/>
      <sheetName val="Logistics"/>
      <sheetName val="Navkar Qtrly"/>
      <sheetName val="Jaigarh"/>
      <sheetName val="Goa"/>
      <sheetName val="Dharmtar"/>
      <sheetName val="Paradip Iron"/>
      <sheetName val="Paradip Coal"/>
      <sheetName val="Ennore Coal"/>
      <sheetName val="Ennore Bulk"/>
      <sheetName val="Mangalore Coal"/>
      <sheetName val="Mangalore Container"/>
      <sheetName val="PNP"/>
      <sheetName val="Tuticorin"/>
      <sheetName val="JNPT Liquid"/>
    </sheetNames>
    <sheetDataSet>
      <sheetData sheetId="0" refreshError="1"/>
      <sheetData sheetId="1" refreshError="1"/>
      <sheetData sheetId="2">
        <row r="16">
          <cell r="H16">
            <v>10802.602000000001</v>
          </cell>
        </row>
        <row r="23">
          <cell r="H23">
            <v>6121.4070000000011</v>
          </cell>
        </row>
      </sheetData>
      <sheetData sheetId="3">
        <row r="7">
          <cell r="D7">
            <v>2708.3339999999998</v>
          </cell>
        </row>
        <row r="16">
          <cell r="D16">
            <v>2708.3339999999998</v>
          </cell>
        </row>
        <row r="23">
          <cell r="D23">
            <v>1446.4569999999999</v>
          </cell>
        </row>
      </sheetData>
      <sheetData sheetId="4" refreshError="1"/>
      <sheetData sheetId="5" refreshError="1"/>
      <sheetData sheetId="6" refreshError="1"/>
      <sheetData sheetId="7" refreshError="1"/>
      <sheetData sheetId="8" refreshError="1"/>
      <sheetData sheetId="9">
        <row r="16">
          <cell r="D16">
            <v>5906.44</v>
          </cell>
        </row>
        <row r="23">
          <cell r="D23">
            <v>3109.0959999999995</v>
          </cell>
        </row>
      </sheetData>
      <sheetData sheetId="10">
        <row r="23">
          <cell r="D23">
            <v>0</v>
          </cell>
        </row>
      </sheetData>
      <sheetData sheetId="11">
        <row r="7">
          <cell r="D7">
            <v>1573.518</v>
          </cell>
        </row>
        <row r="16">
          <cell r="D16">
            <v>1635.3949999999998</v>
          </cell>
        </row>
        <row r="23">
          <cell r="D23">
            <v>925.47799999999984</v>
          </cell>
        </row>
      </sheetData>
      <sheetData sheetId="12">
        <row r="23">
          <cell r="H23">
            <v>0</v>
          </cell>
        </row>
      </sheetData>
      <sheetData sheetId="13">
        <row r="23">
          <cell r="H23">
            <v>0</v>
          </cell>
        </row>
      </sheetData>
      <sheetData sheetId="14">
        <row r="23">
          <cell r="H23">
            <v>0</v>
          </cell>
        </row>
      </sheetData>
      <sheetData sheetId="15" refreshError="1"/>
      <sheetData sheetId="16">
        <row r="23">
          <cell r="H23">
            <v>0</v>
          </cell>
        </row>
      </sheetData>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ey"/>
      <sheetName val="Equibase"/>
      <sheetName val="EquibaseQTR"/>
      <sheetName val="Qtrly"/>
      <sheetName val="Consol"/>
      <sheetName val="New FinSumm"/>
      <sheetName val="Vln"/>
      <sheetName val="Vln_new"/>
      <sheetName val="Summary"/>
      <sheetName val="Assumptions"/>
      <sheetName val="Standalone"/>
      <sheetName val="Plant Wise"/>
      <sheetName val="Assumptions_Subs &amp; JV"/>
      <sheetName val="for IPRU - NTPC"/>
      <sheetName val="Bajaj Life"/>
      <sheetName val="NTPC Thermal"/>
      <sheetName val="HDFC Life"/>
      <sheetName val="360 One"/>
      <sheetName val="NTPC Valuation Sensitivity"/>
      <sheetName val="Vln - NGEL"/>
      <sheetName val="NGEL"/>
      <sheetName val="NGEL Qtrly"/>
      <sheetName val="for IPRU - NGEL"/>
      <sheetName val="NTPC"/>
    </sheetNames>
    <sheetDataSet>
      <sheetData sheetId="0">
        <row r="63">
          <cell r="H63">
            <v>45930</v>
          </cell>
        </row>
      </sheetData>
      <sheetData sheetId="1"/>
      <sheetData sheetId="2"/>
      <sheetData sheetId="3"/>
      <sheetData sheetId="4">
        <row r="10">
          <cell r="W10">
            <v>1762069.3</v>
          </cell>
        </row>
      </sheetData>
      <sheetData sheetId="5">
        <row r="5">
          <cell r="S5">
            <v>1094640.4000000001</v>
          </cell>
        </row>
      </sheetData>
      <sheetData sheetId="6">
        <row r="10">
          <cell r="D10">
            <v>14.823230040770433</v>
          </cell>
        </row>
      </sheetData>
      <sheetData sheetId="7"/>
      <sheetData sheetId="8">
        <row r="59">
          <cell r="Y59">
            <v>1486</v>
          </cell>
        </row>
      </sheetData>
      <sheetData sheetId="9">
        <row r="4">
          <cell r="R4">
            <v>340101.46367999999</v>
          </cell>
        </row>
      </sheetData>
      <sheetData sheetId="10"/>
      <sheetData sheetId="11"/>
      <sheetData sheetId="12">
        <row r="503">
          <cell r="JL503">
            <v>1</v>
          </cell>
          <cell r="JM503">
            <v>1</v>
          </cell>
        </row>
      </sheetData>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base"/>
      <sheetName val="New FinSumm"/>
      <sheetName val="FinSumm"/>
      <sheetName val="Assumptions"/>
      <sheetName val="Valuation"/>
      <sheetName val="Standalone"/>
      <sheetName val="Qtrly"/>
      <sheetName val="PRCL"/>
      <sheetName val="ARA"/>
      <sheetName val="Gujarat Pipavav"/>
      <sheetName val="EquibaseQTR"/>
      <sheetName val="Charts"/>
      <sheetName val="For Snapshot"/>
    </sheetNames>
    <sheetDataSet>
      <sheetData sheetId="0"/>
      <sheetData sheetId="1">
        <row r="5">
          <cell r="R5">
            <v>7019.8</v>
          </cell>
        </row>
      </sheetData>
      <sheetData sheetId="2"/>
      <sheetData sheetId="3">
        <row r="3">
          <cell r="P3" t="str">
            <v>FY14</v>
          </cell>
        </row>
      </sheetData>
      <sheetData sheetId="4">
        <row r="12">
          <cell r="A12">
            <v>6.593744245676203E-2</v>
          </cell>
        </row>
      </sheetData>
      <sheetData sheetId="5">
        <row r="65">
          <cell r="U65">
            <v>5730.5300000000007</v>
          </cell>
        </row>
        <row r="298">
          <cell r="S298">
            <v>0.24076159427249008</v>
          </cell>
          <cell r="T298">
            <v>0.32613419944876393</v>
          </cell>
          <cell r="U298">
            <v>0.43644544431946014</v>
          </cell>
          <cell r="V298">
            <v>0.43861746183533273</v>
          </cell>
          <cell r="W298">
            <v>0.33233122493613959</v>
          </cell>
          <cell r="X298">
            <v>0.34268482584603105</v>
          </cell>
          <cell r="Y298">
            <v>0.40351842209301547</v>
          </cell>
          <cell r="Z298">
            <v>0.48486368420525494</v>
          </cell>
          <cell r="AA298">
            <v>0.59062537400744752</v>
          </cell>
        </row>
      </sheetData>
      <sheetData sheetId="6">
        <row r="2">
          <cell r="BD2" t="str">
            <v>1QFY22</v>
          </cell>
        </row>
      </sheetData>
      <sheetData sheetId="7"/>
      <sheetData sheetId="8"/>
      <sheetData sheetId="9" refreshError="1"/>
      <sheetData sheetId="10"/>
      <sheetData sheetId="1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ession DCF Analysis"/>
      <sheetName val="Equibase"/>
      <sheetName val="EquibaseQTR"/>
      <sheetName val="New FinSumm"/>
      <sheetName val="FinSumm"/>
      <sheetName val="Qtrly"/>
      <sheetName val="Valuation"/>
      <sheetName val="Assumptions"/>
      <sheetName val="Standalone"/>
      <sheetName val="Charts"/>
      <sheetName val="For Snapshot"/>
      <sheetName val="PRCL"/>
      <sheetName val="ARA"/>
    </sheetNames>
    <sheetDataSet>
      <sheetData sheetId="0"/>
      <sheetData sheetId="1"/>
      <sheetData sheetId="2"/>
      <sheetData sheetId="3"/>
      <sheetData sheetId="4"/>
      <sheetData sheetId="5"/>
      <sheetData sheetId="6"/>
      <sheetData sheetId="7"/>
      <sheetData sheetId="8">
        <row r="10">
          <cell r="W10">
            <v>11583.78</v>
          </cell>
          <cell r="X10">
            <v>10855.084385562295</v>
          </cell>
          <cell r="Y10">
            <v>11819.985758206643</v>
          </cell>
        </row>
        <row r="65">
          <cell r="W65">
            <v>7081.6399999999994</v>
          </cell>
          <cell r="X65">
            <v>6347.4608965595453</v>
          </cell>
          <cell r="Y65">
            <v>6931.6179303426861</v>
          </cell>
        </row>
      </sheetData>
      <sheetData sheetId="9"/>
      <sheetData sheetId="10"/>
      <sheetData sheetId="11"/>
      <sheetData sheetId="12"/>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en-IN</v>
    <v>cazhgh</v>
    <v>268435456</v>
    <v>1</v>
    <v>Powered by Refinitiv</v>
    <v>0</v>
    <v>JSW INFRASTRUCTURE LIMITED (XNSE:JSWINFRA)</v>
    <v>2</v>
    <v>3</v>
    <v>Finance</v>
    <v>4</v>
    <v>355.8</v>
    <v>233.42</v>
    <v>1.4350000000000001</v>
    <v>6.3</v>
    <v>1.8412999999999999E-2</v>
    <v>INR</v>
    <v>JSW Infrastructure Limited is an India-based port-related infrastructure company. The Company is primarily engaged in the business of developing, operating and maintaining the ports services, ports-related infrastructure development activities and development of infrastructure. Its segments include Port Operation and Logistic Operation. The Port Operation segment includes developing, operating and maintaining ports and terminals, related infrastructure and value-added services. Its Logistic Operation segment mainly includes logistics business. It handles a diverse range of cargo types, from dry bulk and break bulk to liquid bulk, gases, and containers. It offers comprehensive maritime services that encompass cargo handling, storage solutions, logistics services, and value-added offerings, positioning it as an evolving end-to-end logistics solutions provider. The Company's subsidiaries include JSW Jaigarh Port Limited, Southwest Port Limited, JSW Shipyard Private Limited, and others.</v>
    <v>884</v>
    <v>National Stock Exchange of India</v>
    <v>XNSE</v>
    <v>XNSE</v>
    <v>JSW CENTRE, BANDRA KURLA COMPLEX, BANDRA (EAST),, MAHARASHTRA, 400051 IN</v>
    <v>349.9</v>
    <v>Transport Infrastructure</v>
    <v>Stock</v>
    <v>46223.474247685182</v>
    <v>339</v>
    <v>794962800000</v>
    <v>JSW INFRASTRUCTURE LIMITED</v>
    <v>JSW INFRASTRUCTURE LIMITED</v>
    <v>342.15</v>
    <v>47.602499999999999</v>
    <v>342.15</v>
    <v>348.45</v>
    <v>2323434000</v>
    <v>JSWINFRA</v>
    <v>JSW INFRASTRUCTURE LIMITED (XNSE:JSWINFRA)</v>
    <v>3996064</v>
    <v>4074080</v>
    <v>2006</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5">
    <spb s="0">
      <v>0</v>
      <v>Name</v>
    </spb>
    <spb s="1">
      <v>0</v>
      <v>0</v>
      <v>0</v>
    </spb>
    <spb s="2">
      <v>1</v>
      <v>1</v>
      <v>1</v>
    </spb>
    <spb s="3">
      <v>1</v>
      <v>2</v>
      <v>2</v>
      <v>1</v>
      <v>3</v>
      <v>1</v>
      <v>1</v>
      <v>1</v>
      <v>4</v>
      <v>4</v>
      <v>5</v>
      <v>6</v>
      <v>1</v>
      <v>1</v>
      <v>1</v>
      <v>4</v>
      <v>7</v>
      <v>8</v>
      <v>9</v>
      <v>4</v>
    </spb>
    <spb s="4">
      <v>Delayed 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dd/mm/yyyy\ hh:mm"/>
    </x:dxf>
    <x:dxf>
      <x:numFmt numFmtId="1" formatCode="0"/>
    </x:dxf>
    <x:dxf>
      <x:numFmt numFmtId="2" formatCode="0.00"/>
    </x:dxf>
  </dxfs>
  <richProperties>
    <rPr n="NumberFormat" t="s"/>
    <rPr n="IsTitleField" t="b"/>
  </richProperties>
  <richStyles>
    <rSty dxfid="0">
      <rpv i="0" xml:space="preserve">_ [$₹-as-IN] * #,##0.00_ ;_ [$₹-as-IN] * -#,##0.00_ ;_ [$₹-as-IN] * "-"??_ ;_ @_ </rpv>
    </rSty>
    <rSty dxfid="1">
      <rpv i="0">#,##0.00</rpv>
    </rSty>
    <rSty>
      <rpv i="1">1</rpv>
    </rSty>
    <rSty dxfid="2">
      <rpv i="0">#,##0</rpv>
    </rSty>
    <rSty dxfid="3"/>
    <rSty dxfid="0">
      <rpv i="0" xml:space="preserve">_ [$₹-as-IN] * #,##0_ ;_ [$₹-as-IN] * -#,##0_ ;_ [$₹-as-IN] * "-"_ ;_ @_ </rpv>
    </rSty>
    <rSty dxfid="4"/>
    <rSty dxfid="5">
      <rpv i="0">0</rpv>
    </rSty>
    <rSty dxfid="6">
      <rpv i="0">0.00</rpv>
    </rSty>
  </richStyles>
</richStyleSheet>
</file>

<file path=xl/theme/theme1.xml><?xml version="1.0" encoding="utf-8"?>
<a:theme xmlns:a="http://schemas.openxmlformats.org/drawingml/2006/main" name="Office Theme">
  <a:themeElements>
    <a:clrScheme name="Spark New Colors">
      <a:dk1>
        <a:srgbClr val="000000"/>
      </a:dk1>
      <a:lt1>
        <a:srgbClr val="FFFFFF"/>
      </a:lt1>
      <a:dk2>
        <a:srgbClr val="000000"/>
      </a:dk2>
      <a:lt2>
        <a:srgbClr val="4D4D4D"/>
      </a:lt2>
      <a:accent1>
        <a:srgbClr val="336699"/>
      </a:accent1>
      <a:accent2>
        <a:srgbClr val="0EAFE2"/>
      </a:accent2>
      <a:accent3>
        <a:srgbClr val="0A83A9"/>
      </a:accent3>
      <a:accent4>
        <a:srgbClr val="4D4D4D"/>
      </a:accent4>
      <a:accent5>
        <a:srgbClr val="999999"/>
      </a:accent5>
      <a:accent6>
        <a:srgbClr val="75A3D1"/>
      </a:accent6>
      <a:hlink>
        <a:srgbClr val="000000"/>
      </a:hlink>
      <a:folHlink>
        <a:srgbClr val="4D4D4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69E984-8CDD-4F50-9D3B-6DA0B7AE2105}">
  <we:reference id="WA200009404" version="1.0.0.8" store="Omex" storeType="OMEX"/>
  <we:alternateReferences>
    <we:reference id="WA200009404" version="1.0.0.8" store="WA200009404" storeType="OMEX"/>
  </we:alternateReferences>
  <we:properties>
    <we:property name="claude.fileId" value="&quot;baada9e7-8b21-4b0c-a9e6-d12ec6ff9c96&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infra.economictimes.indiatimes.com/news/ports-shipping/did-jsw-infra-miscalculate-in-quoting-rs252-a-ton-as-royalty-to-clinch-liquid-cargo-berth-at-j-n-port/107606649" TargetMode="External"/><Relationship Id="rId7" Type="http://schemas.openxmlformats.org/officeDocument/2006/relationships/vmlDrawing" Target="../drawings/vmlDrawing1.vml"/><Relationship Id="rId2" Type="http://schemas.openxmlformats.org/officeDocument/2006/relationships/hyperlink" Target="https://infra.economictimes.indiatimes.com/news/ports-shipping/maharashtra-seeks-bids-for-a-new-port-at-murbe-under-swiss-challenge-after-jsw-infra-place-suo-moto-offer/107983282" TargetMode="External"/><Relationship Id="rId1" Type="http://schemas.openxmlformats.org/officeDocument/2006/relationships/hyperlink" Target="https://eaindustry.nic.in/download_data_1112.asp"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infra.economictimes.indiatimes.com/news/ports-shipping/jsw-infra-emerges-as-highest-bidder-for-outer-container-terminal-five-nsd-berths-at-kolkata-port/131247541"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AC509-2E2E-4B8F-86E1-3D488C517543}">
  <dimension ref="A1:BA279"/>
  <sheetViews>
    <sheetView workbookViewId="0">
      <pane xSplit="7" ySplit="2" topLeftCell="X33" activePane="bottomRight" state="frozen"/>
      <selection pane="topRight" activeCell="H1" sqref="H1"/>
      <selection pane="bottomLeft" activeCell="A3" sqref="A3"/>
      <selection pane="bottomRight" activeCell="AG8" sqref="AG8"/>
    </sheetView>
  </sheetViews>
  <sheetFormatPr defaultColWidth="8.7109375" defaultRowHeight="15" outlineLevelRow="1" x14ac:dyDescent="0.25"/>
  <cols>
    <col min="1" max="1" width="21.28515625" style="703" bestFit="1" customWidth="1"/>
    <col min="2" max="2" width="2.7109375" style="704" customWidth="1"/>
    <col min="3" max="3" width="10.7109375" style="705" bestFit="1" customWidth="1"/>
    <col min="4" max="4" width="2.28515625" style="705" bestFit="1" customWidth="1"/>
    <col min="5" max="5" width="29.28515625" style="739" bestFit="1" customWidth="1"/>
    <col min="6" max="6" width="6" style="705" bestFit="1" customWidth="1"/>
    <col min="7" max="7" width="22.28515625" style="705" bestFit="1" customWidth="1"/>
    <col min="8" max="23" width="9.28515625" style="705" hidden="1" customWidth="1"/>
    <col min="24" max="26" width="9.28515625" style="705" bestFit="1" customWidth="1"/>
    <col min="27" max="27" width="10.7109375" style="705" bestFit="1" customWidth="1"/>
    <col min="28" max="28" width="9.28515625" style="705" bestFit="1" customWidth="1"/>
    <col min="29" max="29" width="10.7109375" style="705" bestFit="1" customWidth="1"/>
    <col min="30" max="30" width="10.28515625" style="705" customWidth="1"/>
    <col min="31" max="32" width="10.7109375" style="705" customWidth="1"/>
    <col min="33" max="36" width="9.7109375" style="705" customWidth="1"/>
    <col min="37" max="16384" width="8.7109375" style="705"/>
  </cols>
  <sheetData>
    <row r="1" spans="1:53" x14ac:dyDescent="0.25">
      <c r="C1" s="705" t="s">
        <v>1036</v>
      </c>
      <c r="D1" s="706" t="str">
        <f ca="1">IF(SUM(B3:B5023)=0,"✓","×")</f>
        <v>✓</v>
      </c>
      <c r="E1" s="707">
        <v>7</v>
      </c>
      <c r="H1" s="708">
        <v>37316</v>
      </c>
      <c r="I1" s="708">
        <v>37681</v>
      </c>
      <c r="J1" s="708">
        <v>38047</v>
      </c>
      <c r="K1" s="708">
        <v>38412</v>
      </c>
      <c r="L1" s="708">
        <v>38777</v>
      </c>
      <c r="M1" s="708">
        <v>39142</v>
      </c>
      <c r="N1" s="708">
        <v>39508</v>
      </c>
      <c r="O1" s="708">
        <v>39873</v>
      </c>
      <c r="P1" s="708">
        <v>40238</v>
      </c>
      <c r="Q1" s="708">
        <v>40603</v>
      </c>
      <c r="R1" s="708">
        <v>40969</v>
      </c>
      <c r="S1" s="708">
        <v>41334</v>
      </c>
      <c r="T1" s="708">
        <v>41699</v>
      </c>
      <c r="U1" s="708">
        <v>42064</v>
      </c>
      <c r="V1" s="708">
        <v>42430</v>
      </c>
      <c r="W1" s="708">
        <v>42795</v>
      </c>
      <c r="X1" s="708">
        <v>43160</v>
      </c>
      <c r="Y1" s="708">
        <v>43525</v>
      </c>
      <c r="Z1" s="708">
        <v>43891</v>
      </c>
      <c r="AA1" s="708">
        <v>44256</v>
      </c>
      <c r="AB1" s="708">
        <v>44621</v>
      </c>
      <c r="AC1" s="708">
        <v>44986</v>
      </c>
      <c r="AD1" s="708">
        <v>45352</v>
      </c>
      <c r="AE1" s="708">
        <v>45717</v>
      </c>
      <c r="AF1" s="708">
        <v>46082</v>
      </c>
      <c r="AG1" s="708">
        <v>46447</v>
      </c>
      <c r="AH1" s="708">
        <v>46813</v>
      </c>
      <c r="AI1" s="708">
        <v>47178</v>
      </c>
      <c r="AJ1" s="708">
        <v>47543</v>
      </c>
    </row>
    <row r="2" spans="1:53" outlineLevel="1" x14ac:dyDescent="0.25">
      <c r="A2" s="709" t="s">
        <v>1037</v>
      </c>
      <c r="B2" s="710"/>
      <c r="C2" s="705" t="s">
        <v>1038</v>
      </c>
      <c r="D2" s="711"/>
      <c r="E2" s="712" t="s">
        <v>1039</v>
      </c>
      <c r="F2" s="712" t="s">
        <v>1040</v>
      </c>
      <c r="G2" s="712"/>
      <c r="H2" s="711" t="str">
        <f t="shared" ref="H2:AH2" si="0">IF(H1&lt;=$G$21,"A","E")</f>
        <v>A</v>
      </c>
      <c r="I2" s="711" t="str">
        <f t="shared" si="0"/>
        <v>A</v>
      </c>
      <c r="J2" s="711" t="str">
        <f t="shared" si="0"/>
        <v>A</v>
      </c>
      <c r="K2" s="711" t="str">
        <f t="shared" si="0"/>
        <v>A</v>
      </c>
      <c r="L2" s="711" t="str">
        <f t="shared" si="0"/>
        <v>A</v>
      </c>
      <c r="M2" s="711" t="str">
        <f t="shared" si="0"/>
        <v>A</v>
      </c>
      <c r="N2" s="711" t="str">
        <f t="shared" si="0"/>
        <v>A</v>
      </c>
      <c r="O2" s="711" t="str">
        <f t="shared" si="0"/>
        <v>A</v>
      </c>
      <c r="P2" s="711" t="str">
        <f t="shared" si="0"/>
        <v>A</v>
      </c>
      <c r="Q2" s="711" t="str">
        <f t="shared" si="0"/>
        <v>A</v>
      </c>
      <c r="R2" s="711" t="str">
        <f t="shared" si="0"/>
        <v>A</v>
      </c>
      <c r="S2" s="711" t="str">
        <f t="shared" si="0"/>
        <v>A</v>
      </c>
      <c r="T2" s="711" t="str">
        <f t="shared" si="0"/>
        <v>A</v>
      </c>
      <c r="U2" s="711" t="str">
        <f t="shared" si="0"/>
        <v>A</v>
      </c>
      <c r="V2" s="711" t="str">
        <f t="shared" si="0"/>
        <v>A</v>
      </c>
      <c r="W2" s="711" t="str">
        <f t="shared" si="0"/>
        <v>A</v>
      </c>
      <c r="X2" s="711" t="str">
        <f t="shared" si="0"/>
        <v>A</v>
      </c>
      <c r="Y2" s="711" t="str">
        <f t="shared" si="0"/>
        <v>A</v>
      </c>
      <c r="Z2" s="711" t="str">
        <f t="shared" si="0"/>
        <v>A</v>
      </c>
      <c r="AA2" s="711" t="str">
        <f t="shared" si="0"/>
        <v>A</v>
      </c>
      <c r="AB2" s="711" t="str">
        <f t="shared" si="0"/>
        <v>A</v>
      </c>
      <c r="AC2" s="711" t="str">
        <f t="shared" si="0"/>
        <v>A</v>
      </c>
      <c r="AD2" s="711" t="str">
        <f t="shared" si="0"/>
        <v>A</v>
      </c>
      <c r="AE2" s="711" t="str">
        <f t="shared" si="0"/>
        <v>A</v>
      </c>
      <c r="AF2" s="711" t="s">
        <v>1827</v>
      </c>
      <c r="AG2" s="711" t="str">
        <f t="shared" si="0"/>
        <v>E</v>
      </c>
      <c r="AH2" s="711" t="str">
        <f t="shared" si="0"/>
        <v>E</v>
      </c>
      <c r="AI2" s="711" t="str">
        <f t="shared" ref="AI2:AJ2" si="1">IF(AI1&lt;=$G$21,"A","E")</f>
        <v>E</v>
      </c>
      <c r="AJ2" s="711" t="str">
        <f t="shared" si="1"/>
        <v>E</v>
      </c>
    </row>
    <row r="3" spans="1:53" outlineLevel="1" x14ac:dyDescent="0.25">
      <c r="C3" s="705" t="s">
        <v>1036</v>
      </c>
      <c r="D3" s="706"/>
      <c r="E3" s="707" t="s">
        <v>1041</v>
      </c>
      <c r="H3" s="706">
        <v>12</v>
      </c>
      <c r="I3" s="706">
        <v>12</v>
      </c>
      <c r="J3" s="706">
        <v>12</v>
      </c>
      <c r="K3" s="706">
        <v>12</v>
      </c>
      <c r="L3" s="706">
        <v>12</v>
      </c>
      <c r="M3" s="706">
        <v>12</v>
      </c>
      <c r="N3" s="706">
        <v>12</v>
      </c>
      <c r="O3" s="706">
        <v>12</v>
      </c>
      <c r="P3" s="706">
        <v>12</v>
      </c>
      <c r="Q3" s="706">
        <v>12</v>
      </c>
      <c r="R3" s="706">
        <v>12</v>
      </c>
      <c r="S3" s="706">
        <v>12</v>
      </c>
      <c r="T3" s="706">
        <v>12</v>
      </c>
      <c r="U3" s="706">
        <v>12</v>
      </c>
      <c r="V3" s="706">
        <v>12</v>
      </c>
      <c r="W3" s="706">
        <v>12</v>
      </c>
      <c r="X3" s="706">
        <v>12</v>
      </c>
      <c r="Y3" s="706">
        <v>12</v>
      </c>
      <c r="Z3" s="706">
        <v>12</v>
      </c>
      <c r="AA3" s="706">
        <v>12</v>
      </c>
      <c r="AB3" s="706">
        <v>12</v>
      </c>
      <c r="AC3" s="706">
        <v>12</v>
      </c>
      <c r="AD3" s="706">
        <v>12</v>
      </c>
      <c r="AE3" s="706">
        <v>12</v>
      </c>
      <c r="AF3" s="706">
        <v>12</v>
      </c>
      <c r="AG3" s="706">
        <v>12</v>
      </c>
      <c r="AH3" s="706">
        <v>12</v>
      </c>
      <c r="AI3" s="706">
        <v>12</v>
      </c>
      <c r="AJ3" s="706">
        <v>12</v>
      </c>
    </row>
    <row r="4" spans="1:53" outlineLevel="1" x14ac:dyDescent="0.25">
      <c r="C4" s="705" t="s">
        <v>1036</v>
      </c>
      <c r="D4" s="706"/>
      <c r="E4" s="707" t="s">
        <v>1042</v>
      </c>
      <c r="H4" s="706" t="s">
        <v>1043</v>
      </c>
      <c r="I4" s="706" t="s">
        <v>1043</v>
      </c>
      <c r="J4" s="706" t="s">
        <v>1043</v>
      </c>
      <c r="K4" s="706" t="s">
        <v>1043</v>
      </c>
      <c r="L4" s="706" t="s">
        <v>1043</v>
      </c>
      <c r="M4" s="706" t="s">
        <v>1043</v>
      </c>
      <c r="N4" s="706" t="s">
        <v>1043</v>
      </c>
      <c r="O4" s="706" t="s">
        <v>1043</v>
      </c>
      <c r="P4" s="706" t="s">
        <v>1043</v>
      </c>
      <c r="Q4" s="706" t="s">
        <v>1043</v>
      </c>
      <c r="R4" s="706" t="s">
        <v>1043</v>
      </c>
      <c r="S4" s="706" t="s">
        <v>1043</v>
      </c>
      <c r="T4" s="706" t="s">
        <v>1043</v>
      </c>
      <c r="U4" s="706" t="s">
        <v>1043</v>
      </c>
      <c r="V4" s="706" t="s">
        <v>1043</v>
      </c>
      <c r="W4" s="706" t="s">
        <v>1043</v>
      </c>
      <c r="X4" s="706" t="s">
        <v>1043</v>
      </c>
      <c r="Y4" s="706" t="s">
        <v>1043</v>
      </c>
      <c r="Z4" s="706" t="s">
        <v>1043</v>
      </c>
      <c r="AA4" s="706" t="s">
        <v>1043</v>
      </c>
      <c r="AB4" s="706" t="s">
        <v>1043</v>
      </c>
      <c r="AC4" s="706" t="s">
        <v>1043</v>
      </c>
      <c r="AD4" s="706" t="s">
        <v>1043</v>
      </c>
      <c r="AE4" s="706" t="s">
        <v>1043</v>
      </c>
      <c r="AF4" s="706" t="s">
        <v>1043</v>
      </c>
      <c r="AG4" s="706" t="s">
        <v>1043</v>
      </c>
      <c r="AH4" s="706" t="s">
        <v>1043</v>
      </c>
      <c r="AI4" s="706" t="s">
        <v>1043</v>
      </c>
      <c r="AJ4" s="706" t="s">
        <v>1043</v>
      </c>
    </row>
    <row r="5" spans="1:53" outlineLevel="1" x14ac:dyDescent="0.25">
      <c r="C5" s="705" t="s">
        <v>1036</v>
      </c>
      <c r="D5" s="706"/>
      <c r="E5" s="707" t="s">
        <v>1044</v>
      </c>
      <c r="H5" s="708">
        <f t="shared" ref="H5:AH5" si="2">H1</f>
        <v>37316</v>
      </c>
      <c r="I5" s="708">
        <f t="shared" si="2"/>
        <v>37681</v>
      </c>
      <c r="J5" s="708">
        <f t="shared" si="2"/>
        <v>38047</v>
      </c>
      <c r="K5" s="708">
        <f t="shared" si="2"/>
        <v>38412</v>
      </c>
      <c r="L5" s="708">
        <f t="shared" si="2"/>
        <v>38777</v>
      </c>
      <c r="M5" s="708">
        <f t="shared" si="2"/>
        <v>39142</v>
      </c>
      <c r="N5" s="708">
        <f t="shared" si="2"/>
        <v>39508</v>
      </c>
      <c r="O5" s="708">
        <f t="shared" si="2"/>
        <v>39873</v>
      </c>
      <c r="P5" s="708">
        <f t="shared" si="2"/>
        <v>40238</v>
      </c>
      <c r="Q5" s="708">
        <f t="shared" si="2"/>
        <v>40603</v>
      </c>
      <c r="R5" s="708">
        <f t="shared" si="2"/>
        <v>40969</v>
      </c>
      <c r="S5" s="708">
        <f t="shared" si="2"/>
        <v>41334</v>
      </c>
      <c r="T5" s="708">
        <f t="shared" si="2"/>
        <v>41699</v>
      </c>
      <c r="U5" s="708">
        <f t="shared" si="2"/>
        <v>42064</v>
      </c>
      <c r="V5" s="708">
        <f t="shared" si="2"/>
        <v>42430</v>
      </c>
      <c r="W5" s="708">
        <f t="shared" si="2"/>
        <v>42795</v>
      </c>
      <c r="X5" s="708">
        <f t="shared" si="2"/>
        <v>43160</v>
      </c>
      <c r="Y5" s="708">
        <f t="shared" si="2"/>
        <v>43525</v>
      </c>
      <c r="Z5" s="708">
        <f t="shared" si="2"/>
        <v>43891</v>
      </c>
      <c r="AA5" s="708">
        <f t="shared" si="2"/>
        <v>44256</v>
      </c>
      <c r="AB5" s="708">
        <f t="shared" si="2"/>
        <v>44621</v>
      </c>
      <c r="AC5" s="708">
        <f t="shared" si="2"/>
        <v>44986</v>
      </c>
      <c r="AD5" s="708">
        <f t="shared" si="2"/>
        <v>45352</v>
      </c>
      <c r="AE5" s="708">
        <f t="shared" si="2"/>
        <v>45717</v>
      </c>
      <c r="AF5" s="708">
        <f t="shared" ref="AF5" si="3">AF1</f>
        <v>46082</v>
      </c>
      <c r="AG5" s="708">
        <f t="shared" si="2"/>
        <v>46447</v>
      </c>
      <c r="AH5" s="708">
        <f t="shared" si="2"/>
        <v>46813</v>
      </c>
      <c r="AI5" s="708">
        <f t="shared" ref="AI5:AJ5" si="4">AI1</f>
        <v>47178</v>
      </c>
      <c r="AJ5" s="708">
        <f t="shared" si="4"/>
        <v>47543</v>
      </c>
    </row>
    <row r="6" spans="1:53" x14ac:dyDescent="0.25">
      <c r="A6" s="713"/>
      <c r="B6" s="710"/>
      <c r="C6" s="705" t="s">
        <v>1038</v>
      </c>
      <c r="D6" s="711"/>
      <c r="E6" s="714" t="s">
        <v>1045</v>
      </c>
      <c r="F6" s="714"/>
      <c r="G6" s="714"/>
      <c r="H6" s="715" t="str">
        <f t="shared" ref="H6:AH6" si="5">IF(MONTH(H1)=12,"CY"&amp;TEXT(H1,"YY"),"FY"&amp;TEXT(H1,"YY"))&amp;H2</f>
        <v>FY02A</v>
      </c>
      <c r="I6" s="715" t="str">
        <f t="shared" si="5"/>
        <v>FY03A</v>
      </c>
      <c r="J6" s="715" t="str">
        <f t="shared" si="5"/>
        <v>FY04A</v>
      </c>
      <c r="K6" s="715" t="str">
        <f t="shared" si="5"/>
        <v>FY05A</v>
      </c>
      <c r="L6" s="715" t="str">
        <f t="shared" si="5"/>
        <v>FY06A</v>
      </c>
      <c r="M6" s="715" t="str">
        <f t="shared" si="5"/>
        <v>FY07A</v>
      </c>
      <c r="N6" s="715" t="str">
        <f t="shared" si="5"/>
        <v>FY08A</v>
      </c>
      <c r="O6" s="715" t="str">
        <f t="shared" si="5"/>
        <v>FY09A</v>
      </c>
      <c r="P6" s="715" t="str">
        <f t="shared" si="5"/>
        <v>FY10A</v>
      </c>
      <c r="Q6" s="715" t="str">
        <f t="shared" si="5"/>
        <v>FY11A</v>
      </c>
      <c r="R6" s="715" t="str">
        <f t="shared" si="5"/>
        <v>FY12A</v>
      </c>
      <c r="S6" s="715" t="str">
        <f t="shared" si="5"/>
        <v>FY13A</v>
      </c>
      <c r="T6" s="715" t="str">
        <f t="shared" si="5"/>
        <v>FY14A</v>
      </c>
      <c r="U6" s="715" t="str">
        <f t="shared" si="5"/>
        <v>FY15A</v>
      </c>
      <c r="V6" s="715" t="str">
        <f t="shared" si="5"/>
        <v>FY16A</v>
      </c>
      <c r="W6" s="715" t="str">
        <f t="shared" si="5"/>
        <v>FY17A</v>
      </c>
      <c r="X6" s="715" t="str">
        <f t="shared" si="5"/>
        <v>FY18A</v>
      </c>
      <c r="Y6" s="715" t="str">
        <f t="shared" si="5"/>
        <v>FY19A</v>
      </c>
      <c r="Z6" s="715" t="str">
        <f t="shared" si="5"/>
        <v>FY20A</v>
      </c>
      <c r="AA6" s="715" t="str">
        <f t="shared" si="5"/>
        <v>FY21A</v>
      </c>
      <c r="AB6" s="715" t="str">
        <f t="shared" si="5"/>
        <v>FY22A</v>
      </c>
      <c r="AC6" s="715" t="str">
        <f t="shared" si="5"/>
        <v>FY23A</v>
      </c>
      <c r="AD6" s="715" t="str">
        <f t="shared" si="5"/>
        <v>FY24A</v>
      </c>
      <c r="AE6" s="715" t="str">
        <f t="shared" si="5"/>
        <v>FY25A</v>
      </c>
      <c r="AF6" s="715" t="str">
        <f t="shared" ref="AF6" si="6">IF(MONTH(AF1)=12,"CY"&amp;TEXT(AF1,"YY"),"FY"&amp;TEXT(AF1,"YY"))&amp;AF2</f>
        <v>FY26A</v>
      </c>
      <c r="AG6" s="715" t="str">
        <f t="shared" si="5"/>
        <v>FY27E</v>
      </c>
      <c r="AH6" s="715" t="str">
        <f t="shared" si="5"/>
        <v>FY28E</v>
      </c>
      <c r="AI6" s="715" t="str">
        <f t="shared" ref="AI6:AJ6" si="7">IF(MONTH(AI1)=12,"CY"&amp;TEXT(AI1,"YY"),"FY"&amp;TEXT(AI1,"YY"))&amp;AI2</f>
        <v>FY29E</v>
      </c>
      <c r="AJ6" s="715" t="str">
        <f t="shared" si="7"/>
        <v>FY30E</v>
      </c>
      <c r="AZ6" s="1221"/>
      <c r="BA6" s="1221"/>
    </row>
    <row r="7" spans="1:53" x14ac:dyDescent="0.25">
      <c r="A7" s="713" t="s">
        <v>1046</v>
      </c>
      <c r="B7" s="710"/>
      <c r="C7" s="705" t="s">
        <v>1038</v>
      </c>
      <c r="D7" s="711"/>
      <c r="E7" s="716" t="s">
        <v>1047</v>
      </c>
      <c r="F7" s="717"/>
      <c r="G7" s="718" t="s">
        <v>1545</v>
      </c>
      <c r="H7" s="719" t="s">
        <v>1048</v>
      </c>
    </row>
    <row r="8" spans="1:53" x14ac:dyDescent="0.25">
      <c r="A8" s="703" t="s">
        <v>1049</v>
      </c>
      <c r="C8" s="705" t="s">
        <v>1038</v>
      </c>
      <c r="D8" s="706"/>
      <c r="E8" s="720" t="s">
        <v>1050</v>
      </c>
      <c r="G8" s="721" t="s">
        <v>212</v>
      </c>
      <c r="H8" s="719" t="s">
        <v>1048</v>
      </c>
    </row>
    <row r="9" spans="1:53" x14ac:dyDescent="0.25">
      <c r="A9" s="713" t="s">
        <v>1051</v>
      </c>
      <c r="B9" s="710"/>
      <c r="C9" s="705" t="s">
        <v>1038</v>
      </c>
      <c r="D9" s="711"/>
      <c r="E9" s="720" t="s">
        <v>1052</v>
      </c>
      <c r="G9" s="721" t="s">
        <v>1053</v>
      </c>
      <c r="H9" s="719" t="s">
        <v>1048</v>
      </c>
    </row>
    <row r="10" spans="1:53" x14ac:dyDescent="0.25">
      <c r="A10" s="703" t="s">
        <v>1054</v>
      </c>
      <c r="C10" s="705" t="s">
        <v>1038</v>
      </c>
      <c r="D10" s="706"/>
      <c r="E10" s="720" t="s">
        <v>1055</v>
      </c>
      <c r="G10" s="721"/>
      <c r="H10" s="719" t="s">
        <v>1048</v>
      </c>
    </row>
    <row r="11" spans="1:53" x14ac:dyDescent="0.25">
      <c r="A11" s="703" t="s">
        <v>1056</v>
      </c>
      <c r="C11" s="705" t="s">
        <v>1038</v>
      </c>
      <c r="D11" s="706"/>
      <c r="E11" s="720" t="s">
        <v>1057</v>
      </c>
      <c r="G11" s="721"/>
      <c r="H11" s="719" t="s">
        <v>1048</v>
      </c>
    </row>
    <row r="12" spans="1:53" x14ac:dyDescent="0.25">
      <c r="A12" s="722" t="s">
        <v>1058</v>
      </c>
      <c r="C12" s="705" t="s">
        <v>1036</v>
      </c>
      <c r="D12" s="723"/>
      <c r="E12" s="724" t="s">
        <v>1059</v>
      </c>
      <c r="F12" s="707"/>
      <c r="G12" s="725" t="s">
        <v>1497</v>
      </c>
      <c r="H12" s="726" t="s">
        <v>1060</v>
      </c>
    </row>
    <row r="13" spans="1:53" x14ac:dyDescent="0.25">
      <c r="A13" s="722" t="s">
        <v>1061</v>
      </c>
      <c r="C13" s="705" t="s">
        <v>1036</v>
      </c>
      <c r="D13" s="723"/>
      <c r="E13" s="720" t="s">
        <v>1062</v>
      </c>
      <c r="G13" s="727" t="s">
        <v>1752</v>
      </c>
      <c r="H13" s="726" t="s">
        <v>1060</v>
      </c>
    </row>
    <row r="14" spans="1:53" x14ac:dyDescent="0.25">
      <c r="A14" s="703" t="s">
        <v>1063</v>
      </c>
      <c r="C14" s="705" t="s">
        <v>1038</v>
      </c>
      <c r="D14" s="706"/>
      <c r="E14" s="720" t="s">
        <v>1064</v>
      </c>
      <c r="G14" s="721"/>
      <c r="H14" s="719" t="s">
        <v>1048</v>
      </c>
    </row>
    <row r="15" spans="1:53" x14ac:dyDescent="0.25">
      <c r="A15" s="703" t="s">
        <v>1065</v>
      </c>
      <c r="C15" s="705" t="s">
        <v>1036</v>
      </c>
      <c r="D15" s="706"/>
      <c r="E15" s="720" t="s">
        <v>1066</v>
      </c>
      <c r="G15" s="721"/>
      <c r="H15" s="726" t="s">
        <v>1060</v>
      </c>
    </row>
    <row r="16" spans="1:53" x14ac:dyDescent="0.25">
      <c r="A16" s="703" t="s">
        <v>1067</v>
      </c>
      <c r="C16" s="705" t="s">
        <v>1038</v>
      </c>
      <c r="D16" s="706"/>
      <c r="E16" s="720" t="s">
        <v>1068</v>
      </c>
      <c r="F16" s="705" t="s">
        <v>477</v>
      </c>
      <c r="G16" s="721"/>
      <c r="H16" s="719" t="s">
        <v>1048</v>
      </c>
    </row>
    <row r="17" spans="1:8" x14ac:dyDescent="0.25">
      <c r="A17" s="713" t="s">
        <v>1069</v>
      </c>
      <c r="B17" s="710"/>
      <c r="C17" s="705" t="s">
        <v>1038</v>
      </c>
      <c r="D17" s="711"/>
      <c r="E17" s="720" t="s">
        <v>1070</v>
      </c>
      <c r="G17" s="728">
        <v>310</v>
      </c>
      <c r="H17" s="719" t="s">
        <v>1048</v>
      </c>
    </row>
    <row r="18" spans="1:8" x14ac:dyDescent="0.25">
      <c r="A18" s="713" t="s">
        <v>1071</v>
      </c>
      <c r="B18" s="710"/>
      <c r="C18" s="705" t="s">
        <v>1038</v>
      </c>
      <c r="D18" s="711"/>
      <c r="E18" s="720" t="s">
        <v>1072</v>
      </c>
      <c r="G18" s="729">
        <v>46168</v>
      </c>
      <c r="H18" s="719" t="s">
        <v>1048</v>
      </c>
    </row>
    <row r="19" spans="1:8" x14ac:dyDescent="0.25">
      <c r="A19" s="722" t="s">
        <v>1073</v>
      </c>
      <c r="C19" s="705" t="s">
        <v>1036</v>
      </c>
      <c r="D19" s="723"/>
      <c r="E19" s="720" t="s">
        <v>1074</v>
      </c>
      <c r="G19" s="730">
        <v>290</v>
      </c>
      <c r="H19" s="726" t="s">
        <v>1060</v>
      </c>
    </row>
    <row r="20" spans="1:8" x14ac:dyDescent="0.25">
      <c r="A20" s="703" t="s">
        <v>1075</v>
      </c>
      <c r="C20" s="705" t="s">
        <v>1036</v>
      </c>
      <c r="D20" s="706"/>
      <c r="E20" s="720" t="s">
        <v>1076</v>
      </c>
      <c r="F20" s="705" t="s">
        <v>1077</v>
      </c>
      <c r="G20" s="731" cm="1">
        <f t="array" ref="G20">_xll.EQUIDATA($G$12,$A20,"private")</f>
        <v>2100.001953125</v>
      </c>
      <c r="H20" s="726" t="s">
        <v>1060</v>
      </c>
    </row>
    <row r="21" spans="1:8" x14ac:dyDescent="0.25">
      <c r="A21" s="722" t="s">
        <v>1078</v>
      </c>
      <c r="C21" s="705" t="s">
        <v>1036</v>
      </c>
      <c r="D21" s="723"/>
      <c r="E21" s="720" t="s">
        <v>1079</v>
      </c>
      <c r="G21" s="732">
        <v>46021</v>
      </c>
      <c r="H21" s="726" t="s">
        <v>1060</v>
      </c>
    </row>
    <row r="22" spans="1:8" x14ac:dyDescent="0.25">
      <c r="A22" s="722" t="s">
        <v>1080</v>
      </c>
      <c r="C22" s="705" t="s">
        <v>1036</v>
      </c>
      <c r="D22" s="723"/>
      <c r="E22" s="720" t="s">
        <v>1081</v>
      </c>
      <c r="G22" s="721"/>
      <c r="H22" s="726" t="s">
        <v>1060</v>
      </c>
    </row>
    <row r="23" spans="1:8" x14ac:dyDescent="0.25">
      <c r="A23" s="722" t="s">
        <v>1082</v>
      </c>
      <c r="C23" s="705" t="s">
        <v>1036</v>
      </c>
      <c r="D23" s="723"/>
      <c r="E23" s="720" t="s">
        <v>1083</v>
      </c>
      <c r="G23" s="721"/>
      <c r="H23" s="726" t="s">
        <v>1060</v>
      </c>
    </row>
    <row r="24" spans="1:8" x14ac:dyDescent="0.25">
      <c r="A24" s="703" t="s">
        <v>1084</v>
      </c>
      <c r="C24" s="705" t="s">
        <v>1038</v>
      </c>
      <c r="D24" s="706"/>
      <c r="E24" s="720" t="s">
        <v>1085</v>
      </c>
      <c r="G24" s="721"/>
      <c r="H24" s="719" t="s">
        <v>1048</v>
      </c>
    </row>
    <row r="25" spans="1:8" x14ac:dyDescent="0.25">
      <c r="A25" s="703" t="s">
        <v>1086</v>
      </c>
      <c r="C25" s="705" t="s">
        <v>1038</v>
      </c>
      <c r="D25" s="706"/>
      <c r="E25" s="720" t="s">
        <v>1087</v>
      </c>
      <c r="G25" s="731"/>
      <c r="H25" s="719" t="s">
        <v>1048</v>
      </c>
    </row>
    <row r="26" spans="1:8" x14ac:dyDescent="0.25">
      <c r="A26" s="703" t="s">
        <v>1088</v>
      </c>
      <c r="C26" s="705" t="s">
        <v>1038</v>
      </c>
      <c r="D26" s="706"/>
      <c r="E26" s="720" t="s">
        <v>1089</v>
      </c>
      <c r="G26" s="731" cm="1">
        <f t="array" ref="G26">_xll.EQUIDATA($G$12,$A26,"private")</f>
        <v>349</v>
      </c>
      <c r="H26" s="719" t="s">
        <v>1048</v>
      </c>
    </row>
    <row r="27" spans="1:8" x14ac:dyDescent="0.25">
      <c r="A27" s="703" t="s">
        <v>1090</v>
      </c>
      <c r="C27" s="705" t="s">
        <v>1038</v>
      </c>
      <c r="D27" s="706"/>
      <c r="E27" s="720" t="s">
        <v>1091</v>
      </c>
      <c r="G27" s="731" cm="1">
        <f t="array" ref="G27">_xll.EQUIDATA($G$12,$A27,"private")</f>
        <v>233.41999816894531</v>
      </c>
      <c r="H27" s="719" t="s">
        <v>1048</v>
      </c>
    </row>
    <row r="28" spans="1:8" x14ac:dyDescent="0.25">
      <c r="A28" s="703" t="s">
        <v>1092</v>
      </c>
      <c r="C28" s="705" t="s">
        <v>1038</v>
      </c>
      <c r="D28" s="706"/>
      <c r="E28" s="720" t="s">
        <v>1093</v>
      </c>
      <c r="G28" s="728">
        <f ca="1">NewFinSumm!I76</f>
        <v>731745</v>
      </c>
      <c r="H28" s="719" t="s">
        <v>1048</v>
      </c>
    </row>
    <row r="29" spans="1:8" x14ac:dyDescent="0.25">
      <c r="A29" s="703" t="s">
        <v>1094</v>
      </c>
      <c r="C29" s="705" t="s">
        <v>1038</v>
      </c>
      <c r="D29" s="706"/>
      <c r="E29" s="720" t="s">
        <v>1095</v>
      </c>
      <c r="G29" s="731" cm="1">
        <f t="array" ref="G29">_xll.EQUIDATA($G$12,$A29,"private")</f>
        <v>6982.3876953125</v>
      </c>
      <c r="H29" s="719" t="s">
        <v>1048</v>
      </c>
    </row>
    <row r="30" spans="1:8" x14ac:dyDescent="0.25">
      <c r="A30" s="703" t="s">
        <v>1096</v>
      </c>
      <c r="C30" s="705" t="s">
        <v>1036</v>
      </c>
      <c r="D30" s="706"/>
      <c r="E30" s="720" t="s">
        <v>1097</v>
      </c>
      <c r="G30" s="721" t="s">
        <v>1098</v>
      </c>
    </row>
    <row r="31" spans="1:8" x14ac:dyDescent="0.25">
      <c r="A31" s="703" t="s">
        <v>1099</v>
      </c>
      <c r="C31" s="705" t="s">
        <v>1036</v>
      </c>
      <c r="D31" s="706"/>
      <c r="E31" s="720" t="s">
        <v>1100</v>
      </c>
      <c r="G31" s="721" t="s">
        <v>1098</v>
      </c>
    </row>
    <row r="32" spans="1:8" x14ac:dyDescent="0.25">
      <c r="A32" s="703" t="s">
        <v>1101</v>
      </c>
      <c r="C32" s="705" t="s">
        <v>1036</v>
      </c>
      <c r="D32" s="706"/>
      <c r="E32" s="720" t="s">
        <v>1102</v>
      </c>
      <c r="G32" s="721" t="s">
        <v>1098</v>
      </c>
    </row>
    <row r="33" spans="1:36" x14ac:dyDescent="0.25">
      <c r="A33" s="703" t="s">
        <v>1103</v>
      </c>
      <c r="C33" s="705" t="s">
        <v>1036</v>
      </c>
      <c r="D33" s="706"/>
      <c r="E33" s="720" t="s">
        <v>1104</v>
      </c>
      <c r="G33" s="721" t="s">
        <v>1098</v>
      </c>
    </row>
    <row r="34" spans="1:36" x14ac:dyDescent="0.25">
      <c r="A34" s="703" t="s">
        <v>1105</v>
      </c>
      <c r="C34" s="705" t="s">
        <v>1036</v>
      </c>
      <c r="D34" s="706"/>
      <c r="E34" s="733" t="s">
        <v>1106</v>
      </c>
      <c r="F34" s="734"/>
      <c r="G34" s="735" t="s">
        <v>1098</v>
      </c>
    </row>
    <row r="35" spans="1:36" ht="12.75" x14ac:dyDescent="0.2">
      <c r="E35" s="705"/>
    </row>
    <row r="36" spans="1:36" ht="12.75" x14ac:dyDescent="0.2">
      <c r="E36" s="705"/>
    </row>
    <row r="37" spans="1:36" x14ac:dyDescent="0.25">
      <c r="D37" s="706"/>
      <c r="E37" s="736" t="s">
        <v>1107</v>
      </c>
    </row>
    <row r="38" spans="1:36" x14ac:dyDescent="0.25">
      <c r="A38" s="703" t="s">
        <v>1108</v>
      </c>
      <c r="B38" s="737" t="str">
        <f>IF(IF(D38="+",MIN(H38:IU38)&gt;=0,IF(D38="-",MAX(H38:IU38)&lt;=0,TRUE)),"",1)</f>
        <v/>
      </c>
      <c r="C38" s="705" t="s">
        <v>1036</v>
      </c>
      <c r="D38" s="738" t="s">
        <v>1109</v>
      </c>
      <c r="E38" s="739" t="s">
        <v>1110</v>
      </c>
      <c r="F38" s="705" t="s">
        <v>1077</v>
      </c>
      <c r="L38" s="740"/>
      <c r="M38" s="740"/>
      <c r="N38" s="740"/>
      <c r="P38" s="740"/>
      <c r="Q38" s="740"/>
      <c r="R38" s="740"/>
      <c r="S38" s="740"/>
      <c r="T38" s="740"/>
      <c r="U38" s="740"/>
      <c r="V38" s="740"/>
      <c r="W38" s="740"/>
      <c r="X38" s="740"/>
      <c r="Y38" s="740"/>
      <c r="Z38" s="740"/>
      <c r="AA38" s="740"/>
      <c r="AB38" s="740"/>
      <c r="AC38" s="740"/>
      <c r="AD38" s="740"/>
      <c r="AE38" s="740"/>
      <c r="AF38" s="740"/>
      <c r="AG38" s="740"/>
      <c r="AH38" s="740"/>
      <c r="AI38" s="740"/>
      <c r="AJ38" s="740"/>
    </row>
    <row r="39" spans="1:36" x14ac:dyDescent="0.25">
      <c r="A39" s="703" t="s">
        <v>1111</v>
      </c>
      <c r="B39" s="737" t="str">
        <f>IF(IF(D39="+",MIN(H39:IU39)&gt;=0,IF(D39="-",MAX(H39:IU39)&lt;=0,TRUE)),"",1)</f>
        <v/>
      </c>
      <c r="C39" s="705" t="s">
        <v>1036</v>
      </c>
      <c r="D39" s="738" t="s">
        <v>1109</v>
      </c>
      <c r="E39" s="739" t="s">
        <v>1112</v>
      </c>
      <c r="F39" s="705" t="s">
        <v>1077</v>
      </c>
      <c r="L39" s="740"/>
      <c r="M39" s="740"/>
      <c r="N39" s="740"/>
      <c r="P39" s="740"/>
      <c r="Q39" s="740"/>
      <c r="R39" s="740"/>
      <c r="S39" s="740"/>
      <c r="T39" s="740"/>
      <c r="U39" s="740"/>
      <c r="V39" s="740"/>
      <c r="W39" s="740"/>
      <c r="X39" s="740"/>
      <c r="Y39" s="740"/>
      <c r="Z39" s="740"/>
      <c r="AA39" s="740"/>
      <c r="AB39" s="740"/>
      <c r="AC39" s="740"/>
      <c r="AD39" s="740"/>
      <c r="AE39" s="740"/>
      <c r="AF39" s="740"/>
      <c r="AG39" s="740"/>
      <c r="AH39" s="740"/>
      <c r="AI39" s="740"/>
      <c r="AJ39" s="740"/>
    </row>
    <row r="40" spans="1:36" s="747" customFormat="1" x14ac:dyDescent="0.25">
      <c r="A40" s="741" t="s">
        <v>1113</v>
      </c>
      <c r="B40" s="742"/>
      <c r="C40" s="743" t="s">
        <v>1038</v>
      </c>
      <c r="D40" s="744" t="s">
        <v>1114</v>
      </c>
      <c r="E40" s="745" t="s">
        <v>201</v>
      </c>
      <c r="F40" s="743" t="s">
        <v>1077</v>
      </c>
      <c r="G40" s="743"/>
      <c r="H40" s="743"/>
      <c r="I40" s="743"/>
      <c r="J40" s="743"/>
      <c r="K40" s="743"/>
      <c r="L40" s="746"/>
      <c r="M40" s="746"/>
      <c r="N40" s="746"/>
      <c r="O40" s="743"/>
      <c r="P40" s="746"/>
      <c r="Q40" s="746"/>
      <c r="R40" s="746"/>
      <c r="S40" s="746"/>
      <c r="T40" s="746"/>
      <c r="U40" s="746"/>
      <c r="V40" s="746"/>
      <c r="W40" s="746"/>
      <c r="X40" s="746">
        <f>Consol!G16</f>
        <v>9980.9359999999979</v>
      </c>
      <c r="Y40" s="746">
        <f>Consol!H16</f>
        <v>10802.602000000001</v>
      </c>
      <c r="Z40" s="746">
        <f>Consol!I16</f>
        <v>11431.453</v>
      </c>
      <c r="AA40" s="746">
        <f>Consol!J16</f>
        <v>16035.705</v>
      </c>
      <c r="AB40" s="746">
        <f>Consol!K16</f>
        <v>22730.587999999996</v>
      </c>
      <c r="AC40" s="746">
        <f>Consol!L16</f>
        <v>31947.396000000001</v>
      </c>
      <c r="AD40" s="746">
        <f>Consol!M16</f>
        <v>37628.899999999994</v>
      </c>
      <c r="AE40" s="746">
        <f>Consol!N16</f>
        <v>44761.4</v>
      </c>
      <c r="AF40" s="746">
        <f>Consol!O16</f>
        <v>53614.400000000001</v>
      </c>
      <c r="AG40" s="746">
        <f ca="1">Consol!P16</f>
        <v>72935.367693299719</v>
      </c>
      <c r="AH40" s="746">
        <f ca="1">Consol!Q16</f>
        <v>108672.59111019592</v>
      </c>
      <c r="AI40" s="746">
        <f ca="1">Consol!R16</f>
        <v>144351.18628049517</v>
      </c>
      <c r="AJ40" s="746">
        <f ca="1">Consol!S16</f>
        <v>188550.73544122337</v>
      </c>
    </row>
    <row r="41" spans="1:36" x14ac:dyDescent="0.25">
      <c r="A41" s="703" t="s">
        <v>1115</v>
      </c>
      <c r="B41" s="737" t="str">
        <f>IF(IF(D41="+",MIN(H41:IU41)&gt;=0,IF(D41="-",MAX(H41:IU41)&lt;=0,TRUE)),"",1)</f>
        <v/>
      </c>
      <c r="C41" s="705" t="s">
        <v>1036</v>
      </c>
      <c r="D41" s="738" t="s">
        <v>1109</v>
      </c>
      <c r="E41" s="739" t="s">
        <v>1116</v>
      </c>
      <c r="F41" s="705" t="s">
        <v>1077</v>
      </c>
      <c r="M41" s="740"/>
      <c r="N41" s="740"/>
      <c r="O41" s="740"/>
      <c r="P41" s="740"/>
      <c r="Q41" s="740"/>
      <c r="R41" s="740"/>
      <c r="S41" s="740"/>
      <c r="T41" s="740"/>
      <c r="U41" s="740"/>
      <c r="V41" s="740"/>
      <c r="W41" s="740"/>
      <c r="X41" s="740"/>
      <c r="Y41" s="740"/>
      <c r="Z41" s="740"/>
      <c r="AA41" s="740"/>
      <c r="AB41" s="740"/>
      <c r="AC41" s="740"/>
      <c r="AD41" s="740"/>
      <c r="AE41" s="740"/>
      <c r="AF41" s="740"/>
      <c r="AG41" s="740"/>
      <c r="AH41" s="740"/>
      <c r="AI41" s="740"/>
      <c r="AJ41" s="740"/>
    </row>
    <row r="42" spans="1:36" x14ac:dyDescent="0.25">
      <c r="A42" s="703" t="s">
        <v>1117</v>
      </c>
      <c r="B42" s="737" t="str">
        <f>IF(IF(D42="+",MIN(H42:IU42)&gt;=0,IF(D42="-",MAX(H42:IU42)&lt;=0,TRUE)),"",1)</f>
        <v/>
      </c>
      <c r="C42" s="705" t="s">
        <v>1036</v>
      </c>
      <c r="D42" s="738" t="s">
        <v>1109</v>
      </c>
      <c r="E42" s="739" t="s">
        <v>198</v>
      </c>
      <c r="F42" s="705" t="s">
        <v>1077</v>
      </c>
      <c r="L42" s="740"/>
      <c r="M42" s="740"/>
      <c r="N42" s="740"/>
      <c r="P42" s="740"/>
      <c r="Q42" s="740"/>
      <c r="R42" s="740"/>
      <c r="S42" s="740"/>
      <c r="T42" s="740"/>
      <c r="U42" s="740"/>
      <c r="V42" s="740"/>
      <c r="W42" s="740"/>
      <c r="X42" s="740"/>
      <c r="Y42" s="740"/>
      <c r="Z42" s="740"/>
      <c r="AA42" s="740"/>
      <c r="AB42" s="740"/>
      <c r="AC42" s="740"/>
      <c r="AD42" s="740"/>
      <c r="AE42" s="740"/>
      <c r="AF42" s="740"/>
      <c r="AG42" s="740"/>
      <c r="AH42" s="740"/>
      <c r="AI42" s="740"/>
      <c r="AJ42" s="740"/>
    </row>
    <row r="43" spans="1:36" s="747" customFormat="1" x14ac:dyDescent="0.25">
      <c r="A43" s="748" t="s">
        <v>1118</v>
      </c>
      <c r="B43" s="742"/>
      <c r="C43" s="743" t="s">
        <v>1038</v>
      </c>
      <c r="D43" s="744" t="s">
        <v>1114</v>
      </c>
      <c r="E43" s="745" t="s">
        <v>1119</v>
      </c>
      <c r="F43" s="743" t="s">
        <v>1077</v>
      </c>
      <c r="G43" s="743"/>
      <c r="H43" s="743"/>
      <c r="I43" s="743"/>
      <c r="J43" s="743"/>
      <c r="K43" s="1064"/>
      <c r="L43" s="746"/>
      <c r="M43" s="746"/>
      <c r="N43" s="746"/>
      <c r="O43" s="746"/>
      <c r="P43" s="746"/>
      <c r="Q43" s="746">
        <f t="shared" ref="Q43:AH43" si="8">Q40</f>
        <v>0</v>
      </c>
      <c r="R43" s="746">
        <f t="shared" si="8"/>
        <v>0</v>
      </c>
      <c r="S43" s="746">
        <f t="shared" si="8"/>
        <v>0</v>
      </c>
      <c r="T43" s="746">
        <f t="shared" si="8"/>
        <v>0</v>
      </c>
      <c r="U43" s="746">
        <f t="shared" si="8"/>
        <v>0</v>
      </c>
      <c r="V43" s="746">
        <f t="shared" si="8"/>
        <v>0</v>
      </c>
      <c r="W43" s="746">
        <f t="shared" si="8"/>
        <v>0</v>
      </c>
      <c r="X43" s="746">
        <f t="shared" si="8"/>
        <v>9980.9359999999979</v>
      </c>
      <c r="Y43" s="746">
        <f t="shared" si="8"/>
        <v>10802.602000000001</v>
      </c>
      <c r="Z43" s="746">
        <f t="shared" si="8"/>
        <v>11431.453</v>
      </c>
      <c r="AA43" s="746">
        <f t="shared" si="8"/>
        <v>16035.705</v>
      </c>
      <c r="AB43" s="746">
        <f t="shared" si="8"/>
        <v>22730.587999999996</v>
      </c>
      <c r="AC43" s="746">
        <f t="shared" si="8"/>
        <v>31947.396000000001</v>
      </c>
      <c r="AD43" s="746">
        <f t="shared" si="8"/>
        <v>37628.899999999994</v>
      </c>
      <c r="AE43" s="746">
        <f t="shared" si="8"/>
        <v>44761.4</v>
      </c>
      <c r="AF43" s="746">
        <f t="shared" ref="AF43" si="9">AF40</f>
        <v>53614.400000000001</v>
      </c>
      <c r="AG43" s="746">
        <f t="shared" ca="1" si="8"/>
        <v>72935.367693299719</v>
      </c>
      <c r="AH43" s="746">
        <f t="shared" ca="1" si="8"/>
        <v>108672.59111019592</v>
      </c>
      <c r="AI43" s="746">
        <f t="shared" ref="AI43:AJ43" ca="1" si="10">AI40</f>
        <v>144351.18628049517</v>
      </c>
      <c r="AJ43" s="746">
        <f t="shared" ca="1" si="10"/>
        <v>188550.73544122337</v>
      </c>
    </row>
    <row r="44" spans="1:36" x14ac:dyDescent="0.25">
      <c r="A44" s="703" t="s">
        <v>1120</v>
      </c>
      <c r="B44" s="737" t="str">
        <f>IF(IF(D44="+",MIN(H44:IU44)&gt;=0,IF(D44="-",MAX(H44:IU44)&lt;=0,TRUE)),"",1)</f>
        <v/>
      </c>
      <c r="C44" s="705" t="s">
        <v>1036</v>
      </c>
      <c r="D44" s="738" t="s">
        <v>1109</v>
      </c>
      <c r="E44" s="739" t="s">
        <v>1121</v>
      </c>
      <c r="F44" s="705" t="s">
        <v>1077</v>
      </c>
      <c r="L44" s="740"/>
      <c r="M44" s="740"/>
    </row>
    <row r="45" spans="1:36" x14ac:dyDescent="0.25">
      <c r="A45" s="749" t="s">
        <v>1122</v>
      </c>
      <c r="B45" s="737" t="str">
        <f>IF(IF(D45="+",MIN(H45:IU45)&gt;=0,IF(D45="-",MAX(H45:IU45)&lt;=0,TRUE)),"",1)</f>
        <v/>
      </c>
      <c r="C45" s="705" t="s">
        <v>1036</v>
      </c>
      <c r="D45" s="738" t="s">
        <v>1109</v>
      </c>
      <c r="E45" s="739" t="s">
        <v>1123</v>
      </c>
      <c r="F45" s="705" t="s">
        <v>1077</v>
      </c>
      <c r="M45" s="740"/>
      <c r="N45" s="740"/>
      <c r="O45" s="740"/>
      <c r="P45" s="740"/>
      <c r="Q45" s="740"/>
      <c r="R45" s="740"/>
      <c r="S45" s="740"/>
      <c r="T45" s="740"/>
      <c r="U45" s="740"/>
      <c r="V45" s="740"/>
      <c r="W45" s="740"/>
      <c r="X45" s="740"/>
      <c r="Y45" s="740"/>
      <c r="Z45" s="740"/>
      <c r="AA45" s="740"/>
      <c r="AB45" s="740"/>
      <c r="AC45" s="740"/>
      <c r="AD45" s="740"/>
      <c r="AE45" s="740"/>
      <c r="AF45" s="740"/>
      <c r="AG45" s="740"/>
      <c r="AH45" s="740"/>
      <c r="AI45" s="740"/>
      <c r="AJ45" s="740"/>
    </row>
    <row r="46" spans="1:36" s="747" customFormat="1" x14ac:dyDescent="0.25">
      <c r="A46" s="748" t="s">
        <v>1124</v>
      </c>
      <c r="B46" s="742"/>
      <c r="C46" s="743" t="s">
        <v>1038</v>
      </c>
      <c r="D46" s="744" t="s">
        <v>1114</v>
      </c>
      <c r="E46" s="745" t="s">
        <v>1125</v>
      </c>
      <c r="F46" s="743" t="s">
        <v>1077</v>
      </c>
      <c r="G46" s="743"/>
      <c r="H46" s="743"/>
      <c r="I46" s="743"/>
      <c r="J46" s="743"/>
      <c r="K46" s="1064"/>
      <c r="L46" s="746"/>
      <c r="M46" s="746"/>
      <c r="N46" s="746"/>
      <c r="O46" s="746"/>
      <c r="P46" s="746"/>
      <c r="Q46" s="746"/>
      <c r="R46" s="746"/>
      <c r="S46" s="746"/>
      <c r="T46" s="746"/>
      <c r="U46" s="746"/>
      <c r="V46" s="746"/>
      <c r="W46" s="746"/>
      <c r="X46" s="746"/>
      <c r="Y46" s="746"/>
      <c r="Z46" s="746"/>
      <c r="AA46" s="746"/>
      <c r="AB46" s="746"/>
      <c r="AC46" s="746"/>
      <c r="AD46" s="746"/>
      <c r="AE46" s="746"/>
      <c r="AF46" s="746"/>
      <c r="AG46" s="746"/>
      <c r="AH46" s="746"/>
      <c r="AI46" s="746"/>
      <c r="AJ46" s="746"/>
    </row>
    <row r="47" spans="1:36" x14ac:dyDescent="0.25">
      <c r="A47" s="703" t="s">
        <v>1126</v>
      </c>
      <c r="B47" s="737" t="str">
        <f t="shared" ref="B47:B56" si="11">IF(IF(D47="+",MIN(H47:IU47)&gt;=0,IF(D47="-",MAX(H47:IU47)&lt;=0,TRUE)),"",1)</f>
        <v/>
      </c>
      <c r="C47" s="705" t="s">
        <v>1036</v>
      </c>
      <c r="D47" s="738" t="s">
        <v>1109</v>
      </c>
      <c r="E47" s="739" t="s">
        <v>1127</v>
      </c>
      <c r="F47" s="705" t="s">
        <v>1077</v>
      </c>
      <c r="L47" s="740"/>
      <c r="M47" s="740"/>
      <c r="P47" s="1065"/>
      <c r="Q47" s="1065"/>
      <c r="R47" s="1065"/>
      <c r="S47" s="1065"/>
      <c r="T47" s="1065"/>
      <c r="U47" s="1065"/>
      <c r="V47" s="1065"/>
      <c r="W47" s="1065"/>
      <c r="X47" s="1065">
        <f>Consol!G20</f>
        <v>569.57899999999995</v>
      </c>
      <c r="Y47" s="1065">
        <f>Consol!H20</f>
        <v>596.22299999999996</v>
      </c>
      <c r="Z47" s="1065">
        <f>Consol!I20</f>
        <v>746.65800000000002</v>
      </c>
      <c r="AA47" s="1065">
        <f>Consol!J20</f>
        <v>1113.5</v>
      </c>
      <c r="AB47" s="1065">
        <f>Consol!K20</f>
        <v>1496.51</v>
      </c>
      <c r="AC47" s="1065">
        <f>Consol!L20</f>
        <v>2299.58</v>
      </c>
      <c r="AD47" s="1065">
        <f>Consol!M20</f>
        <v>2846.4</v>
      </c>
      <c r="AE47" s="1065">
        <f>Consol!N20</f>
        <v>2406.5</v>
      </c>
      <c r="AF47" s="1065">
        <f>Consol!O20</f>
        <v>2386.9</v>
      </c>
      <c r="AG47" s="1065"/>
      <c r="AH47" s="1065"/>
      <c r="AI47" s="1065"/>
      <c r="AJ47" s="1065"/>
    </row>
    <row r="48" spans="1:36" x14ac:dyDescent="0.25">
      <c r="A48" s="703" t="s">
        <v>1128</v>
      </c>
      <c r="B48" s="737" t="str">
        <f t="shared" si="11"/>
        <v/>
      </c>
      <c r="C48" s="705" t="s">
        <v>1036</v>
      </c>
      <c r="D48" s="738" t="s">
        <v>1109</v>
      </c>
      <c r="E48" s="739" t="s">
        <v>1129</v>
      </c>
      <c r="F48" s="705" t="s">
        <v>1077</v>
      </c>
      <c r="L48" s="740"/>
      <c r="M48" s="740"/>
      <c r="N48" s="740"/>
      <c r="O48" s="740"/>
      <c r="P48" s="740"/>
      <c r="Q48" s="740"/>
      <c r="R48" s="740"/>
      <c r="S48" s="740"/>
      <c r="T48" s="740"/>
      <c r="U48" s="740"/>
      <c r="V48" s="740"/>
      <c r="W48" s="740"/>
      <c r="X48" s="740"/>
      <c r="Y48" s="740"/>
      <c r="Z48" s="740"/>
      <c r="AA48" s="740"/>
      <c r="AB48" s="740"/>
      <c r="AC48" s="740"/>
      <c r="AD48" s="740"/>
      <c r="AE48" s="740"/>
      <c r="AF48" s="740"/>
      <c r="AG48" s="740"/>
      <c r="AH48" s="740"/>
      <c r="AI48" s="740"/>
      <c r="AJ48" s="740"/>
    </row>
    <row r="49" spans="1:36" x14ac:dyDescent="0.25">
      <c r="A49" s="703" t="s">
        <v>1130</v>
      </c>
      <c r="B49" s="737" t="str">
        <f t="shared" si="11"/>
        <v/>
      </c>
      <c r="C49" s="705" t="s">
        <v>1036</v>
      </c>
      <c r="D49" s="738" t="s">
        <v>1109</v>
      </c>
      <c r="E49" s="739" t="s">
        <v>1131</v>
      </c>
      <c r="F49" s="705" t="s">
        <v>1077</v>
      </c>
      <c r="L49" s="740"/>
      <c r="M49" s="740"/>
      <c r="N49" s="740"/>
      <c r="O49" s="740"/>
      <c r="P49" s="740"/>
      <c r="Q49" s="740"/>
      <c r="R49" s="740"/>
      <c r="S49" s="740"/>
      <c r="T49" s="740"/>
      <c r="U49" s="740"/>
      <c r="V49" s="740"/>
      <c r="W49" s="740"/>
      <c r="X49" s="740"/>
      <c r="Y49" s="740"/>
      <c r="Z49" s="740"/>
      <c r="AA49" s="740"/>
      <c r="AB49" s="740"/>
      <c r="AC49" s="740"/>
      <c r="AD49" s="740"/>
      <c r="AE49" s="740"/>
      <c r="AF49" s="740"/>
      <c r="AG49" s="740"/>
      <c r="AH49" s="740"/>
      <c r="AI49" s="740"/>
      <c r="AJ49" s="740"/>
    </row>
    <row r="50" spans="1:36" x14ac:dyDescent="0.25">
      <c r="A50" s="703" t="s">
        <v>1132</v>
      </c>
      <c r="B50" s="737" t="str">
        <f t="shared" si="11"/>
        <v/>
      </c>
      <c r="C50" s="705" t="s">
        <v>1036</v>
      </c>
      <c r="D50" s="738" t="s">
        <v>1109</v>
      </c>
      <c r="E50" s="739" t="s">
        <v>1133</v>
      </c>
      <c r="F50" s="705" t="s">
        <v>1077</v>
      </c>
      <c r="M50" s="740"/>
      <c r="N50" s="740"/>
      <c r="O50" s="740"/>
      <c r="P50" s="740"/>
      <c r="Q50" s="740"/>
      <c r="R50" s="740"/>
      <c r="S50" s="740"/>
      <c r="T50" s="740"/>
      <c r="U50" s="740"/>
      <c r="V50" s="740"/>
      <c r="W50" s="740"/>
      <c r="X50" s="740"/>
      <c r="Y50" s="740"/>
      <c r="Z50" s="740"/>
      <c r="AA50" s="740"/>
      <c r="AB50" s="740"/>
      <c r="AC50" s="740"/>
      <c r="AD50" s="740"/>
      <c r="AE50" s="740"/>
      <c r="AF50" s="740"/>
      <c r="AG50" s="740"/>
      <c r="AH50" s="740"/>
      <c r="AI50" s="740"/>
      <c r="AJ50" s="740"/>
    </row>
    <row r="51" spans="1:36" x14ac:dyDescent="0.25">
      <c r="A51" s="703" t="s">
        <v>1134</v>
      </c>
      <c r="B51" s="737" t="str">
        <f t="shared" si="11"/>
        <v/>
      </c>
      <c r="C51" s="705" t="s">
        <v>1036</v>
      </c>
      <c r="D51" s="738" t="s">
        <v>1109</v>
      </c>
      <c r="E51" s="739" t="s">
        <v>1135</v>
      </c>
      <c r="F51" s="705" t="s">
        <v>1077</v>
      </c>
      <c r="M51" s="740"/>
      <c r="N51" s="740"/>
      <c r="O51" s="740"/>
      <c r="P51" s="740"/>
      <c r="Q51" s="740"/>
      <c r="R51" s="740"/>
      <c r="S51" s="740"/>
      <c r="T51" s="740"/>
      <c r="U51" s="740"/>
      <c r="V51" s="740"/>
      <c r="W51" s="740"/>
      <c r="X51" s="740"/>
      <c r="Y51" s="740"/>
      <c r="Z51" s="740"/>
      <c r="AA51" s="740"/>
      <c r="AB51" s="740"/>
      <c r="AC51" s="740"/>
      <c r="AD51" s="740"/>
      <c r="AE51" s="740"/>
      <c r="AF51" s="740"/>
      <c r="AG51" s="740"/>
      <c r="AH51" s="740"/>
      <c r="AI51" s="740"/>
      <c r="AJ51" s="740"/>
    </row>
    <row r="52" spans="1:36" x14ac:dyDescent="0.25">
      <c r="A52" s="703" t="s">
        <v>1136</v>
      </c>
      <c r="B52" s="737" t="str">
        <f t="shared" si="11"/>
        <v/>
      </c>
      <c r="C52" s="705" t="s">
        <v>1036</v>
      </c>
      <c r="D52" s="738" t="s">
        <v>1109</v>
      </c>
      <c r="E52" s="739" t="s">
        <v>448</v>
      </c>
      <c r="F52" s="705" t="s">
        <v>1077</v>
      </c>
      <c r="M52" s="740"/>
      <c r="N52" s="740"/>
      <c r="O52" s="740"/>
      <c r="P52" s="740"/>
      <c r="Q52" s="740"/>
      <c r="R52" s="740"/>
      <c r="S52" s="740"/>
      <c r="T52" s="740"/>
      <c r="U52" s="740"/>
      <c r="V52" s="740"/>
      <c r="W52" s="740"/>
      <c r="X52" s="740"/>
      <c r="Y52" s="740"/>
      <c r="Z52" s="740"/>
      <c r="AA52" s="740"/>
      <c r="AB52" s="740"/>
      <c r="AC52" s="740"/>
      <c r="AD52" s="740"/>
      <c r="AE52" s="740"/>
      <c r="AF52" s="740"/>
      <c r="AG52" s="740"/>
      <c r="AH52" s="740"/>
      <c r="AI52" s="740"/>
      <c r="AJ52" s="740"/>
    </row>
    <row r="53" spans="1:36" x14ac:dyDescent="0.25">
      <c r="A53" s="703" t="s">
        <v>1137</v>
      </c>
      <c r="B53" s="737" t="str">
        <f t="shared" si="11"/>
        <v/>
      </c>
      <c r="C53" s="705" t="s">
        <v>1036</v>
      </c>
      <c r="D53" s="738" t="s">
        <v>1109</v>
      </c>
      <c r="E53" s="739" t="s">
        <v>1138</v>
      </c>
      <c r="F53" s="705" t="s">
        <v>1077</v>
      </c>
      <c r="M53" s="740"/>
      <c r="N53" s="740"/>
      <c r="O53" s="740"/>
      <c r="P53" s="740"/>
      <c r="Q53" s="740"/>
      <c r="R53" s="740"/>
      <c r="S53" s="740"/>
      <c r="T53" s="740"/>
      <c r="U53" s="740"/>
      <c r="V53" s="740"/>
      <c r="W53" s="740"/>
      <c r="X53" s="740"/>
      <c r="Y53" s="740"/>
      <c r="Z53" s="740"/>
      <c r="AA53" s="740"/>
      <c r="AB53" s="740"/>
      <c r="AC53" s="740"/>
      <c r="AD53" s="740"/>
      <c r="AE53" s="740"/>
      <c r="AF53" s="740"/>
      <c r="AG53" s="740"/>
      <c r="AH53" s="740"/>
      <c r="AI53" s="740"/>
      <c r="AJ53" s="740"/>
    </row>
    <row r="54" spans="1:36" x14ac:dyDescent="0.25">
      <c r="A54" s="703" t="s">
        <v>1139</v>
      </c>
      <c r="B54" s="737" t="str">
        <f t="shared" si="11"/>
        <v/>
      </c>
      <c r="C54" s="705" t="s">
        <v>1036</v>
      </c>
      <c r="D54" s="738" t="s">
        <v>1109</v>
      </c>
      <c r="E54" s="739" t="s">
        <v>1140</v>
      </c>
      <c r="F54" s="705" t="s">
        <v>1077</v>
      </c>
      <c r="M54" s="740"/>
      <c r="N54" s="740"/>
      <c r="O54" s="740"/>
      <c r="P54" s="740"/>
      <c r="Q54" s="740"/>
      <c r="R54" s="740"/>
      <c r="S54" s="740"/>
      <c r="T54" s="740"/>
      <c r="U54" s="740"/>
      <c r="V54" s="740"/>
      <c r="W54" s="740"/>
      <c r="X54" s="740"/>
      <c r="Y54" s="740"/>
      <c r="Z54" s="740"/>
      <c r="AA54" s="740"/>
      <c r="AB54" s="740"/>
      <c r="AC54" s="740"/>
      <c r="AD54" s="740"/>
      <c r="AE54" s="740"/>
      <c r="AF54" s="740"/>
      <c r="AG54" s="740"/>
      <c r="AH54" s="740"/>
      <c r="AI54" s="740"/>
      <c r="AJ54" s="740"/>
    </row>
    <row r="55" spans="1:36" x14ac:dyDescent="0.25">
      <c r="A55" s="703" t="s">
        <v>1130</v>
      </c>
      <c r="B55" s="737" t="str">
        <f t="shared" si="11"/>
        <v/>
      </c>
      <c r="C55" s="705" t="s">
        <v>1036</v>
      </c>
      <c r="D55" s="738" t="s">
        <v>1109</v>
      </c>
      <c r="E55" s="739" t="s">
        <v>871</v>
      </c>
      <c r="F55" s="705" t="s">
        <v>1077</v>
      </c>
      <c r="L55" s="740"/>
      <c r="M55" s="740"/>
      <c r="N55" s="740"/>
      <c r="O55" s="740"/>
      <c r="P55" s="740"/>
      <c r="Q55" s="740"/>
      <c r="R55" s="740"/>
      <c r="S55" s="740"/>
      <c r="T55" s="740"/>
      <c r="U55" s="740"/>
      <c r="V55" s="740"/>
      <c r="W55" s="740"/>
      <c r="X55" s="740"/>
      <c r="Y55" s="740"/>
      <c r="Z55" s="740"/>
      <c r="AA55" s="740"/>
      <c r="AB55" s="740"/>
      <c r="AC55" s="740"/>
      <c r="AD55" s="740"/>
      <c r="AE55" s="740"/>
      <c r="AF55" s="740"/>
      <c r="AG55" s="740"/>
      <c r="AH55" s="740"/>
      <c r="AI55" s="740"/>
      <c r="AJ55" s="740"/>
    </row>
    <row r="56" spans="1:36" x14ac:dyDescent="0.25">
      <c r="A56" s="703" t="s">
        <v>1141</v>
      </c>
      <c r="B56" s="737" t="str">
        <f t="shared" si="11"/>
        <v/>
      </c>
      <c r="C56" s="705" t="s">
        <v>1036</v>
      </c>
      <c r="D56" s="738" t="s">
        <v>1109</v>
      </c>
      <c r="E56" s="739" t="s">
        <v>1142</v>
      </c>
      <c r="F56" s="705" t="s">
        <v>1077</v>
      </c>
      <c r="L56" s="740"/>
      <c r="M56" s="740"/>
      <c r="N56" s="740"/>
      <c r="O56" s="740"/>
      <c r="P56" s="740"/>
      <c r="Q56" s="740"/>
      <c r="R56" s="740"/>
      <c r="S56" s="740"/>
      <c r="T56" s="740"/>
      <c r="U56" s="740"/>
      <c r="V56" s="740"/>
      <c r="W56" s="740"/>
      <c r="X56" s="740">
        <f>+Consol!G19+Consol!G21</f>
        <v>3533.0009999999997</v>
      </c>
      <c r="Y56" s="740">
        <f>+Consol!H19+Consol!H21</f>
        <v>4084.9720000000002</v>
      </c>
      <c r="Z56" s="740">
        <f>+Consol!I19+Consol!I21</f>
        <v>4492.8329999999996</v>
      </c>
      <c r="AA56" s="740">
        <f>+Consol!J19+Consol!J21</f>
        <v>6757.81</v>
      </c>
      <c r="AB56" s="740">
        <f>+Consol!K19+Consol!K21</f>
        <v>10139.77</v>
      </c>
      <c r="AC56" s="740">
        <f>+Consol!L19+Consol!L21</f>
        <v>13445.92</v>
      </c>
      <c r="AD56" s="740">
        <f>+Consol!M19+Consol!M21</f>
        <v>15136.9</v>
      </c>
      <c r="AE56" s="740">
        <f>+Consol!N19+Consol!N21</f>
        <v>19733.100000000002</v>
      </c>
      <c r="AF56" s="740">
        <f>+Consol!O19+Consol!O21</f>
        <v>25190.2</v>
      </c>
      <c r="AG56" s="740"/>
      <c r="AH56" s="740"/>
      <c r="AI56" s="740"/>
      <c r="AJ56" s="740"/>
    </row>
    <row r="57" spans="1:36" s="747" customFormat="1" x14ac:dyDescent="0.25">
      <c r="A57" s="741" t="s">
        <v>1143</v>
      </c>
      <c r="B57" s="742"/>
      <c r="C57" s="743" t="s">
        <v>1038</v>
      </c>
      <c r="D57" s="744" t="s">
        <v>1114</v>
      </c>
      <c r="E57" s="745" t="s">
        <v>1144</v>
      </c>
      <c r="F57" s="743" t="s">
        <v>1077</v>
      </c>
      <c r="G57" s="743"/>
      <c r="H57" s="743"/>
      <c r="I57" s="743"/>
      <c r="J57" s="743"/>
      <c r="K57" s="743"/>
      <c r="L57" s="746"/>
      <c r="M57" s="746"/>
      <c r="N57" s="746"/>
      <c r="O57" s="746"/>
      <c r="P57" s="746"/>
      <c r="Q57" s="746">
        <f t="shared" ref="Q57:AE57" si="12">+SUM(Q47:Q56)</f>
        <v>0</v>
      </c>
      <c r="R57" s="746">
        <f t="shared" si="12"/>
        <v>0</v>
      </c>
      <c r="S57" s="746">
        <f t="shared" si="12"/>
        <v>0</v>
      </c>
      <c r="T57" s="746">
        <f t="shared" si="12"/>
        <v>0</v>
      </c>
      <c r="U57" s="746">
        <f t="shared" si="12"/>
        <v>0</v>
      </c>
      <c r="V57" s="746">
        <f t="shared" si="12"/>
        <v>0</v>
      </c>
      <c r="W57" s="746">
        <f t="shared" si="12"/>
        <v>0</v>
      </c>
      <c r="X57" s="746">
        <f t="shared" si="12"/>
        <v>4102.58</v>
      </c>
      <c r="Y57" s="746">
        <f t="shared" si="12"/>
        <v>4681.1949999999997</v>
      </c>
      <c r="Z57" s="746">
        <f t="shared" si="12"/>
        <v>5239.491</v>
      </c>
      <c r="AA57" s="746">
        <f t="shared" si="12"/>
        <v>7871.31</v>
      </c>
      <c r="AB57" s="746">
        <f t="shared" si="12"/>
        <v>11636.28</v>
      </c>
      <c r="AC57" s="746">
        <f t="shared" si="12"/>
        <v>15745.5</v>
      </c>
      <c r="AD57" s="746">
        <f t="shared" si="12"/>
        <v>17983.3</v>
      </c>
      <c r="AE57" s="746">
        <f t="shared" si="12"/>
        <v>22139.600000000002</v>
      </c>
      <c r="AF57" s="746">
        <f t="shared" ref="AF57" si="13">+SUM(AF47:AF56)</f>
        <v>27577.100000000002</v>
      </c>
      <c r="AG57" s="746"/>
      <c r="AH57" s="746"/>
      <c r="AI57" s="746"/>
      <c r="AJ57" s="746"/>
    </row>
    <row r="58" spans="1:36" s="747" customFormat="1" x14ac:dyDescent="0.25">
      <c r="A58" s="748" t="s">
        <v>34</v>
      </c>
      <c r="B58" s="742"/>
      <c r="C58" s="743" t="s">
        <v>1038</v>
      </c>
      <c r="D58" s="744" t="s">
        <v>1114</v>
      </c>
      <c r="E58" s="745" t="s">
        <v>34</v>
      </c>
      <c r="F58" s="743" t="s">
        <v>1077</v>
      </c>
      <c r="G58" s="743"/>
      <c r="H58" s="743"/>
      <c r="I58" s="743"/>
      <c r="J58" s="743"/>
      <c r="K58" s="1064"/>
      <c r="L58" s="746"/>
      <c r="M58" s="746"/>
      <c r="N58" s="746"/>
      <c r="O58" s="746"/>
      <c r="P58" s="746"/>
      <c r="Q58" s="746">
        <f t="shared" ref="Q58:AE58" si="14">+Q43-Q57</f>
        <v>0</v>
      </c>
      <c r="R58" s="746">
        <f t="shared" si="14"/>
        <v>0</v>
      </c>
      <c r="S58" s="746">
        <f t="shared" si="14"/>
        <v>0</v>
      </c>
      <c r="T58" s="746">
        <f t="shared" si="14"/>
        <v>0</v>
      </c>
      <c r="U58" s="746">
        <f t="shared" si="14"/>
        <v>0</v>
      </c>
      <c r="V58" s="746">
        <f t="shared" si="14"/>
        <v>0</v>
      </c>
      <c r="W58" s="746">
        <f t="shared" si="14"/>
        <v>0</v>
      </c>
      <c r="X58" s="746">
        <f t="shared" si="14"/>
        <v>5878.3559999999979</v>
      </c>
      <c r="Y58" s="746">
        <f t="shared" si="14"/>
        <v>6121.4070000000011</v>
      </c>
      <c r="Z58" s="746">
        <f t="shared" si="14"/>
        <v>6191.9619999999995</v>
      </c>
      <c r="AA58" s="746">
        <f t="shared" si="14"/>
        <v>8164.3949999999995</v>
      </c>
      <c r="AB58" s="746">
        <f t="shared" si="14"/>
        <v>11094.307999999995</v>
      </c>
      <c r="AC58" s="746">
        <f t="shared" si="14"/>
        <v>16201.896000000001</v>
      </c>
      <c r="AD58" s="746">
        <f t="shared" si="14"/>
        <v>19645.599999999995</v>
      </c>
      <c r="AE58" s="746">
        <f t="shared" si="14"/>
        <v>22621.8</v>
      </c>
      <c r="AF58" s="746">
        <f t="shared" ref="AF58" si="15">+AF43-AF57</f>
        <v>26037.3</v>
      </c>
      <c r="AG58" s="746">
        <f ca="1">Consol!P23</f>
        <v>29530.876404599338</v>
      </c>
      <c r="AH58" s="746">
        <f ca="1">Consol!Q23</f>
        <v>47439.420981768133</v>
      </c>
      <c r="AI58" s="746">
        <f ca="1">Consol!R23</f>
        <v>57966.427748387025</v>
      </c>
      <c r="AJ58" s="746">
        <f ca="1">Consol!S23</f>
        <v>75506.814117133807</v>
      </c>
    </row>
    <row r="59" spans="1:36" x14ac:dyDescent="0.25">
      <c r="A59" s="750" t="s">
        <v>1145</v>
      </c>
      <c r="B59" s="737" t="str">
        <f>IF(IF(D59="+",MIN(H59:IU59)&gt;=0,IF(D59="-",MAX(H59:IU59)&lt;=0,TRUE)),"",1)</f>
        <v/>
      </c>
      <c r="C59" s="705" t="s">
        <v>1036</v>
      </c>
      <c r="D59" s="738" t="s">
        <v>1109</v>
      </c>
      <c r="E59" s="739" t="s">
        <v>199</v>
      </c>
      <c r="F59" s="705" t="s">
        <v>1077</v>
      </c>
      <c r="L59" s="740"/>
      <c r="M59" s="740"/>
      <c r="N59" s="740"/>
      <c r="O59" s="740"/>
      <c r="P59" s="740"/>
      <c r="Q59" s="740"/>
      <c r="R59" s="740"/>
      <c r="S59" s="740"/>
      <c r="T59" s="740"/>
      <c r="U59" s="740"/>
      <c r="V59" s="740"/>
      <c r="W59" s="740"/>
      <c r="X59" s="740">
        <f>Consol!G28</f>
        <v>1571.402</v>
      </c>
      <c r="Y59" s="740">
        <f>Consol!H28</f>
        <v>2524.951</v>
      </c>
      <c r="Z59" s="740">
        <f>Consol!I28</f>
        <v>2018.5730000000001</v>
      </c>
      <c r="AA59" s="740">
        <f>Consol!J28</f>
        <v>2706.55</v>
      </c>
      <c r="AB59" s="740">
        <f>Consol!K28</f>
        <v>3695.05</v>
      </c>
      <c r="AC59" s="740">
        <f>Consol!L28</f>
        <v>3912.23</v>
      </c>
      <c r="AD59" s="740">
        <f>Consol!M28</f>
        <v>4364.8</v>
      </c>
      <c r="AE59" s="740">
        <f>Consol!N28</f>
        <v>5465.5</v>
      </c>
      <c r="AF59" s="740">
        <f>Consol!O28</f>
        <v>6141.2</v>
      </c>
      <c r="AG59" s="740">
        <f>Consol!P28</f>
        <v>7453.8824749999994</v>
      </c>
      <c r="AH59" s="740">
        <f>Consol!Q28</f>
        <v>12460.683949999999</v>
      </c>
      <c r="AI59" s="740">
        <f>Consol!R28</f>
        <v>18408.265199999998</v>
      </c>
      <c r="AJ59" s="740">
        <f>Consol!S28</f>
        <v>24495.596449999997</v>
      </c>
    </row>
    <row r="60" spans="1:36" x14ac:dyDescent="0.25">
      <c r="A60" s="703" t="s">
        <v>1146</v>
      </c>
      <c r="B60" s="737" t="str">
        <f>IF(IF(D60="+",MIN(H60:IU60)&gt;=0,IF(D60="-",MAX(H60:IU60)&lt;=0,TRUE)),"",1)</f>
        <v/>
      </c>
      <c r="C60" s="705" t="s">
        <v>1036</v>
      </c>
      <c r="D60" s="738" t="s">
        <v>1109</v>
      </c>
      <c r="E60" s="739" t="s">
        <v>1147</v>
      </c>
      <c r="F60" s="705" t="s">
        <v>1077</v>
      </c>
      <c r="M60" s="740"/>
    </row>
    <row r="61" spans="1:36" s="747" customFormat="1" x14ac:dyDescent="0.25">
      <c r="A61" s="741" t="s">
        <v>1148</v>
      </c>
      <c r="B61" s="742"/>
      <c r="C61" s="743" t="s">
        <v>1038</v>
      </c>
      <c r="D61" s="744" t="s">
        <v>1114</v>
      </c>
      <c r="E61" s="745" t="s">
        <v>1149</v>
      </c>
      <c r="F61" s="743" t="s">
        <v>1077</v>
      </c>
      <c r="G61" s="743"/>
      <c r="H61" s="743"/>
      <c r="I61" s="743"/>
      <c r="J61" s="743"/>
      <c r="K61" s="1064"/>
      <c r="L61" s="746"/>
      <c r="M61" s="746"/>
      <c r="N61" s="746"/>
      <c r="O61" s="746"/>
      <c r="P61" s="746"/>
      <c r="Q61" s="746">
        <f t="shared" ref="Q61:AH61" si="16">+Q59+Q60</f>
        <v>0</v>
      </c>
      <c r="R61" s="746">
        <f t="shared" si="16"/>
        <v>0</v>
      </c>
      <c r="S61" s="746">
        <f t="shared" si="16"/>
        <v>0</v>
      </c>
      <c r="T61" s="746">
        <f t="shared" si="16"/>
        <v>0</v>
      </c>
      <c r="U61" s="746">
        <f t="shared" si="16"/>
        <v>0</v>
      </c>
      <c r="V61" s="746">
        <f t="shared" si="16"/>
        <v>0</v>
      </c>
      <c r="W61" s="746">
        <f t="shared" si="16"/>
        <v>0</v>
      </c>
      <c r="X61" s="746">
        <f t="shared" si="16"/>
        <v>1571.402</v>
      </c>
      <c r="Y61" s="746">
        <f t="shared" si="16"/>
        <v>2524.951</v>
      </c>
      <c r="Z61" s="746">
        <f t="shared" si="16"/>
        <v>2018.5730000000001</v>
      </c>
      <c r="AA61" s="746">
        <f t="shared" si="16"/>
        <v>2706.55</v>
      </c>
      <c r="AB61" s="746">
        <f t="shared" si="16"/>
        <v>3695.05</v>
      </c>
      <c r="AC61" s="746">
        <f t="shared" si="16"/>
        <v>3912.23</v>
      </c>
      <c r="AD61" s="746">
        <f t="shared" si="16"/>
        <v>4364.8</v>
      </c>
      <c r="AE61" s="746">
        <f t="shared" si="16"/>
        <v>5465.5</v>
      </c>
      <c r="AF61" s="746">
        <f t="shared" ref="AF61" si="17">+AF59+AF60</f>
        <v>6141.2</v>
      </c>
      <c r="AG61" s="746">
        <f t="shared" si="16"/>
        <v>7453.8824749999994</v>
      </c>
      <c r="AH61" s="746">
        <f t="shared" si="16"/>
        <v>12460.683949999999</v>
      </c>
      <c r="AI61" s="746">
        <f t="shared" ref="AI61:AJ61" si="18">+AI59+AI60</f>
        <v>18408.265199999998</v>
      </c>
      <c r="AJ61" s="746">
        <f t="shared" si="18"/>
        <v>24495.596449999997</v>
      </c>
    </row>
    <row r="62" spans="1:36" s="747" customFormat="1" x14ac:dyDescent="0.25">
      <c r="A62" s="748" t="s">
        <v>1150</v>
      </c>
      <c r="B62" s="742"/>
      <c r="C62" s="743" t="s">
        <v>1038</v>
      </c>
      <c r="D62" s="744" t="s">
        <v>1114</v>
      </c>
      <c r="E62" s="745" t="s">
        <v>38</v>
      </c>
      <c r="F62" s="743" t="s">
        <v>1077</v>
      </c>
      <c r="G62" s="743"/>
      <c r="H62" s="743"/>
      <c r="I62" s="743"/>
      <c r="J62" s="743"/>
      <c r="K62" s="1064"/>
      <c r="L62" s="746"/>
      <c r="M62" s="746"/>
      <c r="N62" s="746"/>
      <c r="O62" s="746"/>
      <c r="P62" s="746"/>
      <c r="Q62" s="746">
        <f t="shared" ref="Q62:AH62" si="19">+Q58-Q61</f>
        <v>0</v>
      </c>
      <c r="R62" s="746">
        <f t="shared" si="19"/>
        <v>0</v>
      </c>
      <c r="S62" s="746">
        <f t="shared" si="19"/>
        <v>0</v>
      </c>
      <c r="T62" s="746">
        <f t="shared" si="19"/>
        <v>0</v>
      </c>
      <c r="U62" s="746">
        <f t="shared" si="19"/>
        <v>0</v>
      </c>
      <c r="V62" s="746">
        <f t="shared" si="19"/>
        <v>0</v>
      </c>
      <c r="W62" s="746">
        <f t="shared" si="19"/>
        <v>0</v>
      </c>
      <c r="X62" s="746">
        <f t="shared" si="19"/>
        <v>4306.9539999999979</v>
      </c>
      <c r="Y62" s="746">
        <f t="shared" si="19"/>
        <v>3596.456000000001</v>
      </c>
      <c r="Z62" s="746">
        <f t="shared" si="19"/>
        <v>4173.3889999999992</v>
      </c>
      <c r="AA62" s="746">
        <f t="shared" si="19"/>
        <v>5457.8449999999993</v>
      </c>
      <c r="AB62" s="746">
        <f t="shared" si="19"/>
        <v>7399.2579999999953</v>
      </c>
      <c r="AC62" s="746">
        <f t="shared" si="19"/>
        <v>12289.666000000001</v>
      </c>
      <c r="AD62" s="746">
        <f t="shared" si="19"/>
        <v>15280.799999999996</v>
      </c>
      <c r="AE62" s="746">
        <f t="shared" si="19"/>
        <v>17156.3</v>
      </c>
      <c r="AF62" s="746">
        <f t="shared" ref="AF62" si="20">+AF58-AF61</f>
        <v>19896.099999999999</v>
      </c>
      <c r="AG62" s="746">
        <f t="shared" ca="1" si="19"/>
        <v>22076.993929599339</v>
      </c>
      <c r="AH62" s="746">
        <f t="shared" ca="1" si="19"/>
        <v>34978.737031768134</v>
      </c>
      <c r="AI62" s="746">
        <f t="shared" ref="AI62:AJ62" ca="1" si="21">+AI58-AI61</f>
        <v>39558.16254838703</v>
      </c>
      <c r="AJ62" s="746">
        <f t="shared" ca="1" si="21"/>
        <v>51011.217667133809</v>
      </c>
    </row>
    <row r="63" spans="1:36" x14ac:dyDescent="0.25">
      <c r="A63" s="703" t="s">
        <v>1151</v>
      </c>
      <c r="B63" s="737" t="str">
        <f>IF(IF(D63="+",MIN(H63:IU63)&gt;=0,IF(D63="-",MAX(H63:IU63)&lt;=0,TRUE)),"",1)</f>
        <v/>
      </c>
      <c r="C63" s="705" t="s">
        <v>1036</v>
      </c>
      <c r="D63" s="738" t="s">
        <v>1109</v>
      </c>
      <c r="E63" s="739" t="s">
        <v>106</v>
      </c>
      <c r="F63" s="705" t="s">
        <v>1077</v>
      </c>
      <c r="M63" s="740"/>
    </row>
    <row r="64" spans="1:36" x14ac:dyDescent="0.25">
      <c r="A64" s="750" t="s">
        <v>1152</v>
      </c>
      <c r="B64" s="737" t="str">
        <f>IF(IF(D64="+",MIN(H64:IU64)&gt;=0,IF(D64="-",MAX(H64:IU64)&lt;=0,TRUE)),"",1)</f>
        <v/>
      </c>
      <c r="C64" s="705" t="s">
        <v>1036</v>
      </c>
      <c r="D64" s="738" t="s">
        <v>1109</v>
      </c>
      <c r="E64" s="739" t="s">
        <v>1153</v>
      </c>
      <c r="F64" s="705" t="s">
        <v>1077</v>
      </c>
      <c r="L64" s="740"/>
      <c r="M64" s="740"/>
      <c r="N64" s="740"/>
      <c r="O64" s="740"/>
      <c r="P64" s="740"/>
      <c r="Q64" s="740"/>
      <c r="R64" s="740"/>
      <c r="S64" s="740"/>
      <c r="T64" s="740"/>
      <c r="U64" s="740"/>
      <c r="V64" s="740"/>
      <c r="W64" s="740"/>
      <c r="X64" s="740">
        <f>Consol!G32</f>
        <v>1298.942</v>
      </c>
      <c r="Y64" s="740">
        <f>Consol!H32</f>
        <v>1771.365</v>
      </c>
      <c r="Z64" s="740">
        <f>Consol!I32</f>
        <v>2774.5830000000001</v>
      </c>
      <c r="AA64" s="740">
        <f>Consol!J32</f>
        <v>2278.5700000000002</v>
      </c>
      <c r="AB64" s="740">
        <f>Consol!K32</f>
        <v>4196.22</v>
      </c>
      <c r="AC64" s="740">
        <f>Consol!L32</f>
        <v>5960.8</v>
      </c>
      <c r="AD64" s="740">
        <f>Consol!M32</f>
        <v>3324.6</v>
      </c>
      <c r="AE64" s="740">
        <f>Consol!N32</f>
        <v>2657.4</v>
      </c>
      <c r="AF64" s="740">
        <f>Consol!O32</f>
        <v>3829.9</v>
      </c>
      <c r="AG64" s="740">
        <f>Consol!P32</f>
        <v>4783.0374513424667</v>
      </c>
      <c r="AH64" s="740">
        <f>Consol!Q32</f>
        <v>8558.4778248657531</v>
      </c>
      <c r="AI64" s="740">
        <f>Consol!R32</f>
        <v>10931.457055279452</v>
      </c>
      <c r="AJ64" s="740">
        <f>Consol!S32</f>
        <v>15540.224814060279</v>
      </c>
    </row>
    <row r="65" spans="1:36" s="747" customFormat="1" x14ac:dyDescent="0.25">
      <c r="A65" s="741" t="s">
        <v>1154</v>
      </c>
      <c r="B65" s="742"/>
      <c r="C65" s="743" t="s">
        <v>1038</v>
      </c>
      <c r="D65" s="744" t="s">
        <v>1114</v>
      </c>
      <c r="E65" s="745" t="s">
        <v>1155</v>
      </c>
      <c r="F65" s="743" t="s">
        <v>1077</v>
      </c>
      <c r="G65" s="743"/>
      <c r="H65" s="743"/>
      <c r="I65" s="743"/>
      <c r="J65" s="743"/>
      <c r="K65" s="1064"/>
      <c r="L65" s="746"/>
      <c r="M65" s="746"/>
      <c r="N65" s="746"/>
      <c r="O65" s="746"/>
      <c r="P65" s="746"/>
      <c r="Q65" s="746">
        <f t="shared" ref="Q65:AH65" si="22">+Q63+Q64</f>
        <v>0</v>
      </c>
      <c r="R65" s="746">
        <f t="shared" si="22"/>
        <v>0</v>
      </c>
      <c r="S65" s="746">
        <f t="shared" si="22"/>
        <v>0</v>
      </c>
      <c r="T65" s="746">
        <f t="shared" si="22"/>
        <v>0</v>
      </c>
      <c r="U65" s="746">
        <f t="shared" si="22"/>
        <v>0</v>
      </c>
      <c r="V65" s="746">
        <f t="shared" si="22"/>
        <v>0</v>
      </c>
      <c r="W65" s="746">
        <f t="shared" si="22"/>
        <v>0</v>
      </c>
      <c r="X65" s="746">
        <f t="shared" si="22"/>
        <v>1298.942</v>
      </c>
      <c r="Y65" s="746">
        <f t="shared" si="22"/>
        <v>1771.365</v>
      </c>
      <c r="Z65" s="746">
        <f t="shared" si="22"/>
        <v>2774.5830000000001</v>
      </c>
      <c r="AA65" s="746">
        <f t="shared" si="22"/>
        <v>2278.5700000000002</v>
      </c>
      <c r="AB65" s="746">
        <f t="shared" si="22"/>
        <v>4196.22</v>
      </c>
      <c r="AC65" s="746">
        <f t="shared" si="22"/>
        <v>5960.8</v>
      </c>
      <c r="AD65" s="746">
        <f t="shared" si="22"/>
        <v>3324.6</v>
      </c>
      <c r="AE65" s="746">
        <f t="shared" si="22"/>
        <v>2657.4</v>
      </c>
      <c r="AF65" s="746">
        <f t="shared" ref="AF65" si="23">+AF63+AF64</f>
        <v>3829.9</v>
      </c>
      <c r="AG65" s="746">
        <f t="shared" si="22"/>
        <v>4783.0374513424667</v>
      </c>
      <c r="AH65" s="746">
        <f t="shared" si="22"/>
        <v>8558.4778248657531</v>
      </c>
      <c r="AI65" s="746">
        <f t="shared" ref="AI65:AJ65" si="24">+AI63+AI64</f>
        <v>10931.457055279452</v>
      </c>
      <c r="AJ65" s="746">
        <f t="shared" si="24"/>
        <v>15540.224814060279</v>
      </c>
    </row>
    <row r="66" spans="1:36" x14ac:dyDescent="0.25">
      <c r="A66" s="750" t="s">
        <v>1156</v>
      </c>
      <c r="B66" s="737" t="str">
        <f ca="1">IF(IF(D66="+",MIN(H66:IU66)&gt;=0,IF(D66="-",MAX(H66:IU66)&lt;=0,TRUE)),"",1)</f>
        <v/>
      </c>
      <c r="C66" s="705" t="s">
        <v>1036</v>
      </c>
      <c r="D66" s="738" t="s">
        <v>1109</v>
      </c>
      <c r="E66" s="739" t="s">
        <v>1157</v>
      </c>
      <c r="F66" s="705" t="s">
        <v>1077</v>
      </c>
      <c r="L66" s="740"/>
      <c r="M66" s="740"/>
      <c r="N66" s="740"/>
      <c r="O66" s="740"/>
      <c r="P66" s="740"/>
      <c r="Q66" s="740"/>
      <c r="R66" s="740"/>
      <c r="S66" s="740"/>
      <c r="T66" s="740"/>
      <c r="U66" s="740"/>
      <c r="V66" s="740"/>
      <c r="W66" s="740"/>
      <c r="X66" s="740">
        <f>Consol!G27</f>
        <v>766.755</v>
      </c>
      <c r="Y66" s="740">
        <f>Consol!H27</f>
        <v>1013.331</v>
      </c>
      <c r="Z66" s="740">
        <f>Consol!I27</f>
        <v>942.20699999999999</v>
      </c>
      <c r="AA66" s="740">
        <f>Consol!J27</f>
        <v>746.93</v>
      </c>
      <c r="AB66" s="740">
        <f>Consol!K27</f>
        <v>1056.79</v>
      </c>
      <c r="AC66" s="740">
        <f>Consol!L27</f>
        <v>1781.13</v>
      </c>
      <c r="AD66" s="740">
        <f>Consol!M27</f>
        <v>2694.1</v>
      </c>
      <c r="AE66" s="740">
        <f>Consol!N27</f>
        <v>3529.5</v>
      </c>
      <c r="AF66" s="740">
        <f>Consol!O27</f>
        <v>3459.5</v>
      </c>
      <c r="AG66" s="740">
        <f ca="1">Consol!P27</f>
        <v>3758.2464024573082</v>
      </c>
      <c r="AH66" s="740">
        <f ca="1">Consol!Q27</f>
        <v>4332.5419641836579</v>
      </c>
      <c r="AI66" s="740">
        <f ca="1">Consol!R27</f>
        <v>2879.4491632562163</v>
      </c>
      <c r="AJ66" s="740">
        <f ca="1">Consol!S27</f>
        <v>1594.2852642714658</v>
      </c>
    </row>
    <row r="67" spans="1:36" x14ac:dyDescent="0.25">
      <c r="A67" s="750" t="s">
        <v>1158</v>
      </c>
      <c r="B67" s="737" t="str">
        <f>IF(IF(D67="+",MIN(H67:IU67)&gt;=0,IF(D67="-",MAX(H67:IU67)&lt;=0,TRUE)),"",1)</f>
        <v/>
      </c>
      <c r="C67" s="705" t="s">
        <v>1036</v>
      </c>
      <c r="D67" s="738" t="s">
        <v>1159</v>
      </c>
      <c r="E67" s="739" t="s">
        <v>1160</v>
      </c>
      <c r="F67" s="705" t="s">
        <v>1077</v>
      </c>
      <c r="L67" s="740"/>
      <c r="M67" s="740"/>
      <c r="N67" s="740"/>
      <c r="O67" s="740"/>
      <c r="P67" s="740"/>
      <c r="Q67" s="740"/>
      <c r="R67" s="740"/>
      <c r="S67" s="740"/>
      <c r="T67" s="740"/>
      <c r="U67" s="740"/>
      <c r="V67" s="740"/>
      <c r="W67" s="740"/>
      <c r="X67" s="740"/>
      <c r="Y67" s="740"/>
      <c r="Z67" s="740"/>
      <c r="AA67" s="740"/>
      <c r="AB67" s="740"/>
      <c r="AC67" s="740"/>
      <c r="AD67" s="740"/>
      <c r="AE67" s="740"/>
      <c r="AF67" s="740"/>
      <c r="AG67" s="740"/>
      <c r="AH67" s="740"/>
      <c r="AI67" s="740"/>
      <c r="AJ67" s="740"/>
    </row>
    <row r="68" spans="1:36" s="747" customFormat="1" x14ac:dyDescent="0.25">
      <c r="A68" s="748" t="s">
        <v>1161</v>
      </c>
      <c r="B68" s="742"/>
      <c r="C68" s="743" t="s">
        <v>1038</v>
      </c>
      <c r="D68" s="744" t="s">
        <v>1114</v>
      </c>
      <c r="E68" s="745" t="s">
        <v>1162</v>
      </c>
      <c r="F68" s="743" t="s">
        <v>1077</v>
      </c>
      <c r="G68" s="743"/>
      <c r="H68" s="743"/>
      <c r="I68" s="743"/>
      <c r="J68" s="743"/>
      <c r="K68" s="1064"/>
      <c r="L68" s="746"/>
      <c r="M68" s="746"/>
      <c r="N68" s="746"/>
      <c r="O68" s="746"/>
      <c r="P68" s="746"/>
      <c r="Q68" s="746">
        <f>+Q62-Q65+Q66+Q67</f>
        <v>0</v>
      </c>
      <c r="R68" s="746">
        <f>+R62-R65+R66+R67</f>
        <v>0</v>
      </c>
      <c r="S68" s="746">
        <f t="shared" ref="S68:AH68" si="25">+S62-S65+S66+S67</f>
        <v>0</v>
      </c>
      <c r="T68" s="746">
        <f t="shared" si="25"/>
        <v>0</v>
      </c>
      <c r="U68" s="746">
        <f t="shared" si="25"/>
        <v>0</v>
      </c>
      <c r="V68" s="746">
        <f t="shared" si="25"/>
        <v>0</v>
      </c>
      <c r="W68" s="746">
        <f t="shared" si="25"/>
        <v>0</v>
      </c>
      <c r="X68" s="746">
        <f t="shared" si="25"/>
        <v>3774.766999999998</v>
      </c>
      <c r="Y68" s="746">
        <f t="shared" si="25"/>
        <v>2838.4220000000009</v>
      </c>
      <c r="Z68" s="746">
        <f t="shared" si="25"/>
        <v>2341.012999999999</v>
      </c>
      <c r="AA68" s="746">
        <f t="shared" si="25"/>
        <v>3926.204999999999</v>
      </c>
      <c r="AB68" s="746">
        <f t="shared" si="25"/>
        <v>4259.827999999995</v>
      </c>
      <c r="AC68" s="746">
        <f t="shared" si="25"/>
        <v>8109.996000000001</v>
      </c>
      <c r="AD68" s="746">
        <f t="shared" si="25"/>
        <v>14650.299999999996</v>
      </c>
      <c r="AE68" s="746">
        <f t="shared" si="25"/>
        <v>18028.400000000001</v>
      </c>
      <c r="AF68" s="746">
        <f t="shared" ref="AF68" si="26">+AF62-AF65+AF66+AF67</f>
        <v>19525.699999999997</v>
      </c>
      <c r="AG68" s="746">
        <f t="shared" ca="1" si="25"/>
        <v>21052.20288071418</v>
      </c>
      <c r="AH68" s="746">
        <f t="shared" ca="1" si="25"/>
        <v>30752.801171086037</v>
      </c>
      <c r="AI68" s="746">
        <f t="shared" ref="AI68:AJ68" ca="1" si="27">+AI62-AI65+AI66+AI67</f>
        <v>31506.154656363793</v>
      </c>
      <c r="AJ68" s="746">
        <f t="shared" ca="1" si="27"/>
        <v>37065.278117344998</v>
      </c>
    </row>
    <row r="69" spans="1:36" s="747" customFormat="1" x14ac:dyDescent="0.25">
      <c r="A69" s="741" t="s">
        <v>1163</v>
      </c>
      <c r="B69" s="742"/>
      <c r="C69" s="743" t="s">
        <v>1038</v>
      </c>
      <c r="D69" s="744" t="s">
        <v>1114</v>
      </c>
      <c r="E69" s="745" t="s">
        <v>1164</v>
      </c>
      <c r="F69" s="743" t="s">
        <v>1077</v>
      </c>
      <c r="G69" s="743"/>
      <c r="H69" s="743"/>
      <c r="I69" s="743"/>
      <c r="J69" s="743"/>
      <c r="K69" s="1064"/>
      <c r="L69" s="746"/>
      <c r="M69" s="746"/>
      <c r="N69" s="746"/>
      <c r="O69" s="746"/>
      <c r="P69" s="746"/>
      <c r="Q69" s="746">
        <f t="shared" ref="Q69:AH69" si="28">+Q68-Q67</f>
        <v>0</v>
      </c>
      <c r="R69" s="746">
        <f t="shared" si="28"/>
        <v>0</v>
      </c>
      <c r="S69" s="746">
        <f t="shared" si="28"/>
        <v>0</v>
      </c>
      <c r="T69" s="746">
        <f t="shared" si="28"/>
        <v>0</v>
      </c>
      <c r="U69" s="746">
        <f t="shared" si="28"/>
        <v>0</v>
      </c>
      <c r="V69" s="746">
        <f t="shared" si="28"/>
        <v>0</v>
      </c>
      <c r="W69" s="746">
        <f t="shared" si="28"/>
        <v>0</v>
      </c>
      <c r="X69" s="746">
        <f t="shared" si="28"/>
        <v>3774.766999999998</v>
      </c>
      <c r="Y69" s="746">
        <f t="shared" si="28"/>
        <v>2838.4220000000009</v>
      </c>
      <c r="Z69" s="746">
        <f t="shared" si="28"/>
        <v>2341.012999999999</v>
      </c>
      <c r="AA69" s="746">
        <f t="shared" si="28"/>
        <v>3926.204999999999</v>
      </c>
      <c r="AB69" s="746">
        <f t="shared" si="28"/>
        <v>4259.827999999995</v>
      </c>
      <c r="AC69" s="746">
        <f t="shared" si="28"/>
        <v>8109.996000000001</v>
      </c>
      <c r="AD69" s="746">
        <f t="shared" si="28"/>
        <v>14650.299999999996</v>
      </c>
      <c r="AE69" s="746">
        <f t="shared" si="28"/>
        <v>18028.400000000001</v>
      </c>
      <c r="AF69" s="746">
        <f t="shared" ref="AF69" si="29">+AF68-AF67</f>
        <v>19525.699999999997</v>
      </c>
      <c r="AG69" s="746">
        <f t="shared" ca="1" si="28"/>
        <v>21052.20288071418</v>
      </c>
      <c r="AH69" s="746">
        <f t="shared" ca="1" si="28"/>
        <v>30752.801171086037</v>
      </c>
      <c r="AI69" s="746">
        <f t="shared" ref="AI69:AJ69" ca="1" si="30">+AI68-AI67</f>
        <v>31506.154656363793</v>
      </c>
      <c r="AJ69" s="746">
        <f t="shared" ca="1" si="30"/>
        <v>37065.278117344998</v>
      </c>
    </row>
    <row r="70" spans="1:36" x14ac:dyDescent="0.25">
      <c r="A70" s="703" t="s">
        <v>1165</v>
      </c>
      <c r="B70" s="737" t="str">
        <f>IF(IF(D70="+",MIN(H70:IU70)&gt;=0,IF(D70="-",MAX(H70:IU70)&lt;=0,TRUE)),"",1)</f>
        <v/>
      </c>
      <c r="C70" s="705" t="s">
        <v>1036</v>
      </c>
      <c r="D70" s="738" t="s">
        <v>1109</v>
      </c>
      <c r="E70" s="739" t="s">
        <v>42</v>
      </c>
      <c r="F70" s="705" t="s">
        <v>1077</v>
      </c>
      <c r="L70" s="740"/>
      <c r="M70" s="740"/>
      <c r="N70" s="740"/>
      <c r="O70" s="740"/>
      <c r="P70" s="740"/>
      <c r="Q70" s="740"/>
      <c r="R70" s="740"/>
      <c r="S70" s="740"/>
      <c r="T70" s="740"/>
      <c r="U70" s="740"/>
      <c r="V70" s="740"/>
      <c r="W70" s="740"/>
      <c r="X70" s="740"/>
      <c r="Y70" s="740"/>
      <c r="Z70" s="740"/>
      <c r="AA70" s="740"/>
      <c r="AB70" s="740"/>
      <c r="AC70" s="740"/>
      <c r="AD70" s="740"/>
      <c r="AE70" s="740"/>
      <c r="AF70" s="740"/>
      <c r="AG70" s="740"/>
      <c r="AH70" s="740"/>
      <c r="AI70" s="740"/>
      <c r="AJ70" s="740"/>
    </row>
    <row r="71" spans="1:36" x14ac:dyDescent="0.25">
      <c r="A71" s="703" t="s">
        <v>1166</v>
      </c>
      <c r="B71" s="737" t="str">
        <f>IF(IF(D71="+",MIN(H71:IU71)&gt;=0,IF(D71="-",MAX(H71:IU71)&lt;=0,TRUE)),"",1)</f>
        <v/>
      </c>
      <c r="C71" s="705" t="s">
        <v>1036</v>
      </c>
      <c r="D71" s="738" t="s">
        <v>1159</v>
      </c>
      <c r="E71" s="739" t="s">
        <v>43</v>
      </c>
      <c r="F71" s="705" t="s">
        <v>1077</v>
      </c>
      <c r="L71" s="740"/>
      <c r="M71" s="740"/>
      <c r="N71" s="740"/>
      <c r="O71" s="740"/>
      <c r="P71" s="740"/>
      <c r="Q71" s="740"/>
      <c r="R71" s="740"/>
      <c r="S71" s="740"/>
      <c r="T71" s="740"/>
      <c r="U71" s="740"/>
      <c r="V71" s="740"/>
      <c r="W71" s="740"/>
      <c r="X71" s="740"/>
      <c r="Y71" s="740"/>
      <c r="Z71" s="740"/>
      <c r="AA71" s="740"/>
      <c r="AB71" s="740"/>
      <c r="AC71" s="740"/>
      <c r="AD71" s="740"/>
      <c r="AE71" s="740"/>
      <c r="AF71" s="740"/>
      <c r="AG71" s="740"/>
      <c r="AH71" s="740"/>
      <c r="AI71" s="740"/>
      <c r="AJ71" s="740"/>
    </row>
    <row r="72" spans="1:36" x14ac:dyDescent="0.25">
      <c r="A72" s="703" t="s">
        <v>1167</v>
      </c>
      <c r="B72" s="737" t="str">
        <f>IF(IF(D72="+",MIN(H72:IU72)&gt;=0,IF(D72="-",MAX(H72:IU72)&lt;=0,TRUE)),"",1)</f>
        <v/>
      </c>
      <c r="C72" s="705" t="s">
        <v>1036</v>
      </c>
      <c r="D72" s="738" t="s">
        <v>1159</v>
      </c>
      <c r="E72" s="739" t="s">
        <v>1168</v>
      </c>
      <c r="F72" s="705" t="s">
        <v>1077</v>
      </c>
      <c r="L72" s="740"/>
      <c r="M72" s="740"/>
      <c r="N72" s="740"/>
      <c r="O72" s="740"/>
      <c r="P72" s="740"/>
      <c r="Q72" s="740"/>
      <c r="R72" s="740"/>
      <c r="S72" s="740"/>
      <c r="T72" s="740"/>
      <c r="U72" s="740"/>
      <c r="V72" s="740"/>
      <c r="W72" s="740"/>
      <c r="X72" s="740"/>
      <c r="Y72" s="740"/>
      <c r="Z72" s="740"/>
      <c r="AA72" s="740"/>
      <c r="AB72" s="740"/>
      <c r="AC72" s="740"/>
      <c r="AD72" s="740"/>
      <c r="AE72" s="740"/>
      <c r="AF72" s="740"/>
      <c r="AG72" s="740"/>
      <c r="AH72" s="740"/>
      <c r="AI72" s="740"/>
      <c r="AJ72" s="740"/>
    </row>
    <row r="73" spans="1:36" s="747" customFormat="1" x14ac:dyDescent="0.25">
      <c r="A73" s="741" t="s">
        <v>1169</v>
      </c>
      <c r="B73" s="742"/>
      <c r="C73" s="743" t="s">
        <v>1038</v>
      </c>
      <c r="D73" s="744" t="s">
        <v>1114</v>
      </c>
      <c r="E73" s="745" t="s">
        <v>45</v>
      </c>
      <c r="F73" s="743" t="s">
        <v>1077</v>
      </c>
      <c r="G73" s="743"/>
      <c r="H73" s="743"/>
      <c r="I73" s="743"/>
      <c r="J73" s="743"/>
      <c r="K73" s="743"/>
      <c r="L73" s="746"/>
      <c r="M73" s="746"/>
      <c r="N73" s="746"/>
      <c r="O73" s="746"/>
      <c r="P73" s="746"/>
      <c r="Q73" s="746"/>
      <c r="R73" s="746"/>
      <c r="S73" s="746"/>
      <c r="T73" s="746"/>
      <c r="U73" s="746"/>
      <c r="V73" s="746"/>
      <c r="W73" s="746"/>
      <c r="X73" s="746">
        <f>Consol!G41</f>
        <v>966.63</v>
      </c>
      <c r="Y73" s="746">
        <f>Consol!H41</f>
        <v>118.77299999999997</v>
      </c>
      <c r="Z73" s="746">
        <f>Consol!I41</f>
        <v>375.71600000000001</v>
      </c>
      <c r="AA73" s="746">
        <f>Consol!J41</f>
        <v>1079.95</v>
      </c>
      <c r="AB73" s="746">
        <f>Consol!K41</f>
        <v>955.45999999999992</v>
      </c>
      <c r="AC73" s="746">
        <f>Consol!L41</f>
        <v>614.79</v>
      </c>
      <c r="AD73" s="746">
        <f>Consol!M41</f>
        <v>3043.4</v>
      </c>
      <c r="AE73" s="746">
        <f>Consol!N41</f>
        <v>2813.6000000000004</v>
      </c>
      <c r="AF73" s="746">
        <f>Consol!O41</f>
        <v>3259.3999999999996</v>
      </c>
      <c r="AG73" s="746">
        <f ca="1">Consol!P41</f>
        <v>4631.4846337571189</v>
      </c>
      <c r="AH73" s="746">
        <f ca="1">Consol!Q41</f>
        <v>6765.6162576389279</v>
      </c>
      <c r="AI73" s="746">
        <f ca="1">Consol!R41</f>
        <v>6301.2309312727584</v>
      </c>
      <c r="AJ73" s="746">
        <f ca="1">Consol!S41</f>
        <v>8154.3611858159011</v>
      </c>
    </row>
    <row r="74" spans="1:36" s="747" customFormat="1" x14ac:dyDescent="0.25">
      <c r="A74" s="741" t="s">
        <v>1170</v>
      </c>
      <c r="B74" s="742"/>
      <c r="C74" s="743" t="s">
        <v>1038</v>
      </c>
      <c r="D74" s="744" t="s">
        <v>1114</v>
      </c>
      <c r="E74" s="745" t="s">
        <v>1171</v>
      </c>
      <c r="F74" s="743" t="s">
        <v>1077</v>
      </c>
      <c r="G74" s="743"/>
      <c r="H74" s="743"/>
      <c r="I74" s="743"/>
      <c r="J74" s="743"/>
      <c r="K74" s="743"/>
      <c r="L74" s="746"/>
      <c r="M74" s="746"/>
      <c r="N74" s="746"/>
      <c r="O74" s="746"/>
      <c r="P74" s="746"/>
      <c r="Q74" s="746">
        <f t="shared" ref="Q74:AH74" si="31">+Q68-Q73</f>
        <v>0</v>
      </c>
      <c r="R74" s="746">
        <f t="shared" si="31"/>
        <v>0</v>
      </c>
      <c r="S74" s="746">
        <f t="shared" si="31"/>
        <v>0</v>
      </c>
      <c r="T74" s="746">
        <f t="shared" si="31"/>
        <v>0</v>
      </c>
      <c r="U74" s="746">
        <f t="shared" si="31"/>
        <v>0</v>
      </c>
      <c r="V74" s="746">
        <f t="shared" si="31"/>
        <v>0</v>
      </c>
      <c r="W74" s="746">
        <f t="shared" si="31"/>
        <v>0</v>
      </c>
      <c r="X74" s="746">
        <f t="shared" si="31"/>
        <v>2808.1369999999979</v>
      </c>
      <c r="Y74" s="746">
        <f t="shared" si="31"/>
        <v>2719.6490000000008</v>
      </c>
      <c r="Z74" s="746">
        <f t="shared" si="31"/>
        <v>1965.2969999999991</v>
      </c>
      <c r="AA74" s="746">
        <f t="shared" si="31"/>
        <v>2846.2549999999992</v>
      </c>
      <c r="AB74" s="746">
        <f t="shared" si="31"/>
        <v>3304.3679999999949</v>
      </c>
      <c r="AC74" s="746">
        <f t="shared" si="31"/>
        <v>7495.206000000001</v>
      </c>
      <c r="AD74" s="746">
        <f t="shared" si="31"/>
        <v>11606.899999999996</v>
      </c>
      <c r="AE74" s="746">
        <f t="shared" si="31"/>
        <v>15214.800000000001</v>
      </c>
      <c r="AF74" s="746">
        <f t="shared" ref="AF74" si="32">+AF68-AF73</f>
        <v>16266.299999999997</v>
      </c>
      <c r="AG74" s="746">
        <f t="shared" ca="1" si="31"/>
        <v>16420.718246957062</v>
      </c>
      <c r="AH74" s="746">
        <f t="shared" ca="1" si="31"/>
        <v>23987.184913447109</v>
      </c>
      <c r="AI74" s="746">
        <f t="shared" ref="AI74:AJ74" ca="1" si="33">+AI68-AI73</f>
        <v>25204.923725091034</v>
      </c>
      <c r="AJ74" s="746">
        <f t="shared" ca="1" si="33"/>
        <v>28910.916931529096</v>
      </c>
    </row>
    <row r="75" spans="1:36" x14ac:dyDescent="0.25">
      <c r="A75" s="703" t="s">
        <v>1172</v>
      </c>
      <c r="B75" s="737" t="str">
        <f>IF(IF(D75="+",MIN(H75:IU75)&gt;=0,IF(D75="-",MAX(H75:IU75)&lt;=0,TRUE)),"",1)</f>
        <v/>
      </c>
      <c r="C75" s="705" t="s">
        <v>1036</v>
      </c>
      <c r="D75" s="738" t="s">
        <v>1159</v>
      </c>
      <c r="E75" s="739" t="s">
        <v>1173</v>
      </c>
      <c r="F75" s="705" t="s">
        <v>1077</v>
      </c>
      <c r="L75" s="740"/>
      <c r="M75" s="740"/>
      <c r="N75" s="740"/>
      <c r="O75" s="740"/>
      <c r="P75" s="740"/>
      <c r="Q75" s="740"/>
      <c r="R75" s="740"/>
      <c r="S75" s="740"/>
      <c r="T75" s="740"/>
      <c r="U75" s="740"/>
      <c r="V75" s="740"/>
      <c r="W75" s="740"/>
      <c r="X75" s="740"/>
      <c r="Y75" s="740"/>
      <c r="Z75" s="740"/>
      <c r="AA75" s="740"/>
      <c r="AB75" s="740"/>
      <c r="AC75" s="740"/>
      <c r="AD75" s="740"/>
      <c r="AE75" s="740"/>
      <c r="AF75" s="740"/>
      <c r="AG75" s="740"/>
      <c r="AH75" s="740"/>
      <c r="AI75" s="740"/>
      <c r="AJ75" s="740"/>
    </row>
    <row r="76" spans="1:36" x14ac:dyDescent="0.25">
      <c r="A76" s="703" t="s">
        <v>1174</v>
      </c>
      <c r="B76" s="737" t="str">
        <f>IF(IF(D76="+",MIN(H76:IU76)&gt;=0,IF(D76="-",MAX(H76:IU76)&lt;=0,TRUE)),"",1)</f>
        <v/>
      </c>
      <c r="C76" s="705" t="s">
        <v>1036</v>
      </c>
      <c r="D76" s="738" t="s">
        <v>1159</v>
      </c>
      <c r="E76" s="739" t="s">
        <v>63</v>
      </c>
      <c r="F76" s="705" t="s">
        <v>1077</v>
      </c>
      <c r="L76" s="740"/>
      <c r="M76" s="740"/>
      <c r="N76" s="740"/>
      <c r="O76" s="740"/>
      <c r="P76" s="740"/>
      <c r="Q76" s="740"/>
      <c r="R76" s="740"/>
      <c r="S76" s="740"/>
      <c r="T76" s="740"/>
      <c r="U76" s="740"/>
      <c r="V76" s="740"/>
      <c r="W76" s="740"/>
      <c r="X76" s="740">
        <f>Consol!G46</f>
        <v>0</v>
      </c>
      <c r="Y76" s="740">
        <f>Consol!H46</f>
        <v>52.405000000000001</v>
      </c>
      <c r="Z76" s="740">
        <f>Consol!I46</f>
        <v>61.055999999999997</v>
      </c>
      <c r="AA76" s="740">
        <f>Consol!J46</f>
        <v>-67.599999999999994</v>
      </c>
      <c r="AB76" s="740">
        <f>Consol!K46</f>
        <v>24.91</v>
      </c>
      <c r="AC76" s="740">
        <f>Consol!L46</f>
        <v>96.83</v>
      </c>
      <c r="AD76" s="740">
        <f>Consol!M46</f>
        <v>47.8</v>
      </c>
      <c r="AE76" s="740">
        <f>Consol!N46</f>
        <v>184</v>
      </c>
      <c r="AF76" s="740">
        <f>Consol!O46</f>
        <v>235.9</v>
      </c>
      <c r="AG76" s="740">
        <f ca="1">Consol!P46</f>
        <v>462.40862586672972</v>
      </c>
      <c r="AH76" s="740">
        <f ca="1">Consol!Q46</f>
        <v>598.62168119657849</v>
      </c>
      <c r="AI76" s="740">
        <f ca="1">Consol!R46</f>
        <v>759.49835057634846</v>
      </c>
      <c r="AJ76" s="740">
        <f ca="1">Consol!S46</f>
        <v>962.34259139450467</v>
      </c>
    </row>
    <row r="77" spans="1:36" x14ac:dyDescent="0.25">
      <c r="A77" s="703" t="s">
        <v>1175</v>
      </c>
      <c r="B77" s="737" t="str">
        <f>IF(IF(D77="+",MIN(H77:IU77)&gt;=0,IF(D77="-",MAX(H77:IU77)&lt;=0,TRUE)),"",1)</f>
        <v/>
      </c>
      <c r="C77" s="705" t="s">
        <v>1036</v>
      </c>
      <c r="D77" s="738" t="s">
        <v>1159</v>
      </c>
      <c r="E77" s="739" t="s">
        <v>1176</v>
      </c>
      <c r="F77" s="705" t="s">
        <v>1077</v>
      </c>
      <c r="L77" s="740"/>
      <c r="M77" s="740"/>
      <c r="N77" s="740"/>
      <c r="O77" s="740"/>
      <c r="P77" s="740"/>
      <c r="Q77" s="740"/>
      <c r="R77" s="740"/>
      <c r="S77" s="740"/>
      <c r="T77" s="740"/>
      <c r="U77" s="740"/>
      <c r="V77" s="740"/>
      <c r="W77" s="740"/>
      <c r="X77" s="740"/>
      <c r="Y77" s="740"/>
      <c r="Z77" s="740"/>
      <c r="AA77" s="740"/>
      <c r="AB77" s="740"/>
      <c r="AC77" s="740"/>
      <c r="AD77" s="740"/>
      <c r="AE77" s="740"/>
      <c r="AF77" s="740"/>
      <c r="AG77" s="740"/>
      <c r="AH77" s="740"/>
      <c r="AI77" s="740"/>
      <c r="AJ77" s="740"/>
    </row>
    <row r="78" spans="1:36" s="747" customFormat="1" x14ac:dyDescent="0.25">
      <c r="A78" s="748" t="s">
        <v>1177</v>
      </c>
      <c r="B78" s="742"/>
      <c r="C78" s="743" t="s">
        <v>1038</v>
      </c>
      <c r="D78" s="744" t="s">
        <v>1114</v>
      </c>
      <c r="E78" s="745" t="s">
        <v>1178</v>
      </c>
      <c r="F78" s="743" t="s">
        <v>1077</v>
      </c>
      <c r="G78" s="743"/>
      <c r="H78" s="743"/>
      <c r="I78" s="743"/>
      <c r="J78" s="743"/>
      <c r="K78" s="1064"/>
      <c r="L78" s="746"/>
      <c r="M78" s="746"/>
      <c r="N78" s="746"/>
      <c r="O78" s="746"/>
      <c r="P78" s="746"/>
      <c r="Q78" s="746">
        <f t="shared" ref="Q78:AH78" si="34">+Q74-Q76+Q77</f>
        <v>0</v>
      </c>
      <c r="R78" s="746">
        <f t="shared" si="34"/>
        <v>0</v>
      </c>
      <c r="S78" s="746">
        <f t="shared" si="34"/>
        <v>0</v>
      </c>
      <c r="T78" s="746">
        <f t="shared" si="34"/>
        <v>0</v>
      </c>
      <c r="U78" s="746">
        <f t="shared" si="34"/>
        <v>0</v>
      </c>
      <c r="V78" s="746">
        <f t="shared" si="34"/>
        <v>0</v>
      </c>
      <c r="W78" s="746">
        <f t="shared" si="34"/>
        <v>0</v>
      </c>
      <c r="X78" s="746">
        <f t="shared" si="34"/>
        <v>2808.1369999999979</v>
      </c>
      <c r="Y78" s="746">
        <f t="shared" si="34"/>
        <v>2667.2440000000006</v>
      </c>
      <c r="Z78" s="746">
        <f t="shared" si="34"/>
        <v>1904.2409999999991</v>
      </c>
      <c r="AA78" s="746">
        <f t="shared" si="34"/>
        <v>2913.8549999999991</v>
      </c>
      <c r="AB78" s="746">
        <f t="shared" si="34"/>
        <v>3279.4579999999951</v>
      </c>
      <c r="AC78" s="746">
        <f t="shared" si="34"/>
        <v>7398.3760000000011</v>
      </c>
      <c r="AD78" s="746">
        <f t="shared" si="34"/>
        <v>11559.099999999997</v>
      </c>
      <c r="AE78" s="746">
        <f t="shared" si="34"/>
        <v>15030.800000000001</v>
      </c>
      <c r="AF78" s="746">
        <f t="shared" ref="AF78" si="35">+AF74-AF76+AF77</f>
        <v>16030.399999999998</v>
      </c>
      <c r="AG78" s="746">
        <f t="shared" ca="1" si="34"/>
        <v>15958.309621090331</v>
      </c>
      <c r="AH78" s="746">
        <f t="shared" ca="1" si="34"/>
        <v>23388.56323225053</v>
      </c>
      <c r="AI78" s="746">
        <f t="shared" ref="AI78:AJ78" ca="1" si="36">+AI74-AI76+AI77</f>
        <v>24445.425374514685</v>
      </c>
      <c r="AJ78" s="746">
        <f t="shared" ca="1" si="36"/>
        <v>27948.574340134594</v>
      </c>
    </row>
    <row r="79" spans="1:36" s="747" customFormat="1" x14ac:dyDescent="0.25">
      <c r="A79" s="748" t="s">
        <v>1179</v>
      </c>
      <c r="B79" s="742"/>
      <c r="C79" s="743" t="s">
        <v>1038</v>
      </c>
      <c r="D79" s="744" t="s">
        <v>1114</v>
      </c>
      <c r="E79" s="745" t="s">
        <v>1180</v>
      </c>
      <c r="F79" s="743" t="s">
        <v>1077</v>
      </c>
      <c r="G79" s="743"/>
      <c r="H79" s="743"/>
      <c r="I79" s="743"/>
      <c r="J79" s="743"/>
      <c r="K79" s="1064"/>
      <c r="L79" s="746"/>
      <c r="M79" s="746"/>
      <c r="N79" s="746"/>
      <c r="O79" s="746"/>
      <c r="P79" s="746"/>
      <c r="Q79" s="746">
        <f t="shared" ref="Q79:AH79" si="37">+Q78-Q67</f>
        <v>0</v>
      </c>
      <c r="R79" s="746">
        <f t="shared" si="37"/>
        <v>0</v>
      </c>
      <c r="S79" s="746">
        <f t="shared" si="37"/>
        <v>0</v>
      </c>
      <c r="T79" s="746">
        <f t="shared" si="37"/>
        <v>0</v>
      </c>
      <c r="U79" s="746">
        <f t="shared" si="37"/>
        <v>0</v>
      </c>
      <c r="V79" s="746">
        <f t="shared" si="37"/>
        <v>0</v>
      </c>
      <c r="W79" s="746">
        <f t="shared" si="37"/>
        <v>0</v>
      </c>
      <c r="X79" s="746">
        <f t="shared" si="37"/>
        <v>2808.1369999999979</v>
      </c>
      <c r="Y79" s="746">
        <f t="shared" si="37"/>
        <v>2667.2440000000006</v>
      </c>
      <c r="Z79" s="746">
        <f t="shared" si="37"/>
        <v>1904.2409999999991</v>
      </c>
      <c r="AA79" s="746">
        <f t="shared" si="37"/>
        <v>2913.8549999999991</v>
      </c>
      <c r="AB79" s="746">
        <f t="shared" si="37"/>
        <v>3279.4579999999951</v>
      </c>
      <c r="AC79" s="746">
        <f t="shared" si="37"/>
        <v>7398.3760000000011</v>
      </c>
      <c r="AD79" s="746">
        <f t="shared" si="37"/>
        <v>11559.099999999997</v>
      </c>
      <c r="AE79" s="746">
        <f t="shared" si="37"/>
        <v>15030.800000000001</v>
      </c>
      <c r="AF79" s="746">
        <f t="shared" ref="AF79" si="38">+AF78-AF67</f>
        <v>16030.399999999998</v>
      </c>
      <c r="AG79" s="746">
        <f t="shared" ca="1" si="37"/>
        <v>15958.309621090331</v>
      </c>
      <c r="AH79" s="746">
        <f t="shared" ca="1" si="37"/>
        <v>23388.56323225053</v>
      </c>
      <c r="AI79" s="746">
        <f t="shared" ref="AI79:AJ79" ca="1" si="39">+AI78-AI67</f>
        <v>24445.425374514685</v>
      </c>
      <c r="AJ79" s="746">
        <f t="shared" ca="1" si="39"/>
        <v>27948.574340134594</v>
      </c>
    </row>
    <row r="80" spans="1:36" x14ac:dyDescent="0.25">
      <c r="A80" s="703" t="s">
        <v>1181</v>
      </c>
      <c r="B80" s="737" t="str">
        <f ca="1">IF(IF(D80="+",MIN(H80:IU80)&gt;=0,IF(D80="-",MAX(H80:IU80)&lt;=0,TRUE)),"",1)</f>
        <v/>
      </c>
      <c r="C80" s="705" t="s">
        <v>1036</v>
      </c>
      <c r="D80" s="738" t="s">
        <v>1109</v>
      </c>
      <c r="E80" s="739" t="s">
        <v>1182</v>
      </c>
      <c r="F80" s="705" t="s">
        <v>1077</v>
      </c>
      <c r="L80" s="740"/>
      <c r="M80" s="740"/>
      <c r="N80" s="740"/>
      <c r="O80" s="740"/>
      <c r="P80" s="740"/>
      <c r="Q80" s="740"/>
      <c r="R80" s="740"/>
      <c r="S80" s="740"/>
      <c r="T80" s="740"/>
      <c r="U80" s="740"/>
      <c r="V80" s="740"/>
      <c r="W80" s="740"/>
      <c r="X80" s="740"/>
      <c r="Y80" s="740"/>
      <c r="Z80" s="740"/>
      <c r="AA80" s="740"/>
      <c r="AB80" s="740"/>
      <c r="AC80" s="740"/>
      <c r="AD80" s="740">
        <f>Consol!M60</f>
        <v>1155</v>
      </c>
      <c r="AE80" s="740">
        <f>Consol!N60</f>
        <v>1680</v>
      </c>
      <c r="AF80" s="740">
        <f>Consol!O60</f>
        <v>1890</v>
      </c>
      <c r="AG80" s="740">
        <f ca="1">Consol!P60</f>
        <v>1914.9971545308392</v>
      </c>
      <c r="AH80" s="740">
        <f ca="1">Consol!Q60</f>
        <v>2806.627587870064</v>
      </c>
      <c r="AI80" s="740">
        <f ca="1">Consol!R60</f>
        <v>2933.4510449417621</v>
      </c>
      <c r="AJ80" s="740">
        <f ca="1">Consol!S60</f>
        <v>3353.8289208161523</v>
      </c>
    </row>
    <row r="81" spans="1:36" x14ac:dyDescent="0.25">
      <c r="A81" s="703" t="s">
        <v>1183</v>
      </c>
      <c r="B81" s="737" t="str">
        <f>IF(IF(D81="+",MIN(H81:IU81)&gt;=0,IF(D81="-",MAX(H81:IU81)&lt;=0,TRUE)),"",1)</f>
        <v/>
      </c>
      <c r="C81" s="705" t="s">
        <v>1036</v>
      </c>
      <c r="D81" s="738" t="s">
        <v>1109</v>
      </c>
      <c r="E81" s="739" t="s">
        <v>1184</v>
      </c>
      <c r="F81" s="705" t="s">
        <v>1077</v>
      </c>
      <c r="L81" s="740"/>
      <c r="M81" s="740"/>
      <c r="N81" s="740"/>
      <c r="O81" s="740"/>
      <c r="P81" s="740"/>
      <c r="Q81" s="740"/>
      <c r="R81" s="740"/>
      <c r="S81" s="740"/>
      <c r="T81" s="740"/>
      <c r="U81" s="740"/>
      <c r="V81" s="740"/>
      <c r="W81" s="740"/>
      <c r="X81" s="740">
        <f>Consol!G53</f>
        <v>2100</v>
      </c>
      <c r="Y81" s="740">
        <f>Consol!H53</f>
        <v>2100</v>
      </c>
      <c r="Z81" s="740">
        <f>Consol!I53</f>
        <v>2100</v>
      </c>
      <c r="AA81" s="740">
        <f>Consol!J53</f>
        <v>2100</v>
      </c>
      <c r="AB81" s="740">
        <f>Consol!K53</f>
        <v>2100</v>
      </c>
      <c r="AC81" s="740">
        <f>Consol!L53</f>
        <v>2100</v>
      </c>
      <c r="AD81" s="740">
        <f>Consol!M53</f>
        <v>2100</v>
      </c>
      <c r="AE81" s="740">
        <f>Consol!N53</f>
        <v>2100</v>
      </c>
      <c r="AF81" s="740">
        <f>Consol!O53</f>
        <v>2100</v>
      </c>
      <c r="AG81" s="740">
        <f>Consol!P53</f>
        <v>2330</v>
      </c>
      <c r="AH81" s="740">
        <f>Consol!Q53</f>
        <v>2330</v>
      </c>
      <c r="AI81" s="740">
        <f>Consol!R53</f>
        <v>2330</v>
      </c>
      <c r="AJ81" s="740">
        <f>Consol!S53</f>
        <v>2330</v>
      </c>
    </row>
    <row r="82" spans="1:36" x14ac:dyDescent="0.25">
      <c r="A82" s="750" t="s">
        <v>1185</v>
      </c>
      <c r="B82" s="737" t="str">
        <f>IF(IF(D82="+",MIN(H82:IU82)&gt;=0,IF(D82="-",MAX(H82:IU82)&lt;=0,TRUE)),"",1)</f>
        <v/>
      </c>
      <c r="C82" s="705" t="s">
        <v>1036</v>
      </c>
      <c r="D82" s="738" t="s">
        <v>1109</v>
      </c>
      <c r="E82" s="739" t="s">
        <v>1186</v>
      </c>
      <c r="F82" s="705" t="s">
        <v>1077</v>
      </c>
      <c r="L82" s="740"/>
      <c r="M82" s="740"/>
      <c r="N82" s="740"/>
      <c r="O82" s="740"/>
      <c r="P82" s="740"/>
      <c r="Q82" s="740">
        <f t="shared" ref="Q82:AH82" si="40">Q81</f>
        <v>0</v>
      </c>
      <c r="R82" s="740">
        <f t="shared" si="40"/>
        <v>0</v>
      </c>
      <c r="S82" s="740">
        <f t="shared" si="40"/>
        <v>0</v>
      </c>
      <c r="T82" s="740">
        <f t="shared" si="40"/>
        <v>0</v>
      </c>
      <c r="U82" s="740">
        <f t="shared" si="40"/>
        <v>0</v>
      </c>
      <c r="V82" s="740">
        <f t="shared" si="40"/>
        <v>0</v>
      </c>
      <c r="W82" s="740">
        <f t="shared" si="40"/>
        <v>0</v>
      </c>
      <c r="X82" s="740">
        <f t="shared" si="40"/>
        <v>2100</v>
      </c>
      <c r="Y82" s="740">
        <f t="shared" si="40"/>
        <v>2100</v>
      </c>
      <c r="Z82" s="740">
        <f t="shared" si="40"/>
        <v>2100</v>
      </c>
      <c r="AA82" s="740">
        <f t="shared" si="40"/>
        <v>2100</v>
      </c>
      <c r="AB82" s="740">
        <f t="shared" si="40"/>
        <v>2100</v>
      </c>
      <c r="AC82" s="740">
        <f t="shared" si="40"/>
        <v>2100</v>
      </c>
      <c r="AD82" s="740">
        <f t="shared" si="40"/>
        <v>2100</v>
      </c>
      <c r="AE82" s="740">
        <f t="shared" si="40"/>
        <v>2100</v>
      </c>
      <c r="AF82" s="740">
        <f t="shared" ref="AF82" si="41">AF81</f>
        <v>2100</v>
      </c>
      <c r="AG82" s="740">
        <f t="shared" si="40"/>
        <v>2330</v>
      </c>
      <c r="AH82" s="740">
        <f t="shared" si="40"/>
        <v>2330</v>
      </c>
      <c r="AI82" s="740">
        <f t="shared" ref="AI82:AJ82" si="42">AI81</f>
        <v>2330</v>
      </c>
      <c r="AJ82" s="740">
        <f t="shared" si="42"/>
        <v>2330</v>
      </c>
    </row>
    <row r="84" spans="1:36" x14ac:dyDescent="0.25">
      <c r="E84" s="736" t="s">
        <v>59</v>
      </c>
    </row>
    <row r="85" spans="1:36" x14ac:dyDescent="0.25">
      <c r="E85" s="751" t="s">
        <v>1187</v>
      </c>
    </row>
    <row r="86" spans="1:36" x14ac:dyDescent="0.25">
      <c r="E86" s="739" t="s">
        <v>1188</v>
      </c>
    </row>
    <row r="87" spans="1:36" x14ac:dyDescent="0.25">
      <c r="A87" s="703" t="s">
        <v>1189</v>
      </c>
      <c r="B87" s="737" t="str">
        <f>IF(IF(D87="+",MIN(H87:IU87)&gt;=0,IF(D87="-",MAX(H87:IU87)&lt;=0,TRUE)),"",1)</f>
        <v/>
      </c>
      <c r="C87" s="705" t="s">
        <v>1036</v>
      </c>
      <c r="D87" s="706" t="s">
        <v>1109</v>
      </c>
      <c r="E87" s="739" t="s">
        <v>1190</v>
      </c>
      <c r="F87" s="705" t="s">
        <v>1077</v>
      </c>
      <c r="M87" s="740"/>
      <c r="N87" s="740"/>
      <c r="O87" s="740"/>
      <c r="P87" s="740"/>
      <c r="Q87" s="740"/>
      <c r="R87" s="740"/>
      <c r="S87" s="740"/>
      <c r="T87" s="740"/>
      <c r="U87" s="740"/>
      <c r="V87" s="740"/>
      <c r="W87" s="740"/>
      <c r="X87" s="740">
        <f>Consol!G65</f>
        <v>601.798</v>
      </c>
      <c r="Y87" s="740">
        <f>Consol!H65</f>
        <v>601.798</v>
      </c>
      <c r="Z87" s="740">
        <f>Consol!I65</f>
        <v>599.29</v>
      </c>
      <c r="AA87" s="740">
        <f>Consol!J65</f>
        <v>599.29</v>
      </c>
      <c r="AB87" s="740">
        <f>Consol!K65</f>
        <v>599.29</v>
      </c>
      <c r="AC87" s="740">
        <f>Consol!L65</f>
        <v>3595.75</v>
      </c>
      <c r="AD87" s="740">
        <f>Consol!M65</f>
        <v>4103</v>
      </c>
      <c r="AE87" s="740">
        <f>Consol!N65</f>
        <v>4147</v>
      </c>
      <c r="AF87" s="740">
        <f>Consol!O65</f>
        <v>4170.3999999999996</v>
      </c>
      <c r="AG87" s="740">
        <f>Consol!P65</f>
        <v>4630.3999999999996</v>
      </c>
      <c r="AH87" s="740">
        <f>Consol!Q65</f>
        <v>4630.3999999999996</v>
      </c>
      <c r="AI87" s="740">
        <f>Consol!R65</f>
        <v>4630.3999999999996</v>
      </c>
      <c r="AJ87" s="740">
        <f>Consol!S65</f>
        <v>4630.3999999999996</v>
      </c>
    </row>
    <row r="88" spans="1:36" x14ac:dyDescent="0.25">
      <c r="A88" s="703" t="s">
        <v>1191</v>
      </c>
      <c r="B88" s="737" t="str">
        <f>IF(IF(D88="+",MIN(H88:IU88)&gt;=0,IF(D88="-",MAX(H88:IU88)&lt;=0,TRUE)),"",1)</f>
        <v/>
      </c>
      <c r="C88" s="705" t="s">
        <v>1036</v>
      </c>
      <c r="D88" s="706" t="s">
        <v>1109</v>
      </c>
      <c r="E88" s="739" t="s">
        <v>1192</v>
      </c>
      <c r="F88" s="705" t="s">
        <v>1077</v>
      </c>
      <c r="M88" s="740"/>
      <c r="N88" s="740"/>
      <c r="O88" s="740"/>
      <c r="P88" s="740"/>
      <c r="Q88" s="740"/>
      <c r="R88" s="740"/>
      <c r="S88" s="740"/>
      <c r="T88" s="740"/>
      <c r="U88" s="740"/>
      <c r="V88" s="740"/>
      <c r="W88" s="740"/>
      <c r="X88" s="740"/>
      <c r="Y88" s="740"/>
      <c r="Z88" s="740"/>
      <c r="AA88" s="740"/>
      <c r="AB88" s="740"/>
      <c r="AC88" s="740"/>
      <c r="AD88" s="740"/>
      <c r="AE88" s="740"/>
      <c r="AF88" s="740"/>
      <c r="AG88" s="740"/>
      <c r="AH88" s="740"/>
      <c r="AI88" s="740"/>
      <c r="AJ88" s="740"/>
    </row>
    <row r="89" spans="1:36" s="747" customFormat="1" x14ac:dyDescent="0.25">
      <c r="A89" s="741" t="s">
        <v>1193</v>
      </c>
      <c r="B89" s="742"/>
      <c r="C89" s="743" t="s">
        <v>1038</v>
      </c>
      <c r="D89" s="744" t="s">
        <v>1114</v>
      </c>
      <c r="E89" s="745" t="s">
        <v>61</v>
      </c>
      <c r="F89" s="743" t="s">
        <v>1077</v>
      </c>
      <c r="G89" s="743"/>
      <c r="H89" s="743"/>
      <c r="I89" s="743"/>
      <c r="J89" s="743"/>
      <c r="K89" s="743"/>
      <c r="L89" s="743"/>
      <c r="M89" s="746"/>
      <c r="N89" s="746"/>
      <c r="O89" s="746"/>
      <c r="P89" s="746"/>
      <c r="Q89" s="746">
        <f t="shared" ref="Q89:AH89" si="43">+SUM(Q90:Q94)</f>
        <v>0</v>
      </c>
      <c r="R89" s="746">
        <f t="shared" si="43"/>
        <v>0</v>
      </c>
      <c r="S89" s="746">
        <f t="shared" si="43"/>
        <v>0</v>
      </c>
      <c r="T89" s="746">
        <f t="shared" si="43"/>
        <v>0</v>
      </c>
      <c r="U89" s="746">
        <f t="shared" si="43"/>
        <v>0</v>
      </c>
      <c r="V89" s="746">
        <f t="shared" si="43"/>
        <v>0</v>
      </c>
      <c r="W89" s="746">
        <f t="shared" si="43"/>
        <v>0</v>
      </c>
      <c r="X89" s="746">
        <f t="shared" si="43"/>
        <v>25528.919000000002</v>
      </c>
      <c r="Y89" s="746">
        <f t="shared" si="43"/>
        <v>28274.850999999999</v>
      </c>
      <c r="Z89" s="746">
        <f t="shared" si="43"/>
        <v>24882.868999999999</v>
      </c>
      <c r="AA89" s="746">
        <f t="shared" si="43"/>
        <v>28312.39</v>
      </c>
      <c r="AB89" s="746">
        <f t="shared" si="43"/>
        <v>32121.89</v>
      </c>
      <c r="AC89" s="746">
        <f t="shared" si="43"/>
        <v>36350.5</v>
      </c>
      <c r="AD89" s="746">
        <f t="shared" si="43"/>
        <v>76160.600000000006</v>
      </c>
      <c r="AE89" s="746">
        <f t="shared" si="43"/>
        <v>92822</v>
      </c>
      <c r="AF89" s="746">
        <f t="shared" ref="AF89" si="44">+SUM(AF90:AF94)</f>
        <v>104604.6</v>
      </c>
      <c r="AG89" s="746">
        <f t="shared" ca="1" si="43"/>
        <v>184968.4124665595</v>
      </c>
      <c r="AH89" s="746">
        <f t="shared" ca="1" si="43"/>
        <v>205550.34811093999</v>
      </c>
      <c r="AI89" s="746">
        <f t="shared" ref="AI89:AJ89" ca="1" si="45">+SUM(AI90:AI94)</f>
        <v>227062.32244051291</v>
      </c>
      <c r="AJ89" s="746">
        <f t="shared" ca="1" si="45"/>
        <v>251657.06785983135</v>
      </c>
    </row>
    <row r="90" spans="1:36" x14ac:dyDescent="0.25">
      <c r="A90" s="703" t="s">
        <v>1194</v>
      </c>
      <c r="B90" s="737" t="str">
        <f>IF(IF(D90="+",MIN(H90:IU90)&gt;=0,IF(D90="-",MAX(H90:IU90)&lt;=0,TRUE)),"",1)</f>
        <v/>
      </c>
      <c r="C90" s="705" t="s">
        <v>1036</v>
      </c>
      <c r="D90" s="738" t="s">
        <v>1109</v>
      </c>
      <c r="E90" s="739" t="s">
        <v>1195</v>
      </c>
      <c r="F90" s="705" t="s">
        <v>1077</v>
      </c>
      <c r="M90" s="740"/>
      <c r="N90" s="740"/>
      <c r="O90" s="740"/>
      <c r="P90" s="740"/>
      <c r="Q90" s="740"/>
      <c r="R90" s="740"/>
      <c r="S90" s="740"/>
      <c r="T90" s="740"/>
      <c r="U90" s="740"/>
      <c r="V90" s="740"/>
      <c r="W90" s="740"/>
      <c r="X90" s="740"/>
      <c r="Y90" s="740"/>
      <c r="Z90" s="740"/>
      <c r="AA90" s="740"/>
      <c r="AB90" s="740"/>
      <c r="AC90" s="740"/>
      <c r="AD90" s="740"/>
      <c r="AE90" s="740"/>
      <c r="AF90" s="740"/>
      <c r="AG90" s="740"/>
      <c r="AH90" s="740"/>
      <c r="AI90" s="740"/>
      <c r="AJ90" s="740"/>
    </row>
    <row r="91" spans="1:36" x14ac:dyDescent="0.25">
      <c r="A91" s="703" t="s">
        <v>1196</v>
      </c>
      <c r="B91" s="737" t="str">
        <f>IF(IF(D91="+",MIN(H91:IU91)&gt;=0,IF(D91="-",MAX(H91:IU91)&lt;=0,TRUE)),"",1)</f>
        <v/>
      </c>
      <c r="C91" s="705" t="s">
        <v>1036</v>
      </c>
      <c r="D91" s="738" t="s">
        <v>1109</v>
      </c>
      <c r="E91" s="739" t="s">
        <v>1197</v>
      </c>
      <c r="F91" s="705" t="s">
        <v>1077</v>
      </c>
      <c r="M91" s="740"/>
      <c r="N91" s="740"/>
      <c r="O91" s="740"/>
      <c r="P91" s="740"/>
      <c r="Q91" s="740"/>
      <c r="R91" s="740"/>
      <c r="S91" s="740"/>
      <c r="T91" s="740"/>
      <c r="U91" s="740"/>
      <c r="V91" s="740"/>
      <c r="W91" s="740"/>
      <c r="X91" s="740"/>
      <c r="Y91" s="740"/>
      <c r="Z91" s="740"/>
      <c r="AA91" s="740"/>
      <c r="AB91" s="740"/>
      <c r="AC91" s="740"/>
      <c r="AD91" s="740"/>
      <c r="AE91" s="740"/>
      <c r="AF91" s="740"/>
      <c r="AG91" s="740"/>
      <c r="AH91" s="740"/>
      <c r="AI91" s="740"/>
      <c r="AJ91" s="740"/>
    </row>
    <row r="92" spans="1:36" x14ac:dyDescent="0.25">
      <c r="A92" s="703" t="s">
        <v>1198</v>
      </c>
      <c r="B92" s="737" t="str">
        <f>IF(IF(D92="+",MIN(H92:IU92)&gt;=0,IF(D92="-",MAX(H92:IU92)&lt;=0,TRUE)),"",1)</f>
        <v/>
      </c>
      <c r="C92" s="705" t="s">
        <v>1036</v>
      </c>
      <c r="D92" s="738" t="s">
        <v>1109</v>
      </c>
      <c r="E92" s="739" t="s">
        <v>1199</v>
      </c>
      <c r="F92" s="705" t="s">
        <v>1077</v>
      </c>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row>
    <row r="93" spans="1:36" x14ac:dyDescent="0.25">
      <c r="A93" s="703" t="s">
        <v>1200</v>
      </c>
      <c r="B93" s="737" t="str">
        <f>IF(IF(D93="+",MIN(H93:IU93)&gt;=0,IF(D93="-",MAX(H93:IU93)&lt;=0,TRUE)),"",1)</f>
        <v/>
      </c>
      <c r="C93" s="705" t="s">
        <v>1036</v>
      </c>
      <c r="D93" s="738" t="s">
        <v>1159</v>
      </c>
      <c r="E93" s="739" t="s">
        <v>1201</v>
      </c>
      <c r="F93" s="705" t="s">
        <v>1077</v>
      </c>
      <c r="M93" s="740"/>
      <c r="N93" s="740"/>
      <c r="O93" s="740"/>
      <c r="P93" s="740"/>
      <c r="Q93" s="740"/>
      <c r="R93" s="740"/>
      <c r="S93" s="740"/>
      <c r="T93" s="740"/>
      <c r="U93" s="740"/>
      <c r="V93" s="740"/>
      <c r="W93" s="740"/>
      <c r="X93" s="740"/>
      <c r="Y93" s="740"/>
      <c r="Z93" s="740"/>
      <c r="AA93" s="740"/>
      <c r="AB93" s="740"/>
      <c r="AC93" s="740"/>
      <c r="AD93" s="740"/>
      <c r="AE93" s="740"/>
      <c r="AF93" s="740"/>
      <c r="AG93" s="740"/>
      <c r="AH93" s="740"/>
      <c r="AI93" s="740"/>
      <c r="AJ93" s="740"/>
    </row>
    <row r="94" spans="1:36" x14ac:dyDescent="0.25">
      <c r="A94" s="703" t="s">
        <v>1202</v>
      </c>
      <c r="B94" s="737" t="str">
        <f>IF(IF(D94="+",MIN(H94:IU94)&gt;=0,IF(D94="-",MAX(H94:IU94)&lt;=0,TRUE)),"",1)</f>
        <v/>
      </c>
      <c r="C94" s="705" t="s">
        <v>1036</v>
      </c>
      <c r="D94" s="738" t="s">
        <v>1159</v>
      </c>
      <c r="E94" s="739" t="s">
        <v>1203</v>
      </c>
      <c r="F94" s="705" t="s">
        <v>1077</v>
      </c>
      <c r="M94" s="740"/>
      <c r="N94" s="740"/>
      <c r="O94" s="740"/>
      <c r="P94" s="740"/>
      <c r="Q94" s="740"/>
      <c r="R94" s="740"/>
      <c r="S94" s="740"/>
      <c r="T94" s="740"/>
      <c r="U94" s="740"/>
      <c r="V94" s="740"/>
      <c r="W94" s="740"/>
      <c r="X94" s="740">
        <f>Consol!G66</f>
        <v>25528.919000000002</v>
      </c>
      <c r="Y94" s="740">
        <f>Consol!H66</f>
        <v>28274.850999999999</v>
      </c>
      <c r="Z94" s="740">
        <f>Consol!I66</f>
        <v>24882.868999999999</v>
      </c>
      <c r="AA94" s="740">
        <f>Consol!J66</f>
        <v>28312.39</v>
      </c>
      <c r="AB94" s="740">
        <f>Consol!K66</f>
        <v>32121.89</v>
      </c>
      <c r="AC94" s="740">
        <f>Consol!L66</f>
        <v>36350.5</v>
      </c>
      <c r="AD94" s="740">
        <f>Consol!M66</f>
        <v>76160.600000000006</v>
      </c>
      <c r="AE94" s="740">
        <f>Consol!N66</f>
        <v>92822</v>
      </c>
      <c r="AF94" s="740">
        <f>Consol!O66</f>
        <v>104604.6</v>
      </c>
      <c r="AG94" s="740">
        <f ca="1">Consol!P66</f>
        <v>184968.4124665595</v>
      </c>
      <c r="AH94" s="740">
        <f ca="1">Consol!Q66</f>
        <v>205550.34811093999</v>
      </c>
      <c r="AI94" s="740">
        <f ca="1">Consol!R66</f>
        <v>227062.32244051291</v>
      </c>
      <c r="AJ94" s="740">
        <f ca="1">Consol!S66</f>
        <v>251657.06785983135</v>
      </c>
    </row>
    <row r="95" spans="1:36" s="747" customFormat="1" x14ac:dyDescent="0.25">
      <c r="A95" s="741" t="s">
        <v>1204</v>
      </c>
      <c r="B95" s="742"/>
      <c r="C95" s="743" t="s">
        <v>1038</v>
      </c>
      <c r="D95" s="744" t="s">
        <v>1114</v>
      </c>
      <c r="E95" s="745" t="s">
        <v>1205</v>
      </c>
      <c r="F95" s="743" t="s">
        <v>1077</v>
      </c>
      <c r="G95" s="743"/>
      <c r="H95" s="743"/>
      <c r="I95" s="743"/>
      <c r="J95" s="743"/>
      <c r="K95" s="1064"/>
      <c r="L95" s="1064"/>
      <c r="M95" s="746"/>
      <c r="N95" s="746"/>
      <c r="O95" s="746"/>
      <c r="P95" s="746"/>
      <c r="Q95" s="746">
        <f t="shared" ref="Q95:AH95" si="46">+Q89+Q87</f>
        <v>0</v>
      </c>
      <c r="R95" s="746">
        <f t="shared" si="46"/>
        <v>0</v>
      </c>
      <c r="S95" s="746">
        <f t="shared" si="46"/>
        <v>0</v>
      </c>
      <c r="T95" s="746">
        <f t="shared" si="46"/>
        <v>0</v>
      </c>
      <c r="U95" s="746">
        <f t="shared" si="46"/>
        <v>0</v>
      </c>
      <c r="V95" s="746">
        <f t="shared" si="46"/>
        <v>0</v>
      </c>
      <c r="W95" s="746">
        <f t="shared" si="46"/>
        <v>0</v>
      </c>
      <c r="X95" s="746">
        <f t="shared" si="46"/>
        <v>26130.717000000001</v>
      </c>
      <c r="Y95" s="746">
        <f t="shared" si="46"/>
        <v>28876.648999999998</v>
      </c>
      <c r="Z95" s="746">
        <f t="shared" si="46"/>
        <v>25482.159</v>
      </c>
      <c r="AA95" s="746">
        <f t="shared" si="46"/>
        <v>28911.68</v>
      </c>
      <c r="AB95" s="746">
        <f t="shared" si="46"/>
        <v>32721.18</v>
      </c>
      <c r="AC95" s="746">
        <f t="shared" si="46"/>
        <v>39946.25</v>
      </c>
      <c r="AD95" s="746">
        <f t="shared" si="46"/>
        <v>80263.600000000006</v>
      </c>
      <c r="AE95" s="746">
        <f t="shared" si="46"/>
        <v>96969</v>
      </c>
      <c r="AF95" s="746">
        <f t="shared" ref="AF95" si="47">+AF89+AF87</f>
        <v>108775</v>
      </c>
      <c r="AG95" s="746">
        <f t="shared" ca="1" si="46"/>
        <v>189598.8124665595</v>
      </c>
      <c r="AH95" s="746">
        <f t="shared" ca="1" si="46"/>
        <v>210180.74811093998</v>
      </c>
      <c r="AI95" s="746">
        <f t="shared" ref="AI95:AJ95" ca="1" si="48">+AI89+AI87</f>
        <v>231692.72244051291</v>
      </c>
      <c r="AJ95" s="746">
        <f t="shared" ca="1" si="48"/>
        <v>256287.46785983135</v>
      </c>
    </row>
    <row r="96" spans="1:36" x14ac:dyDescent="0.25">
      <c r="A96" s="703" t="s">
        <v>1206</v>
      </c>
      <c r="B96" s="737" t="str">
        <f ca="1">IF(IF(D96="+",MIN(H96:IU96)&gt;=0,IF(D96="-",MAX(H96:IU96)&lt;=0,TRUE)),"",1)</f>
        <v/>
      </c>
      <c r="C96" s="705" t="s">
        <v>1036</v>
      </c>
      <c r="D96" s="738" t="s">
        <v>1109</v>
      </c>
      <c r="E96" s="739" t="s">
        <v>63</v>
      </c>
      <c r="F96" s="705" t="s">
        <v>1077</v>
      </c>
      <c r="M96" s="740"/>
      <c r="N96" s="740"/>
      <c r="O96" s="740"/>
      <c r="P96" s="740"/>
      <c r="Q96" s="740"/>
      <c r="R96" s="740"/>
      <c r="S96" s="740"/>
      <c r="T96" s="740"/>
      <c r="U96" s="740"/>
      <c r="V96" s="740"/>
      <c r="W96" s="740"/>
      <c r="X96" s="740">
        <f>Consol!G69</f>
        <v>1918.2529999999999</v>
      </c>
      <c r="Y96" s="740">
        <f>Consol!H69</f>
        <v>1970.5340000000001</v>
      </c>
      <c r="Z96" s="740">
        <f>Consol!I69</f>
        <v>2031.0039999999999</v>
      </c>
      <c r="AA96" s="740">
        <f>Consol!J69</f>
        <v>1972.63</v>
      </c>
      <c r="AB96" s="740">
        <f>Consol!K69</f>
        <v>1997.59</v>
      </c>
      <c r="AC96" s="740">
        <f>Consol!L69</f>
        <v>942.48</v>
      </c>
      <c r="AD96" s="740">
        <f>Consol!M69</f>
        <v>2046.6</v>
      </c>
      <c r="AE96" s="740">
        <f>Consol!N69</f>
        <v>7918</v>
      </c>
      <c r="AF96" s="740">
        <f>Consol!O69</f>
        <v>8152.4</v>
      </c>
      <c r="AG96" s="740">
        <f ca="1">Consol!P69</f>
        <v>8614.8086258667299</v>
      </c>
      <c r="AH96" s="740">
        <f ca="1">Consol!Q69</f>
        <v>9213.4303070633086</v>
      </c>
      <c r="AI96" s="740">
        <f ca="1">Consol!R69</f>
        <v>9972.9286576396571</v>
      </c>
      <c r="AJ96" s="740">
        <f ca="1">Consol!S69</f>
        <v>10935.271249034162</v>
      </c>
    </row>
    <row r="97" spans="1:36" s="747" customFormat="1" x14ac:dyDescent="0.25">
      <c r="A97" s="748" t="s">
        <v>1207</v>
      </c>
      <c r="B97" s="742"/>
      <c r="C97" s="743" t="s">
        <v>1038</v>
      </c>
      <c r="D97" s="744" t="s">
        <v>1114</v>
      </c>
      <c r="E97" s="745" t="s">
        <v>1208</v>
      </c>
      <c r="F97" s="743" t="s">
        <v>1077</v>
      </c>
      <c r="G97" s="743"/>
      <c r="H97" s="743"/>
      <c r="I97" s="743"/>
      <c r="J97" s="743"/>
      <c r="K97" s="1064"/>
      <c r="L97" s="1064"/>
      <c r="M97" s="1064"/>
      <c r="N97" s="1064"/>
      <c r="O97" s="1064"/>
      <c r="P97" s="746"/>
      <c r="Q97" s="746">
        <f t="shared" ref="Q97:AH97" si="49">+Q95+Q96</f>
        <v>0</v>
      </c>
      <c r="R97" s="746">
        <f t="shared" si="49"/>
        <v>0</v>
      </c>
      <c r="S97" s="746">
        <f t="shared" si="49"/>
        <v>0</v>
      </c>
      <c r="T97" s="746">
        <f t="shared" si="49"/>
        <v>0</v>
      </c>
      <c r="U97" s="746">
        <f t="shared" si="49"/>
        <v>0</v>
      </c>
      <c r="V97" s="746">
        <f t="shared" si="49"/>
        <v>0</v>
      </c>
      <c r="W97" s="746">
        <f t="shared" si="49"/>
        <v>0</v>
      </c>
      <c r="X97" s="746">
        <f t="shared" si="49"/>
        <v>28048.97</v>
      </c>
      <c r="Y97" s="746">
        <f t="shared" si="49"/>
        <v>30847.182999999997</v>
      </c>
      <c r="Z97" s="746">
        <f t="shared" si="49"/>
        <v>27513.163</v>
      </c>
      <c r="AA97" s="746">
        <f t="shared" si="49"/>
        <v>30884.31</v>
      </c>
      <c r="AB97" s="746">
        <f t="shared" si="49"/>
        <v>34718.769999999997</v>
      </c>
      <c r="AC97" s="746">
        <f t="shared" si="49"/>
        <v>40888.730000000003</v>
      </c>
      <c r="AD97" s="746">
        <f t="shared" si="49"/>
        <v>82310.200000000012</v>
      </c>
      <c r="AE97" s="746">
        <f t="shared" si="49"/>
        <v>104887</v>
      </c>
      <c r="AF97" s="746">
        <f t="shared" ref="AF97" si="50">+AF95+AF96</f>
        <v>116927.4</v>
      </c>
      <c r="AG97" s="746">
        <f t="shared" ca="1" si="49"/>
        <v>198213.62109242621</v>
      </c>
      <c r="AH97" s="746">
        <f t="shared" ca="1" si="49"/>
        <v>219394.17841800328</v>
      </c>
      <c r="AI97" s="746">
        <f t="shared" ref="AI97:AJ97" ca="1" si="51">+AI95+AI96</f>
        <v>241665.65109815256</v>
      </c>
      <c r="AJ97" s="746">
        <f t="shared" ca="1" si="51"/>
        <v>267222.7391088655</v>
      </c>
    </row>
    <row r="98" spans="1:36" s="747" customFormat="1" x14ac:dyDescent="0.25">
      <c r="A98" s="748" t="s">
        <v>1209</v>
      </c>
      <c r="B98" s="742"/>
      <c r="C98" s="743" t="s">
        <v>1038</v>
      </c>
      <c r="D98" s="744" t="s">
        <v>1114</v>
      </c>
      <c r="E98" s="745" t="s">
        <v>1210</v>
      </c>
      <c r="F98" s="743" t="s">
        <v>1077</v>
      </c>
      <c r="G98" s="743"/>
      <c r="H98" s="743"/>
      <c r="I98" s="743"/>
      <c r="J98" s="743"/>
      <c r="K98" s="1064"/>
      <c r="L98" s="1064"/>
      <c r="M98" s="746"/>
      <c r="N98" s="746"/>
      <c r="O98" s="746"/>
      <c r="P98" s="746"/>
      <c r="Q98" s="746"/>
      <c r="R98" s="746"/>
      <c r="S98" s="746"/>
      <c r="T98" s="746"/>
      <c r="U98" s="746"/>
      <c r="V98" s="746"/>
      <c r="W98" s="746"/>
      <c r="X98" s="746">
        <f>Consol!G78</f>
        <v>16799.911</v>
      </c>
      <c r="Y98" s="746">
        <f>Consol!H78</f>
        <v>20001.205999999998</v>
      </c>
      <c r="Z98" s="746">
        <f>Consol!I78</f>
        <v>27167.16</v>
      </c>
      <c r="AA98" s="746">
        <f>Consol!J78</f>
        <v>39458.18</v>
      </c>
      <c r="AB98" s="746">
        <f>Consol!K78</f>
        <v>44086.94</v>
      </c>
      <c r="AC98" s="746">
        <f>Consol!L78</f>
        <v>42436.98</v>
      </c>
      <c r="AD98" s="746">
        <f>Consol!M78</f>
        <v>43806.8</v>
      </c>
      <c r="AE98" s="746">
        <f>Consol!N78</f>
        <v>46588.299999999996</v>
      </c>
      <c r="AF98" s="746">
        <f>Consol!O78</f>
        <v>64098.5</v>
      </c>
      <c r="AG98" s="746">
        <f>Consol!P78</f>
        <v>103257.8912300848</v>
      </c>
      <c r="AH98" s="746">
        <f>Consol!Q78</f>
        <v>133158.67992260426</v>
      </c>
      <c r="AI98" s="746">
        <f>Consol!R78</f>
        <v>137065.13864899508</v>
      </c>
      <c r="AJ98" s="746">
        <f>Consol!S78</f>
        <v>153554.57116598682</v>
      </c>
    </row>
    <row r="99" spans="1:36" x14ac:dyDescent="0.25">
      <c r="A99" s="703" t="s">
        <v>1211</v>
      </c>
      <c r="B99" s="737" t="str">
        <f t="shared" ref="B99:B104" si="52">IF(IF(D99="+",MIN(H99:IU99)&gt;=0,IF(D99="-",MAX(H99:IU99)&lt;=0,TRUE)),"",1)</f>
        <v/>
      </c>
      <c r="C99" s="705" t="s">
        <v>1036</v>
      </c>
      <c r="D99" s="738" t="s">
        <v>1109</v>
      </c>
      <c r="E99" s="739" t="s">
        <v>64</v>
      </c>
      <c r="F99" s="705" t="s">
        <v>1077</v>
      </c>
      <c r="M99" s="740"/>
      <c r="N99" s="740"/>
      <c r="O99" s="740"/>
      <c r="P99" s="740"/>
      <c r="Q99" s="740"/>
      <c r="R99" s="740"/>
      <c r="S99" s="740"/>
      <c r="T99" s="740"/>
      <c r="U99" s="740"/>
      <c r="V99" s="740"/>
      <c r="W99" s="740"/>
      <c r="X99" s="740"/>
      <c r="Y99" s="740"/>
      <c r="Z99" s="740"/>
      <c r="AA99" s="740"/>
      <c r="AB99" s="740"/>
      <c r="AC99" s="740"/>
      <c r="AD99" s="740"/>
      <c r="AE99" s="740"/>
      <c r="AF99" s="740"/>
      <c r="AG99" s="740"/>
      <c r="AH99" s="740"/>
      <c r="AI99" s="740"/>
      <c r="AJ99" s="740"/>
    </row>
    <row r="100" spans="1:36" x14ac:dyDescent="0.25">
      <c r="A100" s="703" t="s">
        <v>1212</v>
      </c>
      <c r="B100" s="737" t="str">
        <f t="shared" si="52"/>
        <v/>
      </c>
      <c r="C100" s="705" t="s">
        <v>1036</v>
      </c>
      <c r="D100" s="738" t="s">
        <v>1109</v>
      </c>
      <c r="E100" s="739" t="s">
        <v>65</v>
      </c>
      <c r="F100" s="705" t="s">
        <v>1077</v>
      </c>
      <c r="M100" s="740"/>
      <c r="N100" s="740"/>
      <c r="O100" s="740"/>
      <c r="P100" s="740"/>
      <c r="Q100" s="740"/>
      <c r="R100" s="740"/>
      <c r="S100" s="740"/>
      <c r="T100" s="740"/>
      <c r="U100" s="740"/>
      <c r="V100" s="740"/>
      <c r="W100" s="740"/>
      <c r="X100" s="740"/>
      <c r="Y100" s="740"/>
      <c r="Z100" s="740"/>
      <c r="AA100" s="740"/>
      <c r="AB100" s="740"/>
      <c r="AC100" s="740"/>
      <c r="AD100" s="740"/>
      <c r="AE100" s="740"/>
      <c r="AF100" s="740"/>
      <c r="AG100" s="740"/>
      <c r="AH100" s="740"/>
      <c r="AI100" s="740"/>
      <c r="AJ100" s="740"/>
    </row>
    <row r="101" spans="1:36" x14ac:dyDescent="0.25">
      <c r="A101" s="703" t="s">
        <v>1213</v>
      </c>
      <c r="B101" s="737" t="str">
        <f t="shared" si="52"/>
        <v/>
      </c>
      <c r="C101" s="705" t="s">
        <v>1036</v>
      </c>
      <c r="D101" s="738" t="s">
        <v>1109</v>
      </c>
      <c r="E101" s="739" t="s">
        <v>1214</v>
      </c>
      <c r="F101" s="705" t="s">
        <v>1077</v>
      </c>
      <c r="M101" s="740"/>
      <c r="N101" s="740"/>
      <c r="O101" s="740"/>
      <c r="P101" s="740"/>
      <c r="Q101" s="740"/>
      <c r="R101" s="740"/>
      <c r="S101" s="740"/>
      <c r="T101" s="740"/>
      <c r="U101" s="740"/>
      <c r="V101" s="740"/>
      <c r="W101" s="740"/>
      <c r="X101" s="740"/>
      <c r="Y101" s="740"/>
      <c r="Z101" s="740"/>
      <c r="AA101" s="740"/>
      <c r="AB101" s="740"/>
      <c r="AC101" s="740"/>
      <c r="AD101" s="740"/>
      <c r="AE101" s="740"/>
      <c r="AF101" s="740"/>
      <c r="AG101" s="740"/>
      <c r="AH101" s="740"/>
      <c r="AI101" s="740"/>
      <c r="AJ101" s="740"/>
    </row>
    <row r="102" spans="1:36" x14ac:dyDescent="0.25">
      <c r="A102" s="703" t="s">
        <v>1215</v>
      </c>
      <c r="B102" s="737" t="str">
        <f t="shared" si="52"/>
        <v/>
      </c>
      <c r="C102" s="705" t="s">
        <v>1036</v>
      </c>
      <c r="D102" s="738" t="s">
        <v>1109</v>
      </c>
      <c r="E102" s="739" t="s">
        <v>1216</v>
      </c>
      <c r="F102" s="705" t="s">
        <v>1077</v>
      </c>
      <c r="M102" s="740"/>
      <c r="N102" s="740"/>
      <c r="O102" s="740"/>
      <c r="P102" s="740"/>
      <c r="Q102" s="740"/>
      <c r="R102" s="740"/>
      <c r="S102" s="740"/>
      <c r="T102" s="740"/>
      <c r="U102" s="740"/>
      <c r="V102" s="740"/>
      <c r="W102" s="740"/>
      <c r="X102" s="740"/>
      <c r="Y102" s="740"/>
      <c r="Z102" s="740"/>
      <c r="AA102" s="740"/>
      <c r="AB102" s="740"/>
      <c r="AC102" s="740"/>
      <c r="AD102" s="740"/>
      <c r="AE102" s="740"/>
      <c r="AF102" s="740"/>
      <c r="AG102" s="740"/>
      <c r="AH102" s="740"/>
      <c r="AI102" s="740"/>
      <c r="AJ102" s="740"/>
    </row>
    <row r="103" spans="1:36" x14ac:dyDescent="0.25">
      <c r="A103" s="703" t="s">
        <v>1217</v>
      </c>
      <c r="B103" s="737" t="str">
        <f t="shared" si="52"/>
        <v/>
      </c>
      <c r="C103" s="705" t="s">
        <v>1036</v>
      </c>
      <c r="D103" s="738" t="s">
        <v>1109</v>
      </c>
      <c r="E103" s="739" t="s">
        <v>1218</v>
      </c>
      <c r="F103" s="705" t="s">
        <v>1077</v>
      </c>
      <c r="M103" s="740"/>
      <c r="N103" s="740"/>
      <c r="O103" s="740"/>
      <c r="P103" s="740"/>
      <c r="Q103" s="740"/>
      <c r="R103" s="740"/>
      <c r="S103" s="740"/>
      <c r="T103" s="740"/>
      <c r="U103" s="740"/>
      <c r="V103" s="740"/>
      <c r="W103" s="740"/>
      <c r="X103" s="740"/>
      <c r="Y103" s="740"/>
      <c r="Z103" s="740"/>
      <c r="AA103" s="740"/>
      <c r="AB103" s="740"/>
      <c r="AC103" s="740"/>
      <c r="AD103" s="740"/>
      <c r="AE103" s="740"/>
      <c r="AF103" s="740"/>
      <c r="AG103" s="740"/>
      <c r="AH103" s="740"/>
      <c r="AI103" s="740"/>
      <c r="AJ103" s="740"/>
    </row>
    <row r="104" spans="1:36" x14ac:dyDescent="0.25">
      <c r="A104" s="703" t="s">
        <v>1219</v>
      </c>
      <c r="B104" s="737" t="str">
        <f t="shared" ca="1" si="52"/>
        <v/>
      </c>
      <c r="C104" s="705" t="s">
        <v>1036</v>
      </c>
      <c r="D104" s="738" t="s">
        <v>1109</v>
      </c>
      <c r="E104" s="739" t="s">
        <v>73</v>
      </c>
      <c r="F104" s="705" t="s">
        <v>1077</v>
      </c>
      <c r="M104" s="740"/>
      <c r="N104" s="740"/>
      <c r="O104" s="740"/>
      <c r="P104" s="740"/>
      <c r="Q104" s="740">
        <f t="shared" ref="Q104:AH104" si="53">+Q105-Q98-Q97</f>
        <v>0</v>
      </c>
      <c r="R104" s="740">
        <f t="shared" si="53"/>
        <v>0</v>
      </c>
      <c r="S104" s="740">
        <f t="shared" si="53"/>
        <v>0</v>
      </c>
      <c r="T104" s="740">
        <f t="shared" si="53"/>
        <v>0</v>
      </c>
      <c r="U104" s="740">
        <f t="shared" si="53"/>
        <v>0</v>
      </c>
      <c r="V104" s="740">
        <f t="shared" si="53"/>
        <v>0</v>
      </c>
      <c r="W104" s="740">
        <f t="shared" si="53"/>
        <v>0</v>
      </c>
      <c r="X104" s="740">
        <f t="shared" si="53"/>
        <v>2435.0140000000029</v>
      </c>
      <c r="Y104" s="740">
        <f t="shared" si="53"/>
        <v>2249.3159999999989</v>
      </c>
      <c r="Z104" s="740">
        <f t="shared" si="53"/>
        <v>6091.0179999999964</v>
      </c>
      <c r="AA104" s="740">
        <f t="shared" si="53"/>
        <v>8024.7700000000077</v>
      </c>
      <c r="AB104" s="740">
        <f t="shared" si="53"/>
        <v>9563.2799999999916</v>
      </c>
      <c r="AC104" s="740">
        <f t="shared" si="53"/>
        <v>5522.5399999999936</v>
      </c>
      <c r="AD104" s="740">
        <f t="shared" si="53"/>
        <v>5986.9000000000087</v>
      </c>
      <c r="AE104" s="740">
        <f t="shared" si="53"/>
        <v>6286</v>
      </c>
      <c r="AF104" s="740">
        <f t="shared" ref="AF104" si="54">+AF105-AF98-AF97</f>
        <v>7660.1000000000058</v>
      </c>
      <c r="AG104" s="740">
        <f t="shared" ca="1" si="53"/>
        <v>7660.1000000000058</v>
      </c>
      <c r="AH104" s="740">
        <f t="shared" ca="1" si="53"/>
        <v>7660.0999999999767</v>
      </c>
      <c r="AI104" s="740">
        <f t="shared" ref="AI104:AJ104" ca="1" si="55">+AI105-AI98-AI97</f>
        <v>7660.0999999999767</v>
      </c>
      <c r="AJ104" s="740">
        <f t="shared" ca="1" si="55"/>
        <v>7660.0999999999767</v>
      </c>
    </row>
    <row r="105" spans="1:36" s="747" customFormat="1" x14ac:dyDescent="0.25">
      <c r="A105" s="748" t="s">
        <v>1220</v>
      </c>
      <c r="B105" s="742"/>
      <c r="C105" s="743" t="s">
        <v>1038</v>
      </c>
      <c r="D105" s="744" t="s">
        <v>1114</v>
      </c>
      <c r="E105" s="745" t="s">
        <v>75</v>
      </c>
      <c r="F105" s="743" t="s">
        <v>1077</v>
      </c>
      <c r="G105" s="743"/>
      <c r="H105" s="743"/>
      <c r="I105" s="743"/>
      <c r="J105" s="743"/>
      <c r="K105" s="1064"/>
      <c r="L105" s="1064"/>
      <c r="M105" s="746"/>
      <c r="N105" s="746"/>
      <c r="O105" s="746"/>
      <c r="P105" s="746"/>
      <c r="Q105" s="746"/>
      <c r="R105" s="746"/>
      <c r="S105" s="746"/>
      <c r="T105" s="746"/>
      <c r="U105" s="746"/>
      <c r="V105" s="746"/>
      <c r="W105" s="746"/>
      <c r="X105" s="746">
        <f>Consol!G83</f>
        <v>47283.895000000004</v>
      </c>
      <c r="Y105" s="746">
        <f>Consol!H83</f>
        <v>53097.704999999994</v>
      </c>
      <c r="Z105" s="746">
        <f>Consol!I83</f>
        <v>60771.341</v>
      </c>
      <c r="AA105" s="746">
        <f>Consol!J83</f>
        <v>78367.260000000009</v>
      </c>
      <c r="AB105" s="746">
        <f>Consol!K83</f>
        <v>88368.989999999991</v>
      </c>
      <c r="AC105" s="746">
        <f>Consol!L83</f>
        <v>88848.25</v>
      </c>
      <c r="AD105" s="746">
        <f>Consol!M83</f>
        <v>132103.90000000002</v>
      </c>
      <c r="AE105" s="746">
        <f>Consol!N83</f>
        <v>157761.29999999999</v>
      </c>
      <c r="AF105" s="746">
        <f>Consol!O83</f>
        <v>188686</v>
      </c>
      <c r="AG105" s="746">
        <f ca="1">Consol!P83</f>
        <v>309131.61232251104</v>
      </c>
      <c r="AH105" s="746">
        <f ca="1">Consol!Q83</f>
        <v>360212.95834060753</v>
      </c>
      <c r="AI105" s="746">
        <f ca="1">Consol!R83</f>
        <v>386390.88974714762</v>
      </c>
      <c r="AJ105" s="746">
        <f ca="1">Consol!S83</f>
        <v>428437.4102748523</v>
      </c>
    </row>
    <row r="106" spans="1:36" x14ac:dyDescent="0.25">
      <c r="M106" s="740"/>
      <c r="N106" s="746"/>
      <c r="O106" s="746"/>
      <c r="P106" s="746"/>
      <c r="Q106" s="746"/>
      <c r="R106" s="746"/>
      <c r="S106" s="746"/>
      <c r="T106" s="746"/>
      <c r="U106" s="746"/>
      <c r="V106" s="746"/>
      <c r="W106" s="746"/>
      <c r="X106" s="746"/>
      <c r="Y106" s="746"/>
      <c r="Z106" s="746"/>
      <c r="AA106" s="746"/>
      <c r="AB106" s="746"/>
      <c r="AC106" s="746"/>
      <c r="AD106" s="746"/>
      <c r="AE106" s="746"/>
      <c r="AF106" s="746"/>
      <c r="AG106" s="746"/>
      <c r="AH106" s="746"/>
      <c r="AI106" s="746"/>
      <c r="AJ106" s="746"/>
    </row>
    <row r="107" spans="1:36" x14ac:dyDescent="0.25">
      <c r="E107" s="751" t="s">
        <v>897</v>
      </c>
      <c r="M107" s="740"/>
      <c r="N107" s="740"/>
      <c r="O107" s="740"/>
      <c r="P107" s="740"/>
      <c r="Q107" s="740"/>
      <c r="R107" s="740"/>
      <c r="S107" s="740"/>
      <c r="T107" s="740"/>
      <c r="U107" s="740"/>
      <c r="V107" s="740"/>
      <c r="W107" s="740"/>
      <c r="X107" s="740"/>
      <c r="Y107" s="740"/>
      <c r="Z107" s="740"/>
      <c r="AA107" s="740"/>
      <c r="AB107" s="740"/>
      <c r="AC107" s="740"/>
      <c r="AD107" s="740"/>
      <c r="AE107" s="740"/>
      <c r="AF107" s="740"/>
      <c r="AG107" s="740"/>
      <c r="AH107" s="740"/>
      <c r="AI107" s="740"/>
      <c r="AJ107" s="740"/>
    </row>
    <row r="108" spans="1:36" x14ac:dyDescent="0.25">
      <c r="A108" s="750" t="s">
        <v>1221</v>
      </c>
      <c r="B108" s="737" t="str">
        <f>IF(IF(D108="+",MIN(H108:IU108)&gt;=0,IF(D108="-",MAX(H108:IU108)&lt;=0,TRUE)),"",1)</f>
        <v/>
      </c>
      <c r="C108" s="705" t="s">
        <v>1036</v>
      </c>
      <c r="D108" s="738" t="s">
        <v>1109</v>
      </c>
      <c r="E108" s="739" t="s">
        <v>1222</v>
      </c>
      <c r="F108" s="705" t="s">
        <v>1077</v>
      </c>
      <c r="M108" s="740"/>
      <c r="N108" s="740"/>
      <c r="O108" s="740"/>
      <c r="P108" s="740"/>
      <c r="Q108" s="740"/>
      <c r="R108" s="740"/>
      <c r="S108" s="740"/>
      <c r="T108" s="740"/>
      <c r="U108" s="740"/>
      <c r="V108" s="740"/>
      <c r="W108" s="740"/>
      <c r="X108" s="740">
        <f>Consol!G87</f>
        <v>29525.534</v>
      </c>
      <c r="Y108" s="740">
        <f>Consol!H87</f>
        <v>32684.214</v>
      </c>
      <c r="Z108" s="740">
        <f>Consol!I87</f>
        <v>41579.557000000001</v>
      </c>
      <c r="AA108" s="740">
        <f>Consol!J87</f>
        <v>44786.870999999999</v>
      </c>
      <c r="AB108" s="740">
        <f>Consol!K87</f>
        <v>47405.001000000004</v>
      </c>
      <c r="AC108" s="740">
        <f>Consol!L87</f>
        <v>48886.498</v>
      </c>
      <c r="AD108" s="740">
        <f>Consol!M87</f>
        <v>64231</v>
      </c>
      <c r="AE108" s="740">
        <f>Consol!N87</f>
        <v>84934.2</v>
      </c>
      <c r="AF108" s="740">
        <f>Consol!O87</f>
        <v>96892.4</v>
      </c>
      <c r="AG108" s="740">
        <f>Consol!P87</f>
        <v>132457.82999999999</v>
      </c>
      <c r="AH108" s="740">
        <f>Consol!Q87</f>
        <v>250947.83</v>
      </c>
      <c r="AI108" s="740">
        <f>Consol!R87</f>
        <v>315460.32999999996</v>
      </c>
      <c r="AJ108" s="740">
        <f>Consol!S87</f>
        <v>438250.32999999996</v>
      </c>
    </row>
    <row r="109" spans="1:36" x14ac:dyDescent="0.25">
      <c r="A109" s="703" t="s">
        <v>1223</v>
      </c>
      <c r="B109" s="737" t="str">
        <f>IF(IF(D109="+",MIN(H109:IU109)&gt;=0,IF(D109="-",MAX(H109:IU109)&lt;=0,TRUE)),"",1)</f>
        <v/>
      </c>
      <c r="C109" s="705" t="s">
        <v>1036</v>
      </c>
      <c r="D109" s="738" t="s">
        <v>1159</v>
      </c>
      <c r="E109" s="739" t="s">
        <v>1224</v>
      </c>
      <c r="F109" s="705" t="s">
        <v>1077</v>
      </c>
      <c r="M109" s="740"/>
      <c r="P109" s="740"/>
      <c r="Q109" s="740"/>
      <c r="R109" s="740"/>
      <c r="S109" s="740"/>
      <c r="T109" s="740"/>
      <c r="U109" s="740"/>
      <c r="V109" s="740"/>
      <c r="W109" s="740"/>
      <c r="X109" s="740">
        <f>Consol!G88</f>
        <v>2157.2730000000001</v>
      </c>
      <c r="Y109" s="740">
        <f>Consol!H88</f>
        <v>3503.8850000000002</v>
      </c>
      <c r="Z109" s="740">
        <f>Consol!I88</f>
        <v>5142.0909999999994</v>
      </c>
      <c r="AA109" s="740">
        <f>Consol!J88</f>
        <v>7848.6409999999996</v>
      </c>
      <c r="AB109" s="740">
        <f>Consol!K88</f>
        <v>8692.8780000000006</v>
      </c>
      <c r="AC109" s="740">
        <f>Consol!L88</f>
        <v>10435.481</v>
      </c>
      <c r="AD109" s="740">
        <f>Consol!M88</f>
        <v>13102.9</v>
      </c>
      <c r="AE109" s="740">
        <f>Consol!N88</f>
        <v>16802.5</v>
      </c>
      <c r="AF109" s="740">
        <f>Consol!O88</f>
        <v>22943.7</v>
      </c>
      <c r="AG109" s="740">
        <f>Consol!P88</f>
        <v>30397.582474999999</v>
      </c>
      <c r="AH109" s="740">
        <f>Consol!Q88</f>
        <v>42858.266424999994</v>
      </c>
      <c r="AI109" s="740">
        <f>Consol!R88</f>
        <v>61266.531624999989</v>
      </c>
      <c r="AJ109" s="740">
        <f>Consol!S88</f>
        <v>85762.128074999986</v>
      </c>
    </row>
    <row r="110" spans="1:36" s="747" customFormat="1" x14ac:dyDescent="0.25">
      <c r="A110" s="748" t="s">
        <v>1225</v>
      </c>
      <c r="B110" s="742"/>
      <c r="C110" s="743" t="s">
        <v>1038</v>
      </c>
      <c r="D110" s="744" t="s">
        <v>1114</v>
      </c>
      <c r="E110" s="745" t="s">
        <v>1226</v>
      </c>
      <c r="F110" s="743" t="s">
        <v>1077</v>
      </c>
      <c r="G110" s="743"/>
      <c r="H110" s="743"/>
      <c r="I110" s="743"/>
      <c r="J110" s="743"/>
      <c r="K110" s="1064"/>
      <c r="L110" s="1064"/>
      <c r="M110" s="746"/>
      <c r="N110" s="746"/>
      <c r="O110" s="746"/>
      <c r="P110" s="746"/>
      <c r="Q110" s="746">
        <f t="shared" ref="Q110:AH110" si="56">+Q108-Q109</f>
        <v>0</v>
      </c>
      <c r="R110" s="746">
        <f t="shared" si="56"/>
        <v>0</v>
      </c>
      <c r="S110" s="746">
        <f t="shared" si="56"/>
        <v>0</v>
      </c>
      <c r="T110" s="746">
        <f t="shared" si="56"/>
        <v>0</v>
      </c>
      <c r="U110" s="746">
        <f t="shared" si="56"/>
        <v>0</v>
      </c>
      <c r="V110" s="746">
        <f t="shared" si="56"/>
        <v>0</v>
      </c>
      <c r="W110" s="746">
        <f t="shared" si="56"/>
        <v>0</v>
      </c>
      <c r="X110" s="746">
        <f t="shared" si="56"/>
        <v>27368.260999999999</v>
      </c>
      <c r="Y110" s="746">
        <f t="shared" si="56"/>
        <v>29180.328999999998</v>
      </c>
      <c r="Z110" s="746">
        <f t="shared" si="56"/>
        <v>36437.466</v>
      </c>
      <c r="AA110" s="746">
        <f t="shared" si="56"/>
        <v>36938.229999999996</v>
      </c>
      <c r="AB110" s="746">
        <f t="shared" si="56"/>
        <v>38712.123000000007</v>
      </c>
      <c r="AC110" s="746">
        <f t="shared" si="56"/>
        <v>38451.017</v>
      </c>
      <c r="AD110" s="746">
        <f t="shared" si="56"/>
        <v>51128.1</v>
      </c>
      <c r="AE110" s="746">
        <f t="shared" si="56"/>
        <v>68131.7</v>
      </c>
      <c r="AF110" s="746">
        <f t="shared" ref="AF110" si="57">+AF108-AF109</f>
        <v>73948.7</v>
      </c>
      <c r="AG110" s="746">
        <f t="shared" si="56"/>
        <v>102060.24752499998</v>
      </c>
      <c r="AH110" s="746">
        <f t="shared" si="56"/>
        <v>208089.56357499998</v>
      </c>
      <c r="AI110" s="746">
        <f t="shared" ref="AI110:AJ110" si="58">+AI108-AI109</f>
        <v>254193.79837499995</v>
      </c>
      <c r="AJ110" s="746">
        <f t="shared" si="58"/>
        <v>352488.20192499994</v>
      </c>
    </row>
    <row r="111" spans="1:36" x14ac:dyDescent="0.25">
      <c r="A111" s="750" t="s">
        <v>1227</v>
      </c>
      <c r="B111" s="737" t="str">
        <f>IF(IF(D111="+",MIN(H111:IU111)&gt;=0,IF(D111="-",MAX(H111:IU111)&lt;=0,TRUE)),"",1)</f>
        <v/>
      </c>
      <c r="C111" s="705" t="s">
        <v>1036</v>
      </c>
      <c r="D111" s="738" t="s">
        <v>1109</v>
      </c>
      <c r="E111" s="739" t="s">
        <v>1228</v>
      </c>
      <c r="F111" s="705" t="s">
        <v>1077</v>
      </c>
      <c r="M111" s="740"/>
      <c r="P111" s="740"/>
      <c r="Q111" s="740"/>
      <c r="R111" s="740"/>
      <c r="S111" s="740"/>
      <c r="T111" s="740"/>
      <c r="U111" s="740"/>
      <c r="V111" s="740"/>
      <c r="W111" s="740"/>
      <c r="X111" s="740">
        <f>Consol!G90</f>
        <v>6222.8010000000004</v>
      </c>
      <c r="Y111" s="740">
        <f>Consol!H90</f>
        <v>8594.1669999999995</v>
      </c>
      <c r="Z111" s="740">
        <f>Consol!I90</f>
        <v>7502.7979999999998</v>
      </c>
      <c r="AA111" s="740">
        <f>Consol!J90</f>
        <v>2921.06</v>
      </c>
      <c r="AB111" s="740">
        <f>Consol!K90</f>
        <v>700.84</v>
      </c>
      <c r="AC111" s="740">
        <f>Consol!L90</f>
        <v>450.32</v>
      </c>
      <c r="AD111" s="740">
        <f>Consol!M90</f>
        <v>1088.5999999999999</v>
      </c>
      <c r="AE111" s="740">
        <f>Consol!N90</f>
        <v>18586.400000000001</v>
      </c>
      <c r="AF111" s="740">
        <f>Consol!O90</f>
        <v>31474.2</v>
      </c>
      <c r="AG111" s="740">
        <f>Consol!P90</f>
        <v>68297.286586806673</v>
      </c>
      <c r="AH111" s="740">
        <f>Consol!Q90</f>
        <v>38869.411442786834</v>
      </c>
      <c r="AI111" s="740">
        <f>Consol!R90</f>
        <v>55523.545870964175</v>
      </c>
      <c r="AJ111" s="740">
        <f>Consol!S90</f>
        <v>0</v>
      </c>
    </row>
    <row r="112" spans="1:36" s="747" customFormat="1" x14ac:dyDescent="0.25">
      <c r="A112" s="741" t="s">
        <v>1229</v>
      </c>
      <c r="B112" s="742"/>
      <c r="C112" s="743" t="s">
        <v>1038</v>
      </c>
      <c r="D112" s="744" t="s">
        <v>1114</v>
      </c>
      <c r="E112" s="745" t="s">
        <v>1230</v>
      </c>
      <c r="F112" s="743" t="s">
        <v>1077</v>
      </c>
      <c r="G112" s="743"/>
      <c r="H112" s="743"/>
      <c r="I112" s="743"/>
      <c r="J112" s="743"/>
      <c r="K112" s="743"/>
      <c r="L112" s="743"/>
      <c r="M112" s="746"/>
      <c r="N112" s="746"/>
      <c r="O112" s="746"/>
      <c r="P112" s="746"/>
      <c r="Q112" s="746">
        <f t="shared" ref="Q112:AH112" si="59">+Q110+Q111</f>
        <v>0</v>
      </c>
      <c r="R112" s="746">
        <f t="shared" si="59"/>
        <v>0</v>
      </c>
      <c r="S112" s="746">
        <f t="shared" si="59"/>
        <v>0</v>
      </c>
      <c r="T112" s="746">
        <f t="shared" si="59"/>
        <v>0</v>
      </c>
      <c r="U112" s="746">
        <f t="shared" si="59"/>
        <v>0</v>
      </c>
      <c r="V112" s="746">
        <f t="shared" si="59"/>
        <v>0</v>
      </c>
      <c r="W112" s="746">
        <f t="shared" si="59"/>
        <v>0</v>
      </c>
      <c r="X112" s="746">
        <f t="shared" si="59"/>
        <v>33591.061999999998</v>
      </c>
      <c r="Y112" s="746">
        <f t="shared" si="59"/>
        <v>37774.495999999999</v>
      </c>
      <c r="Z112" s="746">
        <f t="shared" si="59"/>
        <v>43940.264000000003</v>
      </c>
      <c r="AA112" s="746">
        <f t="shared" si="59"/>
        <v>39859.289999999994</v>
      </c>
      <c r="AB112" s="746">
        <f t="shared" si="59"/>
        <v>39412.963000000003</v>
      </c>
      <c r="AC112" s="746">
        <f t="shared" si="59"/>
        <v>38901.337</v>
      </c>
      <c r="AD112" s="746">
        <f t="shared" si="59"/>
        <v>52216.7</v>
      </c>
      <c r="AE112" s="746">
        <f t="shared" si="59"/>
        <v>86718.1</v>
      </c>
      <c r="AF112" s="746">
        <f t="shared" ref="AF112" si="60">+AF110+AF111</f>
        <v>105422.9</v>
      </c>
      <c r="AG112" s="746">
        <f t="shared" si="59"/>
        <v>170357.53411180666</v>
      </c>
      <c r="AH112" s="746">
        <f t="shared" si="59"/>
        <v>246958.97501778681</v>
      </c>
      <c r="AI112" s="746">
        <f t="shared" ref="AI112:AJ112" si="61">+AI110+AI111</f>
        <v>309717.34424596414</v>
      </c>
      <c r="AJ112" s="746">
        <f t="shared" si="61"/>
        <v>352488.20192499994</v>
      </c>
    </row>
    <row r="113" spans="1:36" x14ac:dyDescent="0.25">
      <c r="A113" s="703" t="s">
        <v>1231</v>
      </c>
      <c r="B113" s="737" t="str">
        <f>IF(IF(D113="+",MIN(H113:IU113)&gt;=0,IF(D113="-",MAX(H113:IU113)&lt;=0,TRUE)),"",1)</f>
        <v/>
      </c>
      <c r="C113" s="705" t="s">
        <v>1036</v>
      </c>
      <c r="D113" s="738" t="s">
        <v>1109</v>
      </c>
      <c r="E113" s="739" t="s">
        <v>1232</v>
      </c>
      <c r="F113" s="705" t="s">
        <v>1077</v>
      </c>
      <c r="M113" s="740"/>
      <c r="N113" s="740"/>
      <c r="O113" s="740"/>
      <c r="P113" s="740"/>
      <c r="Q113" s="740"/>
      <c r="R113" s="740"/>
      <c r="S113" s="740"/>
      <c r="T113" s="740"/>
      <c r="U113" s="740"/>
      <c r="V113" s="740"/>
      <c r="W113" s="740"/>
      <c r="X113" s="740"/>
      <c r="Y113" s="740"/>
      <c r="Z113" s="740"/>
      <c r="AA113" s="740"/>
      <c r="AB113" s="740"/>
      <c r="AC113" s="740"/>
      <c r="AD113" s="740"/>
      <c r="AE113" s="740"/>
      <c r="AF113" s="740"/>
      <c r="AG113" s="740"/>
      <c r="AH113" s="740"/>
      <c r="AI113" s="740"/>
      <c r="AJ113" s="740"/>
    </row>
    <row r="114" spans="1:36" s="747" customFormat="1" x14ac:dyDescent="0.25">
      <c r="A114" s="748" t="s">
        <v>1233</v>
      </c>
      <c r="B114" s="742"/>
      <c r="C114" s="743" t="s">
        <v>1038</v>
      </c>
      <c r="D114" s="744" t="s">
        <v>1114</v>
      </c>
      <c r="E114" s="745" t="s">
        <v>1234</v>
      </c>
      <c r="F114" s="743" t="s">
        <v>1077</v>
      </c>
      <c r="G114" s="743"/>
      <c r="H114" s="743"/>
      <c r="I114" s="743"/>
      <c r="J114" s="743"/>
      <c r="K114" s="743"/>
      <c r="L114" s="743"/>
      <c r="M114" s="746"/>
      <c r="N114" s="746"/>
      <c r="O114" s="746"/>
      <c r="P114" s="746"/>
      <c r="Q114" s="746"/>
      <c r="R114" s="746"/>
      <c r="S114" s="746"/>
      <c r="T114" s="746"/>
      <c r="U114" s="746"/>
      <c r="V114" s="746"/>
      <c r="W114" s="746"/>
      <c r="X114" s="746"/>
      <c r="Y114" s="746"/>
      <c r="Z114" s="746"/>
      <c r="AA114" s="746"/>
      <c r="AB114" s="746"/>
      <c r="AC114" s="746"/>
      <c r="AD114" s="746"/>
      <c r="AE114" s="746"/>
      <c r="AF114" s="746"/>
      <c r="AG114" s="746"/>
      <c r="AH114" s="746"/>
      <c r="AI114" s="746"/>
      <c r="AJ114" s="746"/>
    </row>
    <row r="115" spans="1:36" x14ac:dyDescent="0.25">
      <c r="A115" s="703" t="s">
        <v>1235</v>
      </c>
      <c r="B115" s="737" t="str">
        <f>IF(IF(D115="+",MIN(H115:IU115)&gt;=0,IF(D115="-",MAX(H115:IU115)&lt;=0,TRUE)),"",1)</f>
        <v/>
      </c>
      <c r="C115" s="705" t="s">
        <v>1036</v>
      </c>
      <c r="D115" s="738" t="s">
        <v>1109</v>
      </c>
      <c r="E115" s="739" t="s">
        <v>949</v>
      </c>
      <c r="F115" s="705" t="s">
        <v>1077</v>
      </c>
      <c r="M115" s="740"/>
      <c r="P115" s="740"/>
      <c r="Q115" s="740"/>
      <c r="R115" s="740"/>
      <c r="S115" s="740"/>
      <c r="T115" s="740"/>
      <c r="U115" s="740"/>
      <c r="V115" s="740"/>
      <c r="W115" s="740"/>
      <c r="X115" s="740"/>
      <c r="Y115" s="740"/>
      <c r="Z115" s="740"/>
      <c r="AA115" s="740"/>
      <c r="AB115" s="740"/>
      <c r="AC115" s="740"/>
      <c r="AD115" s="740"/>
      <c r="AE115" s="740"/>
      <c r="AF115" s="740"/>
      <c r="AG115" s="740"/>
      <c r="AH115" s="740"/>
      <c r="AI115" s="740"/>
      <c r="AJ115" s="740"/>
    </row>
    <row r="116" spans="1:36" x14ac:dyDescent="0.25">
      <c r="A116" s="703" t="s">
        <v>1236</v>
      </c>
      <c r="B116" s="737" t="str">
        <f>IF(IF(D116="+",MIN(H116:IU116)&gt;=0,IF(D116="-",MAX(H116:IU116)&lt;=0,TRUE)),"",1)</f>
        <v/>
      </c>
      <c r="C116" s="705" t="s">
        <v>1036</v>
      </c>
      <c r="D116" s="738" t="s">
        <v>1109</v>
      </c>
      <c r="E116" s="739" t="s">
        <v>1237</v>
      </c>
      <c r="F116" s="705" t="s">
        <v>1077</v>
      </c>
      <c r="M116" s="740"/>
      <c r="N116" s="740"/>
      <c r="O116" s="740"/>
      <c r="P116" s="740"/>
      <c r="Q116" s="740"/>
      <c r="R116" s="740"/>
      <c r="S116" s="740"/>
      <c r="T116" s="740"/>
      <c r="U116" s="740"/>
      <c r="V116" s="740"/>
      <c r="W116" s="740"/>
      <c r="X116" s="740"/>
      <c r="Y116" s="740"/>
      <c r="Z116" s="740"/>
      <c r="AA116" s="740"/>
      <c r="AB116" s="740"/>
      <c r="AC116" s="740"/>
      <c r="AD116" s="740"/>
      <c r="AE116" s="740"/>
      <c r="AF116" s="740"/>
      <c r="AG116" s="740"/>
      <c r="AH116" s="740"/>
      <c r="AI116" s="740"/>
      <c r="AJ116" s="740"/>
    </row>
    <row r="117" spans="1:36" s="747" customFormat="1" x14ac:dyDescent="0.25">
      <c r="A117" s="752" t="s">
        <v>1238</v>
      </c>
      <c r="B117" s="753"/>
      <c r="C117" s="754" t="s">
        <v>1038</v>
      </c>
      <c r="D117" s="744" t="s">
        <v>1114</v>
      </c>
      <c r="E117" s="707" t="s">
        <v>1239</v>
      </c>
      <c r="F117" s="743" t="s">
        <v>1077</v>
      </c>
      <c r="G117" s="743"/>
      <c r="H117" s="755"/>
      <c r="I117" s="755"/>
      <c r="J117" s="755"/>
      <c r="K117" s="755"/>
      <c r="L117" s="755"/>
      <c r="M117" s="755"/>
      <c r="N117" s="746"/>
      <c r="O117" s="746"/>
      <c r="P117" s="746"/>
      <c r="Q117" s="746">
        <f t="shared" ref="Q117:AH117" si="62">+Q118+Q119</f>
        <v>0</v>
      </c>
      <c r="R117" s="746">
        <f t="shared" si="62"/>
        <v>0</v>
      </c>
      <c r="S117" s="746">
        <f t="shared" si="62"/>
        <v>0</v>
      </c>
      <c r="T117" s="746">
        <f t="shared" si="62"/>
        <v>0</v>
      </c>
      <c r="U117" s="746">
        <f t="shared" si="62"/>
        <v>0</v>
      </c>
      <c r="V117" s="746">
        <f t="shared" si="62"/>
        <v>0</v>
      </c>
      <c r="W117" s="746">
        <f t="shared" si="62"/>
        <v>0</v>
      </c>
      <c r="X117" s="746">
        <f t="shared" si="62"/>
        <v>283.762</v>
      </c>
      <c r="Y117" s="746">
        <f t="shared" si="62"/>
        <v>2297.6239999999998</v>
      </c>
      <c r="Z117" s="746">
        <f t="shared" si="62"/>
        <v>3764.4030000000002</v>
      </c>
      <c r="AA117" s="746">
        <f t="shared" si="62"/>
        <v>2955.08</v>
      </c>
      <c r="AB117" s="746">
        <f t="shared" si="62"/>
        <v>2830.08</v>
      </c>
      <c r="AC117" s="746">
        <f t="shared" si="62"/>
        <v>3070.2799999999997</v>
      </c>
      <c r="AD117" s="746">
        <f t="shared" si="62"/>
        <v>2444.9</v>
      </c>
      <c r="AE117" s="746">
        <f t="shared" si="62"/>
        <v>3127.6</v>
      </c>
      <c r="AF117" s="746">
        <f t="shared" ref="AF117" si="63">+AF118+AF119</f>
        <v>1218.3999999999999</v>
      </c>
      <c r="AG117" s="746">
        <f t="shared" si="62"/>
        <v>1218.3999999999999</v>
      </c>
      <c r="AH117" s="746">
        <f t="shared" si="62"/>
        <v>1218.3999999999999</v>
      </c>
      <c r="AI117" s="746">
        <f t="shared" ref="AI117:AJ117" si="64">+AI118+AI119</f>
        <v>1218.3999999999999</v>
      </c>
      <c r="AJ117" s="746">
        <f t="shared" si="64"/>
        <v>1218.3999999999999</v>
      </c>
    </row>
    <row r="118" spans="1:36" x14ac:dyDescent="0.25">
      <c r="A118" s="703" t="s">
        <v>1240</v>
      </c>
      <c r="B118" s="737" t="str">
        <f>IF(IF(D118="+",MIN(H118:IU118)&gt;=0,IF(D118="-",MAX(H118:IU118)&lt;=0,TRUE)),"",1)</f>
        <v/>
      </c>
      <c r="C118" s="705" t="s">
        <v>1036</v>
      </c>
      <c r="D118" s="738" t="s">
        <v>1109</v>
      </c>
      <c r="E118" s="739" t="s">
        <v>1241</v>
      </c>
      <c r="F118" s="705" t="s">
        <v>1077</v>
      </c>
      <c r="M118" s="740"/>
      <c r="N118" s="740"/>
      <c r="O118" s="740"/>
      <c r="P118" s="740"/>
      <c r="Q118" s="740"/>
      <c r="R118" s="740"/>
      <c r="S118" s="740"/>
      <c r="T118" s="740"/>
      <c r="U118" s="740"/>
      <c r="V118" s="740"/>
      <c r="W118" s="740"/>
      <c r="X118" s="740">
        <f>Consol!G96</f>
        <v>0</v>
      </c>
      <c r="Y118" s="740">
        <f>Consol!H96</f>
        <v>0</v>
      </c>
      <c r="Z118" s="740">
        <f>Consol!I96</f>
        <v>3090</v>
      </c>
      <c r="AA118" s="740">
        <f>Consol!J96</f>
        <v>2955.08</v>
      </c>
      <c r="AB118" s="740">
        <f>Consol!K96</f>
        <v>2830.08</v>
      </c>
      <c r="AC118" s="740">
        <f>Consol!L96</f>
        <v>25.37</v>
      </c>
      <c r="AD118" s="740">
        <f>Consol!M96</f>
        <v>246.5</v>
      </c>
      <c r="AE118" s="740">
        <f>Consol!N96</f>
        <v>1529.8</v>
      </c>
      <c r="AF118" s="740">
        <f>Consol!O96</f>
        <v>1198.3</v>
      </c>
      <c r="AG118" s="740">
        <f>Consol!P96</f>
        <v>1198.3</v>
      </c>
      <c r="AH118" s="740">
        <f>Consol!Q96</f>
        <v>1198.3</v>
      </c>
      <c r="AI118" s="740">
        <f>Consol!R96</f>
        <v>1198.3</v>
      </c>
      <c r="AJ118" s="740">
        <f>Consol!S96</f>
        <v>1198.3</v>
      </c>
    </row>
    <row r="119" spans="1:36" x14ac:dyDescent="0.25">
      <c r="A119" s="703" t="s">
        <v>1242</v>
      </c>
      <c r="B119" s="737" t="str">
        <f>IF(IF(D119="+",MIN(H119:IU119)&gt;=0,IF(D119="-",MAX(H119:IU119)&lt;=0,TRUE)),"",1)</f>
        <v/>
      </c>
      <c r="C119" s="705" t="s">
        <v>1036</v>
      </c>
      <c r="D119" s="738" t="s">
        <v>1109</v>
      </c>
      <c r="E119" s="739" t="s">
        <v>89</v>
      </c>
      <c r="F119" s="705" t="s">
        <v>1077</v>
      </c>
      <c r="M119" s="740"/>
      <c r="N119" s="740"/>
      <c r="O119" s="740"/>
      <c r="P119" s="740"/>
      <c r="Q119" s="740"/>
      <c r="R119" s="740"/>
      <c r="S119" s="740"/>
      <c r="T119" s="740"/>
      <c r="U119" s="740"/>
      <c r="V119" s="740"/>
      <c r="W119" s="740"/>
      <c r="X119" s="740">
        <f>Consol!G102</f>
        <v>283.762</v>
      </c>
      <c r="Y119" s="740">
        <f>Consol!H102</f>
        <v>2297.6239999999998</v>
      </c>
      <c r="Z119" s="740">
        <f>Consol!I102</f>
        <v>674.40300000000002</v>
      </c>
      <c r="AA119" s="740">
        <f>Consol!J102</f>
        <v>0</v>
      </c>
      <c r="AB119" s="740">
        <f>Consol!K102</f>
        <v>0</v>
      </c>
      <c r="AC119" s="740">
        <f>Consol!L102</f>
        <v>3044.91</v>
      </c>
      <c r="AD119" s="740">
        <f>Consol!M102</f>
        <v>2198.4</v>
      </c>
      <c r="AE119" s="740">
        <f>Consol!N102</f>
        <v>1597.8</v>
      </c>
      <c r="AF119" s="740">
        <f>Consol!O102</f>
        <v>20.100000000000001</v>
      </c>
      <c r="AG119" s="740">
        <f>Consol!P102</f>
        <v>20.100000000000001</v>
      </c>
      <c r="AH119" s="740">
        <f>Consol!Q102</f>
        <v>20.100000000000001</v>
      </c>
      <c r="AI119" s="740">
        <f>Consol!R102</f>
        <v>20.100000000000001</v>
      </c>
      <c r="AJ119" s="740">
        <f>Consol!S102</f>
        <v>20.100000000000001</v>
      </c>
    </row>
    <row r="120" spans="1:36" x14ac:dyDescent="0.25">
      <c r="A120" s="703" t="s">
        <v>1243</v>
      </c>
      <c r="B120" s="737" t="str">
        <f>IF(IF(D120="+",MIN(H120:IU120)&gt;=0,IF(D120="-",MAX(H120:IU120)&lt;=0,TRUE)),"",1)</f>
        <v/>
      </c>
      <c r="C120" s="705" t="s">
        <v>1036</v>
      </c>
      <c r="D120" s="738" t="s">
        <v>1109</v>
      </c>
      <c r="E120" s="739" t="s">
        <v>1244</v>
      </c>
      <c r="F120" s="705" t="s">
        <v>1077</v>
      </c>
      <c r="M120" s="740"/>
      <c r="N120" s="740"/>
      <c r="O120" s="740"/>
      <c r="P120" s="740"/>
      <c r="Q120" s="740"/>
      <c r="R120" s="740"/>
      <c r="S120" s="740"/>
      <c r="T120" s="740"/>
      <c r="U120" s="740"/>
      <c r="V120" s="740"/>
      <c r="W120" s="740"/>
      <c r="X120" s="740"/>
      <c r="Y120" s="740"/>
      <c r="Z120" s="740"/>
      <c r="AA120" s="740"/>
      <c r="AB120" s="740"/>
      <c r="AC120" s="740"/>
      <c r="AD120" s="740"/>
      <c r="AE120" s="740"/>
      <c r="AF120" s="740"/>
      <c r="AG120" s="740"/>
      <c r="AH120" s="740"/>
      <c r="AI120" s="740"/>
      <c r="AJ120" s="740"/>
    </row>
    <row r="121" spans="1:36" x14ac:dyDescent="0.25">
      <c r="A121" s="703" t="s">
        <v>1245</v>
      </c>
      <c r="B121" s="737" t="str">
        <f>IF(IF(D121="+",MIN(H121:IU121)&gt;=0,IF(D121="-",MAX(H121:IU121)&lt;=0,TRUE)),"",1)</f>
        <v/>
      </c>
      <c r="C121" s="705" t="s">
        <v>1036</v>
      </c>
      <c r="D121" s="738" t="s">
        <v>1109</v>
      </c>
      <c r="E121" s="739" t="s">
        <v>1246</v>
      </c>
      <c r="F121" s="705" t="s">
        <v>1077</v>
      </c>
      <c r="M121" s="740"/>
      <c r="N121" s="740"/>
      <c r="O121" s="740"/>
      <c r="P121" s="740"/>
      <c r="Q121" s="740"/>
      <c r="R121" s="740"/>
      <c r="S121" s="740"/>
      <c r="T121" s="740"/>
      <c r="U121" s="740"/>
      <c r="V121" s="740"/>
      <c r="W121" s="740"/>
      <c r="X121" s="740">
        <f>+Consol!G93+Consol!G94+Consol!G97+Consol!G98+Consol!G99</f>
        <v>7711.1670000000004</v>
      </c>
      <c r="Y121" s="740">
        <f>+Consol!H93+Consol!H94+Consol!H97+Consol!H98+Consol!H99</f>
        <v>6639.2290000000003</v>
      </c>
      <c r="Z121" s="740">
        <f>+Consol!I93+Consol!I94+Consol!I97+Consol!I98+Consol!I99</f>
        <v>5253.3760000000002</v>
      </c>
      <c r="AA121" s="740">
        <f>+Consol!J93+Consol!J94+Consol!J97+Consol!J98+Consol!J99</f>
        <v>25705.480000000003</v>
      </c>
      <c r="AB121" s="740">
        <f>+Consol!K93+Consol!K94+Consol!K97+Consol!K98+Consol!K99</f>
        <v>28689.049999999996</v>
      </c>
      <c r="AC121" s="740">
        <f>+Consol!L93+Consol!L94+Consol!L97+Consol!L98+Consol!L99</f>
        <v>27677.77</v>
      </c>
      <c r="AD121" s="740">
        <f>+Consol!M93+Consol!M94+Consol!M97+Consol!M98+Consol!M99</f>
        <v>31930.500000000004</v>
      </c>
      <c r="AE121" s="740">
        <f>+Consol!N93+Consol!N94+Consol!N97+Consol!N98+Consol!N99</f>
        <v>39651</v>
      </c>
      <c r="AF121" s="740">
        <f>+Consol!O93+Consol!O94+Consol!O97+Consol!O98+Consol!O99</f>
        <v>52738.8</v>
      </c>
      <c r="AG121" s="740">
        <f>+Consol!P93+Consol!P94+Consol!P97+Consol!P98+Consol!P99</f>
        <v>52738.8</v>
      </c>
      <c r="AH121" s="740">
        <f>+Consol!Q93+Consol!Q94+Consol!Q97+Consol!Q98+Consol!Q99</f>
        <v>52738.8</v>
      </c>
      <c r="AI121" s="740">
        <f>+Consol!R93+Consol!R94+Consol!R97+Consol!R98+Consol!R99</f>
        <v>52738.8</v>
      </c>
      <c r="AJ121" s="740">
        <f>+Consol!S93+Consol!S94+Consol!S97+Consol!S98+Consol!S99</f>
        <v>52738.8</v>
      </c>
    </row>
    <row r="122" spans="1:36" s="747" customFormat="1" x14ac:dyDescent="0.25">
      <c r="A122" s="741" t="s">
        <v>1247</v>
      </c>
      <c r="B122" s="742"/>
      <c r="C122" s="743" t="s">
        <v>1038</v>
      </c>
      <c r="D122" s="744" t="s">
        <v>1114</v>
      </c>
      <c r="E122" s="745" t="s">
        <v>100</v>
      </c>
      <c r="F122" s="743" t="s">
        <v>1077</v>
      </c>
      <c r="G122" s="743"/>
      <c r="H122" s="743"/>
      <c r="I122" s="743"/>
      <c r="J122" s="743"/>
      <c r="K122" s="743"/>
      <c r="L122" s="743"/>
      <c r="M122" s="746"/>
      <c r="N122" s="746"/>
      <c r="O122" s="746"/>
      <c r="P122" s="746"/>
      <c r="Q122" s="746">
        <f t="shared" ref="Q122:AH122" si="65">+Q128-Q132</f>
        <v>0</v>
      </c>
      <c r="R122" s="746">
        <f t="shared" si="65"/>
        <v>0</v>
      </c>
      <c r="S122" s="746">
        <f t="shared" si="65"/>
        <v>0</v>
      </c>
      <c r="T122" s="746">
        <f t="shared" si="65"/>
        <v>0</v>
      </c>
      <c r="U122" s="746">
        <f t="shared" si="65"/>
        <v>0</v>
      </c>
      <c r="V122" s="746">
        <f t="shared" si="65"/>
        <v>0</v>
      </c>
      <c r="W122" s="746">
        <f t="shared" si="65"/>
        <v>0</v>
      </c>
      <c r="X122" s="746">
        <f t="shared" si="65"/>
        <v>5697.9039999999995</v>
      </c>
      <c r="Y122" s="746">
        <f t="shared" si="65"/>
        <v>6386.3569999999991</v>
      </c>
      <c r="Z122" s="746">
        <f t="shared" si="65"/>
        <v>7813.2999999999984</v>
      </c>
      <c r="AA122" s="746">
        <f t="shared" si="65"/>
        <v>9847.4000000000015</v>
      </c>
      <c r="AB122" s="746">
        <f t="shared" si="65"/>
        <v>17436.95</v>
      </c>
      <c r="AC122" s="746">
        <f t="shared" si="65"/>
        <v>19198.87</v>
      </c>
      <c r="AD122" s="746">
        <f t="shared" si="65"/>
        <v>45511.700000000004</v>
      </c>
      <c r="AE122" s="746">
        <f t="shared" si="65"/>
        <v>28264.5</v>
      </c>
      <c r="AF122" s="746">
        <f t="shared" ref="AF122" si="66">+AF128-AF132</f>
        <v>29305.899999999994</v>
      </c>
      <c r="AG122" s="746">
        <f t="shared" ca="1" si="65"/>
        <v>84816.878210704366</v>
      </c>
      <c r="AH122" s="746">
        <f t="shared" ca="1" si="65"/>
        <v>59296.783322820687</v>
      </c>
      <c r="AI122" s="746">
        <f t="shared" ref="AI122:AJ122" ca="1" si="67">+AI128-AI132</f>
        <v>22716.345501183459</v>
      </c>
      <c r="AJ122" s="746">
        <f t="shared" ca="1" si="67"/>
        <v>21992.008349852324</v>
      </c>
    </row>
    <row r="123" spans="1:36" x14ac:dyDescent="0.25">
      <c r="A123" s="703" t="s">
        <v>1248</v>
      </c>
      <c r="B123" s="737" t="str">
        <f>IF(IF(D123="+",MIN(H123:IU123)&gt;=0,IF(D123="-",MAX(H123:IU123)&lt;=0,TRUE)),"",1)</f>
        <v/>
      </c>
      <c r="C123" s="705" t="s">
        <v>1036</v>
      </c>
      <c r="D123" s="738" t="s">
        <v>1109</v>
      </c>
      <c r="E123" s="739" t="s">
        <v>90</v>
      </c>
      <c r="F123" s="705" t="s">
        <v>1077</v>
      </c>
      <c r="M123" s="740"/>
      <c r="N123" s="740"/>
      <c r="O123" s="740"/>
      <c r="P123" s="740"/>
      <c r="Q123" s="740"/>
      <c r="R123" s="740"/>
      <c r="S123" s="740"/>
      <c r="T123" s="740"/>
      <c r="U123" s="740"/>
      <c r="V123" s="740"/>
      <c r="W123" s="740"/>
      <c r="X123" s="740">
        <f>Consol!G103</f>
        <v>499.39400000000001</v>
      </c>
      <c r="Y123" s="740">
        <f>Consol!H103</f>
        <v>758.52800000000002</v>
      </c>
      <c r="Z123" s="740">
        <f>Consol!I103</f>
        <v>1251.5340000000001</v>
      </c>
      <c r="AA123" s="740">
        <f>Consol!J103</f>
        <v>991.48</v>
      </c>
      <c r="AB123" s="740">
        <f>Consol!K103</f>
        <v>854.06</v>
      </c>
      <c r="AC123" s="740">
        <f>Consol!L103</f>
        <v>1021.6</v>
      </c>
      <c r="AD123" s="740">
        <f>Consol!M103</f>
        <v>1117.4000000000001</v>
      </c>
      <c r="AE123" s="740">
        <f>Consol!N103</f>
        <v>1338</v>
      </c>
      <c r="AF123" s="740">
        <f>Consol!O103</f>
        <v>1473.3</v>
      </c>
      <c r="AG123" s="740">
        <f>Consol!P103</f>
        <v>1473.3</v>
      </c>
      <c r="AH123" s="740">
        <f>Consol!Q103</f>
        <v>1473.3</v>
      </c>
      <c r="AI123" s="740">
        <f>Consol!R103</f>
        <v>1473.3</v>
      </c>
      <c r="AJ123" s="740">
        <f>Consol!S103</f>
        <v>1473.3</v>
      </c>
    </row>
    <row r="124" spans="1:36" x14ac:dyDescent="0.25">
      <c r="A124" s="703" t="s">
        <v>1249</v>
      </c>
      <c r="B124" s="737" t="str">
        <f ca="1">IF(IF(D124="+",MIN(H124:IU124)&gt;=0,IF(D124="-",MAX(H124:IU124)&lt;=0,TRUE)),"",1)</f>
        <v/>
      </c>
      <c r="C124" s="705" t="s">
        <v>1036</v>
      </c>
      <c r="D124" s="738" t="s">
        <v>1109</v>
      </c>
      <c r="E124" s="739" t="s">
        <v>1250</v>
      </c>
      <c r="F124" s="705" t="s">
        <v>1077</v>
      </c>
      <c r="M124" s="740"/>
      <c r="N124" s="740"/>
      <c r="O124" s="740"/>
      <c r="P124" s="740"/>
      <c r="Q124" s="740"/>
      <c r="R124" s="740"/>
      <c r="S124" s="740"/>
      <c r="T124" s="740"/>
      <c r="U124" s="740"/>
      <c r="V124" s="740"/>
      <c r="W124" s="740"/>
      <c r="X124" s="740">
        <f>Consol!G104</f>
        <v>2942.7130000000002</v>
      </c>
      <c r="Y124" s="740">
        <f>Consol!H104</f>
        <v>3904.9769999999999</v>
      </c>
      <c r="Z124" s="740">
        <f>Consol!I104</f>
        <v>5021.875</v>
      </c>
      <c r="AA124" s="740">
        <f>Consol!J104</f>
        <v>4817.96</v>
      </c>
      <c r="AB124" s="740">
        <f>Consol!K104</f>
        <v>6013.45</v>
      </c>
      <c r="AC124" s="740">
        <f>Consol!L104</f>
        <v>4023.72</v>
      </c>
      <c r="AD124" s="740">
        <f>Consol!M104</f>
        <v>6767.9</v>
      </c>
      <c r="AE124" s="740">
        <f>Consol!N104</f>
        <v>8090.2999999999993</v>
      </c>
      <c r="AF124" s="740">
        <f>Consol!O104</f>
        <v>10579.9</v>
      </c>
      <c r="AG124" s="740">
        <f ca="1">Consol!P104</f>
        <v>14392.567979094079</v>
      </c>
      <c r="AH124" s="740">
        <f ca="1">Consol!Q104</f>
        <v>21444.707889797552</v>
      </c>
      <c r="AI124" s="740">
        <f ca="1">Consol!R104</f>
        <v>27298.830395797264</v>
      </c>
      <c r="AJ124" s="740">
        <f ca="1">Consol!S104</f>
        <v>34107.851910675046</v>
      </c>
    </row>
    <row r="125" spans="1:36" x14ac:dyDescent="0.25">
      <c r="A125" s="750" t="s">
        <v>1251</v>
      </c>
      <c r="B125" s="737" t="str">
        <f>IF(IF(D125="+",MIN(H125:IU125)&gt;=0,IF(D125="-",MAX(H125:IU125)&lt;=0,TRUE)),"",1)</f>
        <v/>
      </c>
      <c r="C125" s="705" t="s">
        <v>1036</v>
      </c>
      <c r="D125" s="738" t="s">
        <v>1159</v>
      </c>
      <c r="E125" s="739" t="s">
        <v>1252</v>
      </c>
      <c r="F125" s="705" t="s">
        <v>1077</v>
      </c>
      <c r="M125" s="740"/>
      <c r="N125" s="740"/>
      <c r="O125" s="740"/>
      <c r="P125" s="740"/>
      <c r="Q125" s="740"/>
      <c r="R125" s="740"/>
      <c r="S125" s="740"/>
      <c r="T125" s="740"/>
      <c r="U125" s="740"/>
      <c r="V125" s="740"/>
      <c r="W125" s="740"/>
      <c r="X125" s="740">
        <f>Consol!G105</f>
        <v>3284.4960000000001</v>
      </c>
      <c r="Y125" s="740">
        <f>Consol!H105</f>
        <v>1017.636</v>
      </c>
      <c r="Z125" s="740">
        <f>Consol!I105</f>
        <v>1626.0739999999998</v>
      </c>
      <c r="AA125" s="740">
        <f>Consol!J105</f>
        <v>2648.4</v>
      </c>
      <c r="AB125" s="740">
        <f>Consol!K105</f>
        <v>10382.349999999999</v>
      </c>
      <c r="AC125" s="740">
        <f>Consol!L105</f>
        <v>16316.43</v>
      </c>
      <c r="AD125" s="740">
        <f>Consol!M105</f>
        <v>40902.200000000004</v>
      </c>
      <c r="AE125" s="740">
        <f>Consol!N105</f>
        <v>24820.7</v>
      </c>
      <c r="AF125" s="740">
        <f>Consol!O105</f>
        <v>23177</v>
      </c>
      <c r="AG125" s="740">
        <f ca="1">Consol!P105</f>
        <v>76224.856098292337</v>
      </c>
      <c r="AH125" s="740">
        <f ca="1">Consol!Q105</f>
        <v>46148.822469053994</v>
      </c>
      <c r="AI125" s="740">
        <f ca="1">Consol!R105</f>
        <v>7392.816306153225</v>
      </c>
      <c r="AJ125" s="740">
        <f ca="1">Consol!S105</f>
        <v>3310.0258362289778</v>
      </c>
    </row>
    <row r="126" spans="1:36" x14ac:dyDescent="0.25">
      <c r="A126" s="703" t="s">
        <v>1253</v>
      </c>
      <c r="B126" s="737" t="str">
        <f>IF(IF(D126="+",MIN(H126:IU126)&gt;=0,IF(D126="-",MAX(H126:IU126)&lt;=0,TRUE)),"",1)</f>
        <v/>
      </c>
      <c r="C126" s="705" t="s">
        <v>1036</v>
      </c>
      <c r="D126" s="738" t="s">
        <v>1109</v>
      </c>
      <c r="E126" s="739" t="s">
        <v>1254</v>
      </c>
      <c r="F126" s="705" t="s">
        <v>1077</v>
      </c>
      <c r="M126" s="740"/>
      <c r="N126" s="740"/>
      <c r="O126" s="740"/>
      <c r="P126" s="740"/>
      <c r="Q126" s="740"/>
      <c r="R126" s="740"/>
      <c r="S126" s="740"/>
      <c r="T126" s="740"/>
      <c r="U126" s="740"/>
      <c r="V126" s="740"/>
      <c r="W126" s="740"/>
      <c r="X126" s="740">
        <f>+Consol!G106+Consol!G107</f>
        <v>4276.1490000000003</v>
      </c>
      <c r="Y126" s="740">
        <f>+Consol!H106+Consol!H107</f>
        <v>5884.1149999999998</v>
      </c>
      <c r="Z126" s="740">
        <f>+Consol!I106+Consol!I107</f>
        <v>7741.253999999999</v>
      </c>
      <c r="AA126" s="740">
        <f>+Consol!J106+Consol!J107</f>
        <v>5567.84</v>
      </c>
      <c r="AB126" s="740">
        <f>+Consol!K106+Consol!K107</f>
        <v>6112.7199999999993</v>
      </c>
      <c r="AC126" s="740">
        <f>+Consol!L106+Consol!L107</f>
        <v>3495.4399999999996</v>
      </c>
      <c r="AD126" s="740">
        <f>+Consol!M106+Consol!M107</f>
        <v>2895.9</v>
      </c>
      <c r="AE126" s="740">
        <f>+Consol!N106+Consol!N107</f>
        <v>5539.2</v>
      </c>
      <c r="AF126" s="740">
        <f>+Consol!O106+Consol!O107</f>
        <v>8974.2000000000007</v>
      </c>
      <c r="AG126" s="740">
        <f>+Consol!P106+Consol!P107</f>
        <v>8974.2000000000007</v>
      </c>
      <c r="AH126" s="740">
        <f>+Consol!Q106+Consol!Q107</f>
        <v>8974.2000000000007</v>
      </c>
      <c r="AI126" s="740">
        <f>+Consol!R106+Consol!R107</f>
        <v>8974.2000000000007</v>
      </c>
      <c r="AJ126" s="740">
        <f>+Consol!S106+Consol!S107</f>
        <v>8974.2000000000007</v>
      </c>
    </row>
    <row r="127" spans="1:36" x14ac:dyDescent="0.25">
      <c r="A127" s="703" t="s">
        <v>1255</v>
      </c>
      <c r="B127" s="737" t="str">
        <f>IF(IF(D127="+",MIN(H127:IU127)&gt;=0,IF(D127="-",MAX(H127:IU127)&lt;=0,TRUE)),"",1)</f>
        <v/>
      </c>
      <c r="C127" s="705" t="s">
        <v>1036</v>
      </c>
      <c r="D127" s="738" t="s">
        <v>1109</v>
      </c>
      <c r="E127" s="739" t="s">
        <v>1256</v>
      </c>
      <c r="F127" s="705" t="s">
        <v>1077</v>
      </c>
      <c r="M127" s="740"/>
      <c r="N127" s="740"/>
      <c r="O127" s="740"/>
      <c r="P127" s="740"/>
      <c r="Q127" s="740"/>
      <c r="R127" s="740"/>
      <c r="S127" s="740"/>
      <c r="T127" s="740"/>
      <c r="U127" s="740"/>
      <c r="V127" s="740"/>
      <c r="W127" s="740"/>
      <c r="X127" s="740"/>
      <c r="Y127" s="740"/>
      <c r="Z127" s="740"/>
      <c r="AA127" s="740"/>
      <c r="AB127" s="740"/>
      <c r="AC127" s="740"/>
      <c r="AD127" s="740"/>
      <c r="AE127" s="740"/>
      <c r="AF127" s="740"/>
      <c r="AG127" s="740"/>
      <c r="AH127" s="740"/>
      <c r="AI127" s="740"/>
      <c r="AJ127" s="740"/>
    </row>
    <row r="128" spans="1:36" s="747" customFormat="1" x14ac:dyDescent="0.25">
      <c r="A128" s="741" t="s">
        <v>1257</v>
      </c>
      <c r="B128" s="742"/>
      <c r="C128" s="743" t="s">
        <v>1038</v>
      </c>
      <c r="D128" s="744" t="s">
        <v>1114</v>
      </c>
      <c r="E128" s="745" t="s">
        <v>95</v>
      </c>
      <c r="F128" s="743" t="s">
        <v>1077</v>
      </c>
      <c r="G128" s="743"/>
      <c r="H128" s="743"/>
      <c r="I128" s="743"/>
      <c r="J128" s="743"/>
      <c r="K128" s="743"/>
      <c r="L128" s="743"/>
      <c r="M128" s="746"/>
      <c r="N128" s="746"/>
      <c r="O128" s="746"/>
      <c r="P128" s="746"/>
      <c r="Q128" s="746">
        <f t="shared" ref="Q128:AG128" si="68">SUM(Q123:Q127)</f>
        <v>0</v>
      </c>
      <c r="R128" s="746">
        <f t="shared" si="68"/>
        <v>0</v>
      </c>
      <c r="S128" s="746">
        <f t="shared" si="68"/>
        <v>0</v>
      </c>
      <c r="T128" s="746">
        <f t="shared" si="68"/>
        <v>0</v>
      </c>
      <c r="U128" s="746">
        <f t="shared" si="68"/>
        <v>0</v>
      </c>
      <c r="V128" s="746">
        <f t="shared" si="68"/>
        <v>0</v>
      </c>
      <c r="W128" s="746">
        <f t="shared" si="68"/>
        <v>0</v>
      </c>
      <c r="X128" s="746">
        <f t="shared" si="68"/>
        <v>11002.752</v>
      </c>
      <c r="Y128" s="746">
        <f t="shared" si="68"/>
        <v>11565.255999999999</v>
      </c>
      <c r="Z128" s="746">
        <f t="shared" si="68"/>
        <v>15640.736999999997</v>
      </c>
      <c r="AA128" s="746">
        <f t="shared" si="68"/>
        <v>14025.68</v>
      </c>
      <c r="AB128" s="746">
        <f t="shared" si="68"/>
        <v>23362.58</v>
      </c>
      <c r="AC128" s="746">
        <f t="shared" si="68"/>
        <v>24857.19</v>
      </c>
      <c r="AD128" s="746">
        <f t="shared" si="68"/>
        <v>51683.4</v>
      </c>
      <c r="AE128" s="746">
        <f t="shared" si="68"/>
        <v>39788.199999999997</v>
      </c>
      <c r="AF128" s="746">
        <f t="shared" ref="AF128" si="69">SUM(AF123:AF127)</f>
        <v>44204.399999999994</v>
      </c>
      <c r="AG128" s="746">
        <f t="shared" ca="1" si="68"/>
        <v>101064.92407738641</v>
      </c>
      <c r="AH128" s="746">
        <f t="shared" ref="AH128:AI128" ca="1" si="70">SUM(AH123:AH127)</f>
        <v>78041.030358851538</v>
      </c>
      <c r="AI128" s="746">
        <f t="shared" ca="1" si="70"/>
        <v>45139.146701950493</v>
      </c>
      <c r="AJ128" s="746">
        <f t="shared" ref="AJ128" ca="1" si="71">SUM(AJ123:AJ127)</f>
        <v>47865.377746904021</v>
      </c>
    </row>
    <row r="129" spans="1:36" x14ac:dyDescent="0.25">
      <c r="A129" s="703" t="s">
        <v>1258</v>
      </c>
      <c r="B129" s="737" t="str">
        <f ca="1">IF(IF(D129="+",MIN(H129:IU129)&gt;=0,IF(D129="-",MAX(H129:IU129)&lt;=0,TRUE)),"",1)</f>
        <v/>
      </c>
      <c r="C129" s="705" t="s">
        <v>1036</v>
      </c>
      <c r="D129" s="738" t="s">
        <v>1109</v>
      </c>
      <c r="E129" s="739" t="s">
        <v>1259</v>
      </c>
      <c r="F129" s="705" t="s">
        <v>1077</v>
      </c>
      <c r="M129" s="740"/>
      <c r="N129" s="740"/>
      <c r="O129" s="740"/>
      <c r="P129" s="740"/>
      <c r="Q129" s="740"/>
      <c r="R129" s="740"/>
      <c r="S129" s="740"/>
      <c r="T129" s="740"/>
      <c r="U129" s="740"/>
      <c r="V129" s="740"/>
      <c r="W129" s="740"/>
      <c r="X129" s="740">
        <f>Consol!G110</f>
        <v>1557.5930000000001</v>
      </c>
      <c r="Y129" s="740">
        <f>Consol!H110</f>
        <v>72.292000000000002</v>
      </c>
      <c r="Z129" s="740">
        <f>Consol!I110</f>
        <v>798.673</v>
      </c>
      <c r="AA129" s="740">
        <f>Consol!J110</f>
        <v>2151.4</v>
      </c>
      <c r="AB129" s="740">
        <f>Consol!K110</f>
        <v>2747.91</v>
      </c>
      <c r="AC129" s="740">
        <f>Consol!L110</f>
        <v>3015.85</v>
      </c>
      <c r="AD129" s="740">
        <f>Consol!M110</f>
        <v>3562.2</v>
      </c>
      <c r="AE129" s="740">
        <f>Consol!N110</f>
        <v>3493.6</v>
      </c>
      <c r="AF129" s="740">
        <f>Consol!O110</f>
        <v>3744.8999999999996</v>
      </c>
      <c r="AG129" s="740">
        <f ca="1">Consol!P110</f>
        <v>5094.4458666820492</v>
      </c>
      <c r="AH129" s="740">
        <f ca="1">Consol!Q110</f>
        <v>7590.647036030854</v>
      </c>
      <c r="AI129" s="740">
        <f ca="1">Consol!R110</f>
        <v>11269.201200767035</v>
      </c>
      <c r="AJ129" s="740">
        <f ca="1">Consol!S110</f>
        <v>14719.769397051699</v>
      </c>
    </row>
    <row r="130" spans="1:36" x14ac:dyDescent="0.25">
      <c r="A130" s="703" t="s">
        <v>1260</v>
      </c>
      <c r="B130" s="737" t="str">
        <f>IF(IF(D130="+",MIN(H130:IU130)&gt;=0,IF(D130="-",MAX(H130:IU130)&lt;=0,TRUE)),"",1)</f>
        <v/>
      </c>
      <c r="C130" s="705" t="s">
        <v>1036</v>
      </c>
      <c r="D130" s="738" t="s">
        <v>1109</v>
      </c>
      <c r="E130" s="739" t="s">
        <v>1261</v>
      </c>
      <c r="F130" s="705" t="s">
        <v>1077</v>
      </c>
      <c r="M130" s="740"/>
      <c r="N130" s="740"/>
      <c r="O130" s="740"/>
      <c r="P130" s="740"/>
      <c r="Q130" s="740"/>
      <c r="R130" s="740"/>
      <c r="S130" s="740"/>
      <c r="T130" s="740"/>
      <c r="U130" s="740"/>
      <c r="V130" s="740"/>
      <c r="W130" s="740"/>
      <c r="X130" s="740">
        <f>Consol!G111</f>
        <v>3741.5480000000002</v>
      </c>
      <c r="Y130" s="740">
        <f>Consol!H111</f>
        <v>5100.9589999999998</v>
      </c>
      <c r="Z130" s="740">
        <f>Consol!I111</f>
        <v>7022.2509999999993</v>
      </c>
      <c r="AA130" s="740">
        <f>Consol!J111</f>
        <v>2011.67</v>
      </c>
      <c r="AB130" s="740">
        <f>Consol!K111</f>
        <v>3160.1</v>
      </c>
      <c r="AC130" s="740">
        <f>Consol!L111</f>
        <v>2596.2600000000002</v>
      </c>
      <c r="AD130" s="740">
        <f>Consol!M111</f>
        <v>2556.6000000000004</v>
      </c>
      <c r="AE130" s="740">
        <f>Consol!N111</f>
        <v>7877.5999999999995</v>
      </c>
      <c r="AF130" s="740">
        <f>Consol!O111</f>
        <v>10941.699999999999</v>
      </c>
      <c r="AG130" s="740">
        <f>Consol!P111</f>
        <v>10941.699999999999</v>
      </c>
      <c r="AH130" s="740">
        <f>Consol!Q111</f>
        <v>10941.699999999999</v>
      </c>
      <c r="AI130" s="740">
        <f>Consol!R111</f>
        <v>10941.699999999999</v>
      </c>
      <c r="AJ130" s="740">
        <f>Consol!S111</f>
        <v>10941.699999999999</v>
      </c>
    </row>
    <row r="131" spans="1:36" x14ac:dyDescent="0.25">
      <c r="A131" s="703" t="s">
        <v>1262</v>
      </c>
      <c r="B131" s="737" t="str">
        <f>IF(IF(D131="+",MIN(H131:IU131)&gt;=0,IF(D131="-",MAX(H131:IU131)&lt;=0,TRUE)),"",1)</f>
        <v/>
      </c>
      <c r="C131" s="705" t="s">
        <v>1036</v>
      </c>
      <c r="D131" s="738" t="s">
        <v>1109</v>
      </c>
      <c r="E131" s="739" t="s">
        <v>1140</v>
      </c>
      <c r="F131" s="705" t="s">
        <v>1077</v>
      </c>
      <c r="M131" s="740"/>
      <c r="N131" s="740"/>
      <c r="O131" s="740"/>
      <c r="P131" s="740"/>
      <c r="Q131" s="740"/>
      <c r="R131" s="740"/>
      <c r="S131" s="740"/>
      <c r="T131" s="740"/>
      <c r="U131" s="740"/>
      <c r="V131" s="740"/>
      <c r="W131" s="740"/>
      <c r="X131" s="740">
        <f>Consol!G112</f>
        <v>5.7069999999999999</v>
      </c>
      <c r="Y131" s="740">
        <f>Consol!H112</f>
        <v>5.6479999999999997</v>
      </c>
      <c r="Z131" s="740">
        <f>Consol!I112</f>
        <v>6.5129999999999999</v>
      </c>
      <c r="AA131" s="740">
        <f>Consol!J112</f>
        <v>15.21</v>
      </c>
      <c r="AB131" s="740">
        <f>Consol!K112</f>
        <v>17.62</v>
      </c>
      <c r="AC131" s="740">
        <f>Consol!L112</f>
        <v>46.21</v>
      </c>
      <c r="AD131" s="740">
        <f>Consol!M112</f>
        <v>52.9</v>
      </c>
      <c r="AE131" s="740">
        <f>Consol!N112</f>
        <v>152.5</v>
      </c>
      <c r="AF131" s="740">
        <f>Consol!O112</f>
        <v>211.9</v>
      </c>
      <c r="AG131" s="740">
        <f>Consol!P112</f>
        <v>211.9</v>
      </c>
      <c r="AH131" s="740">
        <f>Consol!Q112</f>
        <v>211.9</v>
      </c>
      <c r="AI131" s="740">
        <f>Consol!R112</f>
        <v>211.9</v>
      </c>
      <c r="AJ131" s="740">
        <f>Consol!S112</f>
        <v>211.9</v>
      </c>
    </row>
    <row r="132" spans="1:36" s="747" customFormat="1" x14ac:dyDescent="0.25">
      <c r="A132" s="741" t="s">
        <v>1263</v>
      </c>
      <c r="B132" s="742"/>
      <c r="C132" s="743" t="s">
        <v>1038</v>
      </c>
      <c r="D132" s="744" t="s">
        <v>1114</v>
      </c>
      <c r="E132" s="745" t="s">
        <v>99</v>
      </c>
      <c r="F132" s="743" t="s">
        <v>1077</v>
      </c>
      <c r="G132" s="743"/>
      <c r="H132" s="743"/>
      <c r="I132" s="743"/>
      <c r="J132" s="743"/>
      <c r="K132" s="743"/>
      <c r="L132" s="743"/>
      <c r="M132" s="746"/>
      <c r="N132" s="746"/>
      <c r="O132" s="746"/>
      <c r="P132" s="746"/>
      <c r="Q132" s="746">
        <f t="shared" ref="Q132:AG132" si="72">SUM(Q129:Q131)</f>
        <v>0</v>
      </c>
      <c r="R132" s="746">
        <f t="shared" si="72"/>
        <v>0</v>
      </c>
      <c r="S132" s="746">
        <f t="shared" si="72"/>
        <v>0</v>
      </c>
      <c r="T132" s="746">
        <f t="shared" si="72"/>
        <v>0</v>
      </c>
      <c r="U132" s="746">
        <f t="shared" si="72"/>
        <v>0</v>
      </c>
      <c r="V132" s="746">
        <f t="shared" si="72"/>
        <v>0</v>
      </c>
      <c r="W132" s="746">
        <f t="shared" si="72"/>
        <v>0</v>
      </c>
      <c r="X132" s="746">
        <f t="shared" si="72"/>
        <v>5304.8480000000009</v>
      </c>
      <c r="Y132" s="746">
        <f t="shared" si="72"/>
        <v>5178.8990000000003</v>
      </c>
      <c r="Z132" s="746">
        <f t="shared" si="72"/>
        <v>7827.436999999999</v>
      </c>
      <c r="AA132" s="746">
        <f t="shared" si="72"/>
        <v>4178.28</v>
      </c>
      <c r="AB132" s="746">
        <f t="shared" si="72"/>
        <v>5925.63</v>
      </c>
      <c r="AC132" s="746">
        <f t="shared" si="72"/>
        <v>5658.3200000000006</v>
      </c>
      <c r="AD132" s="746">
        <f t="shared" si="72"/>
        <v>6171.7</v>
      </c>
      <c r="AE132" s="746">
        <f t="shared" si="72"/>
        <v>11523.699999999999</v>
      </c>
      <c r="AF132" s="746">
        <f t="shared" ref="AF132" si="73">SUM(AF129:AF131)</f>
        <v>14898.499999999998</v>
      </c>
      <c r="AG132" s="746">
        <f t="shared" ca="1" si="72"/>
        <v>16248.045866682047</v>
      </c>
      <c r="AH132" s="746">
        <f t="shared" ref="AH132:AI132" ca="1" si="74">SUM(AH129:AH131)</f>
        <v>18744.247036030854</v>
      </c>
      <c r="AI132" s="746">
        <f t="shared" ca="1" si="74"/>
        <v>22422.801200767033</v>
      </c>
      <c r="AJ132" s="746">
        <f t="shared" ref="AJ132" ca="1" si="75">SUM(AJ129:AJ131)</f>
        <v>25873.369397051698</v>
      </c>
    </row>
    <row r="133" spans="1:36" x14ac:dyDescent="0.25">
      <c r="A133" s="703" t="s">
        <v>1215</v>
      </c>
      <c r="B133" s="737" t="str">
        <f>IF(IF(D133="+",MIN(H133:IU133)&gt;=0,IF(D133="-",MAX(H133:IU133)&lt;=0,TRUE)),"",1)</f>
        <v/>
      </c>
      <c r="C133" s="705" t="s">
        <v>1036</v>
      </c>
      <c r="D133" s="738" t="s">
        <v>1159</v>
      </c>
      <c r="E133" s="739" t="s">
        <v>1264</v>
      </c>
      <c r="F133" s="705" t="s">
        <v>1077</v>
      </c>
      <c r="M133" s="740"/>
      <c r="N133" s="740"/>
      <c r="O133" s="740"/>
      <c r="P133" s="740"/>
      <c r="Q133" s="740"/>
      <c r="R133" s="740"/>
      <c r="S133" s="740"/>
      <c r="T133" s="740"/>
      <c r="U133" s="740"/>
      <c r="V133" s="740"/>
      <c r="W133" s="740"/>
      <c r="X133" s="740"/>
      <c r="Y133" s="740"/>
      <c r="Z133" s="740"/>
      <c r="AA133" s="740"/>
      <c r="AB133" s="740"/>
      <c r="AC133" s="740"/>
      <c r="AD133" s="740"/>
      <c r="AE133" s="740"/>
      <c r="AF133" s="740"/>
      <c r="AG133" s="740"/>
      <c r="AH133" s="740"/>
      <c r="AI133" s="740"/>
      <c r="AJ133" s="740"/>
    </row>
    <row r="134" spans="1:36" x14ac:dyDescent="0.25">
      <c r="A134" s="703" t="s">
        <v>1265</v>
      </c>
      <c r="B134" s="737" t="str">
        <f>IF(IF(D134="+",MIN(H134:IU134)&gt;=0,IF(D134="-",MAX(H134:IU134)&lt;=0,TRUE)),"",1)</f>
        <v/>
      </c>
      <c r="C134" s="705" t="s">
        <v>1036</v>
      </c>
      <c r="D134" s="738" t="s">
        <v>1109</v>
      </c>
      <c r="E134" s="739" t="s">
        <v>1266</v>
      </c>
      <c r="F134" s="705" t="s">
        <v>1077</v>
      </c>
      <c r="M134" s="740"/>
      <c r="N134" s="740"/>
      <c r="O134" s="740"/>
      <c r="P134" s="740"/>
      <c r="Q134" s="740"/>
      <c r="R134" s="740"/>
      <c r="S134" s="740"/>
      <c r="T134" s="740"/>
      <c r="U134" s="740"/>
      <c r="V134" s="740"/>
      <c r="W134" s="740"/>
      <c r="X134" s="740"/>
      <c r="Y134" s="740"/>
      <c r="Z134" s="740"/>
      <c r="AA134" s="740"/>
      <c r="AB134" s="740"/>
      <c r="AC134" s="740"/>
      <c r="AD134" s="740"/>
      <c r="AE134" s="740"/>
      <c r="AF134" s="740"/>
      <c r="AG134" s="740"/>
      <c r="AH134" s="740"/>
      <c r="AI134" s="740"/>
      <c r="AJ134" s="740"/>
    </row>
    <row r="135" spans="1:36" s="747" customFormat="1" x14ac:dyDescent="0.25">
      <c r="A135" s="748" t="s">
        <v>1267</v>
      </c>
      <c r="B135" s="742"/>
      <c r="C135" s="747" t="s">
        <v>1038</v>
      </c>
      <c r="D135" s="744" t="s">
        <v>1114</v>
      </c>
      <c r="E135" s="756" t="s">
        <v>101</v>
      </c>
      <c r="F135" s="743" t="s">
        <v>1077</v>
      </c>
      <c r="G135" s="743"/>
      <c r="H135" s="755"/>
      <c r="I135" s="755"/>
      <c r="J135" s="755"/>
      <c r="K135" s="755"/>
      <c r="L135" s="755"/>
      <c r="M135" s="755"/>
      <c r="N135" s="757"/>
      <c r="O135" s="757"/>
      <c r="P135" s="746"/>
      <c r="Q135" s="746">
        <f t="shared" ref="Q135:AH135" si="76">+Q122+Q117+Q112+Q121+Q115</f>
        <v>0</v>
      </c>
      <c r="R135" s="746">
        <f t="shared" si="76"/>
        <v>0</v>
      </c>
      <c r="S135" s="746">
        <f t="shared" si="76"/>
        <v>0</v>
      </c>
      <c r="T135" s="746">
        <f t="shared" si="76"/>
        <v>0</v>
      </c>
      <c r="U135" s="746">
        <f t="shared" si="76"/>
        <v>0</v>
      </c>
      <c r="V135" s="746">
        <f t="shared" si="76"/>
        <v>0</v>
      </c>
      <c r="W135" s="746">
        <f t="shared" si="76"/>
        <v>0</v>
      </c>
      <c r="X135" s="746">
        <f t="shared" si="76"/>
        <v>47283.894999999997</v>
      </c>
      <c r="Y135" s="746">
        <f t="shared" si="76"/>
        <v>53097.705999999998</v>
      </c>
      <c r="Z135" s="746">
        <f t="shared" si="76"/>
        <v>60771.343000000008</v>
      </c>
      <c r="AA135" s="746">
        <f t="shared" si="76"/>
        <v>78367.25</v>
      </c>
      <c r="AB135" s="746">
        <f t="shared" si="76"/>
        <v>88369.043000000005</v>
      </c>
      <c r="AC135" s="746">
        <f t="shared" si="76"/>
        <v>88848.256999999998</v>
      </c>
      <c r="AD135" s="746">
        <f t="shared" si="76"/>
        <v>132103.80000000002</v>
      </c>
      <c r="AE135" s="746">
        <f t="shared" si="76"/>
        <v>157761.20000000001</v>
      </c>
      <c r="AF135" s="746">
        <f t="shared" ref="AF135" si="77">+AF122+AF117+AF112+AF121+AF115</f>
        <v>188686</v>
      </c>
      <c r="AG135" s="746">
        <f t="shared" ca="1" si="76"/>
        <v>309131.61232251104</v>
      </c>
      <c r="AH135" s="746">
        <f t="shared" ca="1" si="76"/>
        <v>360212.95834060747</v>
      </c>
      <c r="AI135" s="746">
        <f t="shared" ref="AI135:AJ135" ca="1" si="78">+AI122+AI117+AI112+AI121+AI115</f>
        <v>386390.88974714756</v>
      </c>
      <c r="AJ135" s="746">
        <f t="shared" ca="1" si="78"/>
        <v>428437.41027485224</v>
      </c>
    </row>
    <row r="136" spans="1:36" s="763" customFormat="1" x14ac:dyDescent="0.25">
      <c r="A136" s="758"/>
      <c r="B136" s="759" t="str">
        <f ca="1">IF(IF(D136="+",MIN(H136:IU136)&gt;=0,IF(D136="-",MAX(H136:IU136)&lt;=0,TRUE)),"",1)</f>
        <v/>
      </c>
      <c r="C136" s="758" t="s">
        <v>1038</v>
      </c>
      <c r="D136" s="760" t="s">
        <v>1109</v>
      </c>
      <c r="E136" s="761" t="s">
        <v>1268</v>
      </c>
      <c r="F136" s="758"/>
      <c r="G136" s="758"/>
      <c r="H136" s="762"/>
      <c r="I136" s="762"/>
      <c r="J136" s="762"/>
      <c r="K136" s="762"/>
      <c r="L136" s="762"/>
      <c r="M136" s="762"/>
      <c r="N136" s="762"/>
      <c r="O136" s="762"/>
      <c r="P136" s="762"/>
      <c r="Q136" s="762">
        <f t="shared" ref="Q136:AH136" si="79">IF(ABS(Q135-Q105)&lt;=0.49,0,-1)</f>
        <v>0</v>
      </c>
      <c r="R136" s="762">
        <f t="shared" si="79"/>
        <v>0</v>
      </c>
      <c r="S136" s="762">
        <f t="shared" si="79"/>
        <v>0</v>
      </c>
      <c r="T136" s="762">
        <f t="shared" si="79"/>
        <v>0</v>
      </c>
      <c r="U136" s="762">
        <f t="shared" si="79"/>
        <v>0</v>
      </c>
      <c r="V136" s="762">
        <f t="shared" si="79"/>
        <v>0</v>
      </c>
      <c r="W136" s="762">
        <f t="shared" si="79"/>
        <v>0</v>
      </c>
      <c r="X136" s="762">
        <f t="shared" si="79"/>
        <v>0</v>
      </c>
      <c r="Y136" s="762">
        <f t="shared" si="79"/>
        <v>0</v>
      </c>
      <c r="Z136" s="762">
        <f t="shared" si="79"/>
        <v>0</v>
      </c>
      <c r="AA136" s="762">
        <f t="shared" si="79"/>
        <v>0</v>
      </c>
      <c r="AB136" s="762">
        <f t="shared" si="79"/>
        <v>0</v>
      </c>
      <c r="AC136" s="762">
        <f t="shared" si="79"/>
        <v>0</v>
      </c>
      <c r="AD136" s="762">
        <f t="shared" si="79"/>
        <v>0</v>
      </c>
      <c r="AE136" s="762">
        <f t="shared" si="79"/>
        <v>0</v>
      </c>
      <c r="AF136" s="762">
        <f t="shared" ref="AF136" si="80">IF(ABS(AF135-AF105)&lt;=0.49,0,-1)</f>
        <v>0</v>
      </c>
      <c r="AG136" s="762">
        <f t="shared" ca="1" si="79"/>
        <v>0</v>
      </c>
      <c r="AH136" s="762">
        <f t="shared" ca="1" si="79"/>
        <v>0</v>
      </c>
      <c r="AI136" s="762">
        <f t="shared" ref="AI136:AJ136" ca="1" si="81">IF(ABS(AI135-AI105)&lt;=0.49,0,-1)</f>
        <v>0</v>
      </c>
      <c r="AJ136" s="762">
        <f t="shared" ca="1" si="81"/>
        <v>0</v>
      </c>
    </row>
    <row r="137" spans="1:36" x14ac:dyDescent="0.25">
      <c r="B137" s="759" t="str">
        <f>IF(IF(D137="+",MIN(H137:IU137)&gt;=0,IF(D137="-",MAX(H137:IU137)&lt;=0,TRUE)),"",1)</f>
        <v/>
      </c>
      <c r="D137" s="760" t="s">
        <v>1109</v>
      </c>
      <c r="H137" s="755"/>
      <c r="I137" s="755"/>
      <c r="J137" s="755"/>
      <c r="K137" s="755"/>
      <c r="L137" s="755"/>
      <c r="M137" s="755"/>
      <c r="N137" s="757"/>
      <c r="O137" s="757"/>
      <c r="P137" s="746"/>
      <c r="Q137" s="746"/>
      <c r="R137" s="746"/>
      <c r="S137" s="746"/>
      <c r="T137" s="746"/>
      <c r="U137" s="746"/>
      <c r="V137" s="746"/>
      <c r="W137" s="746"/>
      <c r="X137" s="746"/>
      <c r="Y137" s="746"/>
      <c r="Z137" s="746"/>
      <c r="AA137" s="746"/>
      <c r="AB137" s="746"/>
      <c r="AC137" s="746"/>
      <c r="AD137" s="746"/>
      <c r="AE137" s="746"/>
      <c r="AF137" s="746"/>
      <c r="AG137" s="746"/>
      <c r="AH137" s="746"/>
      <c r="AI137" s="746"/>
      <c r="AJ137" s="746"/>
    </row>
    <row r="138" spans="1:36" x14ac:dyDescent="0.25">
      <c r="E138" s="736" t="s">
        <v>1269</v>
      </c>
    </row>
    <row r="139" spans="1:36" x14ac:dyDescent="0.25">
      <c r="A139" s="749" t="s">
        <v>1270</v>
      </c>
      <c r="B139" s="737" t="str">
        <f>IF(IF(D139="+",MIN(H139:IU139)&gt;=0,IF(D139="-",MAX(H139:IU139)&lt;=0,TRUE)),"",1)</f>
        <v/>
      </c>
      <c r="C139" s="705" t="s">
        <v>1036</v>
      </c>
      <c r="D139" s="738" t="s">
        <v>1159</v>
      </c>
      <c r="E139" s="764" t="s">
        <v>1271</v>
      </c>
      <c r="F139" s="705" t="s">
        <v>1077</v>
      </c>
      <c r="L139" s="740"/>
      <c r="M139" s="740"/>
      <c r="N139" s="740"/>
      <c r="O139" s="740"/>
      <c r="P139" s="740"/>
      <c r="Q139" s="740"/>
      <c r="R139" s="740"/>
      <c r="S139" s="740"/>
      <c r="T139" s="740"/>
      <c r="U139" s="740"/>
      <c r="V139" s="740"/>
      <c r="W139" s="740"/>
      <c r="X139" s="740">
        <f>Consol!G131</f>
        <v>6965.418999999999</v>
      </c>
      <c r="Y139" s="740">
        <f>Consol!H131</f>
        <v>6467.0549999999994</v>
      </c>
      <c r="Z139" s="740">
        <f>Consol!I131</f>
        <v>6733.6250000000009</v>
      </c>
      <c r="AA139" s="740">
        <f>Consol!J131</f>
        <v>8730.8199999999979</v>
      </c>
      <c r="AB139" s="740">
        <f>Consol!K131</f>
        <v>11907.630000000001</v>
      </c>
      <c r="AC139" s="740">
        <f>Consol!L131</f>
        <v>17827.059999999998</v>
      </c>
      <c r="AD139" s="740">
        <f>Consol!M131</f>
        <v>21648.6</v>
      </c>
      <c r="AE139" s="740">
        <f>Consol!N131</f>
        <v>23699.799999999996</v>
      </c>
      <c r="AF139" s="740">
        <f>Consol!O131</f>
        <v>26884.700000000004</v>
      </c>
      <c r="AG139" s="740">
        <f ca="1">Consol!P131</f>
        <v>33289.122807056643</v>
      </c>
      <c r="AH139" s="740">
        <f ca="1">Consol!Q131</f>
        <v>51771.962945951789</v>
      </c>
      <c r="AI139" s="740">
        <f ca="1">Consol!R131</f>
        <v>60845.876911643245</v>
      </c>
      <c r="AJ139" s="740">
        <f ca="1">Consol!S131</f>
        <v>77101.099381405278</v>
      </c>
    </row>
    <row r="140" spans="1:36" x14ac:dyDescent="0.25">
      <c r="A140" s="749" t="s">
        <v>1272</v>
      </c>
      <c r="B140" s="737" t="str">
        <f>IF(IF(D140="+",MIN(H140:IU140)&gt;=0,IF(D140="-",MAX(H140:IU140)&lt;=0,TRUE)),"",1)</f>
        <v/>
      </c>
      <c r="C140" s="705" t="s">
        <v>1036</v>
      </c>
      <c r="D140" s="738" t="s">
        <v>1159</v>
      </c>
      <c r="E140" s="739" t="s">
        <v>1273</v>
      </c>
      <c r="F140" s="705" t="s">
        <v>1077</v>
      </c>
      <c r="L140" s="740"/>
      <c r="M140" s="740"/>
      <c r="N140" s="740"/>
      <c r="O140" s="740"/>
      <c r="P140" s="740"/>
      <c r="Q140" s="740"/>
      <c r="R140" s="740"/>
      <c r="S140" s="740"/>
      <c r="T140" s="740"/>
      <c r="U140" s="740"/>
      <c r="V140" s="740"/>
      <c r="W140" s="740"/>
      <c r="X140" s="740"/>
      <c r="Y140" s="740"/>
      <c r="Z140" s="740"/>
      <c r="AA140" s="740"/>
      <c r="AB140" s="740"/>
      <c r="AC140" s="740"/>
      <c r="AD140" s="740"/>
      <c r="AE140" s="740"/>
      <c r="AF140" s="740"/>
      <c r="AG140" s="740"/>
      <c r="AH140" s="740"/>
      <c r="AI140" s="740"/>
      <c r="AJ140" s="740"/>
    </row>
    <row r="141" spans="1:36" x14ac:dyDescent="0.25">
      <c r="A141" s="749" t="s">
        <v>1274</v>
      </c>
      <c r="B141" s="737" t="str">
        <f>IF(IF(D141="+",MIN(H141:IU141)&gt;=0,IF(D141="-",MAX(H141:IU141)&lt;=0,TRUE)),"",1)</f>
        <v/>
      </c>
      <c r="C141" s="705" t="s">
        <v>1036</v>
      </c>
      <c r="D141" s="738" t="s">
        <v>1159</v>
      </c>
      <c r="E141" s="739" t="s">
        <v>1275</v>
      </c>
      <c r="F141" s="705" t="s">
        <v>1077</v>
      </c>
      <c r="L141" s="740"/>
      <c r="M141" s="740"/>
      <c r="N141" s="740"/>
      <c r="O141" s="740"/>
      <c r="P141" s="740"/>
      <c r="Q141" s="740"/>
      <c r="R141" s="740"/>
      <c r="S141" s="740"/>
      <c r="T141" s="740"/>
      <c r="U141" s="740"/>
      <c r="V141" s="740"/>
      <c r="W141" s="740"/>
      <c r="X141" s="740"/>
      <c r="Y141" s="740"/>
      <c r="Z141" s="740"/>
      <c r="AA141" s="740"/>
      <c r="AB141" s="740"/>
      <c r="AC141" s="740"/>
      <c r="AD141" s="740"/>
      <c r="AE141" s="740"/>
      <c r="AF141" s="740"/>
      <c r="AG141" s="740"/>
      <c r="AH141" s="740"/>
      <c r="AI141" s="740"/>
      <c r="AJ141" s="740"/>
    </row>
    <row r="142" spans="1:36" x14ac:dyDescent="0.25">
      <c r="A142" s="749" t="s">
        <v>1276</v>
      </c>
      <c r="B142" s="737" t="str">
        <f>IF(IF(D142="+",MIN(H142:IU142)&gt;=0,IF(D142="-",MAX(H142:IU142)&lt;=0,TRUE)),"",1)</f>
        <v/>
      </c>
      <c r="C142" s="705" t="s">
        <v>1036</v>
      </c>
      <c r="D142" s="738" t="s">
        <v>1159</v>
      </c>
      <c r="E142" s="739" t="s">
        <v>1277</v>
      </c>
      <c r="F142" s="705" t="s">
        <v>1077</v>
      </c>
      <c r="L142" s="740"/>
      <c r="M142" s="740"/>
      <c r="N142" s="740"/>
      <c r="O142" s="740"/>
      <c r="P142" s="740"/>
      <c r="Q142" s="740"/>
      <c r="R142" s="740"/>
      <c r="S142" s="740"/>
      <c r="T142" s="740"/>
      <c r="U142" s="740"/>
      <c r="V142" s="740"/>
      <c r="W142" s="740"/>
      <c r="X142" s="740"/>
      <c r="Y142" s="740"/>
      <c r="Z142" s="740"/>
      <c r="AA142" s="740"/>
      <c r="AB142" s="740"/>
      <c r="AC142" s="740"/>
      <c r="AD142" s="740"/>
      <c r="AE142" s="740"/>
      <c r="AF142" s="740"/>
      <c r="AG142" s="740"/>
      <c r="AH142" s="740"/>
      <c r="AI142" s="740"/>
      <c r="AJ142" s="740"/>
    </row>
    <row r="143" spans="1:36" x14ac:dyDescent="0.25">
      <c r="A143" s="749" t="s">
        <v>1278</v>
      </c>
      <c r="B143" s="737" t="str">
        <f>IF(IF(D143="+",MIN(H143:IU143)&gt;=0,IF(D143="-",MAX(H143:IU143)&lt;=0,TRUE)),"",1)</f>
        <v/>
      </c>
      <c r="C143" s="705" t="s">
        <v>1036</v>
      </c>
      <c r="D143" s="738" t="s">
        <v>1159</v>
      </c>
      <c r="E143" s="739" t="s">
        <v>1279</v>
      </c>
      <c r="F143" s="705" t="s">
        <v>1077</v>
      </c>
      <c r="L143" s="740"/>
      <c r="M143" s="740"/>
      <c r="N143" s="740"/>
      <c r="O143" s="740"/>
      <c r="P143" s="740"/>
      <c r="Q143" s="740"/>
      <c r="R143" s="740"/>
      <c r="S143" s="740"/>
      <c r="T143" s="740"/>
      <c r="U143" s="740"/>
      <c r="V143" s="740"/>
      <c r="W143" s="740"/>
      <c r="X143" s="740"/>
      <c r="Y143" s="740"/>
      <c r="Z143" s="740"/>
      <c r="AA143" s="740"/>
      <c r="AB143" s="740"/>
      <c r="AC143" s="740"/>
      <c r="AD143" s="740"/>
      <c r="AE143" s="740"/>
      <c r="AF143" s="740"/>
      <c r="AG143" s="740"/>
      <c r="AH143" s="740"/>
      <c r="AI143" s="740"/>
      <c r="AJ143" s="740"/>
    </row>
    <row r="144" spans="1:36" s="747" customFormat="1" x14ac:dyDescent="0.25">
      <c r="A144" s="741" t="s">
        <v>1280</v>
      </c>
      <c r="B144" s="742"/>
      <c r="C144" s="743" t="s">
        <v>1038</v>
      </c>
      <c r="D144" s="744" t="s">
        <v>1114</v>
      </c>
      <c r="E144" s="745" t="s">
        <v>1281</v>
      </c>
      <c r="F144" s="743" t="s">
        <v>1077</v>
      </c>
      <c r="G144" s="743"/>
      <c r="H144" s="743"/>
      <c r="I144" s="743"/>
      <c r="J144" s="743"/>
      <c r="K144" s="743"/>
      <c r="L144" s="746"/>
      <c r="M144" s="746"/>
      <c r="N144" s="746"/>
      <c r="O144" s="746"/>
      <c r="P144" s="746"/>
      <c r="Q144" s="746"/>
      <c r="R144" s="746"/>
      <c r="S144" s="746"/>
      <c r="T144" s="746"/>
      <c r="U144" s="746"/>
      <c r="V144" s="746"/>
      <c r="W144" s="746"/>
      <c r="X144" s="746">
        <f>+SUM(Consol!G132:G137)</f>
        <v>52.623999999999967</v>
      </c>
      <c r="Y144" s="746">
        <f>+SUM(Consol!H132:H137)</f>
        <v>-2889.002</v>
      </c>
      <c r="Z144" s="746">
        <f>+SUM(Consol!I132:I137)</f>
        <v>-3783.2200000000003</v>
      </c>
      <c r="AA144" s="746">
        <f>+SUM(Consol!J132:J137)</f>
        <v>1831.9399999999998</v>
      </c>
      <c r="AB144" s="746">
        <f>+SUM(Consol!K132:K137)</f>
        <v>1077.1399999999992</v>
      </c>
      <c r="AC144" s="746">
        <f>+SUM(Consol!L132:L137)</f>
        <v>1951.7800000000002</v>
      </c>
      <c r="AD144" s="746">
        <f>+SUM(Consol!M132:M137)</f>
        <v>-1140.9999999999998</v>
      </c>
      <c r="AE144" s="746">
        <f>+SUM(Consol!N132:N137)</f>
        <v>41.000000000000114</v>
      </c>
      <c r="AF144" s="746">
        <f>+SUM(Consol!O132:O137)</f>
        <v>-3204</v>
      </c>
      <c r="AG144" s="746">
        <f ca="1">+SUM(Consol!P132:P137)</f>
        <v>-2463.1221124120302</v>
      </c>
      <c r="AH144" s="746">
        <f ca="1">+SUM(Consol!Q132:Q137)</f>
        <v>-4555.9387413546674</v>
      </c>
      <c r="AI144" s="746">
        <f ca="1">+SUM(Consol!R132:R137)</f>
        <v>-2175.5683412635317</v>
      </c>
      <c r="AJ144" s="746">
        <f ca="1">+SUM(Consol!S132:S137)</f>
        <v>-3358.4533185931177</v>
      </c>
    </row>
    <row r="145" spans="1:36" s="747" customFormat="1" x14ac:dyDescent="0.25">
      <c r="A145" s="748" t="s">
        <v>1282</v>
      </c>
      <c r="B145" s="742"/>
      <c r="C145" s="743" t="s">
        <v>1038</v>
      </c>
      <c r="D145" s="744" t="s">
        <v>1114</v>
      </c>
      <c r="E145" s="745" t="s">
        <v>1283</v>
      </c>
      <c r="F145" s="743" t="s">
        <v>1077</v>
      </c>
      <c r="G145" s="743"/>
      <c r="H145" s="743"/>
      <c r="I145" s="743"/>
      <c r="J145" s="743"/>
      <c r="K145" s="1064"/>
      <c r="L145" s="746"/>
      <c r="M145" s="746"/>
      <c r="N145" s="746"/>
      <c r="O145" s="746"/>
      <c r="P145" s="746"/>
      <c r="Q145" s="746">
        <f t="shared" ref="Q145:AH145" si="82">+Q139+Q144</f>
        <v>0</v>
      </c>
      <c r="R145" s="746">
        <f t="shared" si="82"/>
        <v>0</v>
      </c>
      <c r="S145" s="746">
        <f t="shared" si="82"/>
        <v>0</v>
      </c>
      <c r="T145" s="746">
        <f t="shared" si="82"/>
        <v>0</v>
      </c>
      <c r="U145" s="746">
        <f t="shared" si="82"/>
        <v>0</v>
      </c>
      <c r="V145" s="746">
        <f t="shared" si="82"/>
        <v>0</v>
      </c>
      <c r="W145" s="746">
        <f t="shared" si="82"/>
        <v>0</v>
      </c>
      <c r="X145" s="746">
        <f t="shared" si="82"/>
        <v>7018.0429999999988</v>
      </c>
      <c r="Y145" s="746">
        <f t="shared" si="82"/>
        <v>3578.0529999999994</v>
      </c>
      <c r="Z145" s="746">
        <f t="shared" si="82"/>
        <v>2950.4050000000007</v>
      </c>
      <c r="AA145" s="746">
        <f t="shared" si="82"/>
        <v>10562.759999999998</v>
      </c>
      <c r="AB145" s="746">
        <f t="shared" si="82"/>
        <v>12984.77</v>
      </c>
      <c r="AC145" s="746">
        <f t="shared" si="82"/>
        <v>19778.839999999997</v>
      </c>
      <c r="AD145" s="746">
        <f t="shared" si="82"/>
        <v>20507.599999999999</v>
      </c>
      <c r="AE145" s="746">
        <f t="shared" si="82"/>
        <v>23740.799999999996</v>
      </c>
      <c r="AF145" s="746">
        <f t="shared" ref="AF145" si="83">+AF139+AF144</f>
        <v>23680.700000000004</v>
      </c>
      <c r="AG145" s="746">
        <f t="shared" ca="1" si="82"/>
        <v>30826.000694644612</v>
      </c>
      <c r="AH145" s="746">
        <f t="shared" ca="1" si="82"/>
        <v>47216.024204597124</v>
      </c>
      <c r="AI145" s="746">
        <f t="shared" ref="AI145:AJ145" ca="1" si="84">+AI139+AI144</f>
        <v>58670.308570379711</v>
      </c>
      <c r="AJ145" s="746">
        <f t="shared" ca="1" si="84"/>
        <v>73742.646062812157</v>
      </c>
    </row>
    <row r="146" spans="1:36" x14ac:dyDescent="0.25">
      <c r="A146" s="703" t="s">
        <v>1284</v>
      </c>
      <c r="B146" s="737" t="str">
        <f>IF(IF(D146="+",MIN(H146:IU146)&gt;=0,IF(D146="-",MAX(H146:IU146)&lt;=0,TRUE)),"",1)</f>
        <v/>
      </c>
      <c r="C146" s="705" t="s">
        <v>1285</v>
      </c>
      <c r="D146" s="738" t="s">
        <v>1159</v>
      </c>
      <c r="E146" s="739" t="s">
        <v>1286</v>
      </c>
      <c r="F146" s="705" t="s">
        <v>1077</v>
      </c>
      <c r="L146" s="740"/>
      <c r="M146" s="740"/>
      <c r="P146" s="1065"/>
      <c r="Q146" s="1065"/>
      <c r="R146" s="1065"/>
      <c r="S146" s="1065"/>
      <c r="T146" s="1065"/>
      <c r="U146" s="1065"/>
      <c r="V146" s="1065"/>
      <c r="W146" s="1065"/>
      <c r="X146" s="1065">
        <f>Consol!G140</f>
        <v>-1019.035</v>
      </c>
      <c r="Y146" s="1065">
        <f>Consol!H140</f>
        <v>-297.84000000000003</v>
      </c>
      <c r="Z146" s="1065">
        <f>Consol!I140</f>
        <v>-363.36199999999997</v>
      </c>
      <c r="AA146" s="1065">
        <f>Consol!J140</f>
        <v>-660.88</v>
      </c>
      <c r="AB146" s="1065">
        <f>Consol!K140</f>
        <v>-1222.47</v>
      </c>
      <c r="AC146" s="1065">
        <f>Consol!L140</f>
        <v>-1806.57</v>
      </c>
      <c r="AD146" s="1065">
        <f>Consol!M140</f>
        <v>-2475.5</v>
      </c>
      <c r="AE146" s="1065">
        <f>Consol!N140</f>
        <v>-2736.3999999999996</v>
      </c>
      <c r="AF146" s="1065">
        <f>Consol!O140</f>
        <v>-3465.7</v>
      </c>
      <c r="AG146" s="1065">
        <f ca="1">Consol!P140</f>
        <v>-4631.4846337571189</v>
      </c>
      <c r="AH146" s="1065">
        <f ca="1">Consol!Q140</f>
        <v>-6765.6162576389279</v>
      </c>
      <c r="AI146" s="1065">
        <f ca="1">Consol!R140</f>
        <v>-6301.2309312727584</v>
      </c>
      <c r="AJ146" s="1065">
        <f ca="1">Consol!S140</f>
        <v>-8154.3611858159011</v>
      </c>
    </row>
    <row r="147" spans="1:36" x14ac:dyDescent="0.25">
      <c r="A147" s="703" t="s">
        <v>1287</v>
      </c>
      <c r="B147" s="737" t="str">
        <f>IF(IF(D147="+",MIN(H147:IU147)&gt;=0,IF(D147="-",MAX(H147:IU147)&lt;=0,TRUE)),"",1)</f>
        <v/>
      </c>
      <c r="C147" s="705" t="s">
        <v>1285</v>
      </c>
      <c r="D147" s="738" t="s">
        <v>1159</v>
      </c>
      <c r="E147" s="739" t="s">
        <v>1288</v>
      </c>
      <c r="F147" s="705" t="s">
        <v>1077</v>
      </c>
      <c r="L147" s="740"/>
      <c r="M147" s="740"/>
      <c r="N147" s="740"/>
      <c r="O147" s="740"/>
      <c r="P147" s="740"/>
      <c r="Q147" s="740"/>
      <c r="R147" s="740"/>
      <c r="S147" s="740"/>
      <c r="T147" s="740"/>
      <c r="U147" s="740"/>
      <c r="V147" s="740"/>
      <c r="W147" s="740"/>
      <c r="X147" s="740"/>
      <c r="Y147" s="740"/>
      <c r="Z147" s="740"/>
      <c r="AA147" s="740"/>
      <c r="AB147" s="740"/>
      <c r="AC147" s="740"/>
      <c r="AD147" s="740"/>
      <c r="AE147" s="740"/>
      <c r="AF147" s="740"/>
      <c r="AG147" s="740"/>
      <c r="AH147" s="740"/>
      <c r="AI147" s="740"/>
      <c r="AJ147" s="740"/>
    </row>
    <row r="148" spans="1:36" s="747" customFormat="1" x14ac:dyDescent="0.25">
      <c r="A148" s="748" t="s">
        <v>1289</v>
      </c>
      <c r="B148" s="742"/>
      <c r="C148" s="743" t="s">
        <v>1038</v>
      </c>
      <c r="D148" s="744" t="s">
        <v>1114</v>
      </c>
      <c r="E148" s="745" t="s">
        <v>1290</v>
      </c>
      <c r="F148" s="743" t="s">
        <v>1077</v>
      </c>
      <c r="G148" s="743"/>
      <c r="H148" s="743"/>
      <c r="I148" s="743"/>
      <c r="J148" s="743"/>
      <c r="K148" s="1064"/>
      <c r="L148" s="740"/>
      <c r="M148" s="740"/>
      <c r="N148" s="765"/>
      <c r="O148" s="765"/>
      <c r="P148" s="765"/>
      <c r="Q148" s="765">
        <f t="shared" ref="Q148:AH148" si="85">+Q145+Q146</f>
        <v>0</v>
      </c>
      <c r="R148" s="765">
        <f t="shared" si="85"/>
        <v>0</v>
      </c>
      <c r="S148" s="765">
        <f t="shared" si="85"/>
        <v>0</v>
      </c>
      <c r="T148" s="765">
        <f t="shared" si="85"/>
        <v>0</v>
      </c>
      <c r="U148" s="765">
        <f t="shared" si="85"/>
        <v>0</v>
      </c>
      <c r="V148" s="765">
        <f t="shared" si="85"/>
        <v>0</v>
      </c>
      <c r="W148" s="765">
        <f t="shared" si="85"/>
        <v>0</v>
      </c>
      <c r="X148" s="765">
        <f t="shared" si="85"/>
        <v>5999.0079999999989</v>
      </c>
      <c r="Y148" s="765">
        <f t="shared" si="85"/>
        <v>3280.2129999999993</v>
      </c>
      <c r="Z148" s="765">
        <f t="shared" si="85"/>
        <v>2587.0430000000006</v>
      </c>
      <c r="AA148" s="765">
        <f t="shared" si="85"/>
        <v>9901.8799999999992</v>
      </c>
      <c r="AB148" s="765">
        <f t="shared" si="85"/>
        <v>11762.300000000001</v>
      </c>
      <c r="AC148" s="765">
        <f t="shared" si="85"/>
        <v>17972.269999999997</v>
      </c>
      <c r="AD148" s="765">
        <f t="shared" si="85"/>
        <v>18032.099999999999</v>
      </c>
      <c r="AE148" s="765">
        <f t="shared" si="85"/>
        <v>21004.399999999994</v>
      </c>
      <c r="AF148" s="765">
        <f t="shared" ref="AF148" si="86">+AF145+AF146</f>
        <v>20215.000000000004</v>
      </c>
      <c r="AG148" s="765">
        <f t="shared" ca="1" si="85"/>
        <v>26194.516060887494</v>
      </c>
      <c r="AH148" s="765">
        <f t="shared" ca="1" si="85"/>
        <v>40450.407946958199</v>
      </c>
      <c r="AI148" s="765">
        <f t="shared" ref="AI148:AJ148" ca="1" si="87">+AI145+AI146</f>
        <v>52369.077639106952</v>
      </c>
      <c r="AJ148" s="765">
        <f t="shared" ca="1" si="87"/>
        <v>65588.284876996258</v>
      </c>
    </row>
    <row r="149" spans="1:36" x14ac:dyDescent="0.25">
      <c r="A149" s="749" t="s">
        <v>1291</v>
      </c>
      <c r="B149" s="737" t="str">
        <f>IF(IF(D149="+",MIN(H149:IU149)&gt;=0,IF(D149="-",MAX(H149:IU149)&lt;=0,TRUE)),"",1)</f>
        <v/>
      </c>
      <c r="C149" s="705" t="s">
        <v>1285</v>
      </c>
      <c r="D149" s="738" t="s">
        <v>1159</v>
      </c>
      <c r="E149" s="739" t="s">
        <v>1292</v>
      </c>
      <c r="F149" s="705" t="s">
        <v>1077</v>
      </c>
      <c r="L149" s="740"/>
      <c r="M149" s="740"/>
    </row>
    <row r="150" spans="1:36" x14ac:dyDescent="0.25">
      <c r="A150" s="749" t="s">
        <v>1293</v>
      </c>
      <c r="B150" s="737" t="str">
        <f>IF(IF(D150="+",MIN(H150:IU150)&gt;=0,IF(D150="-",MAX(H150:IU150)&lt;=0,TRUE)),"",1)</f>
        <v/>
      </c>
      <c r="C150" s="705" t="s">
        <v>1285</v>
      </c>
      <c r="D150" s="738" t="s">
        <v>1159</v>
      </c>
      <c r="E150" s="739" t="s">
        <v>1294</v>
      </c>
      <c r="F150" s="705" t="s">
        <v>1077</v>
      </c>
      <c r="L150" s="740"/>
      <c r="M150" s="740"/>
      <c r="N150" s="740"/>
      <c r="O150" s="740"/>
      <c r="P150" s="740"/>
      <c r="Q150" s="740"/>
      <c r="R150" s="740"/>
      <c r="S150" s="740"/>
      <c r="T150" s="740"/>
      <c r="U150" s="740"/>
      <c r="V150" s="740"/>
      <c r="W150" s="740"/>
      <c r="X150" s="740"/>
      <c r="Y150" s="740"/>
      <c r="Z150" s="740"/>
      <c r="AA150" s="740"/>
      <c r="AB150" s="740"/>
      <c r="AC150" s="740"/>
      <c r="AD150" s="740"/>
      <c r="AE150" s="740"/>
      <c r="AF150" s="740"/>
      <c r="AG150" s="740"/>
      <c r="AH150" s="740"/>
      <c r="AI150" s="740"/>
      <c r="AJ150" s="740"/>
    </row>
    <row r="151" spans="1:36" s="747" customFormat="1" x14ac:dyDescent="0.25">
      <c r="A151" s="748" t="s">
        <v>1295</v>
      </c>
      <c r="B151" s="742"/>
      <c r="C151" s="743" t="s">
        <v>1038</v>
      </c>
      <c r="D151" s="744" t="s">
        <v>1114</v>
      </c>
      <c r="E151" s="745" t="s">
        <v>1296</v>
      </c>
      <c r="F151" s="743" t="s">
        <v>1077</v>
      </c>
      <c r="G151" s="743"/>
      <c r="H151" s="743"/>
      <c r="I151" s="743"/>
      <c r="J151" s="743"/>
      <c r="K151" s="1064"/>
      <c r="L151" s="746"/>
      <c r="M151" s="746"/>
      <c r="N151" s="740"/>
      <c r="O151" s="740"/>
      <c r="P151" s="740"/>
      <c r="Q151" s="740"/>
      <c r="R151" s="740"/>
      <c r="S151" s="740"/>
      <c r="T151" s="740"/>
      <c r="U151" s="740"/>
      <c r="V151" s="740"/>
      <c r="W151" s="740"/>
      <c r="X151" s="765">
        <f>Consol!G147</f>
        <v>-9378.02</v>
      </c>
      <c r="Y151" s="765">
        <f>Consol!H147</f>
        <v>-5518.759</v>
      </c>
      <c r="Z151" s="765">
        <f>Consol!I147</f>
        <v>-6737.866</v>
      </c>
      <c r="AA151" s="765">
        <f>Consol!J147</f>
        <v>-17226.12</v>
      </c>
      <c r="AB151" s="765">
        <f>Consol!K147</f>
        <v>-5090.7700000000004</v>
      </c>
      <c r="AC151" s="765">
        <f>Consol!L147</f>
        <v>-2793.56</v>
      </c>
      <c r="AD151" s="765">
        <f>Consol!M147</f>
        <v>-2487.1</v>
      </c>
      <c r="AE151" s="765">
        <f>Consol!N147</f>
        <v>-20755.7</v>
      </c>
      <c r="AF151" s="765">
        <f>Consol!O147</f>
        <v>-24916.400000000001</v>
      </c>
      <c r="AG151" s="765">
        <f>Consol!P147</f>
        <v>-72388.516586806669</v>
      </c>
      <c r="AH151" s="765">
        <f>Consol!Q147</f>
        <v>-89062.124855980161</v>
      </c>
      <c r="AI151" s="765">
        <f>Consol!R147</f>
        <v>-81166.63442817732</v>
      </c>
      <c r="AJ151" s="765">
        <f>Consol!S147</f>
        <v>-67266.454129035817</v>
      </c>
    </row>
    <row r="152" spans="1:36" s="747" customFormat="1" x14ac:dyDescent="0.25">
      <c r="A152" s="748" t="s">
        <v>1297</v>
      </c>
      <c r="B152" s="742"/>
      <c r="C152" s="743" t="s">
        <v>1038</v>
      </c>
      <c r="D152" s="744" t="s">
        <v>1114</v>
      </c>
      <c r="E152" s="745" t="s">
        <v>1298</v>
      </c>
      <c r="F152" s="743" t="s">
        <v>1077</v>
      </c>
      <c r="G152" s="743"/>
      <c r="H152" s="743"/>
      <c r="I152" s="743"/>
      <c r="J152" s="743"/>
      <c r="K152" s="1064"/>
      <c r="L152" s="746"/>
      <c r="M152" s="746"/>
      <c r="N152" s="740"/>
      <c r="O152" s="740"/>
      <c r="P152" s="740"/>
      <c r="Q152" s="740">
        <f t="shared" ref="Q152:AH152" si="88">+Q148+Q151</f>
        <v>0</v>
      </c>
      <c r="R152" s="740">
        <f t="shared" si="88"/>
        <v>0</v>
      </c>
      <c r="S152" s="740">
        <f t="shared" si="88"/>
        <v>0</v>
      </c>
      <c r="T152" s="740">
        <f t="shared" si="88"/>
        <v>0</v>
      </c>
      <c r="U152" s="740">
        <f t="shared" si="88"/>
        <v>0</v>
      </c>
      <c r="V152" s="740">
        <f t="shared" si="88"/>
        <v>0</v>
      </c>
      <c r="W152" s="740">
        <f t="shared" si="88"/>
        <v>0</v>
      </c>
      <c r="X152" s="765">
        <f t="shared" si="88"/>
        <v>-3379.0120000000015</v>
      </c>
      <c r="Y152" s="765">
        <f t="shared" si="88"/>
        <v>-2238.5460000000007</v>
      </c>
      <c r="Z152" s="765">
        <f t="shared" si="88"/>
        <v>-4150.8229999999994</v>
      </c>
      <c r="AA152" s="765">
        <f t="shared" si="88"/>
        <v>-7324.24</v>
      </c>
      <c r="AB152" s="765">
        <f t="shared" si="88"/>
        <v>6671.5300000000007</v>
      </c>
      <c r="AC152" s="765">
        <f t="shared" si="88"/>
        <v>15178.709999999997</v>
      </c>
      <c r="AD152" s="765">
        <f t="shared" si="88"/>
        <v>15544.999999999998</v>
      </c>
      <c r="AE152" s="765">
        <f t="shared" si="88"/>
        <v>248.69999999999345</v>
      </c>
      <c r="AF152" s="765">
        <f t="shared" ref="AF152" si="89">+AF148+AF151</f>
        <v>-4701.3999999999978</v>
      </c>
      <c r="AG152" s="765">
        <f t="shared" ca="1" si="88"/>
        <v>-46194.000525919175</v>
      </c>
      <c r="AH152" s="765">
        <f t="shared" ca="1" si="88"/>
        <v>-48611.716909021961</v>
      </c>
      <c r="AI152" s="765">
        <f t="shared" ref="AI152:AJ152" ca="1" si="90">+AI148+AI151</f>
        <v>-28797.556789070368</v>
      </c>
      <c r="AJ152" s="765">
        <f t="shared" ca="1" si="90"/>
        <v>-1678.1692520395591</v>
      </c>
    </row>
    <row r="153" spans="1:36" x14ac:dyDescent="0.25">
      <c r="A153" s="703" t="s">
        <v>1299</v>
      </c>
      <c r="B153" s="737" t="str">
        <f>IF(IF(D153="+",MIN(H153:IU153)&gt;=0,IF(D153="-",MAX(H153:IU153)&lt;=0,TRUE)),"",1)</f>
        <v/>
      </c>
      <c r="C153" s="705" t="s">
        <v>1036</v>
      </c>
      <c r="D153" s="738" t="s">
        <v>1159</v>
      </c>
      <c r="E153" s="739" t="s">
        <v>1300</v>
      </c>
      <c r="F153" s="705" t="s">
        <v>1077</v>
      </c>
      <c r="L153" s="740"/>
      <c r="M153" s="740"/>
      <c r="N153" s="740"/>
      <c r="O153" s="740"/>
      <c r="P153" s="740"/>
      <c r="Q153" s="740"/>
      <c r="R153" s="740"/>
      <c r="S153" s="740"/>
      <c r="T153" s="740"/>
      <c r="U153" s="740"/>
      <c r="V153" s="740"/>
      <c r="W153" s="740"/>
      <c r="X153" s="740"/>
      <c r="Y153" s="740"/>
      <c r="Z153" s="740"/>
      <c r="AA153" s="740"/>
      <c r="AB153" s="740"/>
      <c r="AC153" s="740"/>
      <c r="AD153" s="740"/>
      <c r="AE153" s="740"/>
      <c r="AF153" s="740"/>
      <c r="AG153" s="740"/>
      <c r="AH153" s="740"/>
      <c r="AI153" s="740"/>
      <c r="AJ153" s="740"/>
    </row>
    <row r="154" spans="1:36" s="747" customFormat="1" x14ac:dyDescent="0.25">
      <c r="A154" s="748" t="s">
        <v>1301</v>
      </c>
      <c r="B154" s="742"/>
      <c r="C154" s="743" t="s">
        <v>1038</v>
      </c>
      <c r="D154" s="744" t="s">
        <v>1114</v>
      </c>
      <c r="E154" s="745" t="s">
        <v>1302</v>
      </c>
      <c r="F154" s="743" t="s">
        <v>1077</v>
      </c>
      <c r="G154" s="743"/>
      <c r="H154" s="743"/>
      <c r="I154" s="743"/>
      <c r="J154" s="743"/>
      <c r="K154" s="1064"/>
      <c r="L154" s="746"/>
      <c r="M154" s="746"/>
      <c r="N154" s="740"/>
      <c r="O154" s="740"/>
      <c r="P154" s="740"/>
      <c r="Q154" s="740"/>
      <c r="R154" s="740"/>
      <c r="S154" s="740"/>
      <c r="T154" s="740"/>
      <c r="U154" s="740"/>
      <c r="V154" s="740"/>
      <c r="W154" s="740"/>
      <c r="X154" s="765">
        <f>Consol!G154</f>
        <v>-10983.644</v>
      </c>
      <c r="Y154" s="765">
        <f>Consol!H154</f>
        <v>-4948.9009999999998</v>
      </c>
      <c r="Z154" s="765">
        <f>Consol!I154</f>
        <v>-3930.8040000000001</v>
      </c>
      <c r="AA154" s="765">
        <f>Consol!J154</f>
        <v>-16367.939999999999</v>
      </c>
      <c r="AB154" s="765">
        <f>Consol!K154</f>
        <v>-8013.2200000000012</v>
      </c>
      <c r="AC154" s="765">
        <f>Consol!L154</f>
        <v>-6207.92</v>
      </c>
      <c r="AD154" s="765">
        <f>Consol!M154</f>
        <v>-42046.8</v>
      </c>
      <c r="AE154" s="765">
        <f>Consol!N154</f>
        <v>-16968.800000000003</v>
      </c>
      <c r="AF154" s="765">
        <f>Consol!O154</f>
        <v>-20621.5</v>
      </c>
      <c r="AG154" s="765">
        <f>Consol!P154</f>
        <v>-72388.516586806669</v>
      </c>
      <c r="AH154" s="765">
        <f>Consol!Q154</f>
        <v>-89062.124855980161</v>
      </c>
      <c r="AI154" s="765">
        <f>Consol!R154</f>
        <v>-81166.63442817732</v>
      </c>
      <c r="AJ154" s="765">
        <f>Consol!S154</f>
        <v>-67266.454129035817</v>
      </c>
    </row>
    <row r="155" spans="1:36" x14ac:dyDescent="0.25">
      <c r="A155" s="703" t="s">
        <v>1303</v>
      </c>
      <c r="B155" s="737" t="str">
        <f t="shared" ref="B155:B161" si="91">IF(IF(D155="+",MIN(H155:IU155)&gt;=0,IF(D155="-",MAX(H155:IU155)&lt;=0,TRUE)),"",1)</f>
        <v/>
      </c>
      <c r="C155" s="705" t="s">
        <v>1036</v>
      </c>
      <c r="D155" s="738" t="s">
        <v>1159</v>
      </c>
      <c r="E155" s="739" t="s">
        <v>1304</v>
      </c>
      <c r="F155" s="705" t="s">
        <v>1077</v>
      </c>
      <c r="L155" s="740"/>
      <c r="M155" s="740"/>
    </row>
    <row r="156" spans="1:36" x14ac:dyDescent="0.25">
      <c r="A156" s="703" t="s">
        <v>1305</v>
      </c>
      <c r="B156" s="737" t="str">
        <f t="shared" si="91"/>
        <v/>
      </c>
      <c r="C156" s="705" t="s">
        <v>1036</v>
      </c>
      <c r="D156" s="738" t="s">
        <v>1159</v>
      </c>
      <c r="E156" s="739" t="s">
        <v>1306</v>
      </c>
      <c r="F156" s="705" t="s">
        <v>1077</v>
      </c>
      <c r="L156" s="740"/>
      <c r="M156" s="740"/>
      <c r="N156" s="740"/>
      <c r="O156" s="740"/>
      <c r="P156" s="740"/>
      <c r="Q156" s="740"/>
      <c r="R156" s="740"/>
      <c r="S156" s="740"/>
      <c r="T156" s="740"/>
      <c r="U156" s="740"/>
      <c r="V156" s="740"/>
      <c r="W156" s="740"/>
      <c r="X156" s="740"/>
      <c r="Y156" s="740"/>
      <c r="Z156" s="740"/>
      <c r="AA156" s="740"/>
      <c r="AB156" s="740"/>
      <c r="AC156" s="740"/>
      <c r="AD156" s="740"/>
      <c r="AE156" s="740"/>
      <c r="AF156" s="740"/>
      <c r="AG156" s="740"/>
      <c r="AH156" s="740"/>
      <c r="AI156" s="740"/>
      <c r="AJ156" s="740"/>
    </row>
    <row r="157" spans="1:36" x14ac:dyDescent="0.25">
      <c r="A157" s="703" t="s">
        <v>1307</v>
      </c>
      <c r="B157" s="737" t="str">
        <f t="shared" si="91"/>
        <v/>
      </c>
      <c r="C157" s="705" t="s">
        <v>1036</v>
      </c>
      <c r="D157" s="738" t="s">
        <v>1159</v>
      </c>
      <c r="E157" s="739" t="s">
        <v>431</v>
      </c>
      <c r="F157" s="705" t="s">
        <v>1077</v>
      </c>
      <c r="L157" s="740"/>
      <c r="M157" s="740"/>
      <c r="N157" s="740"/>
      <c r="O157" s="740"/>
      <c r="P157" s="740"/>
      <c r="Q157" s="740"/>
      <c r="R157" s="740"/>
      <c r="S157" s="740"/>
      <c r="T157" s="740"/>
      <c r="U157" s="740"/>
      <c r="V157" s="740"/>
      <c r="W157" s="740"/>
      <c r="X157" s="740"/>
      <c r="Y157" s="740"/>
      <c r="Z157" s="740"/>
      <c r="AA157" s="740"/>
      <c r="AB157" s="740"/>
      <c r="AC157" s="740"/>
      <c r="AD157" s="740"/>
      <c r="AE157" s="740"/>
      <c r="AF157" s="740"/>
      <c r="AG157" s="740"/>
      <c r="AH157" s="740"/>
      <c r="AI157" s="740"/>
      <c r="AJ157" s="740"/>
    </row>
    <row r="158" spans="1:36" s="766" customFormat="1" x14ac:dyDescent="0.25">
      <c r="A158" s="749" t="s">
        <v>1308</v>
      </c>
      <c r="B158" s="737" t="str">
        <f t="shared" si="91"/>
        <v/>
      </c>
      <c r="C158" s="766" t="s">
        <v>1036</v>
      </c>
      <c r="D158" s="738" t="s">
        <v>1159</v>
      </c>
      <c r="E158" s="764" t="s">
        <v>1309</v>
      </c>
      <c r="F158" s="766" t="s">
        <v>1077</v>
      </c>
      <c r="L158" s="740"/>
      <c r="M158" s="740"/>
      <c r="N158" s="740"/>
      <c r="O158" s="740"/>
      <c r="P158" s="740"/>
      <c r="Q158" s="740"/>
      <c r="R158" s="740"/>
      <c r="S158" s="740"/>
      <c r="T158" s="740"/>
      <c r="U158" s="740"/>
      <c r="V158" s="740"/>
      <c r="W158" s="740"/>
      <c r="X158" s="740"/>
      <c r="Y158" s="740"/>
      <c r="Z158" s="740"/>
      <c r="AA158" s="740"/>
      <c r="AB158" s="740"/>
      <c r="AC158" s="740"/>
      <c r="AD158" s="740"/>
      <c r="AE158" s="740"/>
      <c r="AF158" s="740"/>
      <c r="AG158" s="740"/>
      <c r="AH158" s="740"/>
      <c r="AI158" s="740"/>
      <c r="AJ158" s="740"/>
    </row>
    <row r="159" spans="1:36" x14ac:dyDescent="0.25">
      <c r="A159" s="749" t="s">
        <v>1310</v>
      </c>
      <c r="B159" s="737" t="str">
        <f t="shared" si="91"/>
        <v/>
      </c>
      <c r="C159" s="705" t="s">
        <v>1036</v>
      </c>
      <c r="D159" s="738" t="s">
        <v>1159</v>
      </c>
      <c r="E159" s="739" t="s">
        <v>1311</v>
      </c>
      <c r="F159" s="705" t="s">
        <v>1077</v>
      </c>
      <c r="L159" s="740"/>
      <c r="M159" s="740"/>
      <c r="N159" s="740"/>
      <c r="O159" s="740"/>
      <c r="P159" s="740"/>
      <c r="Q159" s="740"/>
      <c r="R159" s="740"/>
      <c r="S159" s="740"/>
      <c r="T159" s="740"/>
      <c r="U159" s="740"/>
      <c r="V159" s="740"/>
      <c r="W159" s="740"/>
      <c r="X159" s="740"/>
      <c r="Y159" s="740"/>
      <c r="Z159" s="740"/>
      <c r="AA159" s="740"/>
      <c r="AB159" s="740"/>
      <c r="AC159" s="740"/>
      <c r="AD159" s="740"/>
      <c r="AE159" s="740"/>
      <c r="AF159" s="740"/>
      <c r="AG159" s="740"/>
      <c r="AH159" s="740"/>
      <c r="AI159" s="740"/>
      <c r="AJ159" s="740"/>
    </row>
    <row r="160" spans="1:36" x14ac:dyDescent="0.25">
      <c r="A160" s="749" t="s">
        <v>1312</v>
      </c>
      <c r="B160" s="737" t="str">
        <f t="shared" si="91"/>
        <v/>
      </c>
      <c r="C160" s="705" t="s">
        <v>1036</v>
      </c>
      <c r="D160" s="738" t="s">
        <v>1159</v>
      </c>
      <c r="E160" s="739" t="s">
        <v>1313</v>
      </c>
      <c r="F160" s="705" t="s">
        <v>1077</v>
      </c>
      <c r="L160" s="740"/>
      <c r="M160" s="740"/>
      <c r="N160" s="740"/>
      <c r="O160" s="740"/>
      <c r="P160" s="740"/>
      <c r="Q160" s="740"/>
      <c r="R160" s="740"/>
      <c r="S160" s="740"/>
      <c r="T160" s="740"/>
      <c r="U160" s="740"/>
      <c r="V160" s="740"/>
      <c r="W160" s="740"/>
      <c r="X160" s="740"/>
      <c r="Y160" s="740"/>
      <c r="Z160" s="740"/>
      <c r="AA160" s="740"/>
      <c r="AB160" s="740"/>
      <c r="AC160" s="740"/>
      <c r="AD160" s="740"/>
      <c r="AE160" s="740"/>
      <c r="AF160" s="740"/>
      <c r="AG160" s="740"/>
      <c r="AH160" s="740"/>
      <c r="AI160" s="740"/>
      <c r="AJ160" s="740"/>
    </row>
    <row r="161" spans="1:36" x14ac:dyDescent="0.25">
      <c r="A161" s="703" t="s">
        <v>1314</v>
      </c>
      <c r="B161" s="737" t="str">
        <f t="shared" si="91"/>
        <v/>
      </c>
      <c r="C161" s="705" t="s">
        <v>1036</v>
      </c>
      <c r="D161" s="738" t="s">
        <v>1159</v>
      </c>
      <c r="E161" s="739" t="s">
        <v>1315</v>
      </c>
      <c r="F161" s="705" t="s">
        <v>1077</v>
      </c>
      <c r="L161" s="740"/>
      <c r="M161" s="740"/>
      <c r="N161" s="740"/>
      <c r="O161" s="740"/>
      <c r="P161" s="740"/>
      <c r="Q161" s="740"/>
      <c r="R161" s="740"/>
      <c r="S161" s="740"/>
      <c r="T161" s="740"/>
      <c r="U161" s="740"/>
      <c r="V161" s="740"/>
      <c r="W161" s="740"/>
      <c r="X161" s="740"/>
      <c r="Y161" s="740"/>
      <c r="Z161" s="740"/>
      <c r="AA161" s="740"/>
      <c r="AB161" s="740"/>
      <c r="AC161" s="740"/>
      <c r="AD161" s="740"/>
      <c r="AE161" s="740"/>
      <c r="AF161" s="740"/>
      <c r="AG161" s="740"/>
      <c r="AH161" s="740"/>
      <c r="AI161" s="740"/>
      <c r="AJ161" s="740"/>
    </row>
    <row r="162" spans="1:36" s="747" customFormat="1" x14ac:dyDescent="0.25">
      <c r="A162" s="748" t="s">
        <v>1316</v>
      </c>
      <c r="B162" s="742"/>
      <c r="C162" s="743" t="s">
        <v>1038</v>
      </c>
      <c r="D162" s="744" t="s">
        <v>1114</v>
      </c>
      <c r="E162" s="745" t="s">
        <v>1317</v>
      </c>
      <c r="F162" s="743" t="s">
        <v>1077</v>
      </c>
      <c r="G162" s="743"/>
      <c r="H162" s="743"/>
      <c r="I162" s="743"/>
      <c r="J162" s="743"/>
      <c r="K162" s="1064"/>
      <c r="L162" s="746"/>
      <c r="M162" s="746"/>
      <c r="N162" s="740"/>
      <c r="O162" s="740"/>
      <c r="P162" s="740"/>
      <c r="Q162" s="740"/>
      <c r="R162" s="740"/>
      <c r="S162" s="740"/>
      <c r="T162" s="740"/>
      <c r="U162" s="740"/>
      <c r="V162" s="740"/>
      <c r="W162" s="740"/>
      <c r="X162" s="765">
        <f>Consol!G169</f>
        <v>5397.3799999999992</v>
      </c>
      <c r="Y162" s="765">
        <f>Consol!H169</f>
        <v>1398.9180000000001</v>
      </c>
      <c r="Z162" s="765">
        <f>Consol!I169</f>
        <v>2407.7959999999998</v>
      </c>
      <c r="AA162" s="765">
        <f>Consol!J169</f>
        <v>6408.57</v>
      </c>
      <c r="AB162" s="765">
        <f>Consol!K169</f>
        <v>25.529999999999745</v>
      </c>
      <c r="AC162" s="765">
        <f>Consol!L169</f>
        <v>-10865.62</v>
      </c>
      <c r="AD162" s="765">
        <f>Consol!M169</f>
        <v>25038.799999999999</v>
      </c>
      <c r="AE162" s="765">
        <f>Consol!N169</f>
        <v>-5213.4000000000005</v>
      </c>
      <c r="AF162" s="765">
        <f>Consol!O169</f>
        <v>2271.5000000000023</v>
      </c>
      <c r="AG162" s="765">
        <f ca="1">Consol!P169</f>
        <v>99241.856624211505</v>
      </c>
      <c r="AH162" s="765">
        <f ca="1">Consol!Q169</f>
        <v>18535.683279783629</v>
      </c>
      <c r="AI162" s="765">
        <f ca="1">Consol!R169</f>
        <v>-9958.4493738304045</v>
      </c>
      <c r="AJ162" s="765">
        <f ca="1">Consol!S169</f>
        <v>-2404.6212178846881</v>
      </c>
    </row>
    <row r="163" spans="1:36" x14ac:dyDescent="0.25">
      <c r="A163" s="703" t="s">
        <v>1318</v>
      </c>
      <c r="B163" s="737" t="str">
        <f>IF(IF(D163="+",MIN(H163:IU163)&gt;=0,IF(D163="-",MAX(H163:IU163)&lt;=0,TRUE)),"",1)</f>
        <v/>
      </c>
      <c r="C163" s="705" t="s">
        <v>1036</v>
      </c>
      <c r="D163" s="738" t="s">
        <v>1159</v>
      </c>
      <c r="E163" s="739" t="s">
        <v>1319</v>
      </c>
      <c r="F163" s="743" t="s">
        <v>1077</v>
      </c>
      <c r="M163" s="740"/>
      <c r="N163" s="740"/>
      <c r="O163" s="740"/>
      <c r="P163" s="740"/>
      <c r="Q163" s="740"/>
      <c r="R163" s="740"/>
      <c r="S163" s="740"/>
      <c r="T163" s="740"/>
      <c r="U163" s="740"/>
      <c r="V163" s="740"/>
      <c r="W163" s="740"/>
      <c r="X163" s="740"/>
      <c r="Y163" s="740"/>
      <c r="Z163" s="740"/>
      <c r="AA163" s="740"/>
      <c r="AB163" s="740"/>
      <c r="AC163" s="740"/>
      <c r="AD163" s="740"/>
      <c r="AE163" s="740"/>
      <c r="AF163" s="740"/>
      <c r="AG163" s="740"/>
      <c r="AH163" s="740"/>
      <c r="AI163" s="740"/>
      <c r="AJ163" s="740"/>
    </row>
    <row r="164" spans="1:36" s="747" customFormat="1" x14ac:dyDescent="0.25">
      <c r="A164" s="741" t="s">
        <v>1320</v>
      </c>
      <c r="B164" s="742"/>
      <c r="C164" s="743" t="s">
        <v>1038</v>
      </c>
      <c r="D164" s="744" t="s">
        <v>1114</v>
      </c>
      <c r="E164" s="745" t="s">
        <v>1321</v>
      </c>
      <c r="F164" s="743" t="s">
        <v>1077</v>
      </c>
      <c r="G164" s="743"/>
      <c r="H164" s="743"/>
      <c r="I164" s="743"/>
      <c r="J164" s="743"/>
      <c r="K164" s="743"/>
      <c r="L164" s="746"/>
      <c r="M164" s="746"/>
      <c r="N164" s="746"/>
      <c r="O164" s="746"/>
      <c r="P164" s="746"/>
      <c r="Q164" s="746">
        <f t="shared" ref="Q164:AH164" si="92">+Q162+Q148+Q154</f>
        <v>0</v>
      </c>
      <c r="R164" s="746">
        <f t="shared" si="92"/>
        <v>0</v>
      </c>
      <c r="S164" s="746">
        <f t="shared" si="92"/>
        <v>0</v>
      </c>
      <c r="T164" s="746">
        <f t="shared" si="92"/>
        <v>0</v>
      </c>
      <c r="U164" s="746">
        <f t="shared" si="92"/>
        <v>0</v>
      </c>
      <c r="V164" s="746">
        <f t="shared" si="92"/>
        <v>0</v>
      </c>
      <c r="W164" s="746">
        <f t="shared" si="92"/>
        <v>0</v>
      </c>
      <c r="X164" s="746">
        <f t="shared" si="92"/>
        <v>412.74399999999878</v>
      </c>
      <c r="Y164" s="746">
        <f t="shared" si="92"/>
        <v>-269.77000000000044</v>
      </c>
      <c r="Z164" s="746">
        <f t="shared" si="92"/>
        <v>1064.0349999999999</v>
      </c>
      <c r="AA164" s="746">
        <f t="shared" si="92"/>
        <v>-57.489999999999782</v>
      </c>
      <c r="AB164" s="746">
        <f t="shared" si="92"/>
        <v>3774.6100000000006</v>
      </c>
      <c r="AC164" s="746">
        <f t="shared" si="92"/>
        <v>898.72999999999593</v>
      </c>
      <c r="AD164" s="746">
        <f t="shared" si="92"/>
        <v>1024.0999999999913</v>
      </c>
      <c r="AE164" s="746">
        <f t="shared" si="92"/>
        <v>-1177.8000000000102</v>
      </c>
      <c r="AF164" s="746">
        <f t="shared" ref="AF164" si="93">+AF162+AF148+AF154</f>
        <v>1865.0000000000073</v>
      </c>
      <c r="AG164" s="746">
        <f t="shared" ca="1" si="92"/>
        <v>53047.856098292323</v>
      </c>
      <c r="AH164" s="746">
        <f t="shared" ca="1" si="92"/>
        <v>-30076.033629238329</v>
      </c>
      <c r="AI164" s="746">
        <f t="shared" ref="AI164:AJ164" ca="1" si="94">+AI162+AI148+AI154</f>
        <v>-38756.006162900769</v>
      </c>
      <c r="AJ164" s="746">
        <f t="shared" ca="1" si="94"/>
        <v>-4082.7904699242499</v>
      </c>
    </row>
    <row r="165" spans="1:36" s="747" customFormat="1" x14ac:dyDescent="0.25">
      <c r="A165" s="741" t="s">
        <v>1322</v>
      </c>
      <c r="B165" s="742"/>
      <c r="C165" s="743" t="s">
        <v>1038</v>
      </c>
      <c r="D165" s="744" t="s">
        <v>1114</v>
      </c>
      <c r="E165" s="745" t="s">
        <v>1323</v>
      </c>
      <c r="F165" s="743" t="s">
        <v>1077</v>
      </c>
      <c r="G165" s="743"/>
      <c r="H165" s="743"/>
      <c r="I165" s="743"/>
      <c r="J165" s="743"/>
      <c r="K165" s="743"/>
      <c r="L165" s="746"/>
      <c r="M165" s="746"/>
      <c r="N165" s="746"/>
      <c r="O165" s="746"/>
      <c r="P165" s="746"/>
      <c r="Q165" s="746"/>
      <c r="R165" s="746"/>
      <c r="S165" s="746"/>
      <c r="T165" s="746"/>
      <c r="U165" s="746"/>
      <c r="V165" s="746"/>
      <c r="W165" s="746"/>
      <c r="X165" s="746"/>
      <c r="Y165" s="746"/>
      <c r="Z165" s="746"/>
      <c r="AA165" s="746"/>
      <c r="AB165" s="746"/>
      <c r="AC165" s="746"/>
      <c r="AD165" s="746"/>
      <c r="AE165" s="746"/>
      <c r="AF165" s="746"/>
      <c r="AG165" s="746"/>
      <c r="AH165" s="746"/>
      <c r="AI165" s="746"/>
      <c r="AJ165" s="746"/>
    </row>
    <row r="166" spans="1:36" s="747" customFormat="1" x14ac:dyDescent="0.25">
      <c r="A166" s="741" t="s">
        <v>1324</v>
      </c>
      <c r="B166" s="742"/>
      <c r="C166" s="743" t="s">
        <v>1038</v>
      </c>
      <c r="D166" s="744" t="s">
        <v>1114</v>
      </c>
      <c r="E166" s="745" t="s">
        <v>1325</v>
      </c>
      <c r="F166" s="743" t="s">
        <v>1077</v>
      </c>
      <c r="G166" s="743"/>
      <c r="H166" s="743"/>
      <c r="I166" s="743"/>
      <c r="J166" s="743"/>
      <c r="K166" s="743"/>
      <c r="L166" s="746"/>
      <c r="M166" s="746"/>
      <c r="N166" s="746"/>
      <c r="O166" s="746"/>
      <c r="P166" s="746"/>
      <c r="Q166" s="746"/>
      <c r="R166" s="746"/>
      <c r="S166" s="746"/>
      <c r="T166" s="746"/>
      <c r="U166" s="746"/>
      <c r="V166" s="746"/>
      <c r="W166" s="746"/>
      <c r="X166" s="746"/>
      <c r="Y166" s="746"/>
      <c r="Z166" s="746"/>
      <c r="AA166" s="746"/>
      <c r="AB166" s="746"/>
      <c r="AC166" s="746"/>
      <c r="AD166" s="746"/>
      <c r="AE166" s="746"/>
      <c r="AF166" s="746"/>
      <c r="AG166" s="746"/>
      <c r="AH166" s="746"/>
      <c r="AI166" s="746"/>
      <c r="AJ166" s="746"/>
    </row>
    <row r="167" spans="1:36" x14ac:dyDescent="0.25">
      <c r="A167" s="713"/>
      <c r="B167" s="710"/>
      <c r="C167" s="712" t="s">
        <v>1038</v>
      </c>
      <c r="D167" s="744" t="s">
        <v>1114</v>
      </c>
      <c r="E167" s="767" t="s">
        <v>1326</v>
      </c>
      <c r="F167" s="712"/>
      <c r="G167" s="712"/>
      <c r="H167" s="712"/>
      <c r="I167" s="712"/>
      <c r="J167" s="712"/>
      <c r="K167" s="712"/>
      <c r="L167" s="765"/>
      <c r="M167" s="765"/>
      <c r="N167" s="765"/>
      <c r="O167" s="765"/>
      <c r="P167" s="765"/>
      <c r="Q167" s="765"/>
      <c r="R167" s="765"/>
      <c r="S167" s="765"/>
      <c r="T167" s="765"/>
      <c r="U167" s="765"/>
      <c r="V167" s="765"/>
      <c r="W167" s="765"/>
      <c r="X167" s="765"/>
      <c r="Y167" s="765"/>
      <c r="Z167" s="765"/>
      <c r="AA167" s="765"/>
      <c r="AB167" s="765"/>
      <c r="AC167" s="765"/>
      <c r="AD167" s="765"/>
      <c r="AE167" s="765"/>
      <c r="AF167" s="765"/>
      <c r="AG167" s="765"/>
      <c r="AH167" s="765"/>
      <c r="AI167" s="765"/>
      <c r="AJ167" s="765"/>
    </row>
    <row r="169" spans="1:36" x14ac:dyDescent="0.25">
      <c r="E169" s="736" t="s">
        <v>1327</v>
      </c>
    </row>
    <row r="170" spans="1:36" x14ac:dyDescent="0.25">
      <c r="E170" s="768" t="s">
        <v>1328</v>
      </c>
    </row>
    <row r="171" spans="1:36" x14ac:dyDescent="0.25">
      <c r="A171" s="713" t="s">
        <v>52</v>
      </c>
      <c r="B171" s="710"/>
      <c r="C171" s="712" t="s">
        <v>1038</v>
      </c>
      <c r="D171" s="711" t="s">
        <v>1114</v>
      </c>
      <c r="E171" s="767" t="s">
        <v>1329</v>
      </c>
      <c r="F171" s="712" t="s">
        <v>605</v>
      </c>
      <c r="G171" s="712"/>
      <c r="H171" s="712"/>
      <c r="I171" s="712"/>
      <c r="J171" s="712"/>
      <c r="K171" s="712"/>
      <c r="L171" s="712"/>
      <c r="M171" s="769"/>
      <c r="N171" s="769"/>
      <c r="O171" s="769"/>
      <c r="P171" s="769"/>
      <c r="Q171" s="769" t="e">
        <f>+Q78/Q$81</f>
        <v>#DIV/0!</v>
      </c>
      <c r="R171" s="769" t="e">
        <f t="shared" ref="R171:AH172" si="95">+R78/R$81</f>
        <v>#DIV/0!</v>
      </c>
      <c r="S171" s="769" t="e">
        <f t="shared" si="95"/>
        <v>#DIV/0!</v>
      </c>
      <c r="T171" s="769" t="e">
        <f t="shared" si="95"/>
        <v>#DIV/0!</v>
      </c>
      <c r="U171" s="769" t="e">
        <f t="shared" si="95"/>
        <v>#DIV/0!</v>
      </c>
      <c r="V171" s="769" t="e">
        <f t="shared" si="95"/>
        <v>#DIV/0!</v>
      </c>
      <c r="W171" s="769" t="e">
        <f t="shared" si="95"/>
        <v>#DIV/0!</v>
      </c>
      <c r="X171" s="769">
        <f t="shared" si="95"/>
        <v>1.3372080952380943</v>
      </c>
      <c r="Y171" s="769">
        <f t="shared" si="95"/>
        <v>1.2701161904761908</v>
      </c>
      <c r="Z171" s="769">
        <f t="shared" si="95"/>
        <v>0.90678142857142818</v>
      </c>
      <c r="AA171" s="769">
        <f t="shared" si="95"/>
        <v>1.3875499999999996</v>
      </c>
      <c r="AB171" s="769">
        <f t="shared" si="95"/>
        <v>1.5616466666666644</v>
      </c>
      <c r="AC171" s="769">
        <f t="shared" si="95"/>
        <v>3.5230361904761911</v>
      </c>
      <c r="AD171" s="769">
        <f t="shared" si="95"/>
        <v>5.5043333333333315</v>
      </c>
      <c r="AE171" s="769">
        <f t="shared" si="95"/>
        <v>7.1575238095238101</v>
      </c>
      <c r="AF171" s="769">
        <f t="shared" ref="AF171" si="96">+AF78/AF$81</f>
        <v>7.6335238095238083</v>
      </c>
      <c r="AG171" s="769">
        <f t="shared" ca="1" si="95"/>
        <v>6.8490599232147344</v>
      </c>
      <c r="AH171" s="769">
        <f t="shared" ca="1" si="95"/>
        <v>10.038009970922975</v>
      </c>
      <c r="AI171" s="769">
        <f t="shared" ref="AI171:AJ171" ca="1" si="97">+AI78/AI$81</f>
        <v>10.491598873182268</v>
      </c>
      <c r="AJ171" s="769">
        <f t="shared" ca="1" si="97"/>
        <v>11.995096283319569</v>
      </c>
    </row>
    <row r="172" spans="1:36" x14ac:dyDescent="0.25">
      <c r="A172" s="750" t="s">
        <v>1330</v>
      </c>
      <c r="B172" s="710"/>
      <c r="C172" s="712" t="s">
        <v>1038</v>
      </c>
      <c r="D172" s="711" t="s">
        <v>1114</v>
      </c>
      <c r="E172" s="767" t="s">
        <v>1331</v>
      </c>
      <c r="F172" s="712" t="s">
        <v>605</v>
      </c>
      <c r="G172" s="712"/>
      <c r="H172" s="712"/>
      <c r="I172" s="712"/>
      <c r="J172" s="712"/>
      <c r="K172" s="712"/>
      <c r="L172" s="712"/>
      <c r="M172" s="769"/>
      <c r="N172" s="769"/>
      <c r="O172" s="769"/>
      <c r="P172" s="769"/>
      <c r="Q172" s="769" t="e">
        <f>+Q79/Q$81</f>
        <v>#DIV/0!</v>
      </c>
      <c r="R172" s="769" t="e">
        <f t="shared" si="95"/>
        <v>#DIV/0!</v>
      </c>
      <c r="S172" s="769" t="e">
        <f t="shared" si="95"/>
        <v>#DIV/0!</v>
      </c>
      <c r="T172" s="769" t="e">
        <f t="shared" si="95"/>
        <v>#DIV/0!</v>
      </c>
      <c r="U172" s="769" t="e">
        <f t="shared" si="95"/>
        <v>#DIV/0!</v>
      </c>
      <c r="V172" s="769" t="e">
        <f t="shared" si="95"/>
        <v>#DIV/0!</v>
      </c>
      <c r="W172" s="769" t="e">
        <f t="shared" si="95"/>
        <v>#DIV/0!</v>
      </c>
      <c r="X172" s="769">
        <f t="shared" si="95"/>
        <v>1.3372080952380943</v>
      </c>
      <c r="Y172" s="769">
        <f t="shared" si="95"/>
        <v>1.2701161904761908</v>
      </c>
      <c r="Z172" s="769">
        <f t="shared" si="95"/>
        <v>0.90678142857142818</v>
      </c>
      <c r="AA172" s="769">
        <f t="shared" si="95"/>
        <v>1.3875499999999996</v>
      </c>
      <c r="AB172" s="769">
        <f t="shared" si="95"/>
        <v>1.5616466666666644</v>
      </c>
      <c r="AC172" s="769">
        <f t="shared" si="95"/>
        <v>3.5230361904761911</v>
      </c>
      <c r="AD172" s="769">
        <f t="shared" si="95"/>
        <v>5.5043333333333315</v>
      </c>
      <c r="AE172" s="769">
        <f t="shared" si="95"/>
        <v>7.1575238095238101</v>
      </c>
      <c r="AF172" s="769">
        <f t="shared" ref="AF172" si="98">+AF79/AF$81</f>
        <v>7.6335238095238083</v>
      </c>
      <c r="AG172" s="769">
        <f t="shared" ca="1" si="95"/>
        <v>6.8490599232147344</v>
      </c>
      <c r="AH172" s="769">
        <f t="shared" ca="1" si="95"/>
        <v>10.038009970922975</v>
      </c>
      <c r="AI172" s="769">
        <f t="shared" ref="AI172:AJ172" ca="1" si="99">+AI79/AI$81</f>
        <v>10.491598873182268</v>
      </c>
      <c r="AJ172" s="769">
        <f t="shared" ca="1" si="99"/>
        <v>11.995096283319569</v>
      </c>
    </row>
    <row r="173" spans="1:36" x14ac:dyDescent="0.25">
      <c r="A173" s="713" t="s">
        <v>1332</v>
      </c>
      <c r="B173" s="710"/>
      <c r="C173" s="712" t="s">
        <v>1038</v>
      </c>
      <c r="D173" s="711" t="s">
        <v>1114</v>
      </c>
      <c r="E173" s="767" t="s">
        <v>1333</v>
      </c>
      <c r="F173" s="712" t="s">
        <v>605</v>
      </c>
      <c r="G173" s="712"/>
      <c r="H173" s="712"/>
      <c r="I173" s="712"/>
      <c r="J173" s="712"/>
      <c r="K173" s="712"/>
      <c r="L173" s="712"/>
      <c r="M173" s="769"/>
      <c r="N173" s="769"/>
      <c r="O173" s="769"/>
      <c r="P173" s="769"/>
      <c r="Q173" s="769" t="e">
        <f>+Q125/Q$81</f>
        <v>#DIV/0!</v>
      </c>
      <c r="R173" s="769" t="e">
        <f t="shared" ref="R173:AH173" si="100">+R125/R$81</f>
        <v>#DIV/0!</v>
      </c>
      <c r="S173" s="769" t="e">
        <f t="shared" si="100"/>
        <v>#DIV/0!</v>
      </c>
      <c r="T173" s="769" t="e">
        <f t="shared" si="100"/>
        <v>#DIV/0!</v>
      </c>
      <c r="U173" s="769" t="e">
        <f t="shared" si="100"/>
        <v>#DIV/0!</v>
      </c>
      <c r="V173" s="769" t="e">
        <f t="shared" si="100"/>
        <v>#DIV/0!</v>
      </c>
      <c r="W173" s="769" t="e">
        <f t="shared" si="100"/>
        <v>#DIV/0!</v>
      </c>
      <c r="X173" s="769">
        <f t="shared" si="100"/>
        <v>1.5640457142857143</v>
      </c>
      <c r="Y173" s="769">
        <f t="shared" si="100"/>
        <v>0.48458857142857142</v>
      </c>
      <c r="Z173" s="769">
        <f t="shared" si="100"/>
        <v>0.77432095238095233</v>
      </c>
      <c r="AA173" s="769">
        <f t="shared" si="100"/>
        <v>1.2611428571428571</v>
      </c>
      <c r="AB173" s="769">
        <f t="shared" si="100"/>
        <v>4.9439761904761896</v>
      </c>
      <c r="AC173" s="769">
        <f t="shared" si="100"/>
        <v>7.7697285714285718</v>
      </c>
      <c r="AD173" s="769">
        <f t="shared" si="100"/>
        <v>19.477238095238096</v>
      </c>
      <c r="AE173" s="769">
        <f t="shared" si="100"/>
        <v>11.819380952380953</v>
      </c>
      <c r="AF173" s="769">
        <f t="shared" ref="AF173" si="101">+AF125/AF$81</f>
        <v>11.036666666666667</v>
      </c>
      <c r="AG173" s="769">
        <f t="shared" ca="1" si="100"/>
        <v>32.714530514288555</v>
      </c>
      <c r="AH173" s="769">
        <f t="shared" ca="1" si="100"/>
        <v>19.806361574701285</v>
      </c>
      <c r="AI173" s="769">
        <f t="shared" ref="AI173:AJ173" ca="1" si="102">+AI125/AI$81</f>
        <v>3.1728825348297103</v>
      </c>
      <c r="AJ173" s="769">
        <f t="shared" ca="1" si="102"/>
        <v>1.4206119468793896</v>
      </c>
    </row>
    <row r="174" spans="1:36" x14ac:dyDescent="0.25">
      <c r="A174" s="713" t="s">
        <v>56</v>
      </c>
      <c r="B174" s="710"/>
      <c r="C174" s="712" t="s">
        <v>1038</v>
      </c>
      <c r="D174" s="711" t="s">
        <v>1114</v>
      </c>
      <c r="E174" s="767" t="s">
        <v>1334</v>
      </c>
      <c r="F174" s="712" t="s">
        <v>605</v>
      </c>
      <c r="G174" s="712"/>
      <c r="H174" s="712"/>
      <c r="I174" s="712"/>
      <c r="J174" s="712"/>
      <c r="K174" s="712"/>
      <c r="L174" s="712"/>
      <c r="M174" s="769"/>
      <c r="N174" s="769"/>
      <c r="O174" s="769"/>
      <c r="P174" s="769"/>
      <c r="Q174" s="769" t="e">
        <f>+Q80/Q$81</f>
        <v>#DIV/0!</v>
      </c>
      <c r="R174" s="769" t="e">
        <f t="shared" ref="R174:AH174" si="103">+R80/R$81</f>
        <v>#DIV/0!</v>
      </c>
      <c r="S174" s="769" t="e">
        <f t="shared" si="103"/>
        <v>#DIV/0!</v>
      </c>
      <c r="T174" s="769" t="e">
        <f t="shared" si="103"/>
        <v>#DIV/0!</v>
      </c>
      <c r="U174" s="769" t="e">
        <f t="shared" si="103"/>
        <v>#DIV/0!</v>
      </c>
      <c r="V174" s="769" t="e">
        <f t="shared" si="103"/>
        <v>#DIV/0!</v>
      </c>
      <c r="W174" s="769" t="e">
        <f t="shared" si="103"/>
        <v>#DIV/0!</v>
      </c>
      <c r="X174" s="769">
        <f t="shared" si="103"/>
        <v>0</v>
      </c>
      <c r="Y174" s="769">
        <f t="shared" si="103"/>
        <v>0</v>
      </c>
      <c r="Z174" s="769">
        <f t="shared" si="103"/>
        <v>0</v>
      </c>
      <c r="AA174" s="769">
        <f t="shared" si="103"/>
        <v>0</v>
      </c>
      <c r="AB174" s="769">
        <f t="shared" si="103"/>
        <v>0</v>
      </c>
      <c r="AC174" s="769">
        <f t="shared" si="103"/>
        <v>0</v>
      </c>
      <c r="AD174" s="769">
        <f t="shared" si="103"/>
        <v>0.55000000000000004</v>
      </c>
      <c r="AE174" s="769">
        <f t="shared" si="103"/>
        <v>0.8</v>
      </c>
      <c r="AF174" s="769">
        <f t="shared" ref="AF174" si="104">+AF80/AF$81</f>
        <v>0.9</v>
      </c>
      <c r="AG174" s="769">
        <f t="shared" ca="1" si="103"/>
        <v>0.82188719078576788</v>
      </c>
      <c r="AH174" s="769">
        <f t="shared" ca="1" si="103"/>
        <v>1.204561196510757</v>
      </c>
      <c r="AI174" s="769">
        <f t="shared" ref="AI174:AJ174" ca="1" si="105">+AI80/AI$81</f>
        <v>1.2589918647818721</v>
      </c>
      <c r="AJ174" s="769">
        <f t="shared" ca="1" si="105"/>
        <v>1.4394115539983485</v>
      </c>
    </row>
    <row r="175" spans="1:36" x14ac:dyDescent="0.25">
      <c r="A175" s="713" t="s">
        <v>1335</v>
      </c>
      <c r="B175" s="710"/>
      <c r="C175" s="712" t="s">
        <v>1038</v>
      </c>
      <c r="D175" s="711" t="s">
        <v>1114</v>
      </c>
      <c r="E175" s="767" t="s">
        <v>1336</v>
      </c>
      <c r="F175" s="712" t="s">
        <v>605</v>
      </c>
      <c r="G175" s="712"/>
      <c r="H175" s="712"/>
      <c r="I175" s="712"/>
      <c r="J175" s="712"/>
      <c r="K175" s="712"/>
      <c r="L175" s="712"/>
      <c r="M175" s="769"/>
      <c r="N175" s="769"/>
      <c r="O175" s="769"/>
      <c r="P175" s="769"/>
      <c r="Q175" s="769" t="e">
        <f>+Q95/Q$81</f>
        <v>#DIV/0!</v>
      </c>
      <c r="R175" s="769" t="e">
        <f t="shared" ref="R175:AH175" si="106">+R95/R$81</f>
        <v>#DIV/0!</v>
      </c>
      <c r="S175" s="769" t="e">
        <f t="shared" si="106"/>
        <v>#DIV/0!</v>
      </c>
      <c r="T175" s="769" t="e">
        <f t="shared" si="106"/>
        <v>#DIV/0!</v>
      </c>
      <c r="U175" s="769" t="e">
        <f t="shared" si="106"/>
        <v>#DIV/0!</v>
      </c>
      <c r="V175" s="769" t="e">
        <f t="shared" si="106"/>
        <v>#DIV/0!</v>
      </c>
      <c r="W175" s="769" t="e">
        <f t="shared" si="106"/>
        <v>#DIV/0!</v>
      </c>
      <c r="X175" s="769">
        <f t="shared" si="106"/>
        <v>12.443198571428571</v>
      </c>
      <c r="Y175" s="769">
        <f t="shared" si="106"/>
        <v>13.750785238095236</v>
      </c>
      <c r="Z175" s="769">
        <f t="shared" si="106"/>
        <v>12.134361428571429</v>
      </c>
      <c r="AA175" s="769">
        <f t="shared" si="106"/>
        <v>13.767466666666667</v>
      </c>
      <c r="AB175" s="769">
        <f t="shared" si="106"/>
        <v>15.581514285714286</v>
      </c>
      <c r="AC175" s="769">
        <f t="shared" si="106"/>
        <v>19.022023809523809</v>
      </c>
      <c r="AD175" s="769">
        <f t="shared" si="106"/>
        <v>38.220761904761908</v>
      </c>
      <c r="AE175" s="769">
        <f t="shared" si="106"/>
        <v>46.175714285714285</v>
      </c>
      <c r="AF175" s="769">
        <f t="shared" ref="AF175" si="107">+AF95/AF$81</f>
        <v>51.797619047619051</v>
      </c>
      <c r="AG175" s="769">
        <f t="shared" ca="1" si="106"/>
        <v>81.372880886935405</v>
      </c>
      <c r="AH175" s="769">
        <f t="shared" ca="1" si="106"/>
        <v>90.206329661347638</v>
      </c>
      <c r="AI175" s="769">
        <f t="shared" ref="AI175:AJ175" ca="1" si="108">+AI95/AI$81</f>
        <v>99.438936669748031</v>
      </c>
      <c r="AJ175" s="769">
        <f t="shared" ca="1" si="108"/>
        <v>109.99462139906925</v>
      </c>
    </row>
    <row r="177" spans="1:36" x14ac:dyDescent="0.25">
      <c r="E177" s="768" t="s">
        <v>1337</v>
      </c>
    </row>
    <row r="178" spans="1:36" x14ac:dyDescent="0.25">
      <c r="A178" s="750" t="s">
        <v>1338</v>
      </c>
      <c r="B178" s="710"/>
      <c r="C178" s="712" t="s">
        <v>1038</v>
      </c>
      <c r="D178" s="711" t="s">
        <v>1114</v>
      </c>
      <c r="E178" s="767" t="s">
        <v>1339</v>
      </c>
      <c r="F178" s="712" t="s">
        <v>605</v>
      </c>
      <c r="G178" s="712"/>
      <c r="H178" s="712"/>
      <c r="I178" s="712"/>
      <c r="J178" s="712"/>
      <c r="K178" s="712"/>
      <c r="L178" s="712"/>
      <c r="M178" s="769"/>
      <c r="N178" s="769"/>
      <c r="O178" s="769"/>
      <c r="P178" s="769"/>
      <c r="Q178" s="769" t="e">
        <f t="shared" ref="Q178:AG178" si="109">Q46/Q$43*100</f>
        <v>#DIV/0!</v>
      </c>
      <c r="R178" s="769" t="e">
        <f t="shared" si="109"/>
        <v>#DIV/0!</v>
      </c>
      <c r="S178" s="769" t="e">
        <f t="shared" si="109"/>
        <v>#DIV/0!</v>
      </c>
      <c r="T178" s="769" t="e">
        <f t="shared" si="109"/>
        <v>#DIV/0!</v>
      </c>
      <c r="U178" s="769" t="e">
        <f t="shared" si="109"/>
        <v>#DIV/0!</v>
      </c>
      <c r="V178" s="769" t="e">
        <f t="shared" si="109"/>
        <v>#DIV/0!</v>
      </c>
      <c r="W178" s="769" t="e">
        <f t="shared" si="109"/>
        <v>#DIV/0!</v>
      </c>
      <c r="X178" s="769">
        <f t="shared" si="109"/>
        <v>0</v>
      </c>
      <c r="Y178" s="769">
        <f t="shared" si="109"/>
        <v>0</v>
      </c>
      <c r="Z178" s="769">
        <f t="shared" si="109"/>
        <v>0</v>
      </c>
      <c r="AA178" s="769">
        <f t="shared" si="109"/>
        <v>0</v>
      </c>
      <c r="AB178" s="769">
        <f t="shared" si="109"/>
        <v>0</v>
      </c>
      <c r="AC178" s="769">
        <f t="shared" si="109"/>
        <v>0</v>
      </c>
      <c r="AD178" s="769">
        <f t="shared" si="109"/>
        <v>0</v>
      </c>
      <c r="AE178" s="769">
        <f t="shared" si="109"/>
        <v>0</v>
      </c>
      <c r="AF178" s="769">
        <f t="shared" ref="AF178" si="110">AF46/AF$43*100</f>
        <v>0</v>
      </c>
      <c r="AG178" s="769">
        <f t="shared" ca="1" si="109"/>
        <v>0</v>
      </c>
      <c r="AH178" s="769">
        <f ca="1">AH46/AH$43*100</f>
        <v>0</v>
      </c>
      <c r="AI178" s="769">
        <f ca="1">AI46/AI$43*100</f>
        <v>0</v>
      </c>
      <c r="AJ178" s="769">
        <f ca="1">AJ46/AJ$43*100</f>
        <v>0</v>
      </c>
    </row>
    <row r="179" spans="1:36" x14ac:dyDescent="0.25">
      <c r="A179" s="750" t="s">
        <v>1340</v>
      </c>
      <c r="B179" s="710"/>
      <c r="C179" s="712" t="s">
        <v>1038</v>
      </c>
      <c r="D179" s="711" t="s">
        <v>1114</v>
      </c>
      <c r="E179" s="767" t="s">
        <v>1341</v>
      </c>
      <c r="F179" s="712" t="s">
        <v>605</v>
      </c>
      <c r="G179" s="712"/>
      <c r="H179" s="712"/>
      <c r="I179" s="712"/>
      <c r="J179" s="712"/>
      <c r="K179" s="712"/>
      <c r="L179" s="712"/>
      <c r="M179" s="769"/>
      <c r="N179" s="769"/>
      <c r="O179" s="769"/>
      <c r="P179" s="769"/>
      <c r="Q179" s="769" t="e">
        <f t="shared" ref="Q179:AH179" si="111">Q58/Q$43*100</f>
        <v>#DIV/0!</v>
      </c>
      <c r="R179" s="769" t="e">
        <f t="shared" si="111"/>
        <v>#DIV/0!</v>
      </c>
      <c r="S179" s="769" t="e">
        <f t="shared" si="111"/>
        <v>#DIV/0!</v>
      </c>
      <c r="T179" s="769" t="e">
        <f t="shared" si="111"/>
        <v>#DIV/0!</v>
      </c>
      <c r="U179" s="769" t="e">
        <f t="shared" si="111"/>
        <v>#DIV/0!</v>
      </c>
      <c r="V179" s="769" t="e">
        <f t="shared" si="111"/>
        <v>#DIV/0!</v>
      </c>
      <c r="W179" s="769" t="e">
        <f t="shared" si="111"/>
        <v>#DIV/0!</v>
      </c>
      <c r="X179" s="769">
        <f t="shared" si="111"/>
        <v>58.895839027522058</v>
      </c>
      <c r="Y179" s="769">
        <f t="shared" si="111"/>
        <v>56.666042125776741</v>
      </c>
      <c r="Z179" s="769">
        <f t="shared" si="111"/>
        <v>54.16601021759876</v>
      </c>
      <c r="AA179" s="769">
        <f t="shared" si="111"/>
        <v>50.913851308688947</v>
      </c>
      <c r="AB179" s="769">
        <f t="shared" si="111"/>
        <v>48.807835503419433</v>
      </c>
      <c r="AC179" s="769">
        <f t="shared" si="111"/>
        <v>50.714292958336884</v>
      </c>
      <c r="AD179" s="769">
        <f t="shared" si="111"/>
        <v>52.208807592036962</v>
      </c>
      <c r="AE179" s="769">
        <f t="shared" si="111"/>
        <v>50.538633733529338</v>
      </c>
      <c r="AF179" s="769">
        <f t="shared" ref="AF179" si="112">AF58/AF$43*100</f>
        <v>48.564005192634809</v>
      </c>
      <c r="AG179" s="769">
        <f t="shared" ca="1" si="111"/>
        <v>40.489103350763287</v>
      </c>
      <c r="AH179" s="769">
        <f t="shared" ca="1" si="111"/>
        <v>43.653528913894881</v>
      </c>
      <c r="AI179" s="769">
        <f t="shared" ref="AI179:AJ179" ca="1" si="113">AI58/AI$43*100</f>
        <v>40.156530224663271</v>
      </c>
      <c r="AJ179" s="769">
        <f t="shared" ca="1" si="113"/>
        <v>40.045886822155317</v>
      </c>
    </row>
    <row r="180" spans="1:36" x14ac:dyDescent="0.25">
      <c r="A180" s="713" t="s">
        <v>1342</v>
      </c>
      <c r="B180" s="710"/>
      <c r="C180" s="712" t="s">
        <v>1038</v>
      </c>
      <c r="D180" s="711" t="s">
        <v>1114</v>
      </c>
      <c r="E180" s="767" t="s">
        <v>1343</v>
      </c>
      <c r="F180" s="712" t="s">
        <v>605</v>
      </c>
      <c r="G180" s="712"/>
      <c r="H180" s="712"/>
      <c r="I180" s="712"/>
      <c r="J180" s="712"/>
      <c r="K180" s="712"/>
      <c r="L180" s="712"/>
      <c r="M180" s="769"/>
      <c r="N180" s="769"/>
      <c r="O180" s="769"/>
      <c r="P180" s="769"/>
      <c r="Q180" s="769" t="e">
        <f t="shared" ref="Q180:AH180" si="114">Q62/Q$43*100</f>
        <v>#DIV/0!</v>
      </c>
      <c r="R180" s="769" t="e">
        <f t="shared" si="114"/>
        <v>#DIV/0!</v>
      </c>
      <c r="S180" s="769" t="e">
        <f t="shared" si="114"/>
        <v>#DIV/0!</v>
      </c>
      <c r="T180" s="769" t="e">
        <f t="shared" si="114"/>
        <v>#DIV/0!</v>
      </c>
      <c r="U180" s="769" t="e">
        <f t="shared" si="114"/>
        <v>#DIV/0!</v>
      </c>
      <c r="V180" s="769" t="e">
        <f t="shared" si="114"/>
        <v>#DIV/0!</v>
      </c>
      <c r="W180" s="769" t="e">
        <f t="shared" si="114"/>
        <v>#DIV/0!</v>
      </c>
      <c r="X180" s="769">
        <f t="shared" si="114"/>
        <v>43.151804600289985</v>
      </c>
      <c r="Y180" s="769">
        <f t="shared" si="114"/>
        <v>33.292497492733702</v>
      </c>
      <c r="Z180" s="769">
        <f t="shared" si="114"/>
        <v>36.507948727077824</v>
      </c>
      <c r="AA180" s="769">
        <f t="shared" si="114"/>
        <v>34.035578728842914</v>
      </c>
      <c r="AB180" s="769">
        <f t="shared" si="114"/>
        <v>32.551986776584911</v>
      </c>
      <c r="AC180" s="769">
        <f t="shared" si="114"/>
        <v>38.468443562661577</v>
      </c>
      <c r="AD180" s="769">
        <f t="shared" si="114"/>
        <v>40.609212599889972</v>
      </c>
      <c r="AE180" s="769">
        <f t="shared" si="114"/>
        <v>38.328336468475065</v>
      </c>
      <c r="AF180" s="769">
        <f t="shared" ref="AF180" si="115">AF62/AF$43*100</f>
        <v>37.109619803634843</v>
      </c>
      <c r="AG180" s="769">
        <f t="shared" ca="1" si="114"/>
        <v>30.269257052950273</v>
      </c>
      <c r="AH180" s="769">
        <f t="shared" ca="1" si="114"/>
        <v>32.187266977281396</v>
      </c>
      <c r="AI180" s="769">
        <f t="shared" ref="AI180:AJ180" ca="1" si="116">AI62/AI$43*100</f>
        <v>27.404113237780958</v>
      </c>
      <c r="AJ180" s="769">
        <f t="shared" ca="1" si="116"/>
        <v>27.054372154934107</v>
      </c>
    </row>
    <row r="181" spans="1:36" x14ac:dyDescent="0.25">
      <c r="A181" s="713" t="s">
        <v>1344</v>
      </c>
      <c r="B181" s="710"/>
      <c r="C181" s="712" t="s">
        <v>1038</v>
      </c>
      <c r="D181" s="711" t="s">
        <v>1114</v>
      </c>
      <c r="E181" s="767" t="s">
        <v>1345</v>
      </c>
      <c r="F181" s="712" t="s">
        <v>605</v>
      </c>
      <c r="G181" s="712"/>
      <c r="H181" s="712"/>
      <c r="I181" s="712"/>
      <c r="J181" s="712"/>
      <c r="K181" s="712"/>
      <c r="L181" s="712"/>
      <c r="M181" s="769"/>
      <c r="N181" s="769"/>
      <c r="O181" s="769"/>
      <c r="P181" s="769"/>
      <c r="Q181" s="769" t="e">
        <f t="shared" ref="Q181:AH181" si="117">Q68/Q$43*100</f>
        <v>#DIV/0!</v>
      </c>
      <c r="R181" s="769" t="e">
        <f t="shared" si="117"/>
        <v>#DIV/0!</v>
      </c>
      <c r="S181" s="769" t="e">
        <f t="shared" si="117"/>
        <v>#DIV/0!</v>
      </c>
      <c r="T181" s="769" t="e">
        <f t="shared" si="117"/>
        <v>#DIV/0!</v>
      </c>
      <c r="U181" s="769" t="e">
        <f t="shared" si="117"/>
        <v>#DIV/0!</v>
      </c>
      <c r="V181" s="769" t="e">
        <f t="shared" si="117"/>
        <v>#DIV/0!</v>
      </c>
      <c r="W181" s="769" t="e">
        <f t="shared" si="117"/>
        <v>#DIV/0!</v>
      </c>
      <c r="X181" s="769">
        <f t="shared" si="117"/>
        <v>37.819769608782174</v>
      </c>
      <c r="Y181" s="769">
        <f t="shared" si="117"/>
        <v>26.275354771007954</v>
      </c>
      <c r="Z181" s="769">
        <f t="shared" si="117"/>
        <v>20.47870030170267</v>
      </c>
      <c r="AA181" s="769">
        <f t="shared" si="117"/>
        <v>24.484143353846925</v>
      </c>
      <c r="AB181" s="769">
        <f t="shared" si="117"/>
        <v>18.740509484400473</v>
      </c>
      <c r="AC181" s="769">
        <f t="shared" si="117"/>
        <v>25.385468036268122</v>
      </c>
      <c r="AD181" s="769">
        <f t="shared" si="117"/>
        <v>38.933638772326582</v>
      </c>
      <c r="AE181" s="769">
        <f t="shared" si="117"/>
        <v>40.276666949648579</v>
      </c>
      <c r="AF181" s="769">
        <f t="shared" ref="AF181" si="118">AF68/AF$43*100</f>
        <v>36.418760631472139</v>
      </c>
      <c r="AG181" s="769">
        <f t="shared" ca="1" si="117"/>
        <v>28.864189688109519</v>
      </c>
      <c r="AH181" s="769">
        <f t="shared" ca="1" si="117"/>
        <v>28.298580954881398</v>
      </c>
      <c r="AI181" s="769">
        <f t="shared" ref="AI181:AJ181" ca="1" si="119">AI68/AI$43*100</f>
        <v>21.826044848112847</v>
      </c>
      <c r="AJ181" s="769">
        <f t="shared" ca="1" si="119"/>
        <v>19.657986499288572</v>
      </c>
    </row>
    <row r="182" spans="1:36" x14ac:dyDescent="0.25">
      <c r="A182" s="750" t="s">
        <v>1346</v>
      </c>
      <c r="B182" s="710"/>
      <c r="C182" s="712" t="s">
        <v>1038</v>
      </c>
      <c r="D182" s="711" t="s">
        <v>1114</v>
      </c>
      <c r="E182" s="767" t="s">
        <v>1347</v>
      </c>
      <c r="F182" s="712" t="s">
        <v>605</v>
      </c>
      <c r="G182" s="712"/>
      <c r="H182" s="712"/>
      <c r="I182" s="712"/>
      <c r="J182" s="712"/>
      <c r="K182" s="712"/>
      <c r="L182" s="712"/>
      <c r="M182" s="769"/>
      <c r="N182" s="769"/>
      <c r="O182" s="769"/>
      <c r="P182" s="769"/>
      <c r="Q182" s="769" t="e">
        <f t="shared" ref="Q182:AH182" si="120">Q79/Q43*100</f>
        <v>#DIV/0!</v>
      </c>
      <c r="R182" s="769" t="e">
        <f t="shared" si="120"/>
        <v>#DIV/0!</v>
      </c>
      <c r="S182" s="769" t="e">
        <f t="shared" si="120"/>
        <v>#DIV/0!</v>
      </c>
      <c r="T182" s="769" t="e">
        <f t="shared" si="120"/>
        <v>#DIV/0!</v>
      </c>
      <c r="U182" s="769" t="e">
        <f t="shared" si="120"/>
        <v>#DIV/0!</v>
      </c>
      <c r="V182" s="769" t="e">
        <f t="shared" si="120"/>
        <v>#DIV/0!</v>
      </c>
      <c r="W182" s="769" t="e">
        <f t="shared" si="120"/>
        <v>#DIV/0!</v>
      </c>
      <c r="X182" s="769">
        <f t="shared" si="120"/>
        <v>28.135006576537496</v>
      </c>
      <c r="Y182" s="769">
        <f t="shared" si="120"/>
        <v>24.690755060678903</v>
      </c>
      <c r="Z182" s="769">
        <f t="shared" si="120"/>
        <v>16.657908666553581</v>
      </c>
      <c r="AA182" s="769">
        <f t="shared" si="120"/>
        <v>18.171043929780446</v>
      </c>
      <c r="AB182" s="769">
        <f t="shared" si="120"/>
        <v>14.427510630169337</v>
      </c>
      <c r="AC182" s="769">
        <f t="shared" si="120"/>
        <v>23.157993847135465</v>
      </c>
      <c r="AD182" s="769">
        <f t="shared" si="120"/>
        <v>30.718676336539197</v>
      </c>
      <c r="AE182" s="769">
        <f t="shared" si="120"/>
        <v>33.579825474627697</v>
      </c>
      <c r="AF182" s="769">
        <f t="shared" ref="AF182" si="121">AF79/AF43*100</f>
        <v>29.899430003879552</v>
      </c>
      <c r="AG182" s="769">
        <f t="shared" ca="1" si="120"/>
        <v>21.880070157727275</v>
      </c>
      <c r="AH182" s="769">
        <f t="shared" ca="1" si="120"/>
        <v>21.522044329037961</v>
      </c>
      <c r="AI182" s="769">
        <f t="shared" ref="AI182:AJ182" ca="1" si="122">AI79/AI43*100</f>
        <v>16.934689630477784</v>
      </c>
      <c r="AJ182" s="769">
        <f t="shared" ca="1" si="122"/>
        <v>14.822840268818235</v>
      </c>
    </row>
    <row r="183" spans="1:36" x14ac:dyDescent="0.25">
      <c r="A183" s="713" t="s">
        <v>1348</v>
      </c>
      <c r="B183" s="710"/>
      <c r="C183" s="712" t="s">
        <v>1038</v>
      </c>
      <c r="D183" s="711" t="s">
        <v>1114</v>
      </c>
      <c r="E183" s="767" t="s">
        <v>1349</v>
      </c>
      <c r="F183" s="712" t="s">
        <v>605</v>
      </c>
      <c r="G183" s="712"/>
      <c r="H183" s="712"/>
      <c r="I183" s="712"/>
      <c r="J183" s="712"/>
      <c r="K183" s="712"/>
      <c r="L183" s="712"/>
      <c r="M183" s="769"/>
      <c r="N183" s="769"/>
      <c r="O183" s="769"/>
      <c r="P183" s="769"/>
      <c r="Q183" s="769" t="e">
        <f t="shared" ref="Q183:AH183" si="123">Q73/Q68*100</f>
        <v>#DIV/0!</v>
      </c>
      <c r="R183" s="769" t="e">
        <f t="shared" si="123"/>
        <v>#DIV/0!</v>
      </c>
      <c r="S183" s="769" t="e">
        <f t="shared" si="123"/>
        <v>#DIV/0!</v>
      </c>
      <c r="T183" s="769" t="e">
        <f t="shared" si="123"/>
        <v>#DIV/0!</v>
      </c>
      <c r="U183" s="769" t="e">
        <f t="shared" si="123"/>
        <v>#DIV/0!</v>
      </c>
      <c r="V183" s="769" t="e">
        <f t="shared" si="123"/>
        <v>#DIV/0!</v>
      </c>
      <c r="W183" s="769" t="e">
        <f t="shared" si="123"/>
        <v>#DIV/0!</v>
      </c>
      <c r="X183" s="769">
        <f t="shared" si="123"/>
        <v>25.60767326831035</v>
      </c>
      <c r="Y183" s="769">
        <f t="shared" si="123"/>
        <v>4.1844729219263357</v>
      </c>
      <c r="Z183" s="769">
        <f t="shared" si="123"/>
        <v>16.049291481935391</v>
      </c>
      <c r="AA183" s="769">
        <f t="shared" si="123"/>
        <v>27.506205101363797</v>
      </c>
      <c r="AB183" s="769">
        <f t="shared" si="123"/>
        <v>22.429544103658667</v>
      </c>
      <c r="AC183" s="769">
        <f t="shared" si="123"/>
        <v>7.5806449226362123</v>
      </c>
      <c r="AD183" s="769">
        <f t="shared" si="123"/>
        <v>20.773636034756972</v>
      </c>
      <c r="AE183" s="769">
        <f t="shared" si="123"/>
        <v>15.606487541878369</v>
      </c>
      <c r="AF183" s="769">
        <f t="shared" ref="AF183" si="124">AF73/AF68*100</f>
        <v>16.692871446350196</v>
      </c>
      <c r="AG183" s="769">
        <f t="shared" ca="1" si="123"/>
        <v>21.999999999999996</v>
      </c>
      <c r="AH183" s="769">
        <f t="shared" ca="1" si="123"/>
        <v>22</v>
      </c>
      <c r="AI183" s="769">
        <f t="shared" ref="AI183:AJ183" ca="1" si="125">AI73/AI68*100</f>
        <v>20</v>
      </c>
      <c r="AJ183" s="769">
        <f t="shared" ca="1" si="125"/>
        <v>22.000000000000004</v>
      </c>
    </row>
    <row r="184" spans="1:36" x14ac:dyDescent="0.25">
      <c r="A184" s="750" t="s">
        <v>1350</v>
      </c>
      <c r="B184" s="710"/>
      <c r="C184" s="712" t="s">
        <v>1038</v>
      </c>
      <c r="D184" s="711" t="s">
        <v>1114</v>
      </c>
      <c r="E184" s="767" t="s">
        <v>1351</v>
      </c>
      <c r="F184" s="712" t="s">
        <v>605</v>
      </c>
      <c r="G184" s="712"/>
      <c r="H184" s="712"/>
      <c r="I184" s="712"/>
      <c r="J184" s="712"/>
      <c r="K184" s="712"/>
      <c r="L184" s="712"/>
      <c r="M184" s="769"/>
      <c r="N184" s="769"/>
      <c r="O184" s="769"/>
      <c r="P184" s="769"/>
      <c r="Q184" s="769"/>
      <c r="R184" s="769"/>
      <c r="S184" s="769"/>
      <c r="T184" s="769"/>
      <c r="U184" s="769"/>
      <c r="V184" s="769"/>
      <c r="W184" s="769"/>
      <c r="X184" s="769">
        <f>(NewFinSumm!C85)*100</f>
        <v>0</v>
      </c>
      <c r="Y184" s="769">
        <f>(NewFinSumm!D85)*100</f>
        <v>0</v>
      </c>
      <c r="Z184" s="769">
        <f>(NewFinSumm!E85)*100</f>
        <v>0</v>
      </c>
      <c r="AA184" s="769">
        <f>(NewFinSumm!F85)*100</f>
        <v>0</v>
      </c>
      <c r="AB184" s="769">
        <f>(NewFinSumm!G85)*100</f>
        <v>0</v>
      </c>
      <c r="AC184" s="769">
        <f>(NewFinSumm!H85)*100</f>
        <v>0</v>
      </c>
      <c r="AD184" s="769">
        <f>(NewFinSumm!I85)*100</f>
        <v>9.9921274147641306</v>
      </c>
      <c r="AE184" s="769">
        <f>(NewFinSumm!J85)*100</f>
        <v>11.177049791095619</v>
      </c>
      <c r="AF184" s="769">
        <f>(NewFinSumm!K85)*100</f>
        <v>12.407192232703784</v>
      </c>
      <c r="AG184" s="769">
        <f>(NewFinSumm!L85)*100</f>
        <v>12</v>
      </c>
      <c r="AH184" s="769">
        <f>(NewFinSumm!M85)*100</f>
        <v>12</v>
      </c>
      <c r="AI184" s="769">
        <f>(NewFinSumm!N85)*100</f>
        <v>12</v>
      </c>
      <c r="AJ184" s="769">
        <f>(NewFinSumm!O85)*100</f>
        <v>12</v>
      </c>
    </row>
    <row r="186" spans="1:36" x14ac:dyDescent="0.25">
      <c r="E186" s="768" t="s">
        <v>1352</v>
      </c>
    </row>
    <row r="187" spans="1:36" x14ac:dyDescent="0.25">
      <c r="A187" s="750" t="s">
        <v>1353</v>
      </c>
      <c r="B187" s="710"/>
      <c r="C187" s="712" t="s">
        <v>1038</v>
      </c>
      <c r="D187" s="711" t="s">
        <v>1114</v>
      </c>
      <c r="E187" s="767" t="s">
        <v>1354</v>
      </c>
      <c r="F187" s="712" t="s">
        <v>605</v>
      </c>
      <c r="G187" s="712"/>
      <c r="H187" s="712"/>
      <c r="I187" s="712"/>
      <c r="J187" s="712"/>
      <c r="K187" s="770"/>
      <c r="L187" s="770"/>
      <c r="M187" s="770"/>
      <c r="N187" s="770"/>
      <c r="O187" s="770"/>
      <c r="P187" s="770"/>
      <c r="Q187" s="770"/>
      <c r="R187" s="770"/>
      <c r="S187" s="770"/>
      <c r="T187" s="770"/>
      <c r="U187" s="770"/>
      <c r="V187" s="770"/>
      <c r="W187" s="770"/>
      <c r="X187" s="770">
        <f>(Consol!G223)*100</f>
        <v>9.1922786487255852</v>
      </c>
      <c r="Y187" s="770">
        <f>(Consol!H223)*100</f>
        <v>9.9248100498850693</v>
      </c>
      <c r="Z187" s="770">
        <f>(Consol!I223)*100</f>
        <v>8.06212951174426</v>
      </c>
      <c r="AA187" s="770">
        <f>(Consol!J223)*100</f>
        <v>5.9619668831810504</v>
      </c>
      <c r="AB187" s="770">
        <f>(Consol!K223)*100</f>
        <v>7.4820684808760713</v>
      </c>
      <c r="AC187" s="770">
        <f>(Consol!L223)*100</f>
        <v>14.710907696241263</v>
      </c>
      <c r="AD187" s="770">
        <f>(Consol!M223)*100</f>
        <v>10.869624056131245</v>
      </c>
      <c r="AE187" s="770">
        <f>(Consol!N223)*100</f>
        <v>12.543559035157315</v>
      </c>
      <c r="AF187" s="770">
        <f>(Consol!O223)*100</f>
        <v>12.270646688110293</v>
      </c>
      <c r="AG187" s="770">
        <f ca="1">(Consol!P223)*100</f>
        <v>8.3673651575393642</v>
      </c>
      <c r="AH187" s="770">
        <f ca="1">(Consol!Q223)*100</f>
        <v>9.542061109629941</v>
      </c>
      <c r="AI187" s="770">
        <f ca="1">(Consol!R223)*100</f>
        <v>10.260936897422955</v>
      </c>
      <c r="AJ187" s="770">
        <f ca="1">(Consol!S223)*100</f>
        <v>9.5771964124638362</v>
      </c>
    </row>
    <row r="188" spans="1:36" x14ac:dyDescent="0.25">
      <c r="A188" s="750" t="s">
        <v>1355</v>
      </c>
      <c r="B188" s="710"/>
      <c r="C188" s="712" t="s">
        <v>1038</v>
      </c>
      <c r="D188" s="711" t="s">
        <v>1114</v>
      </c>
      <c r="E188" s="767" t="s">
        <v>972</v>
      </c>
      <c r="F188" s="712" t="s">
        <v>605</v>
      </c>
      <c r="G188" s="712"/>
      <c r="H188" s="712"/>
      <c r="I188" s="712"/>
      <c r="J188" s="712"/>
      <c r="K188" s="770"/>
      <c r="L188" s="770"/>
      <c r="M188" s="770"/>
      <c r="N188" s="770"/>
      <c r="O188" s="770"/>
      <c r="P188" s="770"/>
      <c r="Q188" s="770"/>
      <c r="R188" s="770"/>
      <c r="S188" s="770"/>
      <c r="T188" s="770"/>
      <c r="U188" s="770"/>
      <c r="V188" s="770"/>
      <c r="W188" s="770"/>
      <c r="X188" s="770">
        <f>(Consol!G225)*100</f>
        <v>10.730311028733986</v>
      </c>
      <c r="Y188" s="770">
        <f>(Consol!H225)*100</f>
        <v>8.681706512895305</v>
      </c>
      <c r="Z188" s="770">
        <f>(Consol!I225)*100</f>
        <v>8.4177767800853101</v>
      </c>
      <c r="AA188" s="770">
        <f>(Consol!J225)*100</f>
        <v>7.9175612261499522</v>
      </c>
      <c r="AB188" s="770">
        <f>(Consol!K225)*100</f>
        <v>9.5690161542204279</v>
      </c>
      <c r="AC188" s="770">
        <f>(Consol!L225)*100</f>
        <v>15.836884678559313</v>
      </c>
      <c r="AD188" s="770">
        <f>(Consol!M225)*100</f>
        <v>13.606648711089303</v>
      </c>
      <c r="AE188" s="770">
        <f>(Consol!N225)*100</f>
        <v>13.112096003326545</v>
      </c>
      <c r="AF188" s="770">
        <f>(Consol!O225)*100</f>
        <v>12.378024866709771</v>
      </c>
      <c r="AG188" s="770">
        <f ca="1">(Consol!P225)*100</f>
        <v>8.3573595524430662</v>
      </c>
      <c r="AH188" s="770">
        <f ca="1">(Consol!Q225)*100</f>
        <v>10.913343922175093</v>
      </c>
      <c r="AI188" s="770">
        <f ca="1">(Consol!R225)*100</f>
        <v>10.98307771682045</v>
      </c>
      <c r="AJ188" s="770">
        <f>(Consol!S225)*100</f>
        <v>0</v>
      </c>
    </row>
    <row r="189" spans="1:36" x14ac:dyDescent="0.25">
      <c r="A189" s="750" t="s">
        <v>1356</v>
      </c>
      <c r="B189" s="710"/>
      <c r="C189" s="712" t="s">
        <v>1038</v>
      </c>
      <c r="D189" s="711" t="s">
        <v>1114</v>
      </c>
      <c r="E189" s="767" t="s">
        <v>1357</v>
      </c>
      <c r="F189" s="712" t="s">
        <v>605</v>
      </c>
      <c r="G189" s="712"/>
      <c r="H189" s="712"/>
      <c r="I189" s="712"/>
      <c r="J189" s="712"/>
      <c r="K189" s="770"/>
      <c r="L189" s="770"/>
      <c r="M189" s="770"/>
      <c r="N189" s="770"/>
      <c r="O189" s="770"/>
      <c r="P189" s="770"/>
      <c r="Q189" s="770"/>
      <c r="R189" s="770"/>
      <c r="S189" s="770"/>
      <c r="T189" s="770"/>
      <c r="U189" s="770"/>
      <c r="V189" s="770"/>
      <c r="W189" s="770"/>
      <c r="X189" s="770">
        <f>(Consol!G221)*100</f>
        <v>21.492996154678785</v>
      </c>
      <c r="Y189" s="770">
        <f>(Consol!H221)*100</f>
        <v>9.697770294981952</v>
      </c>
      <c r="Z189" s="770">
        <f>(Consol!I221)*100</f>
        <v>7.0061911585699219</v>
      </c>
      <c r="AA189" s="770">
        <f>(Consol!J221)*100</f>
        <v>10.713915596213013</v>
      </c>
      <c r="AB189" s="770">
        <f>(Consol!K221)*100</f>
        <v>10.641914069864663</v>
      </c>
      <c r="AC189" s="770">
        <f>(Consol!L221)*100</f>
        <v>20.362288854855613</v>
      </c>
      <c r="AD189" s="770">
        <f>(Consol!M221)*100</f>
        <v>19.231535518927931</v>
      </c>
      <c r="AE189" s="770">
        <f>(Consol!N221)*100</f>
        <v>16.961665066133428</v>
      </c>
      <c r="AF189" s="770">
        <f>(Consol!O221)*100</f>
        <v>14.807819426082897</v>
      </c>
      <c r="AG189" s="770">
        <f ca="1">(Consol!P221)*100</f>
        <v>10.696856730936378</v>
      </c>
      <c r="AH189" s="770">
        <f ca="1">(Consol!Q221)*100</f>
        <v>11.700729871464516</v>
      </c>
      <c r="AI189" s="770">
        <f ca="1">(Consol!R221)*100</f>
        <v>11.064445821563842</v>
      </c>
      <c r="AJ189" s="770">
        <f ca="1">(Consol!S221)*100</f>
        <v>11.454798738011347</v>
      </c>
    </row>
    <row r="190" spans="1:36" x14ac:dyDescent="0.25">
      <c r="A190" s="713" t="s">
        <v>1358</v>
      </c>
      <c r="B190" s="710"/>
      <c r="C190" s="712" t="s">
        <v>1038</v>
      </c>
      <c r="D190" s="711" t="s">
        <v>1114</v>
      </c>
      <c r="E190" s="767" t="s">
        <v>1359</v>
      </c>
      <c r="F190" s="712" t="s">
        <v>605</v>
      </c>
      <c r="G190" s="712"/>
      <c r="H190" s="712"/>
      <c r="I190" s="712"/>
      <c r="J190" s="712"/>
      <c r="K190" s="712"/>
      <c r="L190" s="712"/>
      <c r="M190" s="770"/>
      <c r="N190" s="770"/>
      <c r="O190" s="770"/>
      <c r="P190" s="770"/>
      <c r="Q190" s="770" t="e">
        <f t="shared" ref="Q190:X190" si="126">(+Q40/AVERAGE(P135:Q135))*100</f>
        <v>#DIV/0!</v>
      </c>
      <c r="R190" s="770" t="e">
        <f t="shared" si="126"/>
        <v>#DIV/0!</v>
      </c>
      <c r="S190" s="770" t="e">
        <f t="shared" si="126"/>
        <v>#DIV/0!</v>
      </c>
      <c r="T190" s="770" t="e">
        <f t="shared" si="126"/>
        <v>#DIV/0!</v>
      </c>
      <c r="U190" s="770" t="e">
        <f t="shared" si="126"/>
        <v>#DIV/0!</v>
      </c>
      <c r="V190" s="770" t="e">
        <f t="shared" si="126"/>
        <v>#DIV/0!</v>
      </c>
      <c r="W190" s="770" t="e">
        <f t="shared" si="126"/>
        <v>#DIV/0!</v>
      </c>
      <c r="X190" s="770">
        <f t="shared" si="126"/>
        <v>42.217063547747067</v>
      </c>
      <c r="Y190" s="770">
        <f>(+Y40/AVERAGE(X135:Y135))</f>
        <v>0.21523071742998004</v>
      </c>
      <c r="Z190" s="770">
        <f t="shared" ref="Z190:AJ190" si="127">(+Z40/AVERAGE(Y135:Z135))</f>
        <v>0.20078244440242932</v>
      </c>
      <c r="AA190" s="770">
        <f t="shared" si="127"/>
        <v>0.23049974351832062</v>
      </c>
      <c r="AB190" s="770">
        <f t="shared" si="127"/>
        <v>0.27265315296412396</v>
      </c>
      <c r="AC190" s="770">
        <f t="shared" si="127"/>
        <v>0.3605448903690554</v>
      </c>
      <c r="AD190" s="770">
        <f t="shared" si="127"/>
        <v>0.34060692179932944</v>
      </c>
      <c r="AE190" s="770">
        <f t="shared" si="127"/>
        <v>0.30884308212443723</v>
      </c>
      <c r="AF190" s="770">
        <f t="shared" si="127"/>
        <v>0.30950978965914577</v>
      </c>
      <c r="AG190" s="770">
        <f t="shared" ca="1" si="127"/>
        <v>0.29302043916456921</v>
      </c>
      <c r="AH190" s="770">
        <f t="shared" ca="1" si="127"/>
        <v>0.32471344617775616</v>
      </c>
      <c r="AI190" s="770">
        <f t="shared" ca="1" si="127"/>
        <v>0.38668749605353836</v>
      </c>
      <c r="AJ190" s="770">
        <f t="shared" ca="1" si="127"/>
        <v>0.46279869129762097</v>
      </c>
    </row>
    <row r="191" spans="1:36" x14ac:dyDescent="0.25">
      <c r="A191" s="713" t="s">
        <v>1360</v>
      </c>
      <c r="B191" s="710"/>
      <c r="C191" s="712" t="s">
        <v>1038</v>
      </c>
      <c r="D191" s="711" t="s">
        <v>1114</v>
      </c>
      <c r="E191" s="767" t="s">
        <v>1361</v>
      </c>
      <c r="F191" s="712" t="s">
        <v>605</v>
      </c>
      <c r="G191" s="712"/>
      <c r="H191" s="712"/>
      <c r="I191" s="712"/>
      <c r="J191" s="712"/>
      <c r="K191" s="712"/>
      <c r="L191" s="712"/>
      <c r="M191" s="770"/>
      <c r="N191" s="770"/>
      <c r="O191" s="770"/>
      <c r="P191" s="770"/>
      <c r="Q191" s="770"/>
      <c r="R191" s="770"/>
      <c r="S191" s="770"/>
      <c r="T191" s="770"/>
      <c r="U191" s="770"/>
      <c r="V191" s="770"/>
      <c r="W191" s="770"/>
      <c r="X191" s="770"/>
      <c r="Y191" s="770"/>
      <c r="Z191" s="770"/>
      <c r="AA191" s="770"/>
      <c r="AB191" s="770"/>
      <c r="AC191" s="770"/>
      <c r="AD191" s="770"/>
      <c r="AE191" s="770"/>
      <c r="AF191" s="770"/>
      <c r="AG191" s="770"/>
      <c r="AH191" s="770"/>
      <c r="AI191" s="770"/>
      <c r="AJ191" s="770"/>
    </row>
    <row r="192" spans="1:36" x14ac:dyDescent="0.25">
      <c r="A192" s="713" t="s">
        <v>1362</v>
      </c>
      <c r="B192" s="710"/>
      <c r="C192" s="712" t="s">
        <v>1038</v>
      </c>
      <c r="D192" s="711" t="s">
        <v>1114</v>
      </c>
      <c r="E192" s="767" t="s">
        <v>1363</v>
      </c>
      <c r="F192" s="712" t="s">
        <v>605</v>
      </c>
      <c r="G192" s="712"/>
      <c r="H192" s="712"/>
      <c r="I192" s="712"/>
      <c r="J192" s="712"/>
      <c r="K192" s="712"/>
      <c r="L192" s="712"/>
      <c r="M192" s="770"/>
      <c r="N192" s="770"/>
      <c r="O192" s="770"/>
      <c r="P192" s="770"/>
      <c r="Q192" s="770"/>
      <c r="R192" s="770"/>
      <c r="S192" s="770"/>
      <c r="T192" s="770"/>
      <c r="U192" s="770"/>
      <c r="V192" s="770"/>
      <c r="W192" s="770"/>
      <c r="X192" s="770">
        <f>(NewFinSumm!C65)*100</f>
        <v>12.321637951393519</v>
      </c>
      <c r="Y192" s="770">
        <f>(NewFinSumm!D65)*100</f>
        <v>9.7375716037728957</v>
      </c>
      <c r="Z192" s="770">
        <f>(NewFinSumm!E65)*100</f>
        <v>9.9630522905973162</v>
      </c>
      <c r="AA192" s="770">
        <f>(NewFinSumm!F65)*100</f>
        <v>10.774786287998174</v>
      </c>
      <c r="AB192" s="770">
        <f>(NewFinSumm!G65)*100</f>
        <v>11.927532362055953</v>
      </c>
      <c r="AC192" s="770">
        <f>(NewFinSumm!H65)*100</f>
        <v>18.744126191510233</v>
      </c>
      <c r="AD192" s="770">
        <f>(NewFinSumm!I65)*100</f>
        <v>21.047912575460398</v>
      </c>
      <c r="AE192" s="770">
        <f>(NewFinSumm!J65)*100</f>
        <v>18.39322605925911</v>
      </c>
      <c r="AF192" s="770">
        <f>(NewFinSumm!K65)*100</f>
        <v>17.241084980114703</v>
      </c>
      <c r="AG192" s="770">
        <f ca="1">(NewFinSumm!L65)*100</f>
        <v>15.631751573354791</v>
      </c>
      <c r="AH192" s="770">
        <f ca="1">(NewFinSumm!M65)*100</f>
        <v>16.514072415133775</v>
      </c>
      <c r="AI192" s="770">
        <f ca="1">(NewFinSumm!N65)*100</f>
        <v>13.582471004410138</v>
      </c>
      <c r="AJ192" s="770">
        <f ca="1">(NewFinSumm!O65)*100</f>
        <v>13.929477681831518</v>
      </c>
    </row>
    <row r="194" spans="1:36" x14ac:dyDescent="0.25">
      <c r="E194" s="768" t="s">
        <v>1364</v>
      </c>
    </row>
    <row r="195" spans="1:36" x14ac:dyDescent="0.25">
      <c r="A195" s="750" t="s">
        <v>1365</v>
      </c>
      <c r="B195" s="710"/>
      <c r="C195" s="712" t="s">
        <v>1038</v>
      </c>
      <c r="D195" s="711" t="s">
        <v>1114</v>
      </c>
      <c r="E195" s="767" t="s">
        <v>797</v>
      </c>
      <c r="F195" s="712" t="s">
        <v>605</v>
      </c>
      <c r="G195" s="712"/>
      <c r="H195" s="712"/>
      <c r="I195" s="712"/>
      <c r="J195" s="712"/>
      <c r="K195" s="712"/>
      <c r="L195" s="712"/>
      <c r="M195" s="712"/>
      <c r="N195" s="770"/>
      <c r="O195" s="770"/>
      <c r="P195" s="770"/>
      <c r="Q195" s="770"/>
      <c r="R195" s="770" t="e">
        <f t="shared" ref="R195:AJ195" si="128">(R43/Q43-1)*100</f>
        <v>#DIV/0!</v>
      </c>
      <c r="S195" s="770" t="e">
        <f t="shared" si="128"/>
        <v>#DIV/0!</v>
      </c>
      <c r="T195" s="770" t="e">
        <f t="shared" si="128"/>
        <v>#DIV/0!</v>
      </c>
      <c r="U195" s="770" t="e">
        <f t="shared" si="128"/>
        <v>#DIV/0!</v>
      </c>
      <c r="V195" s="770" t="e">
        <f t="shared" si="128"/>
        <v>#DIV/0!</v>
      </c>
      <c r="W195" s="770" t="e">
        <f t="shared" si="128"/>
        <v>#DIV/0!</v>
      </c>
      <c r="X195" s="770"/>
      <c r="Y195" s="770">
        <f t="shared" si="128"/>
        <v>8.2323541599705905</v>
      </c>
      <c r="Z195" s="770">
        <f t="shared" si="128"/>
        <v>5.8212919442926614</v>
      </c>
      <c r="AA195" s="770">
        <f t="shared" si="128"/>
        <v>40.277049645395046</v>
      </c>
      <c r="AB195" s="770">
        <f t="shared" si="128"/>
        <v>41.749851347352653</v>
      </c>
      <c r="AC195" s="770">
        <f t="shared" si="128"/>
        <v>40.548040376254257</v>
      </c>
      <c r="AD195" s="770">
        <f t="shared" si="128"/>
        <v>17.783934565433725</v>
      </c>
      <c r="AE195" s="770">
        <f t="shared" si="128"/>
        <v>18.954845876440739</v>
      </c>
      <c r="AF195" s="770">
        <f t="shared" si="128"/>
        <v>19.778201754189983</v>
      </c>
      <c r="AG195" s="770">
        <f t="shared" ca="1" si="128"/>
        <v>36.036899962136502</v>
      </c>
      <c r="AH195" s="770">
        <f t="shared" ca="1" si="128"/>
        <v>48.998482556740775</v>
      </c>
      <c r="AI195" s="770">
        <f t="shared" ca="1" si="128"/>
        <v>32.831273098218958</v>
      </c>
      <c r="AJ195" s="770">
        <f t="shared" ca="1" si="128"/>
        <v>30.619456825828983</v>
      </c>
    </row>
    <row r="196" spans="1:36" x14ac:dyDescent="0.25">
      <c r="A196" s="750" t="s">
        <v>1366</v>
      </c>
      <c r="B196" s="710"/>
      <c r="C196" s="712" t="s">
        <v>1038</v>
      </c>
      <c r="D196" s="711" t="s">
        <v>1114</v>
      </c>
      <c r="E196" s="767" t="s">
        <v>34</v>
      </c>
      <c r="F196" s="712" t="s">
        <v>605</v>
      </c>
      <c r="G196" s="712"/>
      <c r="H196" s="712"/>
      <c r="I196" s="712"/>
      <c r="J196" s="712"/>
      <c r="K196" s="712"/>
      <c r="L196" s="712"/>
      <c r="M196" s="712"/>
      <c r="N196" s="770"/>
      <c r="O196" s="770"/>
      <c r="P196" s="770"/>
      <c r="Q196" s="770"/>
      <c r="R196" s="770" t="e">
        <f t="shared" ref="R196:AJ196" si="129">(R58/Q58-1)*100</f>
        <v>#DIV/0!</v>
      </c>
      <c r="S196" s="770" t="e">
        <f t="shared" si="129"/>
        <v>#DIV/0!</v>
      </c>
      <c r="T196" s="770" t="e">
        <f t="shared" si="129"/>
        <v>#DIV/0!</v>
      </c>
      <c r="U196" s="770" t="e">
        <f t="shared" si="129"/>
        <v>#DIV/0!</v>
      </c>
      <c r="V196" s="770" t="e">
        <f t="shared" si="129"/>
        <v>#DIV/0!</v>
      </c>
      <c r="W196" s="770" t="e">
        <f t="shared" si="129"/>
        <v>#DIV/0!</v>
      </c>
      <c r="X196" s="770"/>
      <c r="Y196" s="770">
        <f t="shared" si="129"/>
        <v>4.1346764299406757</v>
      </c>
      <c r="Z196" s="770">
        <f t="shared" si="129"/>
        <v>1.1525944933901355</v>
      </c>
      <c r="AA196" s="770">
        <f t="shared" si="129"/>
        <v>31.854733604631292</v>
      </c>
      <c r="AB196" s="770">
        <f t="shared" si="129"/>
        <v>35.886468011408027</v>
      </c>
      <c r="AC196" s="770">
        <f t="shared" si="129"/>
        <v>46.037914216912014</v>
      </c>
      <c r="AD196" s="770">
        <f t="shared" si="129"/>
        <v>21.254944483040706</v>
      </c>
      <c r="AE196" s="770">
        <f t="shared" si="129"/>
        <v>15.14944822250277</v>
      </c>
      <c r="AF196" s="770">
        <f t="shared" si="129"/>
        <v>15.098268042330854</v>
      </c>
      <c r="AG196" s="770">
        <f t="shared" ca="1" si="129"/>
        <v>13.417583254021492</v>
      </c>
      <c r="AH196" s="770">
        <f t="shared" ca="1" si="129"/>
        <v>60.643457822943581</v>
      </c>
      <c r="AI196" s="770">
        <f t="shared" ca="1" si="129"/>
        <v>22.190420010953794</v>
      </c>
      <c r="AJ196" s="770">
        <f t="shared" ca="1" si="129"/>
        <v>30.259560663085484</v>
      </c>
    </row>
    <row r="197" spans="1:36" x14ac:dyDescent="0.25">
      <c r="A197" s="750" t="s">
        <v>1367</v>
      </c>
      <c r="B197" s="710"/>
      <c r="C197" s="712" t="s">
        <v>1038</v>
      </c>
      <c r="D197" s="711" t="s">
        <v>1114</v>
      </c>
      <c r="E197" s="767" t="s">
        <v>1368</v>
      </c>
      <c r="F197" s="712" t="s">
        <v>605</v>
      </c>
      <c r="G197" s="712"/>
      <c r="H197" s="712"/>
      <c r="I197" s="712"/>
      <c r="J197" s="712"/>
      <c r="K197" s="712"/>
      <c r="L197" s="712"/>
      <c r="M197" s="712"/>
      <c r="N197" s="770"/>
      <c r="O197" s="770"/>
      <c r="P197" s="770"/>
      <c r="Q197" s="770"/>
      <c r="R197" s="770" t="e">
        <f t="shared" ref="R197:AJ197" si="130">(R79/Q79-1)*100</f>
        <v>#DIV/0!</v>
      </c>
      <c r="S197" s="770" t="e">
        <f t="shared" si="130"/>
        <v>#DIV/0!</v>
      </c>
      <c r="T197" s="770" t="e">
        <f t="shared" si="130"/>
        <v>#DIV/0!</v>
      </c>
      <c r="U197" s="770" t="e">
        <f t="shared" si="130"/>
        <v>#DIV/0!</v>
      </c>
      <c r="V197" s="770" t="e">
        <f t="shared" si="130"/>
        <v>#DIV/0!</v>
      </c>
      <c r="W197" s="770" t="e">
        <f t="shared" si="130"/>
        <v>#DIV/0!</v>
      </c>
      <c r="X197" s="770"/>
      <c r="Y197" s="770">
        <f t="shared" si="130"/>
        <v>-5.0173121895405126</v>
      </c>
      <c r="Z197" s="770">
        <f t="shared" si="130"/>
        <v>-28.606419210241029</v>
      </c>
      <c r="AA197" s="770">
        <f t="shared" si="130"/>
        <v>53.019234435137186</v>
      </c>
      <c r="AB197" s="770">
        <f t="shared" si="130"/>
        <v>12.547055361368219</v>
      </c>
      <c r="AC197" s="770">
        <f t="shared" si="130"/>
        <v>125.59752251744074</v>
      </c>
      <c r="AD197" s="770">
        <f t="shared" si="130"/>
        <v>56.238342036144083</v>
      </c>
      <c r="AE197" s="770">
        <f t="shared" si="130"/>
        <v>30.034345234490623</v>
      </c>
      <c r="AF197" s="770">
        <f t="shared" si="130"/>
        <v>6.650344625701865</v>
      </c>
      <c r="AG197" s="770">
        <f t="shared" ca="1" si="130"/>
        <v>-0.44971041839046988</v>
      </c>
      <c r="AH197" s="770">
        <f t="shared" ca="1" si="130"/>
        <v>46.560405127999616</v>
      </c>
      <c r="AI197" s="770">
        <f t="shared" ca="1" si="130"/>
        <v>4.5187134060755252</v>
      </c>
      <c r="AJ197" s="770">
        <f t="shared" ca="1" si="130"/>
        <v>14.330488882685088</v>
      </c>
    </row>
    <row r="199" spans="1:36" x14ac:dyDescent="0.25">
      <c r="E199" s="768" t="s">
        <v>1369</v>
      </c>
    </row>
    <row r="200" spans="1:36" x14ac:dyDescent="0.25">
      <c r="A200" s="771" t="s">
        <v>1370</v>
      </c>
      <c r="B200" s="737" t="str">
        <f>IF(IF(D200="+",MIN(H200:IU200)&gt;=0,IF(D200="-",MAX(H200:IU200)&lt;=0,TRUE)),"",1)</f>
        <v/>
      </c>
      <c r="C200" s="705" t="s">
        <v>1036</v>
      </c>
      <c r="D200" s="738"/>
      <c r="E200" s="739" t="s">
        <v>1069</v>
      </c>
      <c r="AC200" s="740">
        <f>G17</f>
        <v>310</v>
      </c>
    </row>
    <row r="201" spans="1:36" x14ac:dyDescent="0.25">
      <c r="A201" s="772" t="s">
        <v>1371</v>
      </c>
      <c r="B201" s="737" t="str">
        <f>IF(IF(D201="+",MIN(H201:IU201)&gt;=0,IF(D201="-",MAX(H201:IU201)&lt;=0,TRUE)),"",1)</f>
        <v/>
      </c>
      <c r="C201" s="705" t="s">
        <v>1036</v>
      </c>
      <c r="D201" s="738"/>
      <c r="E201" s="739" t="s">
        <v>1372</v>
      </c>
      <c r="F201" s="705" t="s">
        <v>1077</v>
      </c>
      <c r="AC201" s="740">
        <f ca="1">G28</f>
        <v>731745</v>
      </c>
    </row>
    <row r="202" spans="1:36" x14ac:dyDescent="0.25">
      <c r="A202" s="750" t="s">
        <v>1373</v>
      </c>
      <c r="B202" s="710"/>
      <c r="C202" s="712" t="s">
        <v>1038</v>
      </c>
      <c r="D202" s="711" t="s">
        <v>1114</v>
      </c>
      <c r="E202" s="767" t="s">
        <v>603</v>
      </c>
      <c r="F202" s="712" t="s">
        <v>1077</v>
      </c>
      <c r="G202" s="712"/>
      <c r="H202" s="712"/>
      <c r="I202" s="712"/>
      <c r="J202" s="712"/>
      <c r="K202" s="712"/>
      <c r="L202" s="712"/>
      <c r="M202" s="765"/>
      <c r="N202" s="765"/>
      <c r="O202" s="765"/>
      <c r="P202" s="765"/>
      <c r="Q202" s="765"/>
      <c r="R202" s="765"/>
      <c r="S202" s="765"/>
      <c r="T202" s="765"/>
      <c r="U202" s="765"/>
      <c r="V202" s="765"/>
      <c r="W202" s="765"/>
      <c r="X202" s="765">
        <f>NewFinSumm!C33</f>
        <v>13515.415000000001</v>
      </c>
      <c r="Y202" s="765">
        <f>NewFinSumm!D33</f>
        <v>18983.57</v>
      </c>
      <c r="Z202" s="765">
        <f>NewFinSumm!E33</f>
        <v>25541.085999999999</v>
      </c>
      <c r="AA202" s="765">
        <f>NewFinSumm!F33</f>
        <v>36809.78</v>
      </c>
      <c r="AB202" s="765">
        <f>NewFinSumm!G33</f>
        <v>33704.590000000004</v>
      </c>
      <c r="AC202" s="765">
        <f>NewFinSumm!H33</f>
        <v>26120.550000000003</v>
      </c>
      <c r="AD202" s="765">
        <f>NewFinSumm!I33</f>
        <v>2904.5999999999985</v>
      </c>
      <c r="AE202" s="765">
        <f>NewFinSumm!J33</f>
        <v>21767.599999999995</v>
      </c>
      <c r="AF202" s="765">
        <f>NewFinSumm!K33</f>
        <v>40921.5</v>
      </c>
      <c r="AG202" s="765">
        <f ca="1">NewFinSumm!L33</f>
        <v>27033.035131792465</v>
      </c>
      <c r="AH202" s="765">
        <f ca="1">NewFinSumm!M33</f>
        <v>87009.85745355027</v>
      </c>
      <c r="AI202" s="765">
        <f ca="1">NewFinSumm!N33</f>
        <v>129672.32234284186</v>
      </c>
      <c r="AJ202" s="765">
        <f ca="1">NewFinSumm!O33</f>
        <v>150244.54532975785</v>
      </c>
    </row>
    <row r="203" spans="1:36" x14ac:dyDescent="0.25">
      <c r="A203" s="750" t="s">
        <v>1374</v>
      </c>
      <c r="B203" s="710"/>
      <c r="C203" s="712" t="s">
        <v>1038</v>
      </c>
      <c r="D203" s="711" t="s">
        <v>1114</v>
      </c>
      <c r="E203" s="767" t="s">
        <v>173</v>
      </c>
      <c r="F203" s="712" t="s">
        <v>1077</v>
      </c>
      <c r="G203" s="712"/>
      <c r="H203" s="712"/>
      <c r="I203" s="712"/>
      <c r="J203" s="712"/>
      <c r="K203" s="712"/>
      <c r="L203" s="712"/>
      <c r="M203" s="765"/>
      <c r="N203" s="765"/>
      <c r="O203" s="765"/>
      <c r="P203" s="765"/>
      <c r="Q203" s="765"/>
      <c r="R203" s="765"/>
      <c r="S203" s="765"/>
      <c r="T203" s="765"/>
      <c r="U203" s="765"/>
      <c r="V203" s="765"/>
      <c r="W203" s="765"/>
      <c r="X203" s="765">
        <f>NewFinSumm!C31</f>
        <v>44848.881000000001</v>
      </c>
      <c r="Y203" s="765">
        <f>NewFinSumm!D31</f>
        <v>50848.389999999992</v>
      </c>
      <c r="Z203" s="765">
        <f>NewFinSumm!E31</f>
        <v>54680.325000000004</v>
      </c>
      <c r="AA203" s="765">
        <f>NewFinSumm!F31</f>
        <v>70342.48000000001</v>
      </c>
      <c r="AB203" s="765">
        <f>NewFinSumm!G31</f>
        <v>78805.762999999992</v>
      </c>
      <c r="AC203" s="765">
        <f>NewFinSumm!H31</f>
        <v>83325.717000000019</v>
      </c>
      <c r="AD203" s="765">
        <f>NewFinSumm!I31</f>
        <v>126116.9</v>
      </c>
      <c r="AE203" s="765">
        <f>NewFinSumm!J31</f>
        <v>151475.20000000004</v>
      </c>
      <c r="AF203" s="765">
        <f>NewFinSumm!K31</f>
        <v>181025.89999999997</v>
      </c>
      <c r="AG203" s="765">
        <f ca="1">NewFinSumm!L31</f>
        <v>301471.51232251106</v>
      </c>
      <c r="AH203" s="765">
        <f ca="1">NewFinSumm!M31</f>
        <v>352552.85834060755</v>
      </c>
      <c r="AI203" s="765">
        <f ca="1">NewFinSumm!N31</f>
        <v>378730.78974714765</v>
      </c>
      <c r="AJ203" s="765">
        <f ca="1">NewFinSumm!O31</f>
        <v>420777.31027485232</v>
      </c>
    </row>
    <row r="204" spans="1:36" x14ac:dyDescent="0.25">
      <c r="A204" s="750" t="s">
        <v>1375</v>
      </c>
      <c r="B204" s="710"/>
      <c r="C204" s="712" t="s">
        <v>1038</v>
      </c>
      <c r="D204" s="711" t="s">
        <v>1114</v>
      </c>
      <c r="E204" s="767" t="s">
        <v>953</v>
      </c>
      <c r="F204" s="712" t="s">
        <v>1077</v>
      </c>
      <c r="G204" s="712"/>
      <c r="H204" s="712"/>
      <c r="I204" s="712"/>
      <c r="J204" s="712"/>
      <c r="K204" s="712"/>
      <c r="L204" s="712"/>
      <c r="M204" s="765"/>
      <c r="N204" s="765"/>
      <c r="O204" s="765"/>
      <c r="P204" s="765"/>
      <c r="Q204" s="765"/>
      <c r="R204" s="765"/>
      <c r="S204" s="765"/>
      <c r="T204" s="765"/>
      <c r="U204" s="765"/>
      <c r="V204" s="765"/>
      <c r="W204" s="765"/>
      <c r="X204" s="765">
        <f>NewFinSumm!C32</f>
        <v>34954.394999999997</v>
      </c>
      <c r="Y204" s="765">
        <f>NewFinSumm!D32</f>
        <v>38913.22099999999</v>
      </c>
      <c r="Z204" s="765">
        <f>NewFinSumm!E32</f>
        <v>44864.097000000009</v>
      </c>
      <c r="AA204" s="765">
        <f>NewFinSumm!F32</f>
        <v>56443.620000000017</v>
      </c>
      <c r="AB204" s="765">
        <f>NewFinSumm!G32</f>
        <v>67626.603000000003</v>
      </c>
      <c r="AC204" s="765">
        <f>NewFinSumm!H32</f>
        <v>63504.247000000025</v>
      </c>
      <c r="AD204" s="765">
        <f>NewFinSumm!I32</f>
        <v>81695.899999999994</v>
      </c>
      <c r="AE204" s="765">
        <f>NewFinSumm!J32</f>
        <v>104854.30000000005</v>
      </c>
      <c r="AF204" s="765">
        <f>NewFinSumm!K32</f>
        <v>125944.39999999997</v>
      </c>
      <c r="AG204" s="765">
        <f ca="1">NewFinSumm!L32</f>
        <v>156519.06963741203</v>
      </c>
      <c r="AH204" s="765">
        <f ca="1">NewFinSumm!M32</f>
        <v>267104.32442876673</v>
      </c>
      <c r="AI204" s="765">
        <f ca="1">NewFinSumm!N32</f>
        <v>315384.12757003022</v>
      </c>
      <c r="AJ204" s="765">
        <f ca="1">NewFinSumm!O32</f>
        <v>417036.98443862336</v>
      </c>
    </row>
    <row r="205" spans="1:36" x14ac:dyDescent="0.25">
      <c r="A205" s="750" t="s">
        <v>1376</v>
      </c>
      <c r="B205" s="710"/>
      <c r="C205" s="712" t="s">
        <v>1038</v>
      </c>
      <c r="D205" s="711" t="s">
        <v>1114</v>
      </c>
      <c r="E205" s="767" t="s">
        <v>984</v>
      </c>
      <c r="F205" s="712" t="s">
        <v>605</v>
      </c>
      <c r="G205" s="712"/>
      <c r="H205" s="712"/>
      <c r="I205" s="712"/>
      <c r="J205" s="712"/>
      <c r="K205" s="712"/>
      <c r="L205" s="712"/>
      <c r="M205" s="712"/>
      <c r="N205" s="712"/>
      <c r="O205" s="712"/>
      <c r="P205" s="712"/>
      <c r="Q205" s="712"/>
      <c r="R205" s="712"/>
      <c r="S205" s="712"/>
      <c r="T205" s="712"/>
      <c r="U205" s="712"/>
      <c r="V205" s="712"/>
      <c r="W205" s="712"/>
      <c r="X205" s="770">
        <f ca="1">$AC201/X79</f>
        <v>260.58023522356655</v>
      </c>
      <c r="Y205" s="770">
        <f ca="1">$AC201/Y79</f>
        <v>274.34497931197888</v>
      </c>
      <c r="Z205" s="770">
        <f ca="1">$AC201/Z79</f>
        <v>384.27121357013129</v>
      </c>
      <c r="AA205" s="770">
        <f t="shared" ref="AA205:AE205" ca="1" si="131">$AC201/AA79</f>
        <v>251.12608554646687</v>
      </c>
      <c r="AB205" s="770">
        <f t="shared" ca="1" si="131"/>
        <v>223.12985865347295</v>
      </c>
      <c r="AC205" s="770">
        <f t="shared" ca="1" si="131"/>
        <v>98.906165353045026</v>
      </c>
      <c r="AD205" s="770">
        <f t="shared" ca="1" si="131"/>
        <v>63.304669048628369</v>
      </c>
      <c r="AE205" s="770">
        <f t="shared" ca="1" si="131"/>
        <v>48.683037496340845</v>
      </c>
      <c r="AF205" s="770">
        <f t="shared" ref="AF205" ca="1" si="132">$AC201/AF79</f>
        <v>45.647332568120575</v>
      </c>
      <c r="AG205" s="770">
        <f ca="1">$AC201/AG79</f>
        <v>45.853540717930024</v>
      </c>
      <c r="AH205" s="770">
        <f ca="1">$AC201/AH79</f>
        <v>31.286445119937746</v>
      </c>
      <c r="AI205" s="770">
        <f ca="1">$AC201/AI79</f>
        <v>29.933821514223798</v>
      </c>
      <c r="AJ205" s="770">
        <f ca="1">$AC201/AJ79</f>
        <v>26.181836364697954</v>
      </c>
    </row>
    <row r="206" spans="1:36" x14ac:dyDescent="0.25">
      <c r="A206" s="750" t="s">
        <v>1377</v>
      </c>
      <c r="B206" s="710"/>
      <c r="C206" s="712" t="s">
        <v>1038</v>
      </c>
      <c r="D206" s="711" t="s">
        <v>1114</v>
      </c>
      <c r="E206" s="767" t="s">
        <v>1378</v>
      </c>
      <c r="F206" s="712" t="s">
        <v>605</v>
      </c>
      <c r="G206" s="712"/>
      <c r="H206" s="712"/>
      <c r="I206" s="712"/>
      <c r="J206" s="712"/>
      <c r="K206" s="712"/>
      <c r="L206" s="712"/>
      <c r="M206" s="712"/>
      <c r="N206" s="712"/>
      <c r="O206" s="712"/>
      <c r="P206" s="712"/>
      <c r="Q206" s="712"/>
      <c r="R206" s="712"/>
      <c r="S206" s="712"/>
      <c r="T206" s="712"/>
      <c r="U206" s="712"/>
      <c r="V206" s="712"/>
      <c r="W206" s="712"/>
      <c r="X206" s="770">
        <f ca="1">$AC$201/X43</f>
        <v>73.314266317307329</v>
      </c>
      <c r="Y206" s="770">
        <f ca="1">$AC$201/Y43</f>
        <v>67.737846863190924</v>
      </c>
      <c r="Z206" s="770">
        <f ca="1">$AC$201/Z43</f>
        <v>64.011547788369512</v>
      </c>
      <c r="AA206" s="770">
        <f t="shared" ref="AA206:AE206" ca="1" si="133">$AC$201/AA43</f>
        <v>45.632231323786513</v>
      </c>
      <c r="AB206" s="770">
        <f t="shared" ca="1" si="133"/>
        <v>32.192084076311623</v>
      </c>
      <c r="AC206" s="770">
        <f t="shared" ca="1" si="133"/>
        <v>22.904683686895794</v>
      </c>
      <c r="AD206" s="770">
        <f t="shared" ca="1" si="133"/>
        <v>19.446356390965459</v>
      </c>
      <c r="AE206" s="770">
        <f t="shared" ca="1" si="133"/>
        <v>16.347679027018813</v>
      </c>
      <c r="AF206" s="770">
        <f t="shared" ref="AF206" ca="1" si="134">$AC$201/AF43</f>
        <v>13.648292249843326</v>
      </c>
      <c r="AG206" s="770">
        <f ca="1">$AC$201/AG43</f>
        <v>10.032786878885132</v>
      </c>
      <c r="AH206" s="770">
        <f ca="1">$AC$201/AH43</f>
        <v>6.7334825876931346</v>
      </c>
      <c r="AI206" s="770">
        <f ca="1">$AC$201/AI43</f>
        <v>5.0691997679749852</v>
      </c>
      <c r="AJ206" s="770">
        <f ca="1">$AC$201/AJ43</f>
        <v>3.8808917837825447</v>
      </c>
    </row>
    <row r="207" spans="1:36" x14ac:dyDescent="0.25">
      <c r="A207" s="750" t="s">
        <v>829</v>
      </c>
      <c r="B207" s="710"/>
      <c r="C207" s="712" t="s">
        <v>1038</v>
      </c>
      <c r="D207" s="711" t="s">
        <v>1114</v>
      </c>
      <c r="E207" s="767" t="s">
        <v>986</v>
      </c>
      <c r="F207" s="712" t="s">
        <v>605</v>
      </c>
      <c r="G207" s="712"/>
      <c r="H207" s="712"/>
      <c r="I207" s="712"/>
      <c r="J207" s="712"/>
      <c r="K207" s="712"/>
      <c r="L207" s="712"/>
      <c r="M207" s="712"/>
      <c r="N207" s="712"/>
      <c r="O207" s="712"/>
      <c r="P207" s="712"/>
      <c r="Q207" s="712"/>
      <c r="R207" s="712"/>
      <c r="S207" s="712"/>
      <c r="T207" s="712"/>
      <c r="U207" s="712"/>
      <c r="V207" s="712"/>
      <c r="W207" s="712"/>
      <c r="X207" s="765">
        <f t="shared" ref="X207:AD207" ca="1" si="135">$AC$201+W202-X111</f>
        <v>725522.19900000002</v>
      </c>
      <c r="Y207" s="765">
        <f t="shared" ca="1" si="135"/>
        <v>736666.24800000002</v>
      </c>
      <c r="Z207" s="765">
        <f t="shared" ca="1" si="135"/>
        <v>743225.772</v>
      </c>
      <c r="AA207" s="765">
        <f t="shared" ca="1" si="135"/>
        <v>754365.02599999995</v>
      </c>
      <c r="AB207" s="765">
        <f t="shared" ca="1" si="135"/>
        <v>767853.94000000006</v>
      </c>
      <c r="AC207" s="765">
        <f t="shared" ca="1" si="135"/>
        <v>764999.27</v>
      </c>
      <c r="AD207" s="765">
        <f t="shared" ca="1" si="135"/>
        <v>756776.95000000007</v>
      </c>
      <c r="AE207" s="765">
        <f t="shared" ref="AE207:AJ207" ca="1" si="136">$AC$201+AD202-AE111</f>
        <v>716063.2</v>
      </c>
      <c r="AF207" s="765">
        <f t="shared" ca="1" si="136"/>
        <v>722038.4</v>
      </c>
      <c r="AG207" s="765">
        <f t="shared" ca="1" si="136"/>
        <v>704369.21341319336</v>
      </c>
      <c r="AH207" s="765">
        <f t="shared" ca="1" si="136"/>
        <v>719908.62368900562</v>
      </c>
      <c r="AI207" s="765">
        <f t="shared" ca="1" si="136"/>
        <v>763231.31158258603</v>
      </c>
      <c r="AJ207" s="765">
        <f t="shared" ca="1" si="136"/>
        <v>861417.32234284189</v>
      </c>
    </row>
    <row r="208" spans="1:36" x14ac:dyDescent="0.25">
      <c r="A208" s="750" t="s">
        <v>1379</v>
      </c>
      <c r="B208" s="710"/>
      <c r="C208" s="712" t="s">
        <v>1038</v>
      </c>
      <c r="D208" s="711" t="s">
        <v>1114</v>
      </c>
      <c r="E208" s="767" t="s">
        <v>987</v>
      </c>
      <c r="F208" s="712" t="s">
        <v>605</v>
      </c>
      <c r="G208" s="712"/>
      <c r="H208" s="712"/>
      <c r="I208" s="712"/>
      <c r="J208" s="712"/>
      <c r="K208" s="712"/>
      <c r="L208" s="712"/>
      <c r="M208" s="712"/>
      <c r="N208" s="712"/>
      <c r="O208" s="712"/>
      <c r="P208" s="712"/>
      <c r="Q208" s="712"/>
      <c r="R208" s="712"/>
      <c r="S208" s="712"/>
      <c r="T208" s="712"/>
      <c r="U208" s="712"/>
      <c r="V208" s="712"/>
      <c r="W208" s="712"/>
      <c r="X208" s="770">
        <f ca="1">X207/X58</f>
        <v>123.42263704341831</v>
      </c>
      <c r="Y208" s="770">
        <f ca="1">Y207/Y58</f>
        <v>120.34263495304265</v>
      </c>
      <c r="Z208" s="770">
        <f ca="1">Z207/Z58</f>
        <v>120.03073856073406</v>
      </c>
      <c r="AA208" s="770">
        <f t="shared" ref="AA208:AE208" ca="1" si="137">AA207/AA58</f>
        <v>92.396929104973481</v>
      </c>
      <c r="AB208" s="770">
        <f t="shared" ca="1" si="137"/>
        <v>69.211521800188024</v>
      </c>
      <c r="AC208" s="770">
        <f t="shared" ca="1" si="137"/>
        <v>47.216651063554536</v>
      </c>
      <c r="AD208" s="770">
        <f t="shared" ca="1" si="137"/>
        <v>38.521447550596584</v>
      </c>
      <c r="AE208" s="770">
        <f t="shared" ca="1" si="137"/>
        <v>31.653679194405395</v>
      </c>
      <c r="AF208" s="770">
        <f t="shared" ref="AF208" ca="1" si="138">AF207/AF58</f>
        <v>27.730924481417045</v>
      </c>
      <c r="AG208" s="770">
        <f ca="1">AG207/AG58</f>
        <v>23.851957651466456</v>
      </c>
      <c r="AH208" s="770">
        <f ca="1">AH207/AH58</f>
        <v>15.175324841457911</v>
      </c>
      <c r="AI208" s="770">
        <f ca="1">AI207/AI58</f>
        <v>13.166781898231148</v>
      </c>
      <c r="AJ208" s="770">
        <f ca="1">AJ207/AJ58</f>
        <v>11.408471307060104</v>
      </c>
    </row>
    <row r="209" spans="1:36" x14ac:dyDescent="0.25">
      <c r="A209" s="750" t="s">
        <v>1380</v>
      </c>
      <c r="B209" s="710"/>
      <c r="C209" s="712" t="s">
        <v>1038</v>
      </c>
      <c r="D209" s="711" t="s">
        <v>1114</v>
      </c>
      <c r="E209" s="767" t="s">
        <v>988</v>
      </c>
      <c r="F209" s="712" t="s">
        <v>605</v>
      </c>
      <c r="G209" s="712"/>
      <c r="H209" s="712"/>
      <c r="I209" s="712"/>
      <c r="J209" s="712"/>
      <c r="K209" s="712"/>
      <c r="L209" s="712"/>
      <c r="M209" s="712"/>
      <c r="N209" s="712"/>
      <c r="O209" s="712"/>
      <c r="P209" s="712"/>
      <c r="Q209" s="712"/>
      <c r="R209" s="712"/>
      <c r="S209" s="712"/>
      <c r="T209" s="712"/>
      <c r="U209" s="712"/>
      <c r="V209" s="712"/>
      <c r="W209" s="712"/>
      <c r="X209" s="770">
        <f ca="1">X207/X148</f>
        <v>120.94036197317959</v>
      </c>
      <c r="Y209" s="770">
        <f ca="1">Y207/Y148</f>
        <v>224.57878436552753</v>
      </c>
      <c r="Z209" s="770">
        <f ca="1">Z207/Z148</f>
        <v>287.28775362450483</v>
      </c>
      <c r="AA209" s="770">
        <f t="shared" ref="AA209:AE209" ca="1" si="139">AA207/AA148</f>
        <v>76.184020206263867</v>
      </c>
      <c r="AB209" s="770">
        <f t="shared" ca="1" si="139"/>
        <v>65.280934851177065</v>
      </c>
      <c r="AC209" s="770">
        <f t="shared" ca="1" si="139"/>
        <v>42.565534014345445</v>
      </c>
      <c r="AD209" s="770">
        <f t="shared" ca="1" si="139"/>
        <v>41.968320384203736</v>
      </c>
      <c r="AE209" s="770">
        <f t="shared" ca="1" si="139"/>
        <v>34.091104720915624</v>
      </c>
      <c r="AF209" s="770">
        <f t="shared" ref="AF209" ca="1" si="140">AF207/AF148</f>
        <v>35.717952015829823</v>
      </c>
      <c r="AG209" s="770">
        <f ca="1">AG207/AG148</f>
        <v>26.889949475528837</v>
      </c>
      <c r="AH209" s="770">
        <f ca="1">AH207/AH148</f>
        <v>17.797314297373891</v>
      </c>
      <c r="AI209" s="770">
        <f ca="1">AI207/AI148</f>
        <v>14.574083523912172</v>
      </c>
      <c r="AJ209" s="770">
        <f ca="1">AJ207/AJ148</f>
        <v>13.133707093550884</v>
      </c>
    </row>
    <row r="210" spans="1:36" x14ac:dyDescent="0.25">
      <c r="A210" s="750" t="s">
        <v>1381</v>
      </c>
      <c r="B210" s="710"/>
      <c r="C210" s="712" t="s">
        <v>1038</v>
      </c>
      <c r="D210" s="711" t="s">
        <v>1114</v>
      </c>
      <c r="E210" s="767" t="s">
        <v>1382</v>
      </c>
      <c r="F210" s="712" t="s">
        <v>605</v>
      </c>
      <c r="G210" s="712"/>
      <c r="H210" s="712"/>
      <c r="I210" s="712"/>
      <c r="J210" s="712"/>
      <c r="K210" s="712"/>
      <c r="L210" s="712"/>
      <c r="M210" s="712"/>
      <c r="N210" s="712"/>
      <c r="O210" s="712"/>
      <c r="P210" s="712"/>
      <c r="Q210" s="712"/>
      <c r="R210" s="712"/>
      <c r="S210" s="712"/>
      <c r="T210" s="712"/>
      <c r="U210" s="712"/>
      <c r="V210" s="712"/>
      <c r="W210" s="712"/>
      <c r="X210" s="770">
        <f ca="1">X152/$AC$201*100</f>
        <v>-0.46177452527861501</v>
      </c>
      <c r="Y210" s="770">
        <f ca="1">Y152/$AC$201*100</f>
        <v>-0.30591886517844341</v>
      </c>
      <c r="Z210" s="770">
        <f ca="1">Z152/$AC$201*100</f>
        <v>-0.56724992996194024</v>
      </c>
      <c r="AA210" s="770">
        <f t="shared" ref="AA210:AE210" ca="1" si="141">AA152/$AC$201*100</f>
        <v>-1.0009279188788445</v>
      </c>
      <c r="AB210" s="770">
        <f t="shared" ca="1" si="141"/>
        <v>0.91172881263281613</v>
      </c>
      <c r="AC210" s="770">
        <f t="shared" ca="1" si="141"/>
        <v>2.0743168726810568</v>
      </c>
      <c r="AD210" s="770">
        <f t="shared" ca="1" si="141"/>
        <v>2.1243739280760372</v>
      </c>
      <c r="AE210" s="770">
        <f t="shared" ca="1" si="141"/>
        <v>3.3987249656641787E-2</v>
      </c>
      <c r="AF210" s="770">
        <f t="shared" ref="AF210" ca="1" si="142">AF152/$AC$201*100</f>
        <v>-0.64249157835038129</v>
      </c>
      <c r="AG210" s="770">
        <f ca="1">AG152/$AC$201*100</f>
        <v>-6.3128549598451889</v>
      </c>
      <c r="AH210" s="770">
        <f ca="1">AH152/$AC$201*100</f>
        <v>-6.6432591830517405</v>
      </c>
      <c r="AI210" s="770">
        <f ca="1">AI152/$AC$201*100</f>
        <v>-3.9354634181402495</v>
      </c>
      <c r="AJ210" s="770">
        <f ca="1">AJ152/$AC$201*100</f>
        <v>-0.2293379868724158</v>
      </c>
    </row>
    <row r="211" spans="1:36" x14ac:dyDescent="0.25">
      <c r="A211" s="750" t="s">
        <v>1383</v>
      </c>
      <c r="B211" s="710"/>
      <c r="C211" s="712" t="s">
        <v>1038</v>
      </c>
      <c r="D211" s="711" t="s">
        <v>1114</v>
      </c>
      <c r="E211" s="767" t="s">
        <v>990</v>
      </c>
      <c r="F211" s="712" t="s">
        <v>605</v>
      </c>
      <c r="G211" s="712"/>
      <c r="H211" s="712"/>
      <c r="I211" s="712"/>
      <c r="J211" s="712"/>
      <c r="K211" s="712"/>
      <c r="L211" s="712"/>
      <c r="M211" s="712"/>
      <c r="N211" s="712"/>
      <c r="O211" s="712"/>
      <c r="P211" s="712"/>
      <c r="Q211" s="712"/>
      <c r="R211" s="712"/>
      <c r="S211" s="712"/>
      <c r="T211" s="712"/>
      <c r="U211" s="712"/>
      <c r="V211" s="712"/>
      <c r="W211" s="712"/>
      <c r="X211" s="770">
        <f t="shared" ref="X211:AH211" ca="1" si="143">$AC$201/X97</f>
        <v>26.088123735024851</v>
      </c>
      <c r="Y211" s="770">
        <f t="shared" ca="1" si="143"/>
        <v>23.721615033696921</v>
      </c>
      <c r="Z211" s="770">
        <f t="shared" ca="1" si="143"/>
        <v>26.59617870907827</v>
      </c>
      <c r="AA211" s="770">
        <f t="shared" ca="1" si="143"/>
        <v>23.693098534498585</v>
      </c>
      <c r="AB211" s="770">
        <f t="shared" ca="1" si="143"/>
        <v>21.076351495171057</v>
      </c>
      <c r="AC211" s="770">
        <f t="shared" ca="1" si="143"/>
        <v>17.896007041549101</v>
      </c>
      <c r="AD211" s="770">
        <f t="shared" ca="1" si="143"/>
        <v>8.8900889561682508</v>
      </c>
      <c r="AE211" s="770">
        <f t="shared" ca="1" si="143"/>
        <v>6.9765080515221145</v>
      </c>
      <c r="AF211" s="770">
        <f t="shared" ref="AF211" ca="1" si="144">$AC$201/AF97</f>
        <v>6.2581140092057126</v>
      </c>
      <c r="AG211" s="770">
        <f t="shared" ca="1" si="143"/>
        <v>3.6916988649270994</v>
      </c>
      <c r="AH211" s="770">
        <f t="shared" ca="1" si="143"/>
        <v>3.335298161858399</v>
      </c>
      <c r="AI211" s="770">
        <f t="shared" ref="AI211:AJ211" ca="1" si="145">$AC$201/AI97</f>
        <v>3.0279230692275818</v>
      </c>
      <c r="AJ211" s="770">
        <f t="shared" ca="1" si="145"/>
        <v>2.738333580593566</v>
      </c>
    </row>
    <row r="212" spans="1:36" x14ac:dyDescent="0.25">
      <c r="A212" s="750" t="s">
        <v>1384</v>
      </c>
      <c r="B212" s="710"/>
      <c r="C212" s="712" t="s">
        <v>1038</v>
      </c>
      <c r="D212" s="711" t="s">
        <v>1114</v>
      </c>
      <c r="E212" s="767" t="s">
        <v>993</v>
      </c>
      <c r="F212" s="712" t="s">
        <v>605</v>
      </c>
      <c r="G212" s="712"/>
      <c r="H212" s="712"/>
      <c r="I212" s="712"/>
      <c r="J212" s="712"/>
      <c r="K212" s="712"/>
      <c r="L212" s="712"/>
      <c r="M212" s="712"/>
      <c r="N212" s="712"/>
      <c r="O212" s="712"/>
      <c r="P212" s="712"/>
      <c r="Q212" s="712"/>
      <c r="R212" s="712"/>
      <c r="S212" s="712"/>
      <c r="T212" s="712"/>
      <c r="U212" s="712"/>
      <c r="V212" s="712"/>
      <c r="W212" s="712"/>
      <c r="X212" s="770">
        <f ca="1">NewFinSumm!C86*100</f>
        <v>0</v>
      </c>
      <c r="Y212" s="770">
        <f ca="1">NewFinSumm!D86*100</f>
        <v>0</v>
      </c>
      <c r="Z212" s="770">
        <f ca="1">NewFinSumm!E86*100</f>
        <v>0</v>
      </c>
      <c r="AA212" s="770">
        <f ca="1">NewFinSumm!F86*100</f>
        <v>0</v>
      </c>
      <c r="AB212" s="770">
        <f ca="1">NewFinSumm!G86*100</f>
        <v>0</v>
      </c>
      <c r="AC212" s="770">
        <f ca="1">NewFinSumm!H86*100</f>
        <v>0</v>
      </c>
      <c r="AD212" s="770">
        <f ca="1">NewFinSumm!I86*100</f>
        <v>0.15784187114363613</v>
      </c>
      <c r="AE212" s="770">
        <f ca="1">NewFinSumm!J86*100</f>
        <v>0.22958817620892524</v>
      </c>
      <c r="AF212" s="770">
        <f ca="1">NewFinSumm!K86*100</f>
        <v>0.25828669823504091</v>
      </c>
      <c r="AG212" s="770">
        <f ca="1">NewFinSumm!L86*100</f>
        <v>0.2358694764774768</v>
      </c>
      <c r="AH212" s="770">
        <f ca="1">NewFinSumm!M86*100</f>
        <v>0.34569126029868186</v>
      </c>
      <c r="AI212" s="770">
        <f ca="1">NewFinSumm!N86*100</f>
        <v>0.36131205762142982</v>
      </c>
      <c r="AJ212" s="770">
        <f ca="1">NewFinSumm!O86*100</f>
        <v>0.41308984187066972</v>
      </c>
    </row>
    <row r="213" spans="1:36" x14ac:dyDescent="0.25">
      <c r="A213" s="750" t="s">
        <v>1385</v>
      </c>
      <c r="B213" s="710"/>
      <c r="C213" s="712" t="s">
        <v>1038</v>
      </c>
      <c r="D213" s="711" t="s">
        <v>1114</v>
      </c>
      <c r="E213" s="767" t="s">
        <v>977</v>
      </c>
      <c r="F213" s="712" t="s">
        <v>605</v>
      </c>
      <c r="G213" s="712"/>
      <c r="H213" s="712"/>
      <c r="I213" s="712"/>
      <c r="J213" s="712"/>
      <c r="K213" s="712"/>
      <c r="L213" s="712"/>
      <c r="M213" s="770"/>
      <c r="N213" s="770"/>
      <c r="O213" s="770"/>
      <c r="P213" s="770"/>
      <c r="Q213" s="770"/>
      <c r="R213" s="770"/>
      <c r="S213" s="770"/>
      <c r="T213" s="770"/>
      <c r="U213" s="770"/>
      <c r="V213" s="770"/>
      <c r="W213" s="770"/>
      <c r="X213" s="770">
        <f>NewFinSumm!C69</f>
        <v>0.48185067045242663</v>
      </c>
      <c r="Y213" s="770">
        <f>NewFinSumm!D69</f>
        <v>0.61540692386724594</v>
      </c>
      <c r="Z213" s="770">
        <f>NewFinSumm!E69</f>
        <v>0.92832241789139258</v>
      </c>
      <c r="AA213" s="770">
        <f>NewFinSumm!F69</f>
        <v>1.1918602034495833</v>
      </c>
      <c r="AB213" s="770">
        <f>NewFinSumm!G69</f>
        <v>0.97078871169687198</v>
      </c>
      <c r="AC213" s="770">
        <f>NewFinSumm!H69</f>
        <v>0.63882028128533219</v>
      </c>
      <c r="AD213" s="770">
        <f>NewFinSumm!I69</f>
        <v>3.5288457566619913E-2</v>
      </c>
      <c r="AE213" s="770">
        <f>NewFinSumm!J69</f>
        <v>0.20753382211332191</v>
      </c>
      <c r="AF213" s="770">
        <f>NewFinSumm!K69</f>
        <v>0.34997357334551182</v>
      </c>
      <c r="AG213" s="770">
        <f ca="1">NewFinSumm!L69</f>
        <v>0.13638333724394788</v>
      </c>
      <c r="AH213" s="770">
        <f ca="1">NewFinSumm!M69</f>
        <v>0.39659145963195858</v>
      </c>
      <c r="AI213" s="770">
        <f ca="1">NewFinSumm!N69</f>
        <v>0.53657738182318437</v>
      </c>
      <c r="AJ213" s="770">
        <f ca="1">NewFinSumm!O69</f>
        <v>0.56224461223170386</v>
      </c>
    </row>
    <row r="214" spans="1:36" x14ac:dyDescent="0.25">
      <c r="A214" s="750" t="s">
        <v>1386</v>
      </c>
      <c r="B214" s="710"/>
      <c r="C214" s="712" t="s">
        <v>1038</v>
      </c>
      <c r="D214" s="711" t="s">
        <v>1114</v>
      </c>
      <c r="E214" s="767" t="s">
        <v>978</v>
      </c>
      <c r="F214" s="712" t="s">
        <v>605</v>
      </c>
      <c r="G214" s="712"/>
      <c r="H214" s="712"/>
      <c r="I214" s="712"/>
      <c r="J214" s="712"/>
      <c r="K214" s="712"/>
      <c r="L214" s="712"/>
      <c r="M214" s="770"/>
      <c r="N214" s="770"/>
      <c r="O214" s="770"/>
      <c r="P214" s="770"/>
      <c r="Q214" s="770"/>
      <c r="R214" s="770"/>
      <c r="S214" s="770"/>
      <c r="T214" s="770"/>
      <c r="U214" s="770"/>
      <c r="V214" s="770"/>
      <c r="W214" s="770"/>
      <c r="X214" s="770">
        <f>NewFinSumm!C70</f>
        <v>2.2991827987280806</v>
      </c>
      <c r="Y214" s="770">
        <f>NewFinSumm!D70</f>
        <v>3.1011775560749344</v>
      </c>
      <c r="Z214" s="770">
        <f>NewFinSumm!E70</f>
        <v>4.1248777043528371</v>
      </c>
      <c r="AA214" s="770">
        <f>NewFinSumm!F70</f>
        <v>4.5085741196990101</v>
      </c>
      <c r="AB214" s="770">
        <f>NewFinSumm!G70</f>
        <v>3.0380074178578798</v>
      </c>
      <c r="AC214" s="770">
        <f>NewFinSumm!H70</f>
        <v>1.6121909435784554</v>
      </c>
      <c r="AD214" s="770">
        <f>NewFinSumm!I70</f>
        <v>0.147849900232113</v>
      </c>
      <c r="AE214" s="770">
        <f>NewFinSumm!J70</f>
        <v>0.96223996322131733</v>
      </c>
      <c r="AF214" s="770">
        <f>NewFinSumm!K70</f>
        <v>1.5716491341268104</v>
      </c>
      <c r="AG214" s="770">
        <f ca="1">NewFinSumm!L70</f>
        <v>0.91541594504056634</v>
      </c>
      <c r="AH214" s="770">
        <f ca="1">NewFinSumm!M70</f>
        <v>1.8341256206940175</v>
      </c>
      <c r="AI214" s="770">
        <f ca="1">NewFinSumm!N70</f>
        <v>2.2370245567952929</v>
      </c>
      <c r="AJ214" s="770">
        <f ca="1">NewFinSumm!O70</f>
        <v>1.9898143907473478</v>
      </c>
    </row>
    <row r="215" spans="1:36" x14ac:dyDescent="0.25">
      <c r="A215" s="750" t="s">
        <v>1387</v>
      </c>
      <c r="B215" s="710"/>
      <c r="C215" s="712" t="s">
        <v>1038</v>
      </c>
      <c r="D215" s="711" t="s">
        <v>1114</v>
      </c>
      <c r="E215" s="767" t="s">
        <v>979</v>
      </c>
      <c r="F215" s="712" t="s">
        <v>605</v>
      </c>
      <c r="G215" s="712"/>
      <c r="H215" s="712"/>
      <c r="I215" s="712"/>
      <c r="J215" s="712"/>
      <c r="K215" s="712"/>
      <c r="L215" s="712"/>
      <c r="M215" s="773"/>
      <c r="N215" s="773"/>
      <c r="O215" s="773"/>
      <c r="P215" s="773"/>
      <c r="Q215" s="773"/>
      <c r="R215" s="773"/>
      <c r="S215" s="773"/>
      <c r="T215" s="773"/>
      <c r="U215" s="773"/>
      <c r="V215" s="773"/>
      <c r="W215" s="773"/>
      <c r="X215" s="773">
        <f>NewFinSumm!C71</f>
        <v>4.6183801894156939</v>
      </c>
      <c r="Y215" s="773">
        <f>NewFinSumm!D71</f>
        <v>1.8517996008727728</v>
      </c>
      <c r="Z215" s="773">
        <f>NewFinSumm!E71</f>
        <v>0.93240786092901207</v>
      </c>
      <c r="AA215" s="773">
        <f>NewFinSumm!F71</f>
        <v>4.3456553891256346</v>
      </c>
      <c r="AB215" s="773">
        <f>NewFinSumm!G71</f>
        <v>2.8030703823917715</v>
      </c>
      <c r="AC215" s="773">
        <f>NewFinSumm!H71</f>
        <v>3.0150768353241171</v>
      </c>
      <c r="AD215" s="773">
        <f>NewFinSumm!I71</f>
        <v>5.4238404620104683</v>
      </c>
      <c r="AE215" s="773">
        <f>NewFinSumm!J71</f>
        <v>7.904116805900502</v>
      </c>
      <c r="AF215" s="773">
        <f>NewFinSumm!K71</f>
        <v>5.2782056972766922</v>
      </c>
      <c r="AG215" s="773">
        <f ca="1">NewFinSumm!L71</f>
        <v>5.4765442101097106</v>
      </c>
      <c r="AH215" s="773">
        <f ca="1">NewFinSumm!M71</f>
        <v>4.7263554074339957</v>
      </c>
      <c r="AI215" s="773">
        <f ca="1">NewFinSumm!N71</f>
        <v>4.7906767939791521</v>
      </c>
      <c r="AJ215" s="773">
        <f ca="1">NewFinSumm!O71</f>
        <v>4.2205492946057097</v>
      </c>
    </row>
    <row r="216" spans="1:36" x14ac:dyDescent="0.25">
      <c r="A216" s="774" t="s">
        <v>1388</v>
      </c>
      <c r="B216" s="710"/>
      <c r="C216" s="712" t="s">
        <v>1038</v>
      </c>
      <c r="D216" s="711" t="s">
        <v>1114</v>
      </c>
      <c r="E216" s="767" t="s">
        <v>1389</v>
      </c>
      <c r="F216" s="712" t="s">
        <v>605</v>
      </c>
      <c r="G216" s="712"/>
      <c r="H216" s="712"/>
      <c r="I216" s="712"/>
      <c r="J216" s="712"/>
      <c r="K216" s="712"/>
      <c r="L216" s="712"/>
      <c r="M216" s="773"/>
      <c r="N216" s="773"/>
      <c r="O216" s="773"/>
      <c r="P216" s="773"/>
      <c r="Q216" s="773"/>
      <c r="R216" s="773"/>
      <c r="S216" s="773"/>
      <c r="T216" s="773"/>
      <c r="U216" s="773"/>
      <c r="V216" s="773"/>
      <c r="W216" s="773"/>
      <c r="X216" s="773"/>
      <c r="Y216" s="773"/>
      <c r="Z216" s="773"/>
      <c r="AA216" s="773"/>
      <c r="AB216" s="773"/>
      <c r="AC216" s="773"/>
      <c r="AD216" s="773"/>
      <c r="AE216" s="773"/>
      <c r="AF216" s="773"/>
      <c r="AG216" s="773"/>
      <c r="AH216" s="773"/>
      <c r="AI216" s="773"/>
      <c r="AJ216" s="773"/>
    </row>
    <row r="217" spans="1:36" x14ac:dyDescent="0.25">
      <c r="A217" s="774" t="s">
        <v>1390</v>
      </c>
      <c r="B217" s="710"/>
      <c r="C217" s="712" t="s">
        <v>1038</v>
      </c>
      <c r="D217" s="711" t="s">
        <v>1114</v>
      </c>
      <c r="E217" s="767" t="s">
        <v>1391</v>
      </c>
      <c r="F217" s="712" t="s">
        <v>605</v>
      </c>
      <c r="G217" s="712"/>
      <c r="H217" s="712"/>
      <c r="I217" s="712"/>
      <c r="J217" s="712"/>
      <c r="K217" s="712"/>
      <c r="L217" s="712"/>
      <c r="M217" s="773"/>
      <c r="N217" s="773"/>
      <c r="O217" s="773"/>
      <c r="P217" s="773"/>
      <c r="Q217" s="773"/>
      <c r="R217" s="773"/>
      <c r="S217" s="773"/>
      <c r="T217" s="773"/>
      <c r="U217" s="773"/>
      <c r="V217" s="773"/>
      <c r="W217" s="773"/>
      <c r="X217" s="773"/>
      <c r="Y217" s="773"/>
      <c r="Z217" s="773"/>
      <c r="AA217" s="773"/>
      <c r="AB217" s="773"/>
      <c r="AC217" s="773"/>
      <c r="AD217" s="773"/>
      <c r="AE217" s="773"/>
      <c r="AF217" s="773"/>
      <c r="AG217" s="773"/>
      <c r="AH217" s="773"/>
      <c r="AI217" s="773"/>
      <c r="AJ217" s="773"/>
    </row>
    <row r="218" spans="1:36" x14ac:dyDescent="0.25">
      <c r="A218" s="774" t="s">
        <v>1392</v>
      </c>
      <c r="B218" s="710"/>
      <c r="C218" s="712" t="s">
        <v>1038</v>
      </c>
      <c r="D218" s="711" t="s">
        <v>1114</v>
      </c>
      <c r="E218" s="767" t="s">
        <v>1393</v>
      </c>
      <c r="F218" s="712" t="s">
        <v>605</v>
      </c>
      <c r="G218" s="712"/>
      <c r="H218" s="712"/>
      <c r="I218" s="712"/>
      <c r="J218" s="712"/>
      <c r="K218" s="712"/>
      <c r="L218" s="712"/>
      <c r="M218" s="773"/>
      <c r="N218" s="773"/>
      <c r="O218" s="773"/>
      <c r="P218" s="773"/>
      <c r="Q218" s="773"/>
      <c r="R218" s="773"/>
      <c r="S218" s="773"/>
      <c r="T218" s="773"/>
      <c r="U218" s="773"/>
      <c r="V218" s="773"/>
      <c r="W218" s="773"/>
      <c r="X218" s="773"/>
      <c r="Y218" s="773"/>
      <c r="Z218" s="773"/>
      <c r="AA218" s="773"/>
      <c r="AB218" s="773"/>
      <c r="AC218" s="773"/>
      <c r="AD218" s="773"/>
      <c r="AE218" s="773"/>
      <c r="AF218" s="773"/>
      <c r="AG218" s="773"/>
      <c r="AH218" s="773"/>
      <c r="AI218" s="773"/>
      <c r="AJ218" s="773"/>
    </row>
    <row r="219" spans="1:36" x14ac:dyDescent="0.25">
      <c r="A219" s="775" t="s">
        <v>1394</v>
      </c>
      <c r="B219" s="710"/>
      <c r="C219" s="712" t="s">
        <v>1038</v>
      </c>
      <c r="D219" s="711" t="s">
        <v>1114</v>
      </c>
      <c r="E219" s="767" t="s">
        <v>1395</v>
      </c>
      <c r="F219" s="712" t="s">
        <v>605</v>
      </c>
      <c r="G219" s="712"/>
      <c r="H219" s="712"/>
      <c r="I219" s="712"/>
      <c r="J219" s="712"/>
      <c r="K219" s="712"/>
      <c r="L219" s="712"/>
      <c r="M219" s="773"/>
      <c r="N219" s="773"/>
      <c r="O219" s="773"/>
      <c r="P219" s="773"/>
      <c r="Q219" s="773"/>
      <c r="R219" s="773"/>
      <c r="S219" s="773"/>
      <c r="T219" s="773"/>
      <c r="U219" s="773"/>
      <c r="V219" s="773"/>
      <c r="W219" s="773"/>
      <c r="X219" s="773">
        <f>NewFinSumm!C72</f>
        <v>68.91614273450908</v>
      </c>
      <c r="Y219" s="773">
        <f>NewFinSumm!D72</f>
        <v>155.12862040089968</v>
      </c>
      <c r="Z219" s="773">
        <f>NewFinSumm!E72</f>
        <v>174.8053060271516</v>
      </c>
      <c r="AA219" s="773">
        <f>NewFinSumm!F72</f>
        <v>83.26323039741628</v>
      </c>
      <c r="AB219" s="773">
        <f>NewFinSumm!G72</f>
        <v>66.151126402889375</v>
      </c>
      <c r="AC219" s="773">
        <f>NewFinSumm!H72</f>
        <v>23.186758319833014</v>
      </c>
      <c r="AD219" s="773">
        <f>NewFinSumm!I72</f>
        <v>41.934032087039483</v>
      </c>
      <c r="AE219" s="773">
        <f>NewFinSumm!J72</f>
        <v>48.393604757670659</v>
      </c>
      <c r="AF219" s="773">
        <f>NewFinSumm!K72</f>
        <v>56.561847190307077</v>
      </c>
      <c r="AG219" s="773">
        <f ca="1">NewFinSumm!L72</f>
        <v>53.904836506247833</v>
      </c>
      <c r="AH219" s="773">
        <f ca="1">NewFinSumm!M72</f>
        <v>51.480199878108508</v>
      </c>
      <c r="AI219" s="773">
        <f ca="1">NewFinSumm!N72</f>
        <v>44.257129579608183</v>
      </c>
      <c r="AJ219" s="773">
        <f ca="1">NewFinSumm!O72</f>
        <v>40.383850000129804</v>
      </c>
    </row>
    <row r="220" spans="1:36" x14ac:dyDescent="0.25">
      <c r="A220" s="775" t="s">
        <v>1396</v>
      </c>
      <c r="B220" s="710"/>
      <c r="C220" s="712" t="s">
        <v>1038</v>
      </c>
      <c r="D220" s="711" t="s">
        <v>1114</v>
      </c>
      <c r="E220" s="767" t="s">
        <v>1397</v>
      </c>
      <c r="F220" s="712" t="s">
        <v>605</v>
      </c>
      <c r="G220" s="712"/>
      <c r="H220" s="712"/>
      <c r="I220" s="712"/>
      <c r="J220" s="712"/>
      <c r="K220" s="712"/>
      <c r="L220" s="712"/>
      <c r="M220" s="773"/>
      <c r="N220" s="773"/>
      <c r="O220" s="773"/>
      <c r="P220" s="773"/>
      <c r="Q220" s="773"/>
      <c r="R220" s="773"/>
      <c r="S220" s="773"/>
      <c r="T220" s="773"/>
      <c r="U220" s="773"/>
      <c r="V220" s="773"/>
      <c r="W220" s="773"/>
      <c r="X220" s="773">
        <f>NewFinSumm!C73</f>
        <v>68.916142734509094</v>
      </c>
      <c r="Y220" s="773">
        <f>NewFinSumm!D73</f>
        <v>155.12862040089971</v>
      </c>
      <c r="Z220" s="773">
        <f>NewFinSumm!E73</f>
        <v>174.80530602715157</v>
      </c>
      <c r="AA220" s="773">
        <f>NewFinSumm!F73</f>
        <v>83.263230397416237</v>
      </c>
      <c r="AB220" s="773">
        <f>NewFinSumm!G73</f>
        <v>66.151126402889375</v>
      </c>
      <c r="AC220" s="773">
        <f>NewFinSumm!H73</f>
        <v>23.186758319833018</v>
      </c>
      <c r="AD220" s="773">
        <f>NewFinSumm!I73</f>
        <v>41.934032087039483</v>
      </c>
      <c r="AE220" s="773">
        <f>NewFinSumm!J73</f>
        <v>48.393604757670666</v>
      </c>
      <c r="AF220" s="773">
        <f>NewFinSumm!K73</f>
        <v>56.561847190307077</v>
      </c>
      <c r="AG220" s="773">
        <f>NewFinSumm!L73</f>
        <v>56.561847190307077</v>
      </c>
      <c r="AH220" s="773">
        <f>NewFinSumm!M73</f>
        <v>56.561847190307077</v>
      </c>
      <c r="AI220" s="773">
        <f>NewFinSumm!N73</f>
        <v>50.561847190307077</v>
      </c>
      <c r="AJ220" s="773">
        <f>NewFinSumm!O73</f>
        <v>47.561847190307077</v>
      </c>
    </row>
    <row r="221" spans="1:36" x14ac:dyDescent="0.25">
      <c r="A221" s="775" t="s">
        <v>1398</v>
      </c>
      <c r="B221" s="710"/>
      <c r="C221" s="712" t="s">
        <v>1038</v>
      </c>
      <c r="D221" s="711" t="s">
        <v>1114</v>
      </c>
      <c r="E221" s="767" t="s">
        <v>1399</v>
      </c>
      <c r="F221" s="712" t="s">
        <v>605</v>
      </c>
      <c r="G221" s="712"/>
      <c r="H221" s="712"/>
      <c r="I221" s="712"/>
      <c r="J221" s="712"/>
      <c r="K221" s="712"/>
      <c r="L221" s="712"/>
      <c r="M221" s="773"/>
      <c r="N221" s="773"/>
      <c r="O221" s="773"/>
      <c r="P221" s="773"/>
      <c r="Q221" s="773"/>
      <c r="R221" s="773"/>
      <c r="S221" s="773"/>
      <c r="T221" s="773"/>
      <c r="U221" s="773"/>
      <c r="V221" s="773"/>
      <c r="W221" s="773"/>
      <c r="X221" s="773">
        <f>NewFinSumm!C60*100</f>
        <v>119.38785265812417</v>
      </c>
      <c r="Y221" s="773">
        <f>NewFinSumm!D60*100</f>
        <v>58.451480190746977</v>
      </c>
      <c r="Z221" s="773">
        <f>NewFinSumm!E60*100</f>
        <v>47.648951980002487</v>
      </c>
      <c r="AA221" s="773">
        <f>NewFinSumm!F60*100</f>
        <v>129.37590599180953</v>
      </c>
      <c r="AB221" s="773">
        <f>NewFinSumm!G60*100</f>
        <v>117.03992714101688</v>
      </c>
      <c r="AC221" s="773">
        <f>NewFinSumm!H60*100</f>
        <v>122.07731737075707</v>
      </c>
      <c r="AD221" s="773">
        <f>NewFinSumm!I60*100</f>
        <v>104.38775094677692</v>
      </c>
      <c r="AE221" s="773">
        <f>NewFinSumm!J60*100</f>
        <v>104.94655597697795</v>
      </c>
      <c r="AF221" s="773">
        <f>NewFinSumm!K60*100</f>
        <v>90.949138351518798</v>
      </c>
      <c r="AG221" s="773">
        <f ca="1">NewFinSumm!L60*100</f>
        <v>104.38566154387333</v>
      </c>
      <c r="AH221" s="773">
        <f ca="1">NewFinSumm!M60*100</f>
        <v>99.529090421957562</v>
      </c>
      <c r="AI221" s="773">
        <f ca="1">NewFinSumm!N60*100</f>
        <v>101.21429049422883</v>
      </c>
      <c r="AJ221" s="773">
        <f ca="1">NewFinSumm!O60*100</f>
        <v>97.663564441237199</v>
      </c>
    </row>
    <row r="222" spans="1:36" x14ac:dyDescent="0.25">
      <c r="A222" s="775" t="s">
        <v>1400</v>
      </c>
      <c r="B222" s="710"/>
      <c r="C222" s="712" t="s">
        <v>1038</v>
      </c>
      <c r="D222" s="711" t="s">
        <v>1114</v>
      </c>
      <c r="E222" s="767" t="s">
        <v>969</v>
      </c>
      <c r="F222" s="712" t="s">
        <v>605</v>
      </c>
      <c r="G222" s="712"/>
      <c r="H222" s="712"/>
      <c r="I222" s="712"/>
      <c r="J222" s="712"/>
      <c r="K222" s="712"/>
      <c r="L222" s="712"/>
      <c r="M222" s="773"/>
      <c r="N222" s="773"/>
      <c r="O222" s="773"/>
      <c r="P222" s="773"/>
      <c r="Q222" s="773"/>
      <c r="R222" s="773"/>
      <c r="S222" s="773"/>
      <c r="T222" s="773"/>
      <c r="U222" s="773"/>
      <c r="V222" s="773"/>
      <c r="W222" s="773"/>
      <c r="X222" s="773">
        <f>NewFinSumm!C61*100</f>
        <v>17.162385445378188</v>
      </c>
      <c r="Y222" s="773">
        <f>NewFinSumm!D61*100</f>
        <v>8.4295591978880395</v>
      </c>
      <c r="Z222" s="773">
        <f>NewFinSumm!E61*100</f>
        <v>5.7663993549229371</v>
      </c>
      <c r="AA222" s="773">
        <f>NewFinSumm!F61*100</f>
        <v>17.542957025080945</v>
      </c>
      <c r="AB222" s="773">
        <f>NewFinSumm!G61*100</f>
        <v>17.393007305128133</v>
      </c>
      <c r="AC222" s="773">
        <f>NewFinSumm!H61*100</f>
        <v>28.300894584262988</v>
      </c>
      <c r="AD222" s="773">
        <f>NewFinSumm!I61*100</f>
        <v>22.072221494591531</v>
      </c>
      <c r="AE222" s="773">
        <f>NewFinSumm!J61*100</f>
        <v>20.03198724325086</v>
      </c>
      <c r="AF222" s="773">
        <f>NewFinSumm!K61*100</f>
        <v>16.050733498273846</v>
      </c>
      <c r="AG222" s="773">
        <f ca="1">NewFinSumm!L61*100</f>
        <v>16.735670689564554</v>
      </c>
      <c r="AH222" s="773">
        <f ca="1">NewFinSumm!M61*100</f>
        <v>15.144048316501815</v>
      </c>
      <c r="AI222" s="773">
        <f ca="1">NewFinSumm!N61*100</f>
        <v>16.604855178540504</v>
      </c>
      <c r="AJ222" s="773">
        <f ca="1">NewFinSumm!O61*100</f>
        <v>15.727210613055135</v>
      </c>
    </row>
    <row r="223" spans="1:36" x14ac:dyDescent="0.25">
      <c r="A223" s="775" t="s">
        <v>1401</v>
      </c>
      <c r="B223" s="710"/>
      <c r="C223" s="712" t="s">
        <v>1038</v>
      </c>
      <c r="D223" s="711" t="s">
        <v>1114</v>
      </c>
      <c r="E223" s="767" t="s">
        <v>974</v>
      </c>
      <c r="F223" s="712" t="s">
        <v>605</v>
      </c>
      <c r="G223" s="712"/>
      <c r="H223" s="712"/>
      <c r="I223" s="712"/>
      <c r="J223" s="712"/>
      <c r="K223" s="712"/>
      <c r="L223" s="712"/>
      <c r="M223" s="776"/>
      <c r="N223" s="770"/>
      <c r="O223" s="770"/>
      <c r="P223" s="770"/>
      <c r="Q223" s="770"/>
      <c r="R223" s="770"/>
      <c r="S223" s="770"/>
      <c r="T223" s="770"/>
      <c r="U223" s="770"/>
      <c r="V223" s="770"/>
      <c r="W223" s="770"/>
      <c r="X223" s="770">
        <f>NewFinSumm!C66</f>
        <v>0.46239529486579301</v>
      </c>
      <c r="Y223" s="770">
        <f>NewFinSumm!D66</f>
        <v>0.45610745762866622</v>
      </c>
      <c r="Z223" s="770">
        <f>NewFinSumm!E66</f>
        <v>0.38979709231302023</v>
      </c>
      <c r="AA223" s="770">
        <f>NewFinSumm!F66</f>
        <v>0.65621366209564669</v>
      </c>
      <c r="AB223" s="770">
        <f>NewFinSumm!G66</f>
        <v>0.98397780663353918</v>
      </c>
      <c r="AC223" s="770">
        <f>NewFinSumm!H66</f>
        <v>1.105849354365124</v>
      </c>
      <c r="AD223" s="770">
        <f>NewFinSumm!I66</f>
        <v>1.1328981127216939</v>
      </c>
      <c r="AE223" s="770">
        <f>NewFinSumm!J66</f>
        <v>0.94605176006199831</v>
      </c>
      <c r="AF223" s="770">
        <f>NewFinSumm!K66</f>
        <v>0.92364703514227309</v>
      </c>
      <c r="AG223" s="770">
        <f ca="1">NewFinSumm!L66</f>
        <v>0.90074265627115113</v>
      </c>
      <c r="AH223" s="770">
        <f ca="1">NewFinSumm!M66</f>
        <v>0.72523703020031549</v>
      </c>
      <c r="AI223" s="770">
        <f ca="1">NewFinSumm!N66</f>
        <v>0.61689996231867561</v>
      </c>
      <c r="AJ223" s="770">
        <f ca="1">NewFinSumm!O66</f>
        <v>0.58088109153510814</v>
      </c>
    </row>
    <row r="224" spans="1:36" x14ac:dyDescent="0.25">
      <c r="A224" s="775" t="s">
        <v>1402</v>
      </c>
      <c r="B224" s="710"/>
      <c r="C224" s="712" t="s">
        <v>1038</v>
      </c>
      <c r="D224" s="711" t="s">
        <v>1114</v>
      </c>
      <c r="E224" s="767" t="s">
        <v>975</v>
      </c>
      <c r="F224" s="712" t="s">
        <v>605</v>
      </c>
      <c r="G224" s="712"/>
      <c r="H224" s="712"/>
      <c r="I224" s="712"/>
      <c r="J224" s="712"/>
      <c r="K224" s="712"/>
      <c r="L224" s="712"/>
      <c r="M224" s="776"/>
      <c r="N224" s="770"/>
      <c r="O224" s="770"/>
      <c r="P224" s="770"/>
      <c r="Q224" s="770"/>
      <c r="R224" s="770"/>
      <c r="S224" s="770"/>
      <c r="T224" s="770"/>
      <c r="U224" s="770"/>
      <c r="V224" s="770"/>
      <c r="W224" s="770"/>
      <c r="X224" s="770">
        <f>NewFinSumm!C67</f>
        <v>0.19558516709891893</v>
      </c>
      <c r="Y224" s="770">
        <f>NewFinSumm!D67</f>
        <v>0.19778562205572384</v>
      </c>
      <c r="Z224" s="770">
        <f>NewFinSumm!E67</f>
        <v>0.18144526993576893</v>
      </c>
      <c r="AA224" s="770">
        <f>NewFinSumm!F67</f>
        <v>0.21641469094375104</v>
      </c>
      <c r="AB224" s="770">
        <f>NewFinSumm!G67</f>
        <v>0.26440002262870649</v>
      </c>
      <c r="AC224" s="770">
        <f>NewFinSumm!H67</f>
        <v>0.34908035506824314</v>
      </c>
      <c r="AD224" s="770">
        <f>NewFinSumm!I67</f>
        <v>0.33269876313917252</v>
      </c>
      <c r="AE224" s="770">
        <f>NewFinSumm!J67</f>
        <v>0.29790825165405121</v>
      </c>
      <c r="AF224" s="770">
        <f>NewFinSumm!K67</f>
        <v>0.29327061799207887</v>
      </c>
      <c r="AG224" s="770">
        <f ca="1">NewFinSumm!L67</f>
        <v>0.28045332952920182</v>
      </c>
      <c r="AH224" s="770">
        <f ca="1">NewFinSumm!M67</f>
        <v>0.31424076600282957</v>
      </c>
      <c r="AI224" s="770">
        <f ca="1">NewFinSumm!N67</f>
        <v>0.3754691433800818</v>
      </c>
      <c r="AJ224" s="770">
        <f ca="1">NewFinSumm!O67</f>
        <v>0.4504664667458691</v>
      </c>
    </row>
    <row r="226" spans="1:36" x14ac:dyDescent="0.25">
      <c r="E226" s="756" t="s">
        <v>1403</v>
      </c>
    </row>
    <row r="227" spans="1:36" x14ac:dyDescent="0.25">
      <c r="A227" s="750" t="s">
        <v>1404</v>
      </c>
      <c r="B227" s="737" t="str">
        <f t="shared" ref="B227:B276" si="146">IF(IF(D227="+",MIN(H227:IU227)&gt;=0,IF(D227="-",MAX(H227:IU227)&lt;=0,TRUE)),"",1)</f>
        <v/>
      </c>
      <c r="C227" s="705" t="s">
        <v>1036</v>
      </c>
      <c r="D227" s="738" t="s">
        <v>1159</v>
      </c>
      <c r="E227" s="777" t="s">
        <v>1405</v>
      </c>
      <c r="F227" s="778" t="s">
        <v>605</v>
      </c>
      <c r="G227" s="778" t="str">
        <f>E227</f>
        <v>Assumption 1</v>
      </c>
      <c r="H227" s="778"/>
      <c r="I227" s="778"/>
      <c r="J227" s="778"/>
      <c r="K227" s="778"/>
      <c r="L227" s="778"/>
      <c r="M227" s="778"/>
      <c r="N227" s="778"/>
      <c r="O227" s="778"/>
      <c r="P227" s="778"/>
      <c r="Q227" s="779"/>
      <c r="R227" s="778"/>
      <c r="S227" s="778"/>
      <c r="T227" s="778"/>
      <c r="U227" s="778"/>
      <c r="V227" s="778"/>
      <c r="W227" s="780"/>
      <c r="X227" s="780"/>
      <c r="Y227" s="780"/>
      <c r="Z227" s="780"/>
      <c r="AA227" s="780"/>
      <c r="AB227" s="780"/>
      <c r="AC227" s="780"/>
      <c r="AD227" s="780"/>
      <c r="AE227" s="780"/>
      <c r="AF227" s="780"/>
      <c r="AG227" s="780"/>
      <c r="AH227" s="780"/>
      <c r="AI227" s="780"/>
      <c r="AJ227" s="780"/>
    </row>
    <row r="228" spans="1:36" x14ac:dyDescent="0.25">
      <c r="A228" s="750" t="s">
        <v>1406</v>
      </c>
      <c r="B228" s="737" t="str">
        <f t="shared" si="146"/>
        <v/>
      </c>
      <c r="C228" s="705" t="s">
        <v>1036</v>
      </c>
      <c r="D228" s="738" t="s">
        <v>1159</v>
      </c>
      <c r="E228" s="777" t="s">
        <v>1407</v>
      </c>
      <c r="F228" s="778" t="s">
        <v>605</v>
      </c>
      <c r="G228" s="778" t="str">
        <f t="shared" ref="G228:G276" si="147">E228</f>
        <v>Assumption 2</v>
      </c>
      <c r="H228" s="778"/>
      <c r="I228" s="778"/>
      <c r="J228" s="778"/>
      <c r="K228" s="778"/>
      <c r="L228" s="778"/>
      <c r="M228" s="778"/>
      <c r="N228" s="778"/>
      <c r="O228" s="778"/>
      <c r="P228" s="778"/>
      <c r="Q228" s="779"/>
      <c r="R228" s="779"/>
      <c r="S228" s="779"/>
      <c r="T228" s="779"/>
      <c r="U228" s="779"/>
      <c r="V228" s="779"/>
      <c r="W228" s="780"/>
      <c r="X228" s="780"/>
      <c r="Y228" s="780"/>
      <c r="Z228" s="780"/>
      <c r="AA228" s="780"/>
      <c r="AB228" s="780"/>
      <c r="AC228" s="780"/>
      <c r="AD228" s="780"/>
      <c r="AE228" s="780"/>
      <c r="AF228" s="780"/>
      <c r="AG228" s="780"/>
      <c r="AH228" s="780"/>
      <c r="AI228" s="780"/>
      <c r="AJ228" s="780"/>
    </row>
    <row r="229" spans="1:36" x14ac:dyDescent="0.25">
      <c r="A229" s="750" t="s">
        <v>1408</v>
      </c>
      <c r="B229" s="737" t="str">
        <f t="shared" si="146"/>
        <v/>
      </c>
      <c r="C229" s="705" t="s">
        <v>1036</v>
      </c>
      <c r="D229" s="738" t="s">
        <v>1159</v>
      </c>
      <c r="E229" s="777" t="s">
        <v>1409</v>
      </c>
      <c r="F229" s="778" t="s">
        <v>605</v>
      </c>
      <c r="G229" s="778" t="str">
        <f t="shared" si="147"/>
        <v>Assumption 3</v>
      </c>
      <c r="H229" s="778"/>
      <c r="I229" s="778"/>
      <c r="J229" s="778"/>
      <c r="K229" s="778"/>
      <c r="L229" s="778"/>
      <c r="M229" s="778"/>
      <c r="N229" s="778"/>
      <c r="O229" s="778"/>
      <c r="P229" s="778"/>
      <c r="Q229" s="779"/>
      <c r="R229" s="779"/>
      <c r="S229" s="779"/>
      <c r="T229" s="779"/>
      <c r="U229" s="779"/>
      <c r="V229" s="779"/>
      <c r="W229" s="780"/>
      <c r="X229" s="780"/>
      <c r="Y229" s="780"/>
      <c r="Z229" s="780"/>
      <c r="AA229" s="780"/>
      <c r="AB229" s="780"/>
      <c r="AC229" s="780"/>
      <c r="AD229" s="780"/>
      <c r="AE229" s="780"/>
      <c r="AF229" s="780"/>
      <c r="AG229" s="780"/>
      <c r="AH229" s="780"/>
      <c r="AI229" s="780"/>
      <c r="AJ229" s="780"/>
    </row>
    <row r="230" spans="1:36" x14ac:dyDescent="0.25">
      <c r="A230" s="703" t="s">
        <v>1410</v>
      </c>
      <c r="B230" s="737" t="str">
        <f t="shared" si="146"/>
        <v/>
      </c>
      <c r="C230" s="705" t="s">
        <v>1036</v>
      </c>
      <c r="D230" s="738" t="s">
        <v>1159</v>
      </c>
      <c r="E230" s="739" t="s">
        <v>1411</v>
      </c>
      <c r="F230" s="705" t="s">
        <v>605</v>
      </c>
      <c r="G230" s="705" t="str">
        <f t="shared" si="147"/>
        <v>Assumption 4</v>
      </c>
      <c r="Q230" s="781"/>
      <c r="R230" s="781"/>
      <c r="S230" s="781"/>
      <c r="T230" s="781"/>
      <c r="U230" s="781"/>
      <c r="V230" s="781"/>
      <c r="W230" s="781"/>
      <c r="X230" s="781"/>
      <c r="Y230" s="781"/>
      <c r="Z230" s="781"/>
      <c r="AA230" s="781"/>
    </row>
    <row r="231" spans="1:36" x14ac:dyDescent="0.25">
      <c r="A231" s="703" t="s">
        <v>1412</v>
      </c>
      <c r="B231" s="737" t="str">
        <f t="shared" si="146"/>
        <v/>
      </c>
      <c r="C231" s="705" t="s">
        <v>1036</v>
      </c>
      <c r="D231" s="738" t="s">
        <v>1159</v>
      </c>
      <c r="E231" s="739" t="s">
        <v>1413</v>
      </c>
      <c r="F231" s="705" t="s">
        <v>605</v>
      </c>
      <c r="G231" s="705" t="str">
        <f t="shared" si="147"/>
        <v>Assumption 5</v>
      </c>
      <c r="S231" s="781"/>
      <c r="T231" s="781"/>
      <c r="U231" s="781"/>
      <c r="V231" s="781"/>
      <c r="W231" s="781"/>
      <c r="X231" s="781"/>
      <c r="Y231" s="781"/>
      <c r="Z231" s="781"/>
      <c r="AA231" s="781"/>
    </row>
    <row r="232" spans="1:36" x14ac:dyDescent="0.25">
      <c r="A232" s="703" t="s">
        <v>1414</v>
      </c>
      <c r="B232" s="737" t="str">
        <f t="shared" si="146"/>
        <v/>
      </c>
      <c r="C232" s="705" t="s">
        <v>1036</v>
      </c>
      <c r="D232" s="738" t="s">
        <v>1159</v>
      </c>
      <c r="E232" s="739" t="s">
        <v>1415</v>
      </c>
      <c r="F232" s="705" t="s">
        <v>605</v>
      </c>
      <c r="G232" s="705" t="str">
        <f t="shared" si="147"/>
        <v>Assumption 6</v>
      </c>
      <c r="S232" s="781"/>
      <c r="T232" s="781"/>
      <c r="U232" s="781"/>
      <c r="V232" s="781"/>
      <c r="W232" s="781"/>
      <c r="X232" s="781"/>
      <c r="Y232" s="781"/>
      <c r="Z232" s="781"/>
      <c r="AA232" s="781"/>
    </row>
    <row r="233" spans="1:36" x14ac:dyDescent="0.25">
      <c r="A233" s="703" t="s">
        <v>1416</v>
      </c>
      <c r="B233" s="737" t="str">
        <f t="shared" si="146"/>
        <v/>
      </c>
      <c r="C233" s="705" t="s">
        <v>1036</v>
      </c>
      <c r="D233" s="738" t="s">
        <v>1159</v>
      </c>
      <c r="E233" s="739" t="s">
        <v>1417</v>
      </c>
      <c r="F233" s="705" t="s">
        <v>605</v>
      </c>
      <c r="G233" s="705" t="str">
        <f t="shared" si="147"/>
        <v>Assumption 7</v>
      </c>
      <c r="S233" s="781"/>
      <c r="T233" s="781"/>
      <c r="U233" s="781"/>
      <c r="V233" s="781"/>
      <c r="W233" s="781"/>
      <c r="X233" s="781"/>
      <c r="Y233" s="781"/>
      <c r="Z233" s="781"/>
      <c r="AA233" s="781"/>
    </row>
    <row r="234" spans="1:36" x14ac:dyDescent="0.25">
      <c r="A234" s="703" t="s">
        <v>1418</v>
      </c>
      <c r="B234" s="737" t="str">
        <f t="shared" si="146"/>
        <v/>
      </c>
      <c r="C234" s="705" t="s">
        <v>1036</v>
      </c>
      <c r="D234" s="738" t="s">
        <v>1159</v>
      </c>
      <c r="E234" s="739" t="s">
        <v>1419</v>
      </c>
      <c r="F234" s="705" t="s">
        <v>605</v>
      </c>
      <c r="G234" s="705" t="str">
        <f t="shared" si="147"/>
        <v>Assumption 8</v>
      </c>
    </row>
    <row r="235" spans="1:36" x14ac:dyDescent="0.25">
      <c r="A235" s="703" t="s">
        <v>1420</v>
      </c>
      <c r="B235" s="737" t="str">
        <f t="shared" si="146"/>
        <v/>
      </c>
      <c r="C235" s="705" t="s">
        <v>1036</v>
      </c>
      <c r="D235" s="738" t="s">
        <v>1159</v>
      </c>
      <c r="E235" s="739" t="s">
        <v>1421</v>
      </c>
      <c r="F235" s="705" t="s">
        <v>605</v>
      </c>
      <c r="G235" s="705" t="str">
        <f t="shared" si="147"/>
        <v>Assumption 9</v>
      </c>
    </row>
    <row r="236" spans="1:36" x14ac:dyDescent="0.25">
      <c r="A236" s="703" t="s">
        <v>1422</v>
      </c>
      <c r="B236" s="737" t="str">
        <f t="shared" si="146"/>
        <v/>
      </c>
      <c r="C236" s="705" t="s">
        <v>1036</v>
      </c>
      <c r="D236" s="738" t="s">
        <v>1159</v>
      </c>
      <c r="E236" s="739" t="s">
        <v>1423</v>
      </c>
      <c r="F236" s="705" t="s">
        <v>605</v>
      </c>
      <c r="G236" s="705" t="str">
        <f t="shared" si="147"/>
        <v>Assumption 10</v>
      </c>
    </row>
    <row r="237" spans="1:36" x14ac:dyDescent="0.25">
      <c r="A237" s="703" t="s">
        <v>1424</v>
      </c>
      <c r="B237" s="737" t="str">
        <f t="shared" si="146"/>
        <v/>
      </c>
      <c r="C237" s="705" t="s">
        <v>1036</v>
      </c>
      <c r="D237" s="738" t="s">
        <v>1159</v>
      </c>
      <c r="E237" s="739" t="s">
        <v>1425</v>
      </c>
      <c r="F237" s="705" t="s">
        <v>605</v>
      </c>
      <c r="G237" s="705" t="str">
        <f t="shared" si="147"/>
        <v>Assumption 11</v>
      </c>
    </row>
    <row r="238" spans="1:36" x14ac:dyDescent="0.25">
      <c r="A238" s="703" t="s">
        <v>1426</v>
      </c>
      <c r="B238" s="737" t="str">
        <f t="shared" si="146"/>
        <v/>
      </c>
      <c r="C238" s="705" t="s">
        <v>1036</v>
      </c>
      <c r="D238" s="738" t="s">
        <v>1159</v>
      </c>
      <c r="E238" s="739" t="s">
        <v>1427</v>
      </c>
      <c r="F238" s="705" t="s">
        <v>605</v>
      </c>
      <c r="G238" s="705" t="str">
        <f t="shared" si="147"/>
        <v>Assumption 12</v>
      </c>
    </row>
    <row r="239" spans="1:36" x14ac:dyDescent="0.25">
      <c r="A239" s="703" t="s">
        <v>1428</v>
      </c>
      <c r="B239" s="737" t="str">
        <f t="shared" si="146"/>
        <v/>
      </c>
      <c r="C239" s="705" t="s">
        <v>1036</v>
      </c>
      <c r="D239" s="738" t="s">
        <v>1159</v>
      </c>
      <c r="E239" s="739" t="s">
        <v>1429</v>
      </c>
      <c r="F239" s="705" t="s">
        <v>605</v>
      </c>
      <c r="G239" s="705" t="str">
        <f t="shared" si="147"/>
        <v>Assumption 13</v>
      </c>
    </row>
    <row r="240" spans="1:36" x14ac:dyDescent="0.25">
      <c r="A240" s="703" t="s">
        <v>1430</v>
      </c>
      <c r="B240" s="737" t="str">
        <f t="shared" si="146"/>
        <v/>
      </c>
      <c r="C240" s="705" t="s">
        <v>1036</v>
      </c>
      <c r="D240" s="738" t="s">
        <v>1159</v>
      </c>
      <c r="E240" s="739" t="s">
        <v>1431</v>
      </c>
      <c r="F240" s="705" t="s">
        <v>605</v>
      </c>
      <c r="G240" s="705" t="str">
        <f t="shared" si="147"/>
        <v>Assumption 14</v>
      </c>
    </row>
    <row r="241" spans="1:7" x14ac:dyDescent="0.25">
      <c r="A241" s="703" t="s">
        <v>1432</v>
      </c>
      <c r="B241" s="737" t="str">
        <f t="shared" si="146"/>
        <v/>
      </c>
      <c r="C241" s="705" t="s">
        <v>1036</v>
      </c>
      <c r="D241" s="738" t="s">
        <v>1159</v>
      </c>
      <c r="E241" s="739" t="s">
        <v>1433</v>
      </c>
      <c r="F241" s="705" t="s">
        <v>605</v>
      </c>
      <c r="G241" s="705" t="str">
        <f t="shared" si="147"/>
        <v>Assumption 15</v>
      </c>
    </row>
    <row r="242" spans="1:7" x14ac:dyDescent="0.25">
      <c r="A242" s="703" t="s">
        <v>1434</v>
      </c>
      <c r="B242" s="737" t="str">
        <f t="shared" si="146"/>
        <v/>
      </c>
      <c r="C242" s="705" t="s">
        <v>1036</v>
      </c>
      <c r="D242" s="738" t="s">
        <v>1159</v>
      </c>
      <c r="E242" s="739" t="s">
        <v>1435</v>
      </c>
      <c r="F242" s="705" t="s">
        <v>605</v>
      </c>
      <c r="G242" s="705" t="str">
        <f t="shared" si="147"/>
        <v>Assumption 16</v>
      </c>
    </row>
    <row r="243" spans="1:7" x14ac:dyDescent="0.25">
      <c r="A243" s="703" t="s">
        <v>1436</v>
      </c>
      <c r="B243" s="737" t="str">
        <f t="shared" si="146"/>
        <v/>
      </c>
      <c r="C243" s="705" t="s">
        <v>1036</v>
      </c>
      <c r="D243" s="738" t="s">
        <v>1159</v>
      </c>
      <c r="E243" s="739" t="s">
        <v>1437</v>
      </c>
      <c r="F243" s="705" t="s">
        <v>605</v>
      </c>
      <c r="G243" s="705" t="str">
        <f t="shared" si="147"/>
        <v>Assumption 17</v>
      </c>
    </row>
    <row r="244" spans="1:7" x14ac:dyDescent="0.25">
      <c r="A244" s="703" t="s">
        <v>1438</v>
      </c>
      <c r="B244" s="737" t="str">
        <f t="shared" si="146"/>
        <v/>
      </c>
      <c r="C244" s="705" t="s">
        <v>1036</v>
      </c>
      <c r="D244" s="738" t="s">
        <v>1159</v>
      </c>
      <c r="E244" s="739" t="s">
        <v>1439</v>
      </c>
      <c r="F244" s="705" t="s">
        <v>605</v>
      </c>
      <c r="G244" s="705" t="str">
        <f t="shared" si="147"/>
        <v>Assumption 18</v>
      </c>
    </row>
    <row r="245" spans="1:7" x14ac:dyDescent="0.25">
      <c r="A245" s="703" t="s">
        <v>1440</v>
      </c>
      <c r="B245" s="737" t="str">
        <f t="shared" si="146"/>
        <v/>
      </c>
      <c r="C245" s="705" t="s">
        <v>1036</v>
      </c>
      <c r="D245" s="738" t="s">
        <v>1159</v>
      </c>
      <c r="E245" s="739" t="s">
        <v>1441</v>
      </c>
      <c r="F245" s="705" t="s">
        <v>605</v>
      </c>
      <c r="G245" s="705" t="str">
        <f t="shared" si="147"/>
        <v>Assumption 19</v>
      </c>
    </row>
    <row r="246" spans="1:7" x14ac:dyDescent="0.25">
      <c r="A246" s="703" t="s">
        <v>1442</v>
      </c>
      <c r="B246" s="737" t="str">
        <f t="shared" si="146"/>
        <v/>
      </c>
      <c r="C246" s="705" t="s">
        <v>1036</v>
      </c>
      <c r="D246" s="738" t="s">
        <v>1159</v>
      </c>
      <c r="E246" s="739" t="s">
        <v>1443</v>
      </c>
      <c r="F246" s="705" t="s">
        <v>605</v>
      </c>
      <c r="G246" s="705" t="str">
        <f t="shared" si="147"/>
        <v>Assumption 20</v>
      </c>
    </row>
    <row r="247" spans="1:7" x14ac:dyDescent="0.25">
      <c r="A247" s="703" t="s">
        <v>1444</v>
      </c>
      <c r="B247" s="737" t="str">
        <f t="shared" si="146"/>
        <v/>
      </c>
      <c r="C247" s="705" t="s">
        <v>1036</v>
      </c>
      <c r="D247" s="738" t="s">
        <v>1159</v>
      </c>
      <c r="E247" s="739" t="s">
        <v>1445</v>
      </c>
      <c r="F247" s="705" t="s">
        <v>605</v>
      </c>
      <c r="G247" s="705" t="str">
        <f t="shared" si="147"/>
        <v>Assumption 21</v>
      </c>
    </row>
    <row r="248" spans="1:7" x14ac:dyDescent="0.25">
      <c r="A248" s="703" t="s">
        <v>1446</v>
      </c>
      <c r="B248" s="737" t="str">
        <f t="shared" si="146"/>
        <v/>
      </c>
      <c r="C248" s="705" t="s">
        <v>1036</v>
      </c>
      <c r="D248" s="738" t="s">
        <v>1159</v>
      </c>
      <c r="E248" s="739" t="s">
        <v>1447</v>
      </c>
      <c r="F248" s="705" t="s">
        <v>605</v>
      </c>
      <c r="G248" s="705" t="str">
        <f t="shared" si="147"/>
        <v>Assumption 22</v>
      </c>
    </row>
    <row r="249" spans="1:7" x14ac:dyDescent="0.25">
      <c r="A249" s="703" t="s">
        <v>1448</v>
      </c>
      <c r="B249" s="737" t="str">
        <f t="shared" si="146"/>
        <v/>
      </c>
      <c r="C249" s="705" t="s">
        <v>1036</v>
      </c>
      <c r="D249" s="738" t="s">
        <v>1159</v>
      </c>
      <c r="E249" s="739" t="s">
        <v>1449</v>
      </c>
      <c r="F249" s="705" t="s">
        <v>605</v>
      </c>
      <c r="G249" s="705" t="str">
        <f t="shared" si="147"/>
        <v>Assumption 23</v>
      </c>
    </row>
    <row r="250" spans="1:7" x14ac:dyDescent="0.25">
      <c r="A250" s="703" t="s">
        <v>1450</v>
      </c>
      <c r="B250" s="737" t="str">
        <f t="shared" si="146"/>
        <v/>
      </c>
      <c r="C250" s="705" t="s">
        <v>1036</v>
      </c>
      <c r="D250" s="738" t="s">
        <v>1159</v>
      </c>
      <c r="E250" s="739" t="s">
        <v>1451</v>
      </c>
      <c r="F250" s="705" t="s">
        <v>605</v>
      </c>
      <c r="G250" s="705" t="str">
        <f t="shared" si="147"/>
        <v>Assumption 24</v>
      </c>
    </row>
    <row r="251" spans="1:7" x14ac:dyDescent="0.25">
      <c r="A251" s="703" t="s">
        <v>1452</v>
      </c>
      <c r="B251" s="737" t="str">
        <f t="shared" si="146"/>
        <v/>
      </c>
      <c r="C251" s="705" t="s">
        <v>1036</v>
      </c>
      <c r="D251" s="738" t="s">
        <v>1159</v>
      </c>
      <c r="E251" s="739" t="s">
        <v>1453</v>
      </c>
      <c r="F251" s="705" t="s">
        <v>605</v>
      </c>
      <c r="G251" s="705" t="str">
        <f t="shared" si="147"/>
        <v>Assumption 25</v>
      </c>
    </row>
    <row r="252" spans="1:7" x14ac:dyDescent="0.25">
      <c r="A252" s="703" t="s">
        <v>1454</v>
      </c>
      <c r="B252" s="737" t="str">
        <f t="shared" si="146"/>
        <v/>
      </c>
      <c r="C252" s="705" t="s">
        <v>1036</v>
      </c>
      <c r="D252" s="738" t="s">
        <v>1159</v>
      </c>
      <c r="E252" s="739" t="s">
        <v>1455</v>
      </c>
      <c r="F252" s="705" t="s">
        <v>605</v>
      </c>
      <c r="G252" s="705" t="str">
        <f t="shared" si="147"/>
        <v>Assumption 26</v>
      </c>
    </row>
    <row r="253" spans="1:7" x14ac:dyDescent="0.25">
      <c r="A253" s="703" t="s">
        <v>1456</v>
      </c>
      <c r="B253" s="737" t="str">
        <f t="shared" si="146"/>
        <v/>
      </c>
      <c r="C253" s="705" t="s">
        <v>1036</v>
      </c>
      <c r="D253" s="738" t="s">
        <v>1159</v>
      </c>
      <c r="E253" s="739" t="s">
        <v>1457</v>
      </c>
      <c r="F253" s="705" t="s">
        <v>605</v>
      </c>
      <c r="G253" s="705" t="str">
        <f t="shared" si="147"/>
        <v>Assumption 27</v>
      </c>
    </row>
    <row r="254" spans="1:7" x14ac:dyDescent="0.25">
      <c r="A254" s="703" t="s">
        <v>1458</v>
      </c>
      <c r="B254" s="737" t="str">
        <f t="shared" si="146"/>
        <v/>
      </c>
      <c r="C254" s="705" t="s">
        <v>1036</v>
      </c>
      <c r="D254" s="738" t="s">
        <v>1159</v>
      </c>
      <c r="E254" s="739" t="s">
        <v>1459</v>
      </c>
      <c r="F254" s="705" t="s">
        <v>605</v>
      </c>
      <c r="G254" s="705" t="str">
        <f t="shared" si="147"/>
        <v>Assumption 28</v>
      </c>
    </row>
    <row r="255" spans="1:7" x14ac:dyDescent="0.25">
      <c r="A255" s="703" t="s">
        <v>1460</v>
      </c>
      <c r="B255" s="737" t="str">
        <f t="shared" si="146"/>
        <v/>
      </c>
      <c r="C255" s="705" t="s">
        <v>1036</v>
      </c>
      <c r="D255" s="738" t="s">
        <v>1159</v>
      </c>
      <c r="E255" s="739" t="s">
        <v>1461</v>
      </c>
      <c r="F255" s="705" t="s">
        <v>605</v>
      </c>
      <c r="G255" s="705" t="str">
        <f t="shared" si="147"/>
        <v>Assumption 29</v>
      </c>
    </row>
    <row r="256" spans="1:7" x14ac:dyDescent="0.25">
      <c r="A256" s="703" t="s">
        <v>1462</v>
      </c>
      <c r="B256" s="737" t="str">
        <f t="shared" si="146"/>
        <v/>
      </c>
      <c r="C256" s="705" t="s">
        <v>1036</v>
      </c>
      <c r="D256" s="738" t="s">
        <v>1159</v>
      </c>
      <c r="E256" s="739" t="s">
        <v>1463</v>
      </c>
      <c r="F256" s="705" t="s">
        <v>605</v>
      </c>
      <c r="G256" s="705" t="str">
        <f t="shared" si="147"/>
        <v>Assumption 30</v>
      </c>
    </row>
    <row r="257" spans="1:36" x14ac:dyDescent="0.25">
      <c r="A257" s="703" t="s">
        <v>1464</v>
      </c>
      <c r="B257" s="737" t="str">
        <f t="shared" si="146"/>
        <v/>
      </c>
      <c r="C257" s="705" t="s">
        <v>1036</v>
      </c>
      <c r="D257" s="738" t="s">
        <v>1159</v>
      </c>
      <c r="E257" s="739" t="s">
        <v>1465</v>
      </c>
      <c r="F257" s="705" t="s">
        <v>605</v>
      </c>
      <c r="G257" s="705" t="str">
        <f t="shared" si="147"/>
        <v>Assumption 31</v>
      </c>
    </row>
    <row r="258" spans="1:36" x14ac:dyDescent="0.25">
      <c r="A258" s="703" t="s">
        <v>1466</v>
      </c>
      <c r="B258" s="737" t="str">
        <f t="shared" si="146"/>
        <v/>
      </c>
      <c r="C258" s="705" t="s">
        <v>1036</v>
      </c>
      <c r="D258" s="738" t="s">
        <v>1159</v>
      </c>
      <c r="E258" s="739" t="s">
        <v>1467</v>
      </c>
      <c r="F258" s="705" t="s">
        <v>605</v>
      </c>
      <c r="G258" s="705" t="str">
        <f t="shared" si="147"/>
        <v>Assumption 32</v>
      </c>
    </row>
    <row r="259" spans="1:36" x14ac:dyDescent="0.25">
      <c r="A259" s="703" t="s">
        <v>1468</v>
      </c>
      <c r="B259" s="737" t="str">
        <f t="shared" si="146"/>
        <v/>
      </c>
      <c r="C259" s="705" t="s">
        <v>1036</v>
      </c>
      <c r="D259" s="738" t="s">
        <v>1159</v>
      </c>
      <c r="E259" s="739" t="s">
        <v>1469</v>
      </c>
      <c r="F259" s="705" t="s">
        <v>605</v>
      </c>
      <c r="G259" s="705" t="str">
        <f t="shared" si="147"/>
        <v>Assumption 33</v>
      </c>
    </row>
    <row r="260" spans="1:36" x14ac:dyDescent="0.25">
      <c r="A260" s="703" t="s">
        <v>1470</v>
      </c>
      <c r="B260" s="737" t="str">
        <f t="shared" si="146"/>
        <v/>
      </c>
      <c r="C260" s="705" t="s">
        <v>1036</v>
      </c>
      <c r="D260" s="738" t="s">
        <v>1159</v>
      </c>
      <c r="E260" s="739" t="s">
        <v>1471</v>
      </c>
      <c r="F260" s="705" t="s">
        <v>605</v>
      </c>
      <c r="G260" s="705" t="str">
        <f t="shared" si="147"/>
        <v>Assumption 34</v>
      </c>
    </row>
    <row r="261" spans="1:36" x14ac:dyDescent="0.25">
      <c r="A261" s="703" t="s">
        <v>1472</v>
      </c>
      <c r="B261" s="737" t="str">
        <f t="shared" si="146"/>
        <v/>
      </c>
      <c r="C261" s="705" t="s">
        <v>1036</v>
      </c>
      <c r="D261" s="738" t="s">
        <v>1159</v>
      </c>
      <c r="E261" s="739" t="s">
        <v>1473</v>
      </c>
      <c r="F261" s="705" t="s">
        <v>605</v>
      </c>
      <c r="G261" s="705" t="str">
        <f t="shared" si="147"/>
        <v>Assumption 35</v>
      </c>
    </row>
    <row r="262" spans="1:36" x14ac:dyDescent="0.25">
      <c r="A262" s="703" t="s">
        <v>1474</v>
      </c>
      <c r="B262" s="737" t="str">
        <f t="shared" si="146"/>
        <v/>
      </c>
      <c r="C262" s="705" t="s">
        <v>1036</v>
      </c>
      <c r="D262" s="738" t="s">
        <v>1159</v>
      </c>
      <c r="E262" s="739" t="s">
        <v>1475</v>
      </c>
      <c r="F262" s="705" t="s">
        <v>605</v>
      </c>
      <c r="G262" s="705" t="str">
        <f t="shared" si="147"/>
        <v>Assumption 36</v>
      </c>
    </row>
    <row r="263" spans="1:36" x14ac:dyDescent="0.25">
      <c r="A263" s="703" t="s">
        <v>1476</v>
      </c>
      <c r="B263" s="737" t="str">
        <f t="shared" si="146"/>
        <v/>
      </c>
      <c r="C263" s="705" t="s">
        <v>1036</v>
      </c>
      <c r="D263" s="738" t="s">
        <v>1159</v>
      </c>
      <c r="E263" s="739" t="s">
        <v>1477</v>
      </c>
      <c r="F263" s="705" t="s">
        <v>605</v>
      </c>
      <c r="G263" s="705" t="str">
        <f t="shared" si="147"/>
        <v>Assumption 37</v>
      </c>
    </row>
    <row r="264" spans="1:36" x14ac:dyDescent="0.25">
      <c r="A264" s="703" t="s">
        <v>1478</v>
      </c>
      <c r="B264" s="737" t="str">
        <f t="shared" si="146"/>
        <v/>
      </c>
      <c r="C264" s="705" t="s">
        <v>1036</v>
      </c>
      <c r="D264" s="738" t="s">
        <v>1159</v>
      </c>
      <c r="E264" s="739" t="s">
        <v>1479</v>
      </c>
      <c r="F264" s="705" t="s">
        <v>605</v>
      </c>
      <c r="G264" s="705" t="str">
        <f t="shared" si="147"/>
        <v>Assumption 38</v>
      </c>
    </row>
    <row r="265" spans="1:36" x14ac:dyDescent="0.25">
      <c r="A265" s="703" t="s">
        <v>1480</v>
      </c>
      <c r="B265" s="737" t="str">
        <f t="shared" si="146"/>
        <v/>
      </c>
      <c r="C265" s="705" t="s">
        <v>1036</v>
      </c>
      <c r="D265" s="738" t="s">
        <v>1159</v>
      </c>
      <c r="E265" s="739" t="s">
        <v>1481</v>
      </c>
      <c r="F265" s="705" t="s">
        <v>605</v>
      </c>
      <c r="G265" s="705" t="str">
        <f t="shared" si="147"/>
        <v>Assumption 39</v>
      </c>
    </row>
    <row r="266" spans="1:36" x14ac:dyDescent="0.25">
      <c r="A266" s="703" t="s">
        <v>1482</v>
      </c>
      <c r="B266" s="737" t="str">
        <f t="shared" si="146"/>
        <v/>
      </c>
      <c r="C266" s="705" t="s">
        <v>1036</v>
      </c>
      <c r="D266" s="738" t="s">
        <v>1159</v>
      </c>
      <c r="E266" s="739" t="s">
        <v>1483</v>
      </c>
      <c r="F266" s="705" t="s">
        <v>605</v>
      </c>
      <c r="G266" s="705" t="str">
        <f t="shared" si="147"/>
        <v>Assumption 40</v>
      </c>
    </row>
    <row r="267" spans="1:36" x14ac:dyDescent="0.25">
      <c r="A267" s="750" t="s">
        <v>1484</v>
      </c>
      <c r="B267" s="737" t="str">
        <f t="shared" si="146"/>
        <v/>
      </c>
      <c r="C267" s="705" t="s">
        <v>1036</v>
      </c>
      <c r="D267" s="738" t="s">
        <v>1159</v>
      </c>
      <c r="E267" s="782" t="s">
        <v>944</v>
      </c>
      <c r="F267" s="705" t="s">
        <v>605</v>
      </c>
      <c r="G267" s="705" t="str">
        <f t="shared" si="147"/>
        <v>Other liabilities and provisions</v>
      </c>
      <c r="Q267" s="783"/>
      <c r="R267" s="783"/>
      <c r="S267" s="783"/>
      <c r="T267" s="783"/>
      <c r="U267" s="783"/>
      <c r="V267" s="783"/>
      <c r="W267" s="783"/>
      <c r="X267" s="783">
        <f>NewFinSumm!C20</f>
        <v>6182.2690000000002</v>
      </c>
      <c r="Y267" s="783">
        <f>NewFinSumm!D20</f>
        <v>7355.9229999999998</v>
      </c>
      <c r="Z267" s="783">
        <f>NewFinSumm!E20</f>
        <v>13119.782000000001</v>
      </c>
      <c r="AA267" s="783">
        <f>NewFinSumm!F20</f>
        <v>10051.65</v>
      </c>
      <c r="AB267" s="783">
        <f>NewFinSumm!G20</f>
        <v>12741</v>
      </c>
      <c r="AC267" s="783">
        <f>NewFinSumm!H20</f>
        <v>8165.01</v>
      </c>
      <c r="AD267" s="783">
        <f>NewFinSumm!I20</f>
        <v>8596.4</v>
      </c>
      <c r="AE267" s="783">
        <f>NewFinSumm!J20</f>
        <v>14316.099999999999</v>
      </c>
      <c r="AF267" s="783">
        <f>NewFinSumm!K20</f>
        <v>18813.7</v>
      </c>
      <c r="AG267" s="783">
        <f>NewFinSumm!L20</f>
        <v>18813.7</v>
      </c>
      <c r="AH267" s="783">
        <f>NewFinSumm!M20</f>
        <v>18813.7</v>
      </c>
      <c r="AI267" s="783">
        <f>NewFinSumm!N20</f>
        <v>18813.7</v>
      </c>
      <c r="AJ267" s="783">
        <f>NewFinSumm!O20</f>
        <v>18813.7</v>
      </c>
    </row>
    <row r="268" spans="1:36" x14ac:dyDescent="0.25">
      <c r="A268" s="748" t="s">
        <v>1485</v>
      </c>
      <c r="B268" s="737" t="str">
        <f t="shared" si="146"/>
        <v/>
      </c>
      <c r="C268" s="705" t="s">
        <v>1036</v>
      </c>
      <c r="D268" s="738" t="s">
        <v>1159</v>
      </c>
      <c r="E268" s="784" t="s">
        <v>945</v>
      </c>
      <c r="F268" s="705" t="s">
        <v>605</v>
      </c>
      <c r="G268" s="705" t="str">
        <f t="shared" si="147"/>
        <v>Total Networth and liabilities</v>
      </c>
      <c r="Q268" s="783"/>
      <c r="R268" s="783"/>
      <c r="S268" s="783"/>
      <c r="T268" s="783"/>
      <c r="U268" s="783"/>
      <c r="V268" s="783"/>
      <c r="W268" s="783"/>
      <c r="X268" s="783">
        <f>NewFinSumm!C21</f>
        <v>51031.15</v>
      </c>
      <c r="Y268" s="783">
        <f>NewFinSumm!D21</f>
        <v>58204.311999999998</v>
      </c>
      <c r="Z268" s="783">
        <f>NewFinSumm!E21</f>
        <v>67800.10500000001</v>
      </c>
      <c r="AA268" s="783">
        <f>NewFinSumm!F21</f>
        <v>80394.14</v>
      </c>
      <c r="AB268" s="783">
        <f>NewFinSumm!G21</f>
        <v>91546.709999999992</v>
      </c>
      <c r="AC268" s="783">
        <f>NewFinSumm!H21</f>
        <v>91490.72</v>
      </c>
      <c r="AD268" s="783">
        <f>NewFinSumm!I21</f>
        <v>134713.40000000002</v>
      </c>
      <c r="AE268" s="783">
        <f>NewFinSumm!J21</f>
        <v>165791.4</v>
      </c>
      <c r="AF268" s="783">
        <f>NewFinSumm!K21</f>
        <v>199839.6</v>
      </c>
      <c r="AG268" s="783">
        <f ca="1">NewFinSumm!L21</f>
        <v>320285.21232251101</v>
      </c>
      <c r="AH268" s="783">
        <f ca="1">NewFinSumm!M21</f>
        <v>371366.55834060756</v>
      </c>
      <c r="AI268" s="783">
        <f ca="1">NewFinSumm!N21</f>
        <v>397544.48974714766</v>
      </c>
      <c r="AJ268" s="783">
        <f ca="1">NewFinSumm!O21</f>
        <v>439591.01027485233</v>
      </c>
    </row>
    <row r="269" spans="1:36" x14ac:dyDescent="0.25">
      <c r="A269" s="750" t="s">
        <v>1486</v>
      </c>
      <c r="B269" s="737" t="str">
        <f t="shared" si="146"/>
        <v/>
      </c>
      <c r="C269" s="705" t="s">
        <v>1036</v>
      </c>
      <c r="D269" s="738" t="s">
        <v>1159</v>
      </c>
      <c r="E269" s="782" t="s">
        <v>950</v>
      </c>
      <c r="F269" s="705" t="s">
        <v>605</v>
      </c>
      <c r="G269" s="705" t="str">
        <f t="shared" si="147"/>
        <v>Loans &amp; advances and other assets</v>
      </c>
      <c r="Q269" s="783"/>
      <c r="R269" s="783"/>
      <c r="S269" s="783"/>
      <c r="T269" s="783"/>
      <c r="U269" s="783"/>
      <c r="V269" s="783"/>
      <c r="W269" s="783"/>
      <c r="X269" s="783">
        <f>NewFinSumm!C28</f>
        <v>8212.357</v>
      </c>
      <c r="Y269" s="783">
        <f>NewFinSumm!D28</f>
        <v>9113.0389999999989</v>
      </c>
      <c r="Z269" s="783">
        <f>NewFinSumm!E28</f>
        <v>9939.2289999999994</v>
      </c>
      <c r="AA269" s="783">
        <f>NewFinSumm!F28</f>
        <v>10642.210000000001</v>
      </c>
      <c r="AB269" s="783">
        <f>NewFinSumm!G28</f>
        <v>12079.01</v>
      </c>
      <c r="AC269" s="783">
        <f>NewFinSumm!H28</f>
        <v>9868.8499999999985</v>
      </c>
      <c r="AD269" s="783">
        <f>NewFinSumm!I28</f>
        <v>8148.2000000000007</v>
      </c>
      <c r="AE269" s="783">
        <f>NewFinSumm!J28</f>
        <v>17776.599999999999</v>
      </c>
      <c r="AF269" s="783">
        <f>NewFinSumm!K28</f>
        <v>30945.399999999998</v>
      </c>
      <c r="AG269" s="783">
        <f>NewFinSumm!L28</f>
        <v>30945.399999999998</v>
      </c>
      <c r="AH269" s="783">
        <f>NewFinSumm!M28</f>
        <v>30945.399999999998</v>
      </c>
      <c r="AI269" s="783">
        <f>NewFinSumm!N28</f>
        <v>30945.399999999998</v>
      </c>
      <c r="AJ269" s="783">
        <f>NewFinSumm!O28</f>
        <v>30945.399999999998</v>
      </c>
    </row>
    <row r="270" spans="1:36" x14ac:dyDescent="0.25">
      <c r="A270" s="750" t="s">
        <v>1487</v>
      </c>
      <c r="B270" s="737" t="str">
        <f t="shared" si="146"/>
        <v/>
      </c>
      <c r="C270" s="705" t="s">
        <v>1036</v>
      </c>
      <c r="D270" s="738" t="s">
        <v>1159</v>
      </c>
      <c r="E270" s="782" t="s">
        <v>951</v>
      </c>
      <c r="F270" s="705" t="s">
        <v>605</v>
      </c>
      <c r="G270" s="705" t="str">
        <f t="shared" si="147"/>
        <v>Net working capital</v>
      </c>
      <c r="Q270" s="783"/>
      <c r="R270" s="783"/>
      <c r="S270" s="783"/>
      <c r="T270" s="783"/>
      <c r="U270" s="783"/>
      <c r="V270" s="783"/>
      <c r="W270" s="783"/>
      <c r="X270" s="783">
        <f>NewFinSumm!C29</f>
        <v>1884.5139999999999</v>
      </c>
      <c r="Y270" s="783">
        <f>NewFinSumm!D29</f>
        <v>4591.2129999999997</v>
      </c>
      <c r="Z270" s="783">
        <f>NewFinSumm!E29</f>
        <v>5474.7359999999999</v>
      </c>
      <c r="AA270" s="783">
        <f>NewFinSumm!F29</f>
        <v>3658.0400000000004</v>
      </c>
      <c r="AB270" s="783">
        <f>NewFinSumm!G29</f>
        <v>4119.6000000000004</v>
      </c>
      <c r="AC270" s="783">
        <f>NewFinSumm!H29</f>
        <v>2029.4699999999998</v>
      </c>
      <c r="AD270" s="783">
        <f>NewFinSumm!I29</f>
        <v>4323.0999999999995</v>
      </c>
      <c r="AE270" s="783">
        <f>NewFinSumm!J29</f>
        <v>5934.6999999999989</v>
      </c>
      <c r="AF270" s="783">
        <f>NewFinSumm!K29</f>
        <v>8308.2999999999993</v>
      </c>
      <c r="AG270" s="783">
        <f ca="1">NewFinSumm!L29</f>
        <v>10771.42211241203</v>
      </c>
      <c r="AH270" s="783">
        <f ca="1">NewFinSumm!M29</f>
        <v>15327.360853766697</v>
      </c>
      <c r="AI270" s="783">
        <f ca="1">NewFinSumm!N29</f>
        <v>17502.929195030229</v>
      </c>
      <c r="AJ270" s="783">
        <f ca="1">NewFinSumm!O29</f>
        <v>20861.38251362335</v>
      </c>
    </row>
    <row r="271" spans="1:36" x14ac:dyDescent="0.25">
      <c r="A271" s="748" t="s">
        <v>1488</v>
      </c>
      <c r="B271" s="737" t="str">
        <f t="shared" si="146"/>
        <v/>
      </c>
      <c r="C271" s="705" t="s">
        <v>1036</v>
      </c>
      <c r="D271" s="738" t="s">
        <v>1159</v>
      </c>
      <c r="E271" s="784" t="s">
        <v>952</v>
      </c>
      <c r="F271" s="705" t="s">
        <v>605</v>
      </c>
      <c r="G271" s="705" t="str">
        <f t="shared" si="147"/>
        <v>Total assets</v>
      </c>
      <c r="Q271" s="783"/>
      <c r="R271" s="783"/>
      <c r="S271" s="783"/>
      <c r="T271" s="783"/>
      <c r="U271" s="783"/>
      <c r="V271" s="783"/>
      <c r="W271" s="783"/>
      <c r="X271" s="783">
        <f>NewFinSumm!C30</f>
        <v>51031.15</v>
      </c>
      <c r="Y271" s="783">
        <f>NewFinSumm!D30</f>
        <v>58204.312999999995</v>
      </c>
      <c r="Z271" s="783">
        <f>NewFinSumm!E30</f>
        <v>67800.107000000004</v>
      </c>
      <c r="AA271" s="783">
        <f>NewFinSumm!F30</f>
        <v>80394.13</v>
      </c>
      <c r="AB271" s="783">
        <f>NewFinSumm!G30</f>
        <v>91546.762999999992</v>
      </c>
      <c r="AC271" s="783">
        <f>NewFinSumm!H30</f>
        <v>91490.727000000014</v>
      </c>
      <c r="AD271" s="783">
        <f>NewFinSumm!I30</f>
        <v>134713.29999999999</v>
      </c>
      <c r="AE271" s="783">
        <f>NewFinSumm!J30</f>
        <v>165791.30000000005</v>
      </c>
      <c r="AF271" s="783">
        <f>NewFinSumm!K30</f>
        <v>199839.59999999998</v>
      </c>
      <c r="AG271" s="783">
        <f ca="1">NewFinSumm!L30</f>
        <v>320285.21232251107</v>
      </c>
      <c r="AH271" s="783">
        <f ca="1">NewFinSumm!M30</f>
        <v>371366.55834060756</v>
      </c>
      <c r="AI271" s="783">
        <f ca="1">NewFinSumm!N30</f>
        <v>397544.48974714766</v>
      </c>
      <c r="AJ271" s="783">
        <f ca="1">NewFinSumm!O30</f>
        <v>439591.01027485233</v>
      </c>
    </row>
    <row r="272" spans="1:36" x14ac:dyDescent="0.25">
      <c r="A272" s="750" t="s">
        <v>1489</v>
      </c>
      <c r="B272" s="737" t="str">
        <f t="shared" si="146"/>
        <v/>
      </c>
      <c r="C272" s="705" t="s">
        <v>1036</v>
      </c>
      <c r="D272" s="738" t="s">
        <v>1159</v>
      </c>
      <c r="E272" s="782" t="s">
        <v>959</v>
      </c>
      <c r="F272" s="705" t="s">
        <v>605</v>
      </c>
      <c r="G272" s="705" t="str">
        <f t="shared" si="147"/>
        <v>Free cashflows (post interest costs)</v>
      </c>
      <c r="Q272" s="783"/>
      <c r="R272" s="783"/>
      <c r="S272" s="783"/>
      <c r="T272" s="783"/>
      <c r="U272" s="783"/>
      <c r="V272" s="783"/>
      <c r="W272" s="783"/>
      <c r="X272" s="783">
        <f>NewFinSumm!C39</f>
        <v>-4573.6640000000007</v>
      </c>
      <c r="Y272" s="783">
        <f>NewFinSumm!D39</f>
        <v>-3460.1040000000007</v>
      </c>
      <c r="Z272" s="783">
        <f>NewFinSumm!E39</f>
        <v>-6306.891999999998</v>
      </c>
      <c r="AA272" s="783">
        <f>NewFinSumm!F39</f>
        <v>-9573.6600000000017</v>
      </c>
      <c r="AB272" s="783">
        <f>NewFinSumm!G39</f>
        <v>3050.8700000000008</v>
      </c>
      <c r="AC272" s="783">
        <f>NewFinSumm!H39</f>
        <v>12451.799999999997</v>
      </c>
      <c r="AD272" s="783">
        <f>NewFinSumm!I39</f>
        <v>-5158.399999999996</v>
      </c>
      <c r="AE272" s="783">
        <f>NewFinSumm!J39</f>
        <v>-12460.400000000009</v>
      </c>
      <c r="AF272" s="783">
        <f>NewFinSumm!K39</f>
        <v>-7971.0999999999976</v>
      </c>
      <c r="AG272" s="783">
        <f ca="1">NewFinSumm!L39</f>
        <v>-50977.037977261643</v>
      </c>
      <c r="AH272" s="783">
        <f ca="1">NewFinSumm!M39</f>
        <v>-57170.194733887722</v>
      </c>
      <c r="AI272" s="783">
        <f ca="1">NewFinSumm!N39</f>
        <v>-39729.013844349822</v>
      </c>
      <c r="AJ272" s="783">
        <f ca="1">NewFinSumm!O39</f>
        <v>-17218.394066099838</v>
      </c>
    </row>
    <row r="273" spans="1:36" x14ac:dyDescent="0.25">
      <c r="A273" s="750" t="s">
        <v>1490</v>
      </c>
      <c r="B273" s="737" t="str">
        <f t="shared" si="146"/>
        <v/>
      </c>
      <c r="C273" s="705" t="s">
        <v>1036</v>
      </c>
      <c r="D273" s="738" t="s">
        <v>1159</v>
      </c>
      <c r="E273" s="782" t="s">
        <v>962</v>
      </c>
      <c r="F273" s="705" t="s">
        <v>605</v>
      </c>
      <c r="G273" s="705" t="str">
        <f t="shared" si="147"/>
        <v>Total cash &amp; liquid investments</v>
      </c>
      <c r="Q273" s="783"/>
      <c r="R273" s="783"/>
      <c r="S273" s="783"/>
      <c r="T273" s="783"/>
      <c r="U273" s="783"/>
      <c r="V273" s="783"/>
      <c r="W273" s="783"/>
      <c r="X273" s="783">
        <f>NewFinSumm!C42</f>
        <v>3568.2580000000003</v>
      </c>
      <c r="Y273" s="783">
        <f>NewFinSumm!D42</f>
        <v>3315.2599999999998</v>
      </c>
      <c r="Z273" s="783">
        <f>NewFinSumm!E42</f>
        <v>2300.4769999999999</v>
      </c>
      <c r="AA273" s="783">
        <f>NewFinSumm!F42</f>
        <v>2648.4</v>
      </c>
      <c r="AB273" s="783">
        <f>NewFinSumm!G42</f>
        <v>10382.349999999999</v>
      </c>
      <c r="AC273" s="783">
        <f>NewFinSumm!H42</f>
        <v>19361.34</v>
      </c>
      <c r="AD273" s="783">
        <f>NewFinSumm!I42</f>
        <v>43100.600000000006</v>
      </c>
      <c r="AE273" s="783">
        <f>NewFinSumm!J42</f>
        <v>26418.5</v>
      </c>
      <c r="AF273" s="783">
        <f>NewFinSumm!K42</f>
        <v>23197.1</v>
      </c>
      <c r="AG273" s="783">
        <f ca="1">NewFinSumm!L42</f>
        <v>76244.956098292343</v>
      </c>
      <c r="AH273" s="783">
        <f ca="1">NewFinSumm!M42</f>
        <v>46168.922469053992</v>
      </c>
      <c r="AI273" s="783">
        <f ca="1">NewFinSumm!N42</f>
        <v>7412.9163061532254</v>
      </c>
      <c r="AJ273" s="783">
        <f ca="1">NewFinSumm!O42</f>
        <v>3330.1258362289777</v>
      </c>
    </row>
    <row r="274" spans="1:36" x14ac:dyDescent="0.25">
      <c r="A274" s="703" t="s">
        <v>1491</v>
      </c>
      <c r="B274" s="737" t="str">
        <f t="shared" si="146"/>
        <v/>
      </c>
      <c r="C274" s="705" t="s">
        <v>1036</v>
      </c>
      <c r="D274" s="738" t="s">
        <v>1159</v>
      </c>
      <c r="E274" s="739" t="s">
        <v>1492</v>
      </c>
      <c r="F274" s="705" t="s">
        <v>605</v>
      </c>
      <c r="G274" s="705" t="str">
        <f t="shared" si="147"/>
        <v>Assumption 48</v>
      </c>
    </row>
    <row r="275" spans="1:36" x14ac:dyDescent="0.25">
      <c r="A275" s="703" t="s">
        <v>1493</v>
      </c>
      <c r="B275" s="737" t="str">
        <f t="shared" si="146"/>
        <v/>
      </c>
      <c r="C275" s="705" t="s">
        <v>1036</v>
      </c>
      <c r="D275" s="738" t="s">
        <v>1159</v>
      </c>
      <c r="E275" s="739" t="s">
        <v>1494</v>
      </c>
      <c r="F275" s="705" t="s">
        <v>605</v>
      </c>
      <c r="G275" s="705" t="str">
        <f t="shared" si="147"/>
        <v>Assumption 49</v>
      </c>
    </row>
    <row r="276" spans="1:36" x14ac:dyDescent="0.25">
      <c r="A276" s="750" t="s">
        <v>1495</v>
      </c>
      <c r="B276" s="737" t="str">
        <f t="shared" si="146"/>
        <v/>
      </c>
      <c r="C276" s="705" t="s">
        <v>1036</v>
      </c>
      <c r="D276" s="738" t="s">
        <v>1159</v>
      </c>
      <c r="E276" s="785" t="s">
        <v>1496</v>
      </c>
      <c r="F276" s="705" t="s">
        <v>605</v>
      </c>
      <c r="G276" s="705" t="str">
        <f t="shared" si="147"/>
        <v>Target Multiple</v>
      </c>
      <c r="AB276" s="783"/>
      <c r="AC276" s="783"/>
      <c r="AD276" s="783"/>
      <c r="AE276" s="783"/>
      <c r="AF276" s="783"/>
      <c r="AG276" s="783"/>
      <c r="AH276" s="783"/>
      <c r="AI276" s="783"/>
      <c r="AJ276" s="783"/>
    </row>
    <row r="279" spans="1:36" x14ac:dyDescent="0.25">
      <c r="AG279" s="786"/>
      <c r="AH279" s="786"/>
      <c r="AI279" s="786"/>
      <c r="AJ279" s="786"/>
    </row>
  </sheetData>
  <conditionalFormatting sqref="B38:B39">
    <cfRule type="cellIs" dxfId="87" priority="44" operator="equal">
      <formula>1</formula>
    </cfRule>
  </conditionalFormatting>
  <conditionalFormatting sqref="B41:B42">
    <cfRule type="cellIs" dxfId="86" priority="43" operator="equal">
      <formula>1</formula>
    </cfRule>
  </conditionalFormatting>
  <conditionalFormatting sqref="B44:B45">
    <cfRule type="cellIs" dxfId="85" priority="42" operator="equal">
      <formula>1</formula>
    </cfRule>
  </conditionalFormatting>
  <conditionalFormatting sqref="B47:B56">
    <cfRule type="cellIs" dxfId="84" priority="41" operator="equal">
      <formula>1</formula>
    </cfRule>
  </conditionalFormatting>
  <conditionalFormatting sqref="B59:B137">
    <cfRule type="cellIs" dxfId="83" priority="1" operator="equal">
      <formula>1</formula>
    </cfRule>
  </conditionalFormatting>
  <conditionalFormatting sqref="B139:B143">
    <cfRule type="cellIs" dxfId="82" priority="40" operator="equal">
      <formula>1</formula>
    </cfRule>
  </conditionalFormatting>
  <conditionalFormatting sqref="B146:B147">
    <cfRule type="cellIs" dxfId="81" priority="39" operator="equal">
      <formula>1</formula>
    </cfRule>
  </conditionalFormatting>
  <conditionalFormatting sqref="B149:B150">
    <cfRule type="cellIs" dxfId="80" priority="38" operator="equal">
      <formula>1</formula>
    </cfRule>
  </conditionalFormatting>
  <conditionalFormatting sqref="B153">
    <cfRule type="cellIs" dxfId="79" priority="37" operator="equal">
      <formula>1</formula>
    </cfRule>
  </conditionalFormatting>
  <conditionalFormatting sqref="B155:B161">
    <cfRule type="cellIs" dxfId="78" priority="36" operator="equal">
      <formula>1</formula>
    </cfRule>
  </conditionalFormatting>
  <conditionalFormatting sqref="B163">
    <cfRule type="cellIs" dxfId="77" priority="35" operator="equal">
      <formula>1</formula>
    </cfRule>
  </conditionalFormatting>
  <conditionalFormatting sqref="B200:B201">
    <cfRule type="cellIs" dxfId="76" priority="34" operator="equal">
      <formula>1</formula>
    </cfRule>
  </conditionalFormatting>
  <conditionalFormatting sqref="B227:B276">
    <cfRule type="cellIs" dxfId="75" priority="33" operator="equal">
      <formula>1</formula>
    </cfRule>
  </conditionalFormatting>
  <conditionalFormatting sqref="D1">
    <cfRule type="cellIs" dxfId="74" priority="31" operator="equal">
      <formula>"✓"</formula>
    </cfRule>
    <cfRule type="cellIs" dxfId="73" priority="32" operator="equal">
      <formula>"×"</formula>
    </cfRule>
  </conditionalFormatting>
  <conditionalFormatting sqref="D38:D39">
    <cfRule type="expression" dxfId="72" priority="29">
      <formula>B38=1</formula>
    </cfRule>
  </conditionalFormatting>
  <conditionalFormatting sqref="D41:D42">
    <cfRule type="expression" dxfId="71" priority="28">
      <formula>B41=1</formula>
    </cfRule>
  </conditionalFormatting>
  <conditionalFormatting sqref="D44:D45">
    <cfRule type="expression" dxfId="70" priority="27">
      <formula>B44=1</formula>
    </cfRule>
  </conditionalFormatting>
  <conditionalFormatting sqref="D47:D56">
    <cfRule type="expression" dxfId="69" priority="26">
      <formula>B47=1</formula>
    </cfRule>
  </conditionalFormatting>
  <conditionalFormatting sqref="D59:D60">
    <cfRule type="expression" dxfId="68" priority="25">
      <formula>B59=1</formula>
    </cfRule>
  </conditionalFormatting>
  <conditionalFormatting sqref="D63:D64">
    <cfRule type="expression" dxfId="67" priority="24">
      <formula>B63=1</formula>
    </cfRule>
  </conditionalFormatting>
  <conditionalFormatting sqref="D66:D67">
    <cfRule type="expression" dxfId="66" priority="23">
      <formula>B66=1</formula>
    </cfRule>
  </conditionalFormatting>
  <conditionalFormatting sqref="D70:D72">
    <cfRule type="expression" dxfId="65" priority="22">
      <formula>B70=1</formula>
    </cfRule>
  </conditionalFormatting>
  <conditionalFormatting sqref="D75:D77">
    <cfRule type="expression" dxfId="64" priority="21">
      <formula>B75=1</formula>
    </cfRule>
  </conditionalFormatting>
  <conditionalFormatting sqref="D80:D82">
    <cfRule type="expression" dxfId="63" priority="20">
      <formula>B80=1</formula>
    </cfRule>
  </conditionalFormatting>
  <conditionalFormatting sqref="D90:D94">
    <cfRule type="expression" dxfId="62" priority="19">
      <formula>B90=1</formula>
    </cfRule>
  </conditionalFormatting>
  <conditionalFormatting sqref="D96">
    <cfRule type="expression" dxfId="61" priority="18">
      <formula>B96=1</formula>
    </cfRule>
  </conditionalFormatting>
  <conditionalFormatting sqref="D99:D104">
    <cfRule type="expression" dxfId="60" priority="17">
      <formula>B99=1</formula>
    </cfRule>
  </conditionalFormatting>
  <conditionalFormatting sqref="D108:D109">
    <cfRule type="expression" dxfId="59" priority="16">
      <formula>B108=1</formula>
    </cfRule>
  </conditionalFormatting>
  <conditionalFormatting sqref="D111">
    <cfRule type="expression" dxfId="58" priority="15">
      <formula>B111=1</formula>
    </cfRule>
  </conditionalFormatting>
  <conditionalFormatting sqref="D113">
    <cfRule type="expression" dxfId="57" priority="14">
      <formula>B113=1</formula>
    </cfRule>
  </conditionalFormatting>
  <conditionalFormatting sqref="D115:D116">
    <cfRule type="expression" dxfId="56" priority="13">
      <formula>B115=1</formula>
    </cfRule>
  </conditionalFormatting>
  <conditionalFormatting sqref="D118:D121">
    <cfRule type="expression" dxfId="55" priority="12">
      <formula>B118=1</formula>
    </cfRule>
  </conditionalFormatting>
  <conditionalFormatting sqref="D123:D127">
    <cfRule type="expression" dxfId="54" priority="11">
      <formula>B123=1</formula>
    </cfRule>
  </conditionalFormatting>
  <conditionalFormatting sqref="D129:D131">
    <cfRule type="expression" dxfId="53" priority="10">
      <formula>B129=1</formula>
    </cfRule>
  </conditionalFormatting>
  <conditionalFormatting sqref="D133:D134">
    <cfRule type="expression" dxfId="52" priority="9">
      <formula>B133=1</formula>
    </cfRule>
  </conditionalFormatting>
  <conditionalFormatting sqref="D139:D143">
    <cfRule type="expression" dxfId="51" priority="8">
      <formula>B139=1</formula>
    </cfRule>
  </conditionalFormatting>
  <conditionalFormatting sqref="D146:D147">
    <cfRule type="expression" dxfId="50" priority="7">
      <formula>B146=1</formula>
    </cfRule>
  </conditionalFormatting>
  <conditionalFormatting sqref="D149:D150">
    <cfRule type="expression" dxfId="49" priority="6">
      <formula>B149=1</formula>
    </cfRule>
  </conditionalFormatting>
  <conditionalFormatting sqref="D153">
    <cfRule type="expression" dxfId="48" priority="4">
      <formula>B153=1</formula>
    </cfRule>
  </conditionalFormatting>
  <conditionalFormatting sqref="D155:D161">
    <cfRule type="expression" dxfId="47" priority="5">
      <formula>B155=1</formula>
    </cfRule>
  </conditionalFormatting>
  <conditionalFormatting sqref="D163">
    <cfRule type="expression" dxfId="46" priority="3">
      <formula>B163=1</formula>
    </cfRule>
  </conditionalFormatting>
  <conditionalFormatting sqref="D200:D201">
    <cfRule type="expression" dxfId="45" priority="2">
      <formula>B200=1</formula>
    </cfRule>
  </conditionalFormatting>
  <conditionalFormatting sqref="D227:D276">
    <cfRule type="expression" dxfId="44" priority="30">
      <formula>B227=1</formula>
    </cfRule>
  </conditionalFormatting>
  <dataValidations count="5">
    <dataValidation type="list" allowBlank="1" showInputMessage="1" showErrorMessage="1" sqref="D87:D105 D38:D82 D227:D276 D171:D175 D178:D184 D202:D224 D187:D192 D195:D197 D139:D167 D108:D137" xr:uid="{E8D4FB97-163C-4853-949F-859131BB2184}">
      <formula1>"+,-,±,●"</formula1>
    </dataValidation>
    <dataValidation type="list" allowBlank="1" showInputMessage="1" showErrorMessage="1" sqref="F37:F82 F178:F184 F7:F34 F171:F175 F187:F192 F195:F197 F227:F276 F87:F105 F108:F135 F201:F224 F139:F166" xr:uid="{DBB9311E-D2D9-45A8-A1BD-DE69FA3E7DCF}">
      <formula1>"th,mn,bn,tr,%,x,bps,days"</formula1>
    </dataValidation>
    <dataValidation type="list" allowBlank="1" showInputMessage="1" showErrorMessage="1" sqref="H2:AJ2" xr:uid="{A30A0D90-406F-4E54-855F-2BDAF56CDA1C}">
      <formula1>"A,E"</formula1>
    </dataValidation>
    <dataValidation type="list" allowBlank="1" showInputMessage="1" showErrorMessage="1" sqref="C1:C34" xr:uid="{28316286-DBC4-40F9-89F2-FF3A8591B2E5}">
      <formula1>"Input,Calculated"</formula1>
    </dataValidation>
    <dataValidation type="list" allowBlank="1" showInputMessage="1" showErrorMessage="1" sqref="G13" xr:uid="{C7EC94A1-128A-4134-B38D-4AE82E56CA0B}">
      <formula1>"BUY,SELL,ADD,REDUCE"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A336-B03D-4E0B-BBDF-86CAB41A17A3}">
  <dimension ref="A1:BB283"/>
  <sheetViews>
    <sheetView workbookViewId="0">
      <pane xSplit="7" ySplit="2" topLeftCell="H3" activePane="bottomRight" state="frozen"/>
      <selection pane="topRight" activeCell="H1" sqref="H1"/>
      <selection pane="bottomLeft" activeCell="A3" sqref="A3"/>
      <selection pane="bottomRight" activeCell="AT20" sqref="AT20"/>
    </sheetView>
  </sheetViews>
  <sheetFormatPr defaultColWidth="8.7109375" defaultRowHeight="15" outlineLevelRow="1" x14ac:dyDescent="0.25"/>
  <cols>
    <col min="1" max="1" width="21.28515625" style="703" bestFit="1" customWidth="1"/>
    <col min="2" max="2" width="2.7109375" style="704" customWidth="1"/>
    <col min="3" max="3" width="10.7109375" style="705" bestFit="1" customWidth="1"/>
    <col min="4" max="4" width="2.28515625" style="705" bestFit="1" customWidth="1"/>
    <col min="5" max="5" width="29.28515625" style="739" bestFit="1" customWidth="1"/>
    <col min="6" max="6" width="6" style="705" bestFit="1" customWidth="1"/>
    <col min="7" max="7" width="22.28515625" style="705" bestFit="1" customWidth="1"/>
    <col min="8" max="26" width="9" style="705" hidden="1" customWidth="1"/>
    <col min="27" max="27" width="10.7109375" style="705" hidden="1" customWidth="1"/>
    <col min="28" max="28" width="11.28515625" style="705" hidden="1" customWidth="1"/>
    <col min="29" max="29" width="10.7109375" style="705" hidden="1" customWidth="1"/>
    <col min="30" max="31" width="10.28515625" style="705" hidden="1" customWidth="1"/>
    <col min="32" max="32" width="10" style="705" hidden="1" customWidth="1"/>
    <col min="33" max="39" width="0" style="705" hidden="1" customWidth="1"/>
    <col min="40" max="16384" width="8.7109375" style="705"/>
  </cols>
  <sheetData>
    <row r="1" spans="1:54" x14ac:dyDescent="0.25">
      <c r="C1" s="705" t="s">
        <v>1036</v>
      </c>
      <c r="D1" s="706" t="str">
        <f>IF(SUM(B3:B5023)=0,"✓","×")</f>
        <v>✓</v>
      </c>
      <c r="E1" s="707">
        <v>7</v>
      </c>
      <c r="H1" s="708">
        <v>41791</v>
      </c>
      <c r="I1" s="708">
        <f>EOMONTH(H1,2)+1</f>
        <v>41883</v>
      </c>
      <c r="J1" s="708">
        <f t="shared" ref="J1:BB1" si="0">EOMONTH(I1,2)+1</f>
        <v>41974</v>
      </c>
      <c r="K1" s="708">
        <f t="shared" si="0"/>
        <v>42064</v>
      </c>
      <c r="L1" s="708">
        <f t="shared" si="0"/>
        <v>42156</v>
      </c>
      <c r="M1" s="708">
        <f t="shared" si="0"/>
        <v>42248</v>
      </c>
      <c r="N1" s="708">
        <f t="shared" si="0"/>
        <v>42339</v>
      </c>
      <c r="O1" s="708">
        <f t="shared" si="0"/>
        <v>42430</v>
      </c>
      <c r="P1" s="708">
        <f t="shared" si="0"/>
        <v>42522</v>
      </c>
      <c r="Q1" s="708">
        <f t="shared" si="0"/>
        <v>42614</v>
      </c>
      <c r="R1" s="708">
        <f t="shared" si="0"/>
        <v>42705</v>
      </c>
      <c r="S1" s="708">
        <f t="shared" si="0"/>
        <v>42795</v>
      </c>
      <c r="T1" s="708">
        <f t="shared" si="0"/>
        <v>42887</v>
      </c>
      <c r="U1" s="708">
        <f t="shared" si="0"/>
        <v>42979</v>
      </c>
      <c r="V1" s="708">
        <f t="shared" si="0"/>
        <v>43070</v>
      </c>
      <c r="W1" s="708">
        <f t="shared" si="0"/>
        <v>43160</v>
      </c>
      <c r="X1" s="708">
        <f>EOMONTH(W1,2)+1</f>
        <v>43252</v>
      </c>
      <c r="Y1" s="708">
        <f t="shared" si="0"/>
        <v>43344</v>
      </c>
      <c r="Z1" s="708">
        <f t="shared" si="0"/>
        <v>43435</v>
      </c>
      <c r="AA1" s="708">
        <f t="shared" si="0"/>
        <v>43525</v>
      </c>
      <c r="AB1" s="708">
        <f t="shared" si="0"/>
        <v>43617</v>
      </c>
      <c r="AC1" s="708">
        <f t="shared" si="0"/>
        <v>43709</v>
      </c>
      <c r="AD1" s="708">
        <f t="shared" si="0"/>
        <v>43800</v>
      </c>
      <c r="AE1" s="708">
        <f t="shared" si="0"/>
        <v>43891</v>
      </c>
      <c r="AF1" s="708">
        <f t="shared" si="0"/>
        <v>43983</v>
      </c>
      <c r="AG1" s="708">
        <f t="shared" si="0"/>
        <v>44075</v>
      </c>
      <c r="AH1" s="708">
        <f t="shared" si="0"/>
        <v>44166</v>
      </c>
      <c r="AI1" s="708">
        <f t="shared" si="0"/>
        <v>44256</v>
      </c>
      <c r="AJ1" s="708">
        <f t="shared" si="0"/>
        <v>44348</v>
      </c>
      <c r="AK1" s="708">
        <f t="shared" si="0"/>
        <v>44440</v>
      </c>
      <c r="AL1" s="708">
        <f t="shared" si="0"/>
        <v>44531</v>
      </c>
      <c r="AM1" s="708">
        <f t="shared" si="0"/>
        <v>44621</v>
      </c>
      <c r="AN1" s="708">
        <f t="shared" si="0"/>
        <v>44713</v>
      </c>
      <c r="AO1" s="708">
        <f t="shared" si="0"/>
        <v>44805</v>
      </c>
      <c r="AP1" s="708">
        <f t="shared" si="0"/>
        <v>44896</v>
      </c>
      <c r="AQ1" s="708">
        <f t="shared" si="0"/>
        <v>44986</v>
      </c>
      <c r="AR1" s="708">
        <f t="shared" si="0"/>
        <v>45078</v>
      </c>
      <c r="AS1" s="708">
        <f t="shared" si="0"/>
        <v>45170</v>
      </c>
      <c r="AT1" s="708">
        <f t="shared" si="0"/>
        <v>45261</v>
      </c>
      <c r="AU1" s="708">
        <f t="shared" si="0"/>
        <v>45352</v>
      </c>
      <c r="AV1" s="708">
        <f t="shared" si="0"/>
        <v>45444</v>
      </c>
      <c r="AW1" s="708">
        <f t="shared" si="0"/>
        <v>45536</v>
      </c>
      <c r="AX1" s="708">
        <f t="shared" si="0"/>
        <v>45627</v>
      </c>
      <c r="AY1" s="708">
        <f t="shared" si="0"/>
        <v>45717</v>
      </c>
      <c r="AZ1" s="708">
        <f t="shared" si="0"/>
        <v>45809</v>
      </c>
      <c r="BA1" s="708">
        <f t="shared" si="0"/>
        <v>45901</v>
      </c>
      <c r="BB1" s="708">
        <f t="shared" si="0"/>
        <v>45992</v>
      </c>
    </row>
    <row r="2" spans="1:54" outlineLevel="1" x14ac:dyDescent="0.25">
      <c r="A2" s="709" t="s">
        <v>1037</v>
      </c>
      <c r="B2" s="710"/>
      <c r="C2" s="705" t="s">
        <v>1038</v>
      </c>
      <c r="D2" s="711"/>
      <c r="E2" s="712" t="s">
        <v>1039</v>
      </c>
      <c r="F2" s="712" t="s">
        <v>1040</v>
      </c>
      <c r="G2" s="712"/>
      <c r="H2" s="711" t="str">
        <f t="shared" ref="H2:AZ2" si="1">IF(H1&lt;=$G$21,"A","E")</f>
        <v>A</v>
      </c>
      <c r="I2" s="711" t="str">
        <f t="shared" si="1"/>
        <v>A</v>
      </c>
      <c r="J2" s="711" t="str">
        <f t="shared" si="1"/>
        <v>A</v>
      </c>
      <c r="K2" s="711" t="str">
        <f t="shared" si="1"/>
        <v>A</v>
      </c>
      <c r="L2" s="711" t="str">
        <f t="shared" si="1"/>
        <v>A</v>
      </c>
      <c r="M2" s="711" t="str">
        <f t="shared" si="1"/>
        <v>A</v>
      </c>
      <c r="N2" s="711" t="str">
        <f t="shared" si="1"/>
        <v>A</v>
      </c>
      <c r="O2" s="711" t="str">
        <f t="shared" si="1"/>
        <v>A</v>
      </c>
      <c r="P2" s="711" t="str">
        <f t="shared" si="1"/>
        <v>A</v>
      </c>
      <c r="Q2" s="711" t="str">
        <f t="shared" si="1"/>
        <v>A</v>
      </c>
      <c r="R2" s="711" t="str">
        <f t="shared" si="1"/>
        <v>A</v>
      </c>
      <c r="S2" s="711" t="str">
        <f t="shared" si="1"/>
        <v>A</v>
      </c>
      <c r="T2" s="711" t="str">
        <f t="shared" si="1"/>
        <v>A</v>
      </c>
      <c r="U2" s="711" t="str">
        <f t="shared" si="1"/>
        <v>A</v>
      </c>
      <c r="V2" s="711" t="str">
        <f t="shared" si="1"/>
        <v>A</v>
      </c>
      <c r="W2" s="711" t="str">
        <f t="shared" si="1"/>
        <v>A</v>
      </c>
      <c r="X2" s="711" t="str">
        <f t="shared" si="1"/>
        <v>A</v>
      </c>
      <c r="Y2" s="711" t="str">
        <f t="shared" si="1"/>
        <v>A</v>
      </c>
      <c r="Z2" s="711" t="str">
        <f t="shared" si="1"/>
        <v>A</v>
      </c>
      <c r="AA2" s="711" t="str">
        <f t="shared" si="1"/>
        <v>A</v>
      </c>
      <c r="AB2" s="711" t="str">
        <f t="shared" si="1"/>
        <v>A</v>
      </c>
      <c r="AC2" s="711" t="str">
        <f t="shared" si="1"/>
        <v>A</v>
      </c>
      <c r="AD2" s="711" t="str">
        <f t="shared" si="1"/>
        <v>A</v>
      </c>
      <c r="AE2" s="711" t="str">
        <f t="shared" si="1"/>
        <v>A</v>
      </c>
      <c r="AF2" s="711" t="str">
        <f t="shared" si="1"/>
        <v>A</v>
      </c>
      <c r="AG2" s="711" t="str">
        <f t="shared" si="1"/>
        <v>A</v>
      </c>
      <c r="AH2" s="711" t="str">
        <f t="shared" si="1"/>
        <v>A</v>
      </c>
      <c r="AI2" s="711" t="str">
        <f t="shared" si="1"/>
        <v>A</v>
      </c>
      <c r="AJ2" s="711" t="str">
        <f t="shared" si="1"/>
        <v>A</v>
      </c>
      <c r="AK2" s="711" t="str">
        <f t="shared" si="1"/>
        <v>A</v>
      </c>
      <c r="AL2" s="711" t="str">
        <f t="shared" si="1"/>
        <v>A</v>
      </c>
      <c r="AM2" s="711" t="str">
        <f t="shared" si="1"/>
        <v>A</v>
      </c>
      <c r="AN2" s="711" t="str">
        <f t="shared" si="1"/>
        <v>A</v>
      </c>
      <c r="AO2" s="711" t="str">
        <f t="shared" si="1"/>
        <v>A</v>
      </c>
      <c r="AP2" s="711" t="str">
        <f t="shared" si="1"/>
        <v>A</v>
      </c>
      <c r="AQ2" s="711" t="str">
        <f t="shared" si="1"/>
        <v>A</v>
      </c>
      <c r="AR2" s="711" t="str">
        <f t="shared" si="1"/>
        <v>A</v>
      </c>
      <c r="AS2" s="711" t="str">
        <f t="shared" si="1"/>
        <v>A</v>
      </c>
      <c r="AT2" s="711" t="str">
        <f t="shared" si="1"/>
        <v>A</v>
      </c>
      <c r="AU2" s="711" t="str">
        <f t="shared" si="1"/>
        <v>A</v>
      </c>
      <c r="AV2" s="711" t="str">
        <f t="shared" si="1"/>
        <v>A</v>
      </c>
      <c r="AW2" s="711" t="str">
        <f t="shared" si="1"/>
        <v>A</v>
      </c>
      <c r="AX2" s="711" t="str">
        <f t="shared" si="1"/>
        <v>A</v>
      </c>
      <c r="AY2" s="711" t="str">
        <f t="shared" si="1"/>
        <v>A</v>
      </c>
      <c r="AZ2" s="711" t="str">
        <f t="shared" si="1"/>
        <v>A</v>
      </c>
      <c r="BA2" s="711" t="s">
        <v>1827</v>
      </c>
      <c r="BB2" s="711" t="s">
        <v>1827</v>
      </c>
    </row>
    <row r="3" spans="1:54" outlineLevel="1" x14ac:dyDescent="0.25">
      <c r="C3" s="705" t="s">
        <v>1036</v>
      </c>
      <c r="D3" s="706"/>
      <c r="E3" s="707" t="s">
        <v>1041</v>
      </c>
      <c r="H3" s="706">
        <v>3</v>
      </c>
      <c r="I3" s="706">
        <v>3</v>
      </c>
      <c r="J3" s="706">
        <v>3</v>
      </c>
      <c r="K3" s="706">
        <v>3</v>
      </c>
      <c r="L3" s="706">
        <v>3</v>
      </c>
      <c r="M3" s="706">
        <v>3</v>
      </c>
      <c r="N3" s="706">
        <v>3</v>
      </c>
      <c r="O3" s="706">
        <v>3</v>
      </c>
      <c r="P3" s="706">
        <v>3</v>
      </c>
      <c r="Q3" s="706">
        <v>3</v>
      </c>
      <c r="R3" s="706">
        <v>3</v>
      </c>
      <c r="S3" s="706">
        <v>3</v>
      </c>
      <c r="T3" s="706">
        <v>3</v>
      </c>
      <c r="U3" s="706">
        <v>3</v>
      </c>
      <c r="V3" s="706">
        <v>3</v>
      </c>
      <c r="W3" s="706">
        <v>3</v>
      </c>
      <c r="X3" s="706">
        <v>3</v>
      </c>
      <c r="Y3" s="706">
        <v>3</v>
      </c>
      <c r="Z3" s="706">
        <v>3</v>
      </c>
      <c r="AA3" s="706">
        <v>3</v>
      </c>
      <c r="AB3" s="706">
        <v>3</v>
      </c>
      <c r="AC3" s="706">
        <v>3</v>
      </c>
      <c r="AD3" s="706">
        <v>3</v>
      </c>
      <c r="AE3" s="706">
        <v>3</v>
      </c>
      <c r="AF3" s="706">
        <v>3</v>
      </c>
      <c r="AG3" s="706">
        <v>3</v>
      </c>
      <c r="AH3" s="706">
        <v>3</v>
      </c>
      <c r="AI3" s="706">
        <v>3</v>
      </c>
      <c r="AJ3" s="706">
        <v>3</v>
      </c>
      <c r="AK3" s="706">
        <v>3</v>
      </c>
      <c r="AL3" s="706">
        <v>3</v>
      </c>
      <c r="AM3" s="706">
        <v>3</v>
      </c>
      <c r="AN3" s="706">
        <v>3</v>
      </c>
      <c r="AO3" s="706">
        <v>3</v>
      </c>
      <c r="AP3" s="706">
        <v>3</v>
      </c>
      <c r="AQ3" s="706">
        <v>3</v>
      </c>
      <c r="AR3" s="706">
        <v>3</v>
      </c>
      <c r="AS3" s="706">
        <v>3</v>
      </c>
      <c r="AT3" s="706">
        <v>3</v>
      </c>
      <c r="AU3" s="706">
        <v>3</v>
      </c>
      <c r="AV3" s="706">
        <v>3</v>
      </c>
      <c r="AW3" s="706">
        <v>3</v>
      </c>
      <c r="AX3" s="706">
        <v>3</v>
      </c>
      <c r="AY3" s="706">
        <v>3</v>
      </c>
      <c r="AZ3" s="706">
        <v>3</v>
      </c>
      <c r="BA3" s="706">
        <v>3</v>
      </c>
      <c r="BB3" s="706">
        <v>3</v>
      </c>
    </row>
    <row r="4" spans="1:54" outlineLevel="1" x14ac:dyDescent="0.25">
      <c r="C4" s="705" t="s">
        <v>1036</v>
      </c>
      <c r="D4" s="706"/>
      <c r="E4" s="707" t="s">
        <v>1042</v>
      </c>
      <c r="H4" s="706" t="s">
        <v>1828</v>
      </c>
      <c r="I4" s="706" t="s">
        <v>1828</v>
      </c>
      <c r="J4" s="706" t="s">
        <v>1828</v>
      </c>
      <c r="K4" s="706" t="s">
        <v>1828</v>
      </c>
      <c r="L4" s="706" t="s">
        <v>1828</v>
      </c>
      <c r="M4" s="706" t="s">
        <v>1828</v>
      </c>
      <c r="N4" s="706" t="s">
        <v>1828</v>
      </c>
      <c r="O4" s="706" t="s">
        <v>1828</v>
      </c>
      <c r="P4" s="706" t="s">
        <v>1828</v>
      </c>
      <c r="Q4" s="706" t="s">
        <v>1828</v>
      </c>
      <c r="R4" s="706" t="s">
        <v>1828</v>
      </c>
      <c r="S4" s="706" t="s">
        <v>1828</v>
      </c>
      <c r="T4" s="706" t="s">
        <v>1828</v>
      </c>
      <c r="U4" s="706" t="s">
        <v>1828</v>
      </c>
      <c r="V4" s="706" t="s">
        <v>1828</v>
      </c>
      <c r="W4" s="706" t="s">
        <v>1828</v>
      </c>
      <c r="X4" s="706" t="s">
        <v>1828</v>
      </c>
      <c r="Y4" s="706" t="s">
        <v>1828</v>
      </c>
      <c r="Z4" s="706" t="s">
        <v>1828</v>
      </c>
      <c r="AA4" s="706" t="s">
        <v>1828</v>
      </c>
      <c r="AB4" s="706" t="s">
        <v>1828</v>
      </c>
      <c r="AC4" s="706" t="s">
        <v>1828</v>
      </c>
      <c r="AD4" s="706" t="s">
        <v>1828</v>
      </c>
      <c r="AE4" s="706" t="s">
        <v>1828</v>
      </c>
      <c r="AF4" s="706" t="s">
        <v>1828</v>
      </c>
      <c r="AG4" s="706" t="s">
        <v>1828</v>
      </c>
      <c r="AH4" s="706" t="s">
        <v>1828</v>
      </c>
      <c r="AI4" s="706" t="s">
        <v>1828</v>
      </c>
      <c r="AJ4" s="706" t="s">
        <v>1828</v>
      </c>
      <c r="AK4" s="706" t="s">
        <v>1828</v>
      </c>
      <c r="AL4" s="706" t="s">
        <v>1828</v>
      </c>
      <c r="AM4" s="706" t="s">
        <v>1828</v>
      </c>
      <c r="AN4" s="706" t="s">
        <v>1828</v>
      </c>
      <c r="AO4" s="706" t="s">
        <v>1828</v>
      </c>
      <c r="AP4" s="706" t="s">
        <v>1828</v>
      </c>
      <c r="AQ4" s="706" t="s">
        <v>1828</v>
      </c>
      <c r="AR4" s="706" t="s">
        <v>1828</v>
      </c>
      <c r="AS4" s="706" t="s">
        <v>1828</v>
      </c>
      <c r="AT4" s="706" t="s">
        <v>1828</v>
      </c>
      <c r="AU4" s="706" t="s">
        <v>1828</v>
      </c>
      <c r="AV4" s="706" t="s">
        <v>1828</v>
      </c>
      <c r="AW4" s="706" t="s">
        <v>1828</v>
      </c>
      <c r="AX4" s="706" t="s">
        <v>1828</v>
      </c>
      <c r="AY4" s="706" t="s">
        <v>1828</v>
      </c>
      <c r="AZ4" s="706" t="s">
        <v>1828</v>
      </c>
      <c r="BA4" s="706" t="s">
        <v>1828</v>
      </c>
      <c r="BB4" s="706" t="s">
        <v>1828</v>
      </c>
    </row>
    <row r="5" spans="1:54" outlineLevel="1" x14ac:dyDescent="0.25">
      <c r="C5" s="705" t="s">
        <v>1036</v>
      </c>
      <c r="D5" s="706"/>
      <c r="E5" s="707" t="s">
        <v>1044</v>
      </c>
      <c r="H5" s="708">
        <f t="shared" ref="H5:BB5" si="2">H1</f>
        <v>41791</v>
      </c>
      <c r="I5" s="708">
        <f t="shared" si="2"/>
        <v>41883</v>
      </c>
      <c r="J5" s="708">
        <f t="shared" si="2"/>
        <v>41974</v>
      </c>
      <c r="K5" s="708">
        <f t="shared" si="2"/>
        <v>42064</v>
      </c>
      <c r="L5" s="708">
        <f t="shared" si="2"/>
        <v>42156</v>
      </c>
      <c r="M5" s="708">
        <f t="shared" si="2"/>
        <v>42248</v>
      </c>
      <c r="N5" s="708">
        <f t="shared" si="2"/>
        <v>42339</v>
      </c>
      <c r="O5" s="708">
        <f t="shared" si="2"/>
        <v>42430</v>
      </c>
      <c r="P5" s="708">
        <f t="shared" si="2"/>
        <v>42522</v>
      </c>
      <c r="Q5" s="708">
        <f t="shared" si="2"/>
        <v>42614</v>
      </c>
      <c r="R5" s="708">
        <f t="shared" si="2"/>
        <v>42705</v>
      </c>
      <c r="S5" s="708">
        <f t="shared" si="2"/>
        <v>42795</v>
      </c>
      <c r="T5" s="708">
        <f t="shared" si="2"/>
        <v>42887</v>
      </c>
      <c r="U5" s="708">
        <f t="shared" si="2"/>
        <v>42979</v>
      </c>
      <c r="V5" s="708">
        <f t="shared" si="2"/>
        <v>43070</v>
      </c>
      <c r="W5" s="708">
        <f t="shared" si="2"/>
        <v>43160</v>
      </c>
      <c r="X5" s="708">
        <f t="shared" si="2"/>
        <v>43252</v>
      </c>
      <c r="Y5" s="708">
        <f t="shared" si="2"/>
        <v>43344</v>
      </c>
      <c r="Z5" s="708">
        <f t="shared" si="2"/>
        <v>43435</v>
      </c>
      <c r="AA5" s="708">
        <f t="shared" si="2"/>
        <v>43525</v>
      </c>
      <c r="AB5" s="708">
        <f t="shared" si="2"/>
        <v>43617</v>
      </c>
      <c r="AC5" s="708">
        <f t="shared" si="2"/>
        <v>43709</v>
      </c>
      <c r="AD5" s="708">
        <f t="shared" si="2"/>
        <v>43800</v>
      </c>
      <c r="AE5" s="708">
        <f t="shared" si="2"/>
        <v>43891</v>
      </c>
      <c r="AF5" s="708">
        <f t="shared" si="2"/>
        <v>43983</v>
      </c>
      <c r="AG5" s="708">
        <f t="shared" si="2"/>
        <v>44075</v>
      </c>
      <c r="AH5" s="708">
        <f t="shared" si="2"/>
        <v>44166</v>
      </c>
      <c r="AI5" s="708">
        <f t="shared" si="2"/>
        <v>44256</v>
      </c>
      <c r="AJ5" s="708">
        <f t="shared" si="2"/>
        <v>44348</v>
      </c>
      <c r="AK5" s="708">
        <f t="shared" si="2"/>
        <v>44440</v>
      </c>
      <c r="AL5" s="708">
        <f t="shared" si="2"/>
        <v>44531</v>
      </c>
      <c r="AM5" s="708">
        <f t="shared" si="2"/>
        <v>44621</v>
      </c>
      <c r="AN5" s="708">
        <f t="shared" si="2"/>
        <v>44713</v>
      </c>
      <c r="AO5" s="708">
        <f t="shared" si="2"/>
        <v>44805</v>
      </c>
      <c r="AP5" s="708">
        <f t="shared" si="2"/>
        <v>44896</v>
      </c>
      <c r="AQ5" s="708">
        <f t="shared" si="2"/>
        <v>44986</v>
      </c>
      <c r="AR5" s="708">
        <f t="shared" si="2"/>
        <v>45078</v>
      </c>
      <c r="AS5" s="708">
        <f t="shared" si="2"/>
        <v>45170</v>
      </c>
      <c r="AT5" s="708">
        <f t="shared" si="2"/>
        <v>45261</v>
      </c>
      <c r="AU5" s="708">
        <f t="shared" si="2"/>
        <v>45352</v>
      </c>
      <c r="AV5" s="708">
        <f t="shared" si="2"/>
        <v>45444</v>
      </c>
      <c r="AW5" s="708">
        <f t="shared" si="2"/>
        <v>45536</v>
      </c>
      <c r="AX5" s="708">
        <f t="shared" si="2"/>
        <v>45627</v>
      </c>
      <c r="AY5" s="708">
        <f t="shared" si="2"/>
        <v>45717</v>
      </c>
      <c r="AZ5" s="708">
        <f t="shared" si="2"/>
        <v>45809</v>
      </c>
      <c r="BA5" s="708">
        <f t="shared" si="2"/>
        <v>45901</v>
      </c>
      <c r="BB5" s="708">
        <f t="shared" si="2"/>
        <v>45992</v>
      </c>
    </row>
    <row r="6" spans="1:54" x14ac:dyDescent="0.25">
      <c r="A6" s="713"/>
      <c r="B6" s="710"/>
      <c r="C6" s="705" t="s">
        <v>1038</v>
      </c>
      <c r="D6" s="711"/>
      <c r="E6" s="714" t="s">
        <v>1045</v>
      </c>
      <c r="F6" s="714"/>
      <c r="G6" s="714"/>
      <c r="H6" s="715" t="str">
        <f>_xlfn.CONCAT((IF(MONTH(H1)=3,4,IF(MONTH(H1)=6,1,IF(MONTH(H1)=9,2,3)))),"Q",IF(MONTH(H1)=12,"FY"&amp;TEXT(DATE(YEAR(H1)+1,1,1),"YY"),"FY"&amp;TEXT(DATE(YEAR(H1)+IF(MONTH(H1)&gt;=4,1,0),1,1),"YY"))&amp;H2)</f>
        <v>1QFY15A</v>
      </c>
      <c r="I6" s="715" t="str">
        <f>_xlfn.CONCAT((IF(MONTH(I1)=3,4,IF(MONTH(I1)=6,1,IF(MONTH(I1)=9,2,3)))),"Q",IF(MONTH(I1)=12,"FY"&amp;TEXT(DATE(YEAR(I1)+1,1,1),"YY"),"FY"&amp;TEXT(DATE(YEAR(I1)+IF(MONTH(I1)&gt;=4,1,0),1,1),"YY"))&amp;I2)</f>
        <v>2QFY15A</v>
      </c>
      <c r="J6" s="715" t="str">
        <f t="shared" ref="J6:BB6" si="3">_xlfn.CONCAT((IF(MONTH(J1)=3,4,IF(MONTH(J1)=6,1,IF(MONTH(J1)=9,2,3)))),"Q",IF(MONTH(J1)=12,"FY"&amp;TEXT(DATE(YEAR(J1)+1,1,1),"YY"),"FY"&amp;TEXT(DATE(YEAR(J1)+IF(MONTH(J1)&gt;=4,1,0),1,1),"YY"))&amp;J2)</f>
        <v>3QFY15A</v>
      </c>
      <c r="K6" s="715" t="str">
        <f t="shared" si="3"/>
        <v>4QFY15A</v>
      </c>
      <c r="L6" s="715" t="str">
        <f t="shared" si="3"/>
        <v>1QFY16A</v>
      </c>
      <c r="M6" s="715" t="str">
        <f t="shared" si="3"/>
        <v>2QFY16A</v>
      </c>
      <c r="N6" s="715" t="str">
        <f t="shared" si="3"/>
        <v>3QFY16A</v>
      </c>
      <c r="O6" s="715" t="str">
        <f t="shared" si="3"/>
        <v>4QFY16A</v>
      </c>
      <c r="P6" s="715" t="str">
        <f t="shared" si="3"/>
        <v>1QFY17A</v>
      </c>
      <c r="Q6" s="715" t="str">
        <f t="shared" si="3"/>
        <v>2QFY17A</v>
      </c>
      <c r="R6" s="715" t="str">
        <f t="shared" si="3"/>
        <v>3QFY17A</v>
      </c>
      <c r="S6" s="715" t="str">
        <f t="shared" si="3"/>
        <v>4QFY17A</v>
      </c>
      <c r="T6" s="715" t="str">
        <f t="shared" si="3"/>
        <v>1QFY18A</v>
      </c>
      <c r="U6" s="715" t="str">
        <f t="shared" si="3"/>
        <v>2QFY18A</v>
      </c>
      <c r="V6" s="715" t="str">
        <f t="shared" si="3"/>
        <v>3QFY18A</v>
      </c>
      <c r="W6" s="715" t="str">
        <f t="shared" si="3"/>
        <v>4QFY18A</v>
      </c>
      <c r="X6" s="715" t="str">
        <f t="shared" si="3"/>
        <v>1QFY19A</v>
      </c>
      <c r="Y6" s="715" t="str">
        <f t="shared" si="3"/>
        <v>2QFY19A</v>
      </c>
      <c r="Z6" s="715" t="str">
        <f t="shared" si="3"/>
        <v>3QFY19A</v>
      </c>
      <c r="AA6" s="715" t="str">
        <f t="shared" si="3"/>
        <v>4QFY19A</v>
      </c>
      <c r="AB6" s="715" t="str">
        <f t="shared" si="3"/>
        <v>1QFY20A</v>
      </c>
      <c r="AC6" s="715" t="str">
        <f t="shared" si="3"/>
        <v>2QFY20A</v>
      </c>
      <c r="AD6" s="715" t="str">
        <f t="shared" si="3"/>
        <v>3QFY20A</v>
      </c>
      <c r="AE6" s="715" t="str">
        <f t="shared" si="3"/>
        <v>4QFY20A</v>
      </c>
      <c r="AF6" s="715" t="str">
        <f t="shared" si="3"/>
        <v>1QFY21A</v>
      </c>
      <c r="AG6" s="715" t="str">
        <f t="shared" si="3"/>
        <v>2QFY21A</v>
      </c>
      <c r="AH6" s="715" t="str">
        <f t="shared" si="3"/>
        <v>3QFY21A</v>
      </c>
      <c r="AI6" s="715" t="str">
        <f t="shared" si="3"/>
        <v>4QFY21A</v>
      </c>
      <c r="AJ6" s="715" t="str">
        <f t="shared" si="3"/>
        <v>1QFY22A</v>
      </c>
      <c r="AK6" s="715" t="str">
        <f t="shared" si="3"/>
        <v>2QFY22A</v>
      </c>
      <c r="AL6" s="715" t="str">
        <f t="shared" si="3"/>
        <v>3QFY22A</v>
      </c>
      <c r="AM6" s="715" t="str">
        <f t="shared" si="3"/>
        <v>4QFY22A</v>
      </c>
      <c r="AN6" s="715" t="str">
        <f t="shared" si="3"/>
        <v>1QFY23A</v>
      </c>
      <c r="AO6" s="715" t="str">
        <f t="shared" si="3"/>
        <v>2QFY23A</v>
      </c>
      <c r="AP6" s="715" t="str">
        <f t="shared" si="3"/>
        <v>3QFY23A</v>
      </c>
      <c r="AQ6" s="715" t="str">
        <f t="shared" si="3"/>
        <v>4QFY23A</v>
      </c>
      <c r="AR6" s="715" t="str">
        <f t="shared" si="3"/>
        <v>1QFY24A</v>
      </c>
      <c r="AS6" s="715" t="str">
        <f t="shared" si="3"/>
        <v>2QFY24A</v>
      </c>
      <c r="AT6" s="715" t="str">
        <f t="shared" si="3"/>
        <v>3QFY24A</v>
      </c>
      <c r="AU6" s="715" t="str">
        <f t="shared" si="3"/>
        <v>4QFY24A</v>
      </c>
      <c r="AV6" s="715" t="str">
        <f t="shared" si="3"/>
        <v>1QFY25A</v>
      </c>
      <c r="AW6" s="715" t="str">
        <f t="shared" si="3"/>
        <v>2QFY25A</v>
      </c>
      <c r="AX6" s="715" t="str">
        <f t="shared" si="3"/>
        <v>3QFY25A</v>
      </c>
      <c r="AY6" s="715" t="str">
        <f t="shared" si="3"/>
        <v>4QFY25A</v>
      </c>
      <c r="AZ6" s="715" t="str">
        <f t="shared" si="3"/>
        <v>1QFY26A</v>
      </c>
      <c r="BA6" s="715" t="str">
        <f t="shared" si="3"/>
        <v>2QFY26A</v>
      </c>
      <c r="BB6" s="715" t="str">
        <f t="shared" si="3"/>
        <v>3QFY26A</v>
      </c>
    </row>
    <row r="7" spans="1:54" x14ac:dyDescent="0.25">
      <c r="A7" s="713" t="s">
        <v>1046</v>
      </c>
      <c r="B7" s="710"/>
      <c r="C7" s="705" t="s">
        <v>1038</v>
      </c>
      <c r="D7" s="711"/>
      <c r="E7" s="716" t="s">
        <v>1047</v>
      </c>
      <c r="F7" s="717"/>
      <c r="G7" s="718" t="s">
        <v>1545</v>
      </c>
      <c r="H7" s="719" t="s">
        <v>1048</v>
      </c>
    </row>
    <row r="8" spans="1:54" x14ac:dyDescent="0.25">
      <c r="A8" s="703" t="s">
        <v>1049</v>
      </c>
      <c r="C8" s="705" t="s">
        <v>1038</v>
      </c>
      <c r="D8" s="706"/>
      <c r="E8" s="720" t="s">
        <v>1050</v>
      </c>
      <c r="G8" s="721" t="s">
        <v>212</v>
      </c>
      <c r="H8" s="719" t="s">
        <v>1048</v>
      </c>
    </row>
    <row r="9" spans="1:54" x14ac:dyDescent="0.25">
      <c r="A9" s="713" t="s">
        <v>1051</v>
      </c>
      <c r="B9" s="710"/>
      <c r="C9" s="705" t="s">
        <v>1038</v>
      </c>
      <c r="D9" s="711"/>
      <c r="E9" s="720" t="s">
        <v>1052</v>
      </c>
      <c r="G9" s="721" t="s">
        <v>1053</v>
      </c>
      <c r="H9" s="719" t="s">
        <v>1048</v>
      </c>
    </row>
    <row r="10" spans="1:54" x14ac:dyDescent="0.25">
      <c r="A10" s="703" t="s">
        <v>1054</v>
      </c>
      <c r="C10" s="705" t="s">
        <v>1038</v>
      </c>
      <c r="D10" s="706"/>
      <c r="E10" s="720" t="s">
        <v>1055</v>
      </c>
      <c r="G10" s="721"/>
      <c r="H10" s="719" t="s">
        <v>1048</v>
      </c>
    </row>
    <row r="11" spans="1:54" x14ac:dyDescent="0.25">
      <c r="A11" s="703" t="s">
        <v>1056</v>
      </c>
      <c r="C11" s="705" t="s">
        <v>1038</v>
      </c>
      <c r="D11" s="706"/>
      <c r="E11" s="720" t="s">
        <v>1057</v>
      </c>
      <c r="G11" s="721"/>
      <c r="H11" s="719" t="s">
        <v>1048</v>
      </c>
    </row>
    <row r="12" spans="1:54" x14ac:dyDescent="0.25">
      <c r="A12" s="722" t="s">
        <v>1058</v>
      </c>
      <c r="C12" s="705" t="s">
        <v>1036</v>
      </c>
      <c r="D12" s="723"/>
      <c r="E12" s="724" t="s">
        <v>1059</v>
      </c>
      <c r="F12" s="707"/>
      <c r="G12" s="725" t="s">
        <v>1497</v>
      </c>
      <c r="H12" s="726" t="s">
        <v>1060</v>
      </c>
    </row>
    <row r="13" spans="1:54" x14ac:dyDescent="0.25">
      <c r="A13" s="722" t="s">
        <v>1061</v>
      </c>
      <c r="C13" s="705" t="s">
        <v>1036</v>
      </c>
      <c r="D13" s="723"/>
      <c r="E13" s="720" t="s">
        <v>1062</v>
      </c>
      <c r="G13" s="727" t="s">
        <v>1752</v>
      </c>
      <c r="H13" s="726" t="s">
        <v>1060</v>
      </c>
    </row>
    <row r="14" spans="1:54" x14ac:dyDescent="0.25">
      <c r="A14" s="703" t="s">
        <v>1063</v>
      </c>
      <c r="C14" s="705" t="s">
        <v>1038</v>
      </c>
      <c r="D14" s="706"/>
      <c r="E14" s="720" t="s">
        <v>1064</v>
      </c>
      <c r="G14" s="721"/>
      <c r="H14" s="719" t="s">
        <v>1048</v>
      </c>
    </row>
    <row r="15" spans="1:54" x14ac:dyDescent="0.25">
      <c r="A15" s="703" t="s">
        <v>1065</v>
      </c>
      <c r="C15" s="705" t="s">
        <v>1036</v>
      </c>
      <c r="D15" s="706"/>
      <c r="E15" s="720" t="s">
        <v>1066</v>
      </c>
      <c r="G15" s="721"/>
      <c r="H15" s="726" t="s">
        <v>1060</v>
      </c>
    </row>
    <row r="16" spans="1:54" x14ac:dyDescent="0.25">
      <c r="A16" s="703" t="s">
        <v>1067</v>
      </c>
      <c r="C16" s="705" t="s">
        <v>1038</v>
      </c>
      <c r="D16" s="706"/>
      <c r="E16" s="720" t="s">
        <v>1068</v>
      </c>
      <c r="F16" s="705" t="s">
        <v>477</v>
      </c>
      <c r="G16" s="721"/>
      <c r="H16" s="719" t="s">
        <v>1048</v>
      </c>
    </row>
    <row r="17" spans="1:8" x14ac:dyDescent="0.25">
      <c r="A17" s="713" t="s">
        <v>1069</v>
      </c>
      <c r="B17" s="710"/>
      <c r="C17" s="705" t="s">
        <v>1038</v>
      </c>
      <c r="D17" s="711"/>
      <c r="E17" s="720" t="s">
        <v>1070</v>
      </c>
      <c r="G17" s="728">
        <v>310</v>
      </c>
      <c r="H17" s="719" t="s">
        <v>1048</v>
      </c>
    </row>
    <row r="18" spans="1:8" x14ac:dyDescent="0.25">
      <c r="A18" s="713" t="s">
        <v>1071</v>
      </c>
      <c r="B18" s="710"/>
      <c r="C18" s="705" t="s">
        <v>1038</v>
      </c>
      <c r="D18" s="711"/>
      <c r="E18" s="720" t="s">
        <v>1072</v>
      </c>
      <c r="G18" s="729">
        <v>46038</v>
      </c>
      <c r="H18" s="719" t="s">
        <v>1048</v>
      </c>
    </row>
    <row r="19" spans="1:8" x14ac:dyDescent="0.25">
      <c r="A19" s="722" t="s">
        <v>1073</v>
      </c>
      <c r="C19" s="705" t="s">
        <v>1036</v>
      </c>
      <c r="D19" s="723"/>
      <c r="E19" s="720" t="s">
        <v>1074</v>
      </c>
      <c r="G19" s="730">
        <v>290</v>
      </c>
      <c r="H19" s="726" t="s">
        <v>1060</v>
      </c>
    </row>
    <row r="20" spans="1:8" x14ac:dyDescent="0.25">
      <c r="A20" s="703" t="s">
        <v>1075</v>
      </c>
      <c r="C20" s="705" t="s">
        <v>1036</v>
      </c>
      <c r="D20" s="706"/>
      <c r="E20" s="720" t="s">
        <v>1076</v>
      </c>
      <c r="F20" s="705" t="s">
        <v>1077</v>
      </c>
      <c r="G20" s="731" cm="1">
        <f t="array" ref="G20">_xll.EQUIDATA($G$12,$A20,"private")</f>
        <v>2100.001953125</v>
      </c>
      <c r="H20" s="726" t="s">
        <v>1060</v>
      </c>
    </row>
    <row r="21" spans="1:8" x14ac:dyDescent="0.25">
      <c r="A21" s="722" t="s">
        <v>1078</v>
      </c>
      <c r="C21" s="705" t="s">
        <v>1036</v>
      </c>
      <c r="D21" s="723"/>
      <c r="E21" s="720" t="s">
        <v>1079</v>
      </c>
      <c r="G21" s="732">
        <v>45930</v>
      </c>
      <c r="H21" s="726" t="s">
        <v>1060</v>
      </c>
    </row>
    <row r="22" spans="1:8" x14ac:dyDescent="0.25">
      <c r="A22" s="722" t="s">
        <v>1080</v>
      </c>
      <c r="C22" s="705" t="s">
        <v>1036</v>
      </c>
      <c r="D22" s="723"/>
      <c r="E22" s="720" t="s">
        <v>1081</v>
      </c>
      <c r="G22" s="721"/>
      <c r="H22" s="726" t="s">
        <v>1060</v>
      </c>
    </row>
    <row r="23" spans="1:8" x14ac:dyDescent="0.25">
      <c r="A23" s="722" t="s">
        <v>1082</v>
      </c>
      <c r="C23" s="705" t="s">
        <v>1036</v>
      </c>
      <c r="D23" s="723"/>
      <c r="E23" s="720" t="s">
        <v>1083</v>
      </c>
      <c r="G23" s="721"/>
      <c r="H23" s="726" t="s">
        <v>1060</v>
      </c>
    </row>
    <row r="24" spans="1:8" x14ac:dyDescent="0.25">
      <c r="A24" s="703" t="s">
        <v>1084</v>
      </c>
      <c r="C24" s="705" t="s">
        <v>1038</v>
      </c>
      <c r="D24" s="706"/>
      <c r="E24" s="720" t="s">
        <v>1085</v>
      </c>
      <c r="G24" s="721"/>
      <c r="H24" s="719" t="s">
        <v>1048</v>
      </c>
    </row>
    <row r="25" spans="1:8" x14ac:dyDescent="0.25">
      <c r="A25" s="703" t="s">
        <v>1086</v>
      </c>
      <c r="C25" s="705" t="s">
        <v>1038</v>
      </c>
      <c r="D25" s="706"/>
      <c r="E25" s="720" t="s">
        <v>1087</v>
      </c>
      <c r="G25" s="731"/>
      <c r="H25" s="719" t="s">
        <v>1048</v>
      </c>
    </row>
    <row r="26" spans="1:8" x14ac:dyDescent="0.25">
      <c r="A26" s="703" t="s">
        <v>1088</v>
      </c>
      <c r="C26" s="705" t="s">
        <v>1038</v>
      </c>
      <c r="D26" s="706"/>
      <c r="E26" s="720" t="s">
        <v>1089</v>
      </c>
      <c r="G26" s="731" cm="1">
        <f t="array" ref="G26">_xll.EQUIDATA($G$12,$A26,"private")</f>
        <v>349</v>
      </c>
      <c r="H26" s="719" t="s">
        <v>1048</v>
      </c>
    </row>
    <row r="27" spans="1:8" x14ac:dyDescent="0.25">
      <c r="A27" s="703" t="s">
        <v>1090</v>
      </c>
      <c r="C27" s="705" t="s">
        <v>1038</v>
      </c>
      <c r="D27" s="706"/>
      <c r="E27" s="720" t="s">
        <v>1091</v>
      </c>
      <c r="G27" s="731" cm="1">
        <f t="array" ref="G27">_xll.EQUIDATA($G$12,$A27,"private")</f>
        <v>233.41999816894531</v>
      </c>
      <c r="H27" s="719" t="s">
        <v>1048</v>
      </c>
    </row>
    <row r="28" spans="1:8" x14ac:dyDescent="0.25">
      <c r="A28" s="703" t="s">
        <v>1092</v>
      </c>
      <c r="C28" s="705" t="s">
        <v>1038</v>
      </c>
      <c r="D28" s="706"/>
      <c r="E28" s="720" t="s">
        <v>1093</v>
      </c>
      <c r="G28" s="728">
        <f ca="1">NewFinSumm!I76</f>
        <v>731745</v>
      </c>
      <c r="H28" s="719" t="s">
        <v>1048</v>
      </c>
    </row>
    <row r="29" spans="1:8" x14ac:dyDescent="0.25">
      <c r="A29" s="703" t="s">
        <v>1094</v>
      </c>
      <c r="C29" s="705" t="s">
        <v>1038</v>
      </c>
      <c r="D29" s="706"/>
      <c r="E29" s="720" t="s">
        <v>1095</v>
      </c>
      <c r="G29" s="731" cm="1">
        <f t="array" ref="G29">_xll.EQUIDATA($G$12,$A29,"private")</f>
        <v>6982.3876953125</v>
      </c>
      <c r="H29" s="719" t="s">
        <v>1048</v>
      </c>
    </row>
    <row r="30" spans="1:8" x14ac:dyDescent="0.25">
      <c r="A30" s="703" t="s">
        <v>1096</v>
      </c>
      <c r="C30" s="705" t="s">
        <v>1036</v>
      </c>
      <c r="D30" s="706"/>
      <c r="E30" s="720" t="s">
        <v>1097</v>
      </c>
      <c r="G30" s="721" t="s">
        <v>1098</v>
      </c>
    </row>
    <row r="31" spans="1:8" x14ac:dyDescent="0.25">
      <c r="A31" s="703" t="s">
        <v>1099</v>
      </c>
      <c r="C31" s="705" t="s">
        <v>1036</v>
      </c>
      <c r="D31" s="706"/>
      <c r="E31" s="720" t="s">
        <v>1100</v>
      </c>
      <c r="G31" s="721" t="s">
        <v>1098</v>
      </c>
    </row>
    <row r="32" spans="1:8" x14ac:dyDescent="0.25">
      <c r="A32" s="703" t="s">
        <v>1101</v>
      </c>
      <c r="C32" s="705" t="s">
        <v>1036</v>
      </c>
      <c r="D32" s="706"/>
      <c r="E32" s="720" t="s">
        <v>1102</v>
      </c>
      <c r="G32" s="721" t="s">
        <v>1098</v>
      </c>
    </row>
    <row r="33" spans="1:54" x14ac:dyDescent="0.25">
      <c r="A33" s="703" t="s">
        <v>1103</v>
      </c>
      <c r="C33" s="705" t="s">
        <v>1036</v>
      </c>
      <c r="D33" s="706"/>
      <c r="E33" s="720" t="s">
        <v>1104</v>
      </c>
      <c r="G33" s="721" t="s">
        <v>1098</v>
      </c>
    </row>
    <row r="34" spans="1:54" x14ac:dyDescent="0.25">
      <c r="A34" s="703" t="s">
        <v>1105</v>
      </c>
      <c r="C34" s="705" t="s">
        <v>1036</v>
      </c>
      <c r="D34" s="706"/>
      <c r="E34" s="733" t="s">
        <v>1106</v>
      </c>
      <c r="F34" s="734"/>
      <c r="G34" s="735" t="s">
        <v>1098</v>
      </c>
    </row>
    <row r="35" spans="1:54" ht="12.75" x14ac:dyDescent="0.2">
      <c r="E35" s="705"/>
    </row>
    <row r="36" spans="1:54" ht="12.75" x14ac:dyDescent="0.2">
      <c r="E36" s="705"/>
    </row>
    <row r="37" spans="1:54" x14ac:dyDescent="0.25">
      <c r="D37" s="706"/>
      <c r="E37" s="736" t="s">
        <v>1107</v>
      </c>
    </row>
    <row r="38" spans="1:54" x14ac:dyDescent="0.25">
      <c r="A38" s="703" t="s">
        <v>1108</v>
      </c>
      <c r="B38" s="737" t="str">
        <f>IF(IF(D38="+",MIN(H38:IU38)&gt;=0,IF(D38="-",MAX(H38:IU38)&lt;=0,TRUE)),"",1)</f>
        <v/>
      </c>
      <c r="C38" s="705" t="s">
        <v>1036</v>
      </c>
      <c r="D38" s="738" t="s">
        <v>1109</v>
      </c>
      <c r="E38" s="739" t="s">
        <v>1110</v>
      </c>
      <c r="F38" s="705" t="s">
        <v>1077</v>
      </c>
      <c r="L38" s="740"/>
      <c r="M38" s="740"/>
      <c r="N38" s="740"/>
      <c r="P38" s="740"/>
      <c r="Q38" s="740"/>
      <c r="R38" s="740"/>
      <c r="S38" s="740"/>
      <c r="T38" s="740"/>
      <c r="U38" s="740"/>
      <c r="V38" s="740"/>
      <c r="W38" s="740"/>
      <c r="X38" s="740"/>
      <c r="Y38" s="740"/>
      <c r="Z38" s="740"/>
      <c r="AA38" s="740"/>
      <c r="AB38" s="740"/>
      <c r="AC38" s="740"/>
      <c r="AD38" s="740"/>
      <c r="AE38" s="740"/>
      <c r="AF38" s="740"/>
      <c r="AG38" s="740"/>
      <c r="AH38" s="740"/>
    </row>
    <row r="39" spans="1:54" x14ac:dyDescent="0.25">
      <c r="A39" s="703" t="s">
        <v>1111</v>
      </c>
      <c r="B39" s="737" t="str">
        <f>IF(IF(D39="+",MIN(H39:IU39)&gt;=0,IF(D39="-",MAX(H39:IU39)&lt;=0,TRUE)),"",1)</f>
        <v/>
      </c>
      <c r="C39" s="705" t="s">
        <v>1036</v>
      </c>
      <c r="D39" s="738" t="s">
        <v>1109</v>
      </c>
      <c r="E39" s="739" t="s">
        <v>1112</v>
      </c>
      <c r="F39" s="705" t="s">
        <v>1077</v>
      </c>
      <c r="L39" s="740"/>
      <c r="M39" s="740"/>
      <c r="N39" s="740"/>
      <c r="P39" s="740"/>
      <c r="Q39" s="740"/>
      <c r="R39" s="740"/>
      <c r="S39" s="740"/>
      <c r="T39" s="740"/>
      <c r="U39" s="740"/>
      <c r="V39" s="740"/>
      <c r="W39" s="740"/>
      <c r="X39" s="740"/>
      <c r="Y39" s="740"/>
      <c r="Z39" s="740"/>
      <c r="AA39" s="740"/>
      <c r="AB39" s="740"/>
      <c r="AC39" s="740"/>
      <c r="AD39" s="740"/>
      <c r="AE39" s="740"/>
      <c r="AF39" s="740"/>
      <c r="AG39" s="740"/>
      <c r="AH39" s="740"/>
    </row>
    <row r="40" spans="1:54" s="747" customFormat="1" x14ac:dyDescent="0.25">
      <c r="A40" s="741" t="s">
        <v>1113</v>
      </c>
      <c r="B40" s="742"/>
      <c r="C40" s="743" t="s">
        <v>1038</v>
      </c>
      <c r="D40" s="744" t="s">
        <v>1114</v>
      </c>
      <c r="E40" s="745" t="s">
        <v>201</v>
      </c>
      <c r="F40" s="743" t="s">
        <v>1077</v>
      </c>
      <c r="G40" s="743"/>
      <c r="H40" s="743"/>
      <c r="I40" s="743"/>
      <c r="J40" s="743"/>
      <c r="K40" s="743"/>
      <c r="L40" s="746"/>
      <c r="M40" s="746"/>
      <c r="N40" s="746"/>
      <c r="O40" s="743"/>
      <c r="P40" s="746"/>
      <c r="Q40" s="746"/>
      <c r="R40" s="746"/>
      <c r="S40" s="746"/>
      <c r="T40" s="746"/>
      <c r="U40" s="746"/>
      <c r="V40" s="746"/>
      <c r="W40" s="746"/>
      <c r="X40" s="746"/>
      <c r="Y40" s="746"/>
      <c r="Z40" s="746"/>
      <c r="AA40" s="746"/>
      <c r="AB40" s="746"/>
      <c r="AC40" s="746"/>
      <c r="AD40" s="746"/>
      <c r="AE40" s="746"/>
      <c r="AF40" s="746"/>
      <c r="AG40" s="746"/>
      <c r="AH40" s="746"/>
      <c r="AI40" s="1066"/>
      <c r="AJ40" s="1066"/>
      <c r="AK40" s="1066"/>
      <c r="AL40" s="1066"/>
      <c r="AM40" s="1066"/>
      <c r="AN40" s="1066"/>
      <c r="AO40" s="1066"/>
      <c r="AP40" s="1066"/>
      <c r="AQ40" s="1066"/>
      <c r="AR40" s="1066"/>
      <c r="AS40" s="1066"/>
      <c r="AT40" s="1066"/>
      <c r="AU40" s="1066"/>
      <c r="AV40" s="1066"/>
      <c r="AW40" s="1066"/>
      <c r="AX40" s="1066"/>
      <c r="AY40" s="1066"/>
      <c r="AZ40" s="1066"/>
      <c r="BA40" s="1066"/>
      <c r="BB40" s="1066"/>
    </row>
    <row r="41" spans="1:54" x14ac:dyDescent="0.25">
      <c r="A41" s="703" t="s">
        <v>1115</v>
      </c>
      <c r="B41" s="737" t="str">
        <f>IF(IF(D41="+",MIN(H41:IU41)&gt;=0,IF(D41="-",MAX(H41:IU41)&lt;=0,TRUE)),"",1)</f>
        <v/>
      </c>
      <c r="C41" s="705" t="s">
        <v>1036</v>
      </c>
      <c r="D41" s="738" t="s">
        <v>1109</v>
      </c>
      <c r="E41" s="739" t="s">
        <v>1116</v>
      </c>
      <c r="F41" s="705" t="s">
        <v>1077</v>
      </c>
      <c r="M41" s="740"/>
      <c r="N41" s="740"/>
      <c r="O41" s="740"/>
      <c r="P41" s="740"/>
      <c r="Q41" s="740"/>
      <c r="R41" s="740"/>
      <c r="S41" s="740"/>
      <c r="T41" s="740"/>
      <c r="U41" s="740"/>
      <c r="V41" s="740"/>
      <c r="W41" s="740"/>
      <c r="X41" s="740"/>
      <c r="Y41" s="740"/>
      <c r="Z41" s="740"/>
      <c r="AA41" s="740"/>
      <c r="AB41" s="740"/>
      <c r="AC41" s="740"/>
      <c r="AD41" s="740"/>
      <c r="AE41" s="740"/>
      <c r="AF41" s="740"/>
      <c r="AG41" s="740"/>
      <c r="AH41" s="740"/>
    </row>
    <row r="42" spans="1:54" x14ac:dyDescent="0.25">
      <c r="A42" s="703" t="s">
        <v>1117</v>
      </c>
      <c r="B42" s="737" t="str">
        <f>IF(IF(D42="+",MIN(H42:IU42)&gt;=0,IF(D42="-",MAX(H42:IU42)&lt;=0,TRUE)),"",1)</f>
        <v/>
      </c>
      <c r="C42" s="705" t="s">
        <v>1036</v>
      </c>
      <c r="D42" s="738" t="s">
        <v>1109</v>
      </c>
      <c r="E42" s="739" t="s">
        <v>198</v>
      </c>
      <c r="F42" s="705" t="s">
        <v>1077</v>
      </c>
      <c r="L42" s="740"/>
      <c r="M42" s="740"/>
      <c r="N42" s="740"/>
      <c r="P42" s="740"/>
      <c r="Q42" s="740"/>
      <c r="R42" s="740"/>
      <c r="S42" s="740"/>
      <c r="T42" s="740"/>
      <c r="U42" s="740"/>
      <c r="V42" s="740"/>
      <c r="W42" s="740"/>
      <c r="X42" s="740"/>
      <c r="Y42" s="740"/>
      <c r="Z42" s="740"/>
      <c r="AA42" s="740"/>
      <c r="AB42" s="740"/>
      <c r="AC42" s="740"/>
      <c r="AD42" s="740"/>
      <c r="AE42" s="740"/>
      <c r="AF42" s="740"/>
      <c r="AG42" s="740"/>
      <c r="AH42" s="740"/>
    </row>
    <row r="43" spans="1:54" s="747" customFormat="1" x14ac:dyDescent="0.25">
      <c r="A43" s="748" t="s">
        <v>1118</v>
      </c>
      <c r="B43" s="742"/>
      <c r="C43" s="743" t="s">
        <v>1038</v>
      </c>
      <c r="D43" s="744" t="s">
        <v>1114</v>
      </c>
      <c r="E43" s="745" t="s">
        <v>1119</v>
      </c>
      <c r="F43" s="743" t="s">
        <v>1077</v>
      </c>
      <c r="G43" s="743"/>
      <c r="H43" s="746">
        <f t="shared" ref="H43:O43" si="4">H40</f>
        <v>0</v>
      </c>
      <c r="I43" s="746">
        <f t="shared" si="4"/>
        <v>0</v>
      </c>
      <c r="J43" s="746">
        <f t="shared" si="4"/>
        <v>0</v>
      </c>
      <c r="K43" s="746">
        <f t="shared" si="4"/>
        <v>0</v>
      </c>
      <c r="L43" s="746">
        <f t="shared" si="4"/>
        <v>0</v>
      </c>
      <c r="M43" s="746">
        <f t="shared" si="4"/>
        <v>0</v>
      </c>
      <c r="N43" s="746">
        <f t="shared" si="4"/>
        <v>0</v>
      </c>
      <c r="O43" s="746">
        <f t="shared" si="4"/>
        <v>0</v>
      </c>
      <c r="P43" s="746">
        <f>P40</f>
        <v>0</v>
      </c>
      <c r="Q43" s="746">
        <f t="shared" ref="Q43:AM43" si="5">Q40</f>
        <v>0</v>
      </c>
      <c r="R43" s="746">
        <f t="shared" si="5"/>
        <v>0</v>
      </c>
      <c r="S43" s="746">
        <f t="shared" si="5"/>
        <v>0</v>
      </c>
      <c r="T43" s="746">
        <f t="shared" si="5"/>
        <v>0</v>
      </c>
      <c r="U43" s="746">
        <f t="shared" si="5"/>
        <v>0</v>
      </c>
      <c r="V43" s="746">
        <f t="shared" si="5"/>
        <v>0</v>
      </c>
      <c r="W43" s="746">
        <f t="shared" si="5"/>
        <v>0</v>
      </c>
      <c r="X43" s="746">
        <f t="shared" si="5"/>
        <v>0</v>
      </c>
      <c r="Y43" s="746">
        <f t="shared" si="5"/>
        <v>0</v>
      </c>
      <c r="Z43" s="746">
        <f t="shared" si="5"/>
        <v>0</v>
      </c>
      <c r="AA43" s="746">
        <f t="shared" si="5"/>
        <v>0</v>
      </c>
      <c r="AB43" s="746">
        <f t="shared" si="5"/>
        <v>0</v>
      </c>
      <c r="AC43" s="746">
        <f t="shared" si="5"/>
        <v>0</v>
      </c>
      <c r="AD43" s="746">
        <f t="shared" si="5"/>
        <v>0</v>
      </c>
      <c r="AE43" s="746">
        <f t="shared" si="5"/>
        <v>0</v>
      </c>
      <c r="AF43" s="746">
        <f t="shared" si="5"/>
        <v>0</v>
      </c>
      <c r="AG43" s="746">
        <f t="shared" si="5"/>
        <v>0</v>
      </c>
      <c r="AH43" s="746">
        <f t="shared" si="5"/>
        <v>0</v>
      </c>
      <c r="AI43" s="746">
        <f t="shared" si="5"/>
        <v>0</v>
      </c>
      <c r="AJ43" s="746">
        <f t="shared" si="5"/>
        <v>0</v>
      </c>
      <c r="AK43" s="746">
        <f t="shared" si="5"/>
        <v>0</v>
      </c>
      <c r="AL43" s="746">
        <f t="shared" si="5"/>
        <v>0</v>
      </c>
      <c r="AM43" s="746">
        <f t="shared" si="5"/>
        <v>0</v>
      </c>
      <c r="AN43" s="746">
        <f>Qtrly!I68</f>
        <v>8197</v>
      </c>
      <c r="AO43" s="746">
        <f>Qtrly!J68</f>
        <v>6620</v>
      </c>
      <c r="AP43" s="746">
        <f>Qtrly!K68</f>
        <v>7977.3</v>
      </c>
      <c r="AQ43" s="746">
        <f>Qtrly!L68</f>
        <v>9153</v>
      </c>
      <c r="AR43" s="746">
        <f>Qtrly!M68</f>
        <v>8781</v>
      </c>
      <c r="AS43" s="746">
        <f>Qtrly!N68</f>
        <v>8483.1</v>
      </c>
      <c r="AT43" s="746">
        <f>Qtrly!O68</f>
        <v>9401.1</v>
      </c>
      <c r="AU43" s="746">
        <f>Qtrly!P68</f>
        <v>10963.8</v>
      </c>
      <c r="AV43" s="746">
        <f>Qtrly!Q68</f>
        <v>10097.700000000001</v>
      </c>
      <c r="AW43" s="746">
        <f>Qtrly!R68</f>
        <v>10013.6</v>
      </c>
      <c r="AX43" s="746">
        <f>Qtrly!S68</f>
        <v>11818.300000000001</v>
      </c>
      <c r="AY43" s="746">
        <f>Qtrly!T68</f>
        <v>12831.800000000001</v>
      </c>
      <c r="AZ43" s="746">
        <f>Qtrly!U68</f>
        <v>12238.5</v>
      </c>
      <c r="BA43" s="746">
        <f>Qtrly!V68</f>
        <v>12655.9</v>
      </c>
      <c r="BB43" s="746">
        <f>Qtrly!W68</f>
        <v>13496.6</v>
      </c>
    </row>
    <row r="44" spans="1:54" x14ac:dyDescent="0.25">
      <c r="A44" s="703" t="s">
        <v>1120</v>
      </c>
      <c r="B44" s="737" t="str">
        <f>IF(IF(D44="+",MIN(H44:IU44)&gt;=0,IF(D44="-",MAX(H44:IU44)&lt;=0,TRUE)),"",1)</f>
        <v/>
      </c>
      <c r="C44" s="705" t="s">
        <v>1036</v>
      </c>
      <c r="D44" s="738" t="s">
        <v>1109</v>
      </c>
      <c r="E44" s="739" t="s">
        <v>1121</v>
      </c>
      <c r="F44" s="705" t="s">
        <v>1077</v>
      </c>
    </row>
    <row r="45" spans="1:54" x14ac:dyDescent="0.25">
      <c r="A45" s="749" t="s">
        <v>1122</v>
      </c>
      <c r="B45" s="737" t="str">
        <f>IF(IF(D45="+",MIN(H45:IU45)&gt;=0,IF(D45="-",MAX(H45:IU45)&lt;=0,TRUE)),"",1)</f>
        <v/>
      </c>
      <c r="C45" s="705" t="s">
        <v>1036</v>
      </c>
      <c r="D45" s="738" t="s">
        <v>1109</v>
      </c>
      <c r="E45" s="739" t="s">
        <v>1123</v>
      </c>
      <c r="F45" s="705" t="s">
        <v>1077</v>
      </c>
      <c r="H45" s="740"/>
      <c r="I45" s="740"/>
      <c r="J45" s="740"/>
      <c r="K45" s="740"/>
      <c r="L45" s="740"/>
      <c r="M45" s="740"/>
      <c r="N45" s="740"/>
      <c r="O45" s="740"/>
      <c r="P45" s="740"/>
      <c r="Q45" s="740"/>
      <c r="R45" s="740"/>
      <c r="S45" s="740"/>
      <c r="T45" s="740"/>
      <c r="U45" s="740"/>
      <c r="V45" s="740"/>
      <c r="W45" s="740"/>
      <c r="X45" s="740"/>
      <c r="Y45" s="740"/>
      <c r="Z45" s="740"/>
      <c r="AA45" s="740"/>
      <c r="AB45" s="740"/>
      <c r="AC45" s="740"/>
      <c r="AD45" s="740"/>
      <c r="AE45" s="740"/>
      <c r="AF45" s="740"/>
      <c r="AG45" s="740"/>
      <c r="AH45" s="740"/>
    </row>
    <row r="46" spans="1:54" s="747" customFormat="1" x14ac:dyDescent="0.25">
      <c r="A46" s="748" t="s">
        <v>1124</v>
      </c>
      <c r="B46" s="742"/>
      <c r="C46" s="743" t="s">
        <v>1038</v>
      </c>
      <c r="D46" s="744" t="s">
        <v>1114</v>
      </c>
      <c r="E46" s="745" t="s">
        <v>1125</v>
      </c>
      <c r="F46" s="743" t="s">
        <v>1077</v>
      </c>
      <c r="G46" s="743"/>
      <c r="H46" s="746"/>
      <c r="I46" s="746"/>
      <c r="J46" s="746"/>
      <c r="K46" s="746"/>
      <c r="L46" s="746"/>
      <c r="M46" s="746"/>
      <c r="N46" s="746"/>
      <c r="O46" s="746"/>
      <c r="P46" s="746"/>
      <c r="Q46" s="746"/>
      <c r="R46" s="746"/>
      <c r="S46" s="746"/>
      <c r="T46" s="746"/>
      <c r="U46" s="746"/>
      <c r="V46" s="746"/>
      <c r="W46" s="746"/>
      <c r="X46" s="746"/>
      <c r="Y46" s="746"/>
      <c r="Z46" s="746"/>
      <c r="AA46" s="746"/>
      <c r="AB46" s="746"/>
      <c r="AC46" s="746"/>
      <c r="AD46" s="746"/>
      <c r="AE46" s="746"/>
      <c r="AF46" s="746"/>
      <c r="AG46" s="746"/>
      <c r="AH46" s="746"/>
    </row>
    <row r="47" spans="1:54" x14ac:dyDescent="0.25">
      <c r="A47" s="703" t="s">
        <v>1126</v>
      </c>
      <c r="B47" s="737" t="str">
        <f t="shared" ref="B47:B56" si="6">IF(IF(D47="+",MIN(H47:IU47)&gt;=0,IF(D47="-",MAX(H47:IU47)&lt;=0,TRUE)),"",1)</f>
        <v/>
      </c>
      <c r="C47" s="705" t="s">
        <v>1036</v>
      </c>
      <c r="D47" s="738" t="s">
        <v>1109</v>
      </c>
      <c r="E47" s="739" t="s">
        <v>1127</v>
      </c>
      <c r="F47" s="705" t="s">
        <v>1077</v>
      </c>
      <c r="H47" s="1065"/>
      <c r="I47" s="1065"/>
      <c r="J47" s="1065"/>
      <c r="K47" s="1065"/>
      <c r="L47" s="1065"/>
      <c r="M47" s="1065"/>
      <c r="N47" s="1065"/>
      <c r="O47" s="1065"/>
      <c r="P47" s="1065"/>
      <c r="Q47" s="1065"/>
      <c r="R47" s="1065"/>
      <c r="S47" s="1065"/>
      <c r="T47" s="1065"/>
      <c r="U47" s="1065"/>
      <c r="V47" s="1065"/>
      <c r="W47" s="1065"/>
      <c r="X47" s="1065"/>
      <c r="Y47" s="1065"/>
      <c r="Z47" s="1065"/>
      <c r="AA47" s="1065"/>
      <c r="AB47" s="1065"/>
      <c r="AC47" s="1065"/>
      <c r="AD47" s="1065"/>
      <c r="AE47" s="1065"/>
      <c r="AF47" s="1065"/>
      <c r="AG47" s="1065"/>
      <c r="AH47" s="1065"/>
      <c r="AI47" s="1065"/>
      <c r="AJ47" s="1065"/>
      <c r="AK47" s="1065"/>
      <c r="AL47" s="1065"/>
      <c r="AM47" s="1065"/>
      <c r="AN47" s="1065">
        <f>Qtrly!I72</f>
        <v>454.09999999999997</v>
      </c>
      <c r="AO47" s="1065">
        <f>Qtrly!J72</f>
        <v>431.3</v>
      </c>
      <c r="AP47" s="1065">
        <f>Qtrly!K72</f>
        <v>497.4</v>
      </c>
      <c r="AQ47" s="1065">
        <f>Qtrly!L72</f>
        <v>916.7</v>
      </c>
      <c r="AR47" s="1065">
        <f>Qtrly!M72</f>
        <v>689.2</v>
      </c>
      <c r="AS47" s="1065">
        <f>Qtrly!N72</f>
        <v>707.1</v>
      </c>
      <c r="AT47" s="1065">
        <f>Qtrly!O72</f>
        <v>694.6</v>
      </c>
      <c r="AU47" s="1065">
        <f>Qtrly!P72</f>
        <v>717.9</v>
      </c>
      <c r="AV47" s="1065">
        <f>Qtrly!Q72</f>
        <v>562.79999999999995</v>
      </c>
      <c r="AW47" s="1065">
        <f>Qtrly!R72</f>
        <v>603.9</v>
      </c>
      <c r="AX47" s="1065">
        <f>Qtrly!S72</f>
        <v>630.5</v>
      </c>
      <c r="AY47" s="1065">
        <f>Qtrly!T72</f>
        <v>609.29999999999995</v>
      </c>
      <c r="AZ47" s="1065">
        <f>Qtrly!U72</f>
        <v>529.4</v>
      </c>
      <c r="BA47" s="1065">
        <f>Qtrly!V72</f>
        <v>587.79999999999995</v>
      </c>
      <c r="BB47" s="1065">
        <f>Qtrly!W72</f>
        <v>562.29999999999995</v>
      </c>
    </row>
    <row r="48" spans="1:54" x14ac:dyDescent="0.25">
      <c r="A48" s="703" t="s">
        <v>1128</v>
      </c>
      <c r="B48" s="737" t="str">
        <f t="shared" si="6"/>
        <v/>
      </c>
      <c r="C48" s="705" t="s">
        <v>1036</v>
      </c>
      <c r="D48" s="738" t="s">
        <v>1109</v>
      </c>
      <c r="E48" s="739" t="s">
        <v>1129</v>
      </c>
      <c r="F48" s="705" t="s">
        <v>1077</v>
      </c>
      <c r="H48" s="740"/>
      <c r="I48" s="740"/>
      <c r="J48" s="740"/>
      <c r="K48" s="740"/>
      <c r="L48" s="740"/>
      <c r="M48" s="740"/>
      <c r="N48" s="740"/>
      <c r="O48" s="740"/>
      <c r="P48" s="740"/>
      <c r="Q48" s="740"/>
      <c r="R48" s="740"/>
      <c r="S48" s="740"/>
      <c r="T48" s="740"/>
      <c r="U48" s="740"/>
      <c r="V48" s="740"/>
      <c r="W48" s="740"/>
      <c r="X48" s="740"/>
      <c r="Y48" s="740"/>
      <c r="Z48" s="740"/>
      <c r="AA48" s="740"/>
      <c r="AB48" s="740"/>
      <c r="AC48" s="740"/>
      <c r="AD48" s="740"/>
      <c r="AE48" s="740"/>
      <c r="AF48" s="740"/>
      <c r="AG48" s="740"/>
      <c r="AH48" s="740"/>
    </row>
    <row r="49" spans="1:54" x14ac:dyDescent="0.25">
      <c r="A49" s="703" t="s">
        <v>1130</v>
      </c>
      <c r="B49" s="737" t="str">
        <f t="shared" si="6"/>
        <v/>
      </c>
      <c r="C49" s="705" t="s">
        <v>1036</v>
      </c>
      <c r="D49" s="738" t="s">
        <v>1109</v>
      </c>
      <c r="E49" s="739" t="s">
        <v>1131</v>
      </c>
      <c r="F49" s="705" t="s">
        <v>1077</v>
      </c>
      <c r="H49" s="740"/>
      <c r="I49" s="740"/>
      <c r="J49" s="740"/>
      <c r="K49" s="740"/>
      <c r="L49" s="740"/>
      <c r="M49" s="740"/>
      <c r="N49" s="740"/>
      <c r="O49" s="740"/>
      <c r="P49" s="740"/>
      <c r="Q49" s="740"/>
      <c r="R49" s="740"/>
      <c r="S49" s="740"/>
      <c r="T49" s="740"/>
      <c r="U49" s="740"/>
      <c r="V49" s="740"/>
      <c r="W49" s="740"/>
      <c r="X49" s="740"/>
      <c r="Y49" s="740"/>
      <c r="Z49" s="740"/>
      <c r="AA49" s="740"/>
      <c r="AB49" s="740"/>
      <c r="AC49" s="740"/>
      <c r="AD49" s="740"/>
      <c r="AE49" s="740"/>
      <c r="AF49" s="740"/>
      <c r="AG49" s="740"/>
      <c r="AH49" s="740"/>
    </row>
    <row r="50" spans="1:54" x14ac:dyDescent="0.25">
      <c r="A50" s="703" t="s">
        <v>1132</v>
      </c>
      <c r="B50" s="737" t="str">
        <f t="shared" si="6"/>
        <v/>
      </c>
      <c r="C50" s="705" t="s">
        <v>1036</v>
      </c>
      <c r="D50" s="738" t="s">
        <v>1109</v>
      </c>
      <c r="E50" s="739" t="s">
        <v>1133</v>
      </c>
      <c r="F50" s="705" t="s">
        <v>1077</v>
      </c>
      <c r="H50" s="740"/>
      <c r="I50" s="740"/>
      <c r="J50" s="740"/>
      <c r="K50" s="740"/>
      <c r="L50" s="740"/>
      <c r="M50" s="740"/>
      <c r="N50" s="740"/>
      <c r="O50" s="740"/>
      <c r="P50" s="740"/>
      <c r="Q50" s="740"/>
      <c r="R50" s="740"/>
      <c r="S50" s="740"/>
      <c r="T50" s="740"/>
      <c r="U50" s="740"/>
      <c r="V50" s="740"/>
      <c r="W50" s="740"/>
      <c r="X50" s="740"/>
      <c r="Y50" s="740"/>
      <c r="Z50" s="740"/>
      <c r="AA50" s="740"/>
      <c r="AB50" s="740"/>
      <c r="AC50" s="740"/>
      <c r="AD50" s="740"/>
      <c r="AE50" s="740"/>
      <c r="AF50" s="740"/>
      <c r="AG50" s="740"/>
      <c r="AH50" s="740"/>
    </row>
    <row r="51" spans="1:54" x14ac:dyDescent="0.25">
      <c r="A51" s="703" t="s">
        <v>1134</v>
      </c>
      <c r="B51" s="737" t="str">
        <f t="shared" si="6"/>
        <v/>
      </c>
      <c r="C51" s="705" t="s">
        <v>1036</v>
      </c>
      <c r="D51" s="738" t="s">
        <v>1109</v>
      </c>
      <c r="E51" s="739" t="s">
        <v>1135</v>
      </c>
      <c r="F51" s="705" t="s">
        <v>1077</v>
      </c>
      <c r="H51" s="740"/>
      <c r="I51" s="740"/>
      <c r="J51" s="740"/>
      <c r="K51" s="740"/>
      <c r="L51" s="740"/>
      <c r="M51" s="740"/>
      <c r="N51" s="740"/>
      <c r="O51" s="740"/>
      <c r="P51" s="740"/>
      <c r="Q51" s="740"/>
      <c r="R51" s="740"/>
      <c r="S51" s="740"/>
      <c r="T51" s="740"/>
      <c r="U51" s="740"/>
      <c r="V51" s="740"/>
      <c r="W51" s="740"/>
      <c r="X51" s="740"/>
      <c r="Y51" s="740"/>
      <c r="Z51" s="740"/>
      <c r="AA51" s="740"/>
      <c r="AB51" s="740"/>
      <c r="AC51" s="740"/>
      <c r="AD51" s="740"/>
      <c r="AE51" s="740"/>
      <c r="AF51" s="740"/>
      <c r="AG51" s="740"/>
      <c r="AH51" s="740"/>
    </row>
    <row r="52" spans="1:54" x14ac:dyDescent="0.25">
      <c r="A52" s="703" t="s">
        <v>1136</v>
      </c>
      <c r="B52" s="737" t="str">
        <f t="shared" si="6"/>
        <v/>
      </c>
      <c r="C52" s="705" t="s">
        <v>1036</v>
      </c>
      <c r="D52" s="738" t="s">
        <v>1109</v>
      </c>
      <c r="E52" s="739" t="s">
        <v>448</v>
      </c>
      <c r="F52" s="705" t="s">
        <v>1077</v>
      </c>
      <c r="H52" s="740"/>
      <c r="I52" s="740"/>
      <c r="J52" s="740"/>
      <c r="K52" s="740"/>
      <c r="L52" s="740"/>
      <c r="M52" s="740"/>
      <c r="N52" s="740"/>
      <c r="O52" s="740"/>
      <c r="P52" s="740"/>
      <c r="Q52" s="740"/>
      <c r="R52" s="740"/>
      <c r="S52" s="740"/>
      <c r="T52" s="740"/>
      <c r="U52" s="740"/>
      <c r="V52" s="740"/>
      <c r="W52" s="740"/>
      <c r="X52" s="740"/>
      <c r="Y52" s="740"/>
      <c r="Z52" s="740"/>
      <c r="AA52" s="740"/>
      <c r="AB52" s="740"/>
      <c r="AC52" s="740"/>
      <c r="AD52" s="740"/>
      <c r="AE52" s="740"/>
      <c r="AF52" s="740"/>
      <c r="AG52" s="740"/>
      <c r="AH52" s="740"/>
      <c r="AI52" s="1065"/>
      <c r="AJ52" s="1065"/>
      <c r="AK52" s="1065"/>
      <c r="AL52" s="1065"/>
      <c r="AM52" s="1065"/>
      <c r="AN52" s="1065"/>
      <c r="AO52" s="1065"/>
      <c r="AP52" s="1065"/>
      <c r="AQ52" s="1065"/>
      <c r="AR52" s="1065"/>
      <c r="AS52" s="1065"/>
      <c r="AT52" s="1065"/>
      <c r="AU52" s="1065"/>
      <c r="AV52" s="1065"/>
      <c r="AW52" s="1065"/>
      <c r="AX52" s="1065"/>
      <c r="AY52" s="1065"/>
      <c r="AZ52" s="1065"/>
      <c r="BA52" s="1065"/>
      <c r="BB52" s="1065"/>
    </row>
    <row r="53" spans="1:54" x14ac:dyDescent="0.25">
      <c r="A53" s="703" t="s">
        <v>1137</v>
      </c>
      <c r="B53" s="737" t="str">
        <f t="shared" si="6"/>
        <v/>
      </c>
      <c r="C53" s="705" t="s">
        <v>1036</v>
      </c>
      <c r="D53" s="738" t="s">
        <v>1109</v>
      </c>
      <c r="E53" s="739" t="s">
        <v>1138</v>
      </c>
      <c r="F53" s="705" t="s">
        <v>1077</v>
      </c>
      <c r="H53" s="740"/>
      <c r="I53" s="740"/>
      <c r="J53" s="740"/>
      <c r="K53" s="740"/>
      <c r="L53" s="740"/>
      <c r="M53" s="740"/>
      <c r="N53" s="740"/>
      <c r="O53" s="740"/>
      <c r="P53" s="740"/>
      <c r="Q53" s="740"/>
      <c r="R53" s="740"/>
      <c r="S53" s="740"/>
      <c r="T53" s="740"/>
      <c r="U53" s="740"/>
      <c r="V53" s="740"/>
      <c r="W53" s="740"/>
      <c r="X53" s="740"/>
      <c r="Y53" s="740"/>
      <c r="Z53" s="740"/>
      <c r="AA53" s="740"/>
      <c r="AB53" s="740"/>
      <c r="AC53" s="740"/>
      <c r="AD53" s="740"/>
      <c r="AE53" s="740"/>
      <c r="AF53" s="740"/>
      <c r="AG53" s="740"/>
      <c r="AH53" s="740"/>
    </row>
    <row r="54" spans="1:54" x14ac:dyDescent="0.25">
      <c r="A54" s="703" t="s">
        <v>1139</v>
      </c>
      <c r="B54" s="737" t="str">
        <f t="shared" si="6"/>
        <v/>
      </c>
      <c r="C54" s="705" t="s">
        <v>1036</v>
      </c>
      <c r="D54" s="738" t="s">
        <v>1109</v>
      </c>
      <c r="E54" s="739" t="s">
        <v>1140</v>
      </c>
      <c r="F54" s="705" t="s">
        <v>1077</v>
      </c>
      <c r="H54" s="740"/>
      <c r="I54" s="740"/>
      <c r="J54" s="740"/>
      <c r="K54" s="740"/>
      <c r="L54" s="740"/>
      <c r="M54" s="740"/>
      <c r="N54" s="740"/>
      <c r="O54" s="740"/>
      <c r="P54" s="740"/>
      <c r="Q54" s="740"/>
      <c r="R54" s="740"/>
      <c r="S54" s="740"/>
      <c r="T54" s="740"/>
      <c r="U54" s="740"/>
      <c r="V54" s="740"/>
      <c r="W54" s="740"/>
      <c r="X54" s="740"/>
      <c r="Y54" s="740"/>
      <c r="Z54" s="740"/>
      <c r="AA54" s="740"/>
      <c r="AB54" s="740"/>
      <c r="AC54" s="740"/>
      <c r="AD54" s="740"/>
      <c r="AE54" s="740"/>
      <c r="AF54" s="740"/>
      <c r="AG54" s="740"/>
      <c r="AH54" s="740"/>
    </row>
    <row r="55" spans="1:54" x14ac:dyDescent="0.25">
      <c r="A55" s="703" t="s">
        <v>1130</v>
      </c>
      <c r="B55" s="737" t="str">
        <f t="shared" si="6"/>
        <v/>
      </c>
      <c r="C55" s="705" t="s">
        <v>1036</v>
      </c>
      <c r="D55" s="738" t="s">
        <v>1109</v>
      </c>
      <c r="E55" s="739" t="s">
        <v>871</v>
      </c>
      <c r="F55" s="705" t="s">
        <v>1077</v>
      </c>
      <c r="H55" s="740"/>
      <c r="I55" s="740"/>
      <c r="J55" s="740"/>
      <c r="K55" s="740"/>
      <c r="L55" s="740"/>
      <c r="M55" s="740"/>
      <c r="N55" s="740"/>
      <c r="O55" s="740"/>
      <c r="P55" s="740"/>
      <c r="Q55" s="740"/>
      <c r="R55" s="740"/>
      <c r="S55" s="740"/>
      <c r="T55" s="740"/>
      <c r="U55" s="740"/>
      <c r="V55" s="740"/>
      <c r="W55" s="740"/>
      <c r="X55" s="740"/>
      <c r="Y55" s="740"/>
      <c r="Z55" s="740"/>
      <c r="AA55" s="740"/>
      <c r="AB55" s="740"/>
      <c r="AC55" s="740"/>
      <c r="AD55" s="740"/>
      <c r="AE55" s="740"/>
      <c r="AF55" s="740"/>
      <c r="AG55" s="740"/>
      <c r="AH55" s="740"/>
    </row>
    <row r="56" spans="1:54" x14ac:dyDescent="0.25">
      <c r="A56" s="703" t="s">
        <v>1141</v>
      </c>
      <c r="B56" s="737" t="str">
        <f t="shared" si="6"/>
        <v/>
      </c>
      <c r="C56" s="705" t="s">
        <v>1036</v>
      </c>
      <c r="D56" s="738" t="s">
        <v>1109</v>
      </c>
      <c r="E56" s="739" t="s">
        <v>1142</v>
      </c>
      <c r="F56" s="705" t="s">
        <v>1077</v>
      </c>
      <c r="H56" s="740"/>
      <c r="I56" s="740"/>
      <c r="J56" s="740"/>
      <c r="K56" s="740"/>
      <c r="L56" s="740"/>
      <c r="M56" s="740"/>
      <c r="N56" s="740"/>
      <c r="O56" s="740"/>
      <c r="P56" s="740"/>
      <c r="Q56" s="740"/>
      <c r="R56" s="740"/>
      <c r="S56" s="740"/>
      <c r="T56" s="740"/>
      <c r="U56" s="740"/>
      <c r="V56" s="740"/>
      <c r="W56" s="740"/>
      <c r="X56" s="740"/>
      <c r="Y56" s="740"/>
      <c r="Z56" s="740"/>
      <c r="AA56" s="740"/>
      <c r="AB56" s="740"/>
      <c r="AC56" s="740"/>
      <c r="AD56" s="740"/>
      <c r="AE56" s="740"/>
      <c r="AF56" s="740"/>
      <c r="AG56" s="740"/>
      <c r="AH56" s="740"/>
      <c r="AI56" s="740"/>
      <c r="AJ56" s="740"/>
      <c r="AK56" s="740"/>
      <c r="AL56" s="740"/>
      <c r="AM56" s="740"/>
      <c r="AN56" s="740">
        <f>+Qtrly!I71+Qtrly!I73</f>
        <v>3433</v>
      </c>
      <c r="AO56" s="740">
        <f>+Qtrly!J71+Qtrly!J73</f>
        <v>2779.1</v>
      </c>
      <c r="AP56" s="740">
        <f>+Qtrly!K71+Qtrly!K73</f>
        <v>3715.6</v>
      </c>
      <c r="AQ56" s="740">
        <f>+Qtrly!L71+Qtrly!L73</f>
        <v>3518.2999999999997</v>
      </c>
      <c r="AR56" s="740">
        <f>+Qtrly!M71+Qtrly!M73</f>
        <v>3540.8999999999996</v>
      </c>
      <c r="AS56" s="740">
        <f>+Qtrly!N71+Qtrly!N73</f>
        <v>3254.2999999999997</v>
      </c>
      <c r="AT56" s="740">
        <f>+Qtrly!O71+Qtrly!O73</f>
        <v>3907.6000000000004</v>
      </c>
      <c r="AU56" s="740">
        <f>+Qtrly!P71+Qtrly!P73</f>
        <v>4434.1000000000004</v>
      </c>
      <c r="AV56" s="740">
        <f>+Qtrly!Q71+Qtrly!Q73</f>
        <v>4388.5</v>
      </c>
      <c r="AW56" s="740">
        <f>+Qtrly!R71+Qtrly!R73</f>
        <v>4204.3</v>
      </c>
      <c r="AX56" s="740">
        <f>+Qtrly!S71+Qtrly!S73</f>
        <v>5327</v>
      </c>
      <c r="AY56" s="740">
        <f>+Qtrly!T71+Qtrly!T73</f>
        <v>5813.2999999999993</v>
      </c>
      <c r="AZ56" s="740">
        <f>+Qtrly!U71+Qtrly!U73</f>
        <v>5897.5</v>
      </c>
      <c r="BA56" s="740">
        <f>+Qtrly!V71+Qtrly!V73</f>
        <v>5971.2999999999993</v>
      </c>
      <c r="BB56" s="740">
        <f>+Qtrly!W71+Qtrly!W73</f>
        <v>6497.3</v>
      </c>
    </row>
    <row r="57" spans="1:54" s="747" customFormat="1" x14ac:dyDescent="0.25">
      <c r="A57" s="741" t="s">
        <v>1143</v>
      </c>
      <c r="B57" s="742"/>
      <c r="C57" s="743" t="s">
        <v>1038</v>
      </c>
      <c r="D57" s="744" t="s">
        <v>1114</v>
      </c>
      <c r="E57" s="745" t="s">
        <v>1144</v>
      </c>
      <c r="F57" s="743" t="s">
        <v>1077</v>
      </c>
      <c r="G57" s="743"/>
      <c r="H57" s="746">
        <f t="shared" ref="H57:O57" si="7">+SUM(H47:H56)</f>
        <v>0</v>
      </c>
      <c r="I57" s="746">
        <f t="shared" si="7"/>
        <v>0</v>
      </c>
      <c r="J57" s="746">
        <f t="shared" si="7"/>
        <v>0</v>
      </c>
      <c r="K57" s="746">
        <f t="shared" si="7"/>
        <v>0</v>
      </c>
      <c r="L57" s="746">
        <f t="shared" si="7"/>
        <v>0</v>
      </c>
      <c r="M57" s="746">
        <f t="shared" si="7"/>
        <v>0</v>
      </c>
      <c r="N57" s="746">
        <f t="shared" si="7"/>
        <v>0</v>
      </c>
      <c r="O57" s="746">
        <f t="shared" si="7"/>
        <v>0</v>
      </c>
      <c r="P57" s="746">
        <f>+SUM(P47:P56)</f>
        <v>0</v>
      </c>
      <c r="Q57" s="746">
        <f t="shared" ref="Q57:BB57" si="8">+SUM(Q47:Q56)</f>
        <v>0</v>
      </c>
      <c r="R57" s="746">
        <f t="shared" si="8"/>
        <v>0</v>
      </c>
      <c r="S57" s="746">
        <f t="shared" si="8"/>
        <v>0</v>
      </c>
      <c r="T57" s="746">
        <f t="shared" si="8"/>
        <v>0</v>
      </c>
      <c r="U57" s="746">
        <f t="shared" si="8"/>
        <v>0</v>
      </c>
      <c r="V57" s="746">
        <f t="shared" si="8"/>
        <v>0</v>
      </c>
      <c r="W57" s="746">
        <f t="shared" si="8"/>
        <v>0</v>
      </c>
      <c r="X57" s="746">
        <f t="shared" si="8"/>
        <v>0</v>
      </c>
      <c r="Y57" s="746">
        <f t="shared" si="8"/>
        <v>0</v>
      </c>
      <c r="Z57" s="746">
        <f t="shared" si="8"/>
        <v>0</v>
      </c>
      <c r="AA57" s="746">
        <f t="shared" si="8"/>
        <v>0</v>
      </c>
      <c r="AB57" s="746">
        <f t="shared" si="8"/>
        <v>0</v>
      </c>
      <c r="AC57" s="746">
        <f t="shared" si="8"/>
        <v>0</v>
      </c>
      <c r="AD57" s="746">
        <f t="shared" si="8"/>
        <v>0</v>
      </c>
      <c r="AE57" s="746">
        <f t="shared" si="8"/>
        <v>0</v>
      </c>
      <c r="AF57" s="746">
        <f t="shared" si="8"/>
        <v>0</v>
      </c>
      <c r="AG57" s="746">
        <f t="shared" si="8"/>
        <v>0</v>
      </c>
      <c r="AH57" s="746">
        <f t="shared" si="8"/>
        <v>0</v>
      </c>
      <c r="AI57" s="746">
        <f t="shared" si="8"/>
        <v>0</v>
      </c>
      <c r="AJ57" s="746">
        <f t="shared" si="8"/>
        <v>0</v>
      </c>
      <c r="AK57" s="746">
        <f t="shared" si="8"/>
        <v>0</v>
      </c>
      <c r="AL57" s="746">
        <f t="shared" si="8"/>
        <v>0</v>
      </c>
      <c r="AM57" s="746">
        <f t="shared" si="8"/>
        <v>0</v>
      </c>
      <c r="AN57" s="746">
        <f t="shared" si="8"/>
        <v>3887.1</v>
      </c>
      <c r="AO57" s="746">
        <f t="shared" si="8"/>
        <v>3210.4</v>
      </c>
      <c r="AP57" s="746">
        <f t="shared" si="8"/>
        <v>4213</v>
      </c>
      <c r="AQ57" s="746">
        <f t="shared" si="8"/>
        <v>4435</v>
      </c>
      <c r="AR57" s="746">
        <f t="shared" si="8"/>
        <v>4230.0999999999995</v>
      </c>
      <c r="AS57" s="746">
        <f t="shared" si="8"/>
        <v>3961.3999999999996</v>
      </c>
      <c r="AT57" s="746">
        <f t="shared" si="8"/>
        <v>4602.2000000000007</v>
      </c>
      <c r="AU57" s="746">
        <f t="shared" si="8"/>
        <v>5152</v>
      </c>
      <c r="AV57" s="746">
        <f t="shared" si="8"/>
        <v>4951.3</v>
      </c>
      <c r="AW57" s="746">
        <f t="shared" si="8"/>
        <v>4808.2</v>
      </c>
      <c r="AX57" s="746">
        <f t="shared" si="8"/>
        <v>5957.5</v>
      </c>
      <c r="AY57" s="746">
        <f t="shared" si="8"/>
        <v>6422.5999999999995</v>
      </c>
      <c r="AZ57" s="746">
        <f t="shared" si="8"/>
        <v>6426.9</v>
      </c>
      <c r="BA57" s="746">
        <f t="shared" si="8"/>
        <v>6559.0999999999995</v>
      </c>
      <c r="BB57" s="746">
        <f t="shared" si="8"/>
        <v>7059.6</v>
      </c>
    </row>
    <row r="58" spans="1:54" s="747" customFormat="1" x14ac:dyDescent="0.25">
      <c r="A58" s="748" t="s">
        <v>34</v>
      </c>
      <c r="B58" s="742"/>
      <c r="C58" s="743" t="s">
        <v>1038</v>
      </c>
      <c r="D58" s="744" t="s">
        <v>1114</v>
      </c>
      <c r="E58" s="745" t="s">
        <v>34</v>
      </c>
      <c r="F58" s="743" t="s">
        <v>1077</v>
      </c>
      <c r="G58" s="743"/>
      <c r="H58" s="746">
        <f t="shared" ref="H58:O58" si="9">+H43-H57</f>
        <v>0</v>
      </c>
      <c r="I58" s="746">
        <f t="shared" si="9"/>
        <v>0</v>
      </c>
      <c r="J58" s="746">
        <f t="shared" si="9"/>
        <v>0</v>
      </c>
      <c r="K58" s="746">
        <f t="shared" si="9"/>
        <v>0</v>
      </c>
      <c r="L58" s="746">
        <f t="shared" si="9"/>
        <v>0</v>
      </c>
      <c r="M58" s="746">
        <f t="shared" si="9"/>
        <v>0</v>
      </c>
      <c r="N58" s="746">
        <f t="shared" si="9"/>
        <v>0</v>
      </c>
      <c r="O58" s="746">
        <f t="shared" si="9"/>
        <v>0</v>
      </c>
      <c r="P58" s="746">
        <f>+P43-P57</f>
        <v>0</v>
      </c>
      <c r="Q58" s="746">
        <f t="shared" ref="Q58:BB58" si="10">+Q43-Q57</f>
        <v>0</v>
      </c>
      <c r="R58" s="746">
        <f t="shared" si="10"/>
        <v>0</v>
      </c>
      <c r="S58" s="746">
        <f t="shared" si="10"/>
        <v>0</v>
      </c>
      <c r="T58" s="746">
        <f t="shared" si="10"/>
        <v>0</v>
      </c>
      <c r="U58" s="746">
        <f t="shared" si="10"/>
        <v>0</v>
      </c>
      <c r="V58" s="746">
        <f t="shared" si="10"/>
        <v>0</v>
      </c>
      <c r="W58" s="746">
        <f t="shared" si="10"/>
        <v>0</v>
      </c>
      <c r="X58" s="746">
        <f t="shared" si="10"/>
        <v>0</v>
      </c>
      <c r="Y58" s="746">
        <f t="shared" si="10"/>
        <v>0</v>
      </c>
      <c r="Z58" s="746">
        <f t="shared" si="10"/>
        <v>0</v>
      </c>
      <c r="AA58" s="746">
        <f t="shared" si="10"/>
        <v>0</v>
      </c>
      <c r="AB58" s="746">
        <f t="shared" si="10"/>
        <v>0</v>
      </c>
      <c r="AC58" s="746">
        <f t="shared" si="10"/>
        <v>0</v>
      </c>
      <c r="AD58" s="746">
        <f t="shared" si="10"/>
        <v>0</v>
      </c>
      <c r="AE58" s="746">
        <f t="shared" si="10"/>
        <v>0</v>
      </c>
      <c r="AF58" s="746">
        <f t="shared" si="10"/>
        <v>0</v>
      </c>
      <c r="AG58" s="746">
        <f t="shared" si="10"/>
        <v>0</v>
      </c>
      <c r="AH58" s="746">
        <f t="shared" si="10"/>
        <v>0</v>
      </c>
      <c r="AI58" s="746">
        <f t="shared" si="10"/>
        <v>0</v>
      </c>
      <c r="AJ58" s="746">
        <f t="shared" si="10"/>
        <v>0</v>
      </c>
      <c r="AK58" s="746">
        <f t="shared" si="10"/>
        <v>0</v>
      </c>
      <c r="AL58" s="746">
        <f t="shared" si="10"/>
        <v>0</v>
      </c>
      <c r="AM58" s="746">
        <f t="shared" si="10"/>
        <v>0</v>
      </c>
      <c r="AN58" s="746">
        <f t="shared" si="10"/>
        <v>4309.8999999999996</v>
      </c>
      <c r="AO58" s="746">
        <f t="shared" si="10"/>
        <v>3409.6</v>
      </c>
      <c r="AP58" s="746">
        <f t="shared" si="10"/>
        <v>3764.3</v>
      </c>
      <c r="AQ58" s="746">
        <f t="shared" si="10"/>
        <v>4718</v>
      </c>
      <c r="AR58" s="746">
        <f t="shared" si="10"/>
        <v>4550.9000000000005</v>
      </c>
      <c r="AS58" s="746">
        <f t="shared" si="10"/>
        <v>4521.7000000000007</v>
      </c>
      <c r="AT58" s="746">
        <f t="shared" si="10"/>
        <v>4798.8999999999996</v>
      </c>
      <c r="AU58" s="746">
        <f t="shared" si="10"/>
        <v>5811.7999999999993</v>
      </c>
      <c r="AV58" s="746">
        <f t="shared" si="10"/>
        <v>5146.4000000000005</v>
      </c>
      <c r="AW58" s="746">
        <f t="shared" si="10"/>
        <v>5205.4000000000005</v>
      </c>
      <c r="AX58" s="746">
        <f t="shared" si="10"/>
        <v>5860.8000000000011</v>
      </c>
      <c r="AY58" s="746">
        <f t="shared" si="10"/>
        <v>6409.2000000000016</v>
      </c>
      <c r="AZ58" s="746">
        <f t="shared" si="10"/>
        <v>5811.6</v>
      </c>
      <c r="BA58" s="746">
        <f t="shared" si="10"/>
        <v>6096.8</v>
      </c>
      <c r="BB58" s="746">
        <f t="shared" si="10"/>
        <v>6437</v>
      </c>
    </row>
    <row r="59" spans="1:54" x14ac:dyDescent="0.25">
      <c r="A59" s="750" t="s">
        <v>1145</v>
      </c>
      <c r="B59" s="737" t="str">
        <f>IF(IF(D59="+",MIN(H59:IU59)&gt;=0,IF(D59="-",MAX(H59:IU59)&lt;=0,TRUE)),"",1)</f>
        <v/>
      </c>
      <c r="C59" s="705" t="s">
        <v>1036</v>
      </c>
      <c r="D59" s="738" t="s">
        <v>1109</v>
      </c>
      <c r="E59" s="739" t="s">
        <v>199</v>
      </c>
      <c r="F59" s="705" t="s">
        <v>1077</v>
      </c>
      <c r="H59" s="740"/>
      <c r="I59" s="740"/>
      <c r="J59" s="740"/>
      <c r="K59" s="740"/>
      <c r="L59" s="740"/>
      <c r="M59" s="740"/>
      <c r="N59" s="740"/>
      <c r="O59" s="740"/>
      <c r="P59" s="740"/>
      <c r="Q59" s="740"/>
      <c r="R59" s="740"/>
      <c r="S59" s="740"/>
      <c r="T59" s="740"/>
      <c r="U59" s="740"/>
      <c r="V59" s="740"/>
      <c r="W59" s="740"/>
      <c r="X59" s="740"/>
      <c r="Y59" s="740"/>
      <c r="Z59" s="740"/>
      <c r="AA59" s="740"/>
      <c r="AB59" s="740"/>
      <c r="AC59" s="740"/>
      <c r="AD59" s="740"/>
      <c r="AE59" s="740"/>
      <c r="AF59" s="740"/>
      <c r="AG59" s="740"/>
      <c r="AH59" s="740"/>
      <c r="AI59" s="1065"/>
      <c r="AJ59" s="1065"/>
      <c r="AK59" s="1065"/>
      <c r="AL59" s="1065"/>
      <c r="AM59" s="1065"/>
      <c r="AN59" s="1065">
        <f>Qtrly!I81</f>
        <v>916.7</v>
      </c>
      <c r="AO59" s="1065">
        <f>Qtrly!J81</f>
        <v>992.7</v>
      </c>
      <c r="AP59" s="1065">
        <f>Qtrly!K81</f>
        <v>1023</v>
      </c>
      <c r="AQ59" s="1065">
        <f>Qtrly!L81</f>
        <v>979.9</v>
      </c>
      <c r="AR59" s="1065">
        <f>Qtrly!M81</f>
        <v>947.40000000000009</v>
      </c>
      <c r="AS59" s="1065">
        <f>Qtrly!N81</f>
        <v>1005.1</v>
      </c>
      <c r="AT59" s="1065">
        <f>Qtrly!O81</f>
        <v>1075.8</v>
      </c>
      <c r="AU59" s="1065">
        <f>Qtrly!P81</f>
        <v>1336.5</v>
      </c>
      <c r="AV59" s="1065">
        <f>Qtrly!Q81</f>
        <v>1345.8</v>
      </c>
      <c r="AW59" s="1065">
        <f>Qtrly!R81</f>
        <v>1338.6</v>
      </c>
      <c r="AX59" s="1065">
        <f>Qtrly!S81</f>
        <v>1376.4</v>
      </c>
      <c r="AY59" s="1065">
        <f>Qtrly!T81</f>
        <v>1404.7</v>
      </c>
      <c r="AZ59" s="1065">
        <f>Qtrly!U81</f>
        <v>1434.6</v>
      </c>
      <c r="BA59" s="1065">
        <f>Qtrly!V81</f>
        <v>1485.2</v>
      </c>
      <c r="BB59" s="1065">
        <f>Qtrly!W81</f>
        <v>1639.8</v>
      </c>
    </row>
    <row r="60" spans="1:54" x14ac:dyDescent="0.25">
      <c r="A60" s="703" t="s">
        <v>1146</v>
      </c>
      <c r="B60" s="737" t="str">
        <f>IF(IF(D60="+",MIN(H60:IU60)&gt;=0,IF(D60="-",MAX(H60:IU60)&lt;=0,TRUE)),"",1)</f>
        <v/>
      </c>
      <c r="C60" s="705" t="s">
        <v>1036</v>
      </c>
      <c r="D60" s="738" t="s">
        <v>1109</v>
      </c>
      <c r="E60" s="739" t="s">
        <v>1147</v>
      </c>
      <c r="F60" s="705" t="s">
        <v>1077</v>
      </c>
    </row>
    <row r="61" spans="1:54" s="747" customFormat="1" x14ac:dyDescent="0.25">
      <c r="A61" s="741" t="s">
        <v>1148</v>
      </c>
      <c r="B61" s="742"/>
      <c r="C61" s="743" t="s">
        <v>1038</v>
      </c>
      <c r="D61" s="744" t="s">
        <v>1114</v>
      </c>
      <c r="E61" s="745" t="s">
        <v>1149</v>
      </c>
      <c r="F61" s="743" t="s">
        <v>1077</v>
      </c>
      <c r="G61" s="743"/>
      <c r="H61" s="746">
        <f t="shared" ref="H61:O61" si="11">+H59+H60</f>
        <v>0</v>
      </c>
      <c r="I61" s="746">
        <f t="shared" si="11"/>
        <v>0</v>
      </c>
      <c r="J61" s="746">
        <f t="shared" si="11"/>
        <v>0</v>
      </c>
      <c r="K61" s="746">
        <f t="shared" si="11"/>
        <v>0</v>
      </c>
      <c r="L61" s="746">
        <f t="shared" si="11"/>
        <v>0</v>
      </c>
      <c r="M61" s="746">
        <f t="shared" si="11"/>
        <v>0</v>
      </c>
      <c r="N61" s="746">
        <f t="shared" si="11"/>
        <v>0</v>
      </c>
      <c r="O61" s="746">
        <f t="shared" si="11"/>
        <v>0</v>
      </c>
      <c r="P61" s="746">
        <f>+P59+P60</f>
        <v>0</v>
      </c>
      <c r="Q61" s="746">
        <f t="shared" ref="Q61:BB61" si="12">+Q59+Q60</f>
        <v>0</v>
      </c>
      <c r="R61" s="746">
        <f t="shared" si="12"/>
        <v>0</v>
      </c>
      <c r="S61" s="746">
        <f t="shared" si="12"/>
        <v>0</v>
      </c>
      <c r="T61" s="746">
        <f t="shared" si="12"/>
        <v>0</v>
      </c>
      <c r="U61" s="746">
        <f t="shared" si="12"/>
        <v>0</v>
      </c>
      <c r="V61" s="746">
        <f t="shared" si="12"/>
        <v>0</v>
      </c>
      <c r="W61" s="746">
        <f t="shared" si="12"/>
        <v>0</v>
      </c>
      <c r="X61" s="746">
        <f t="shared" si="12"/>
        <v>0</v>
      </c>
      <c r="Y61" s="746">
        <f t="shared" si="12"/>
        <v>0</v>
      </c>
      <c r="Z61" s="746">
        <f t="shared" si="12"/>
        <v>0</v>
      </c>
      <c r="AA61" s="746">
        <f t="shared" si="12"/>
        <v>0</v>
      </c>
      <c r="AB61" s="746">
        <f t="shared" si="12"/>
        <v>0</v>
      </c>
      <c r="AC61" s="746">
        <f t="shared" si="12"/>
        <v>0</v>
      </c>
      <c r="AD61" s="746">
        <f t="shared" si="12"/>
        <v>0</v>
      </c>
      <c r="AE61" s="746">
        <f t="shared" si="12"/>
        <v>0</v>
      </c>
      <c r="AF61" s="746">
        <f t="shared" si="12"/>
        <v>0</v>
      </c>
      <c r="AG61" s="746">
        <f t="shared" si="12"/>
        <v>0</v>
      </c>
      <c r="AH61" s="746">
        <f t="shared" si="12"/>
        <v>0</v>
      </c>
      <c r="AI61" s="746">
        <f t="shared" si="12"/>
        <v>0</v>
      </c>
      <c r="AJ61" s="746">
        <f t="shared" si="12"/>
        <v>0</v>
      </c>
      <c r="AK61" s="746">
        <f t="shared" si="12"/>
        <v>0</v>
      </c>
      <c r="AL61" s="746">
        <f t="shared" si="12"/>
        <v>0</v>
      </c>
      <c r="AM61" s="746">
        <f t="shared" si="12"/>
        <v>0</v>
      </c>
      <c r="AN61" s="746">
        <f t="shared" si="12"/>
        <v>916.7</v>
      </c>
      <c r="AO61" s="746">
        <f t="shared" si="12"/>
        <v>992.7</v>
      </c>
      <c r="AP61" s="746">
        <f t="shared" si="12"/>
        <v>1023</v>
      </c>
      <c r="AQ61" s="746">
        <f t="shared" si="12"/>
        <v>979.9</v>
      </c>
      <c r="AR61" s="746">
        <f t="shared" si="12"/>
        <v>947.40000000000009</v>
      </c>
      <c r="AS61" s="746">
        <f t="shared" si="12"/>
        <v>1005.1</v>
      </c>
      <c r="AT61" s="746">
        <f t="shared" si="12"/>
        <v>1075.8</v>
      </c>
      <c r="AU61" s="746">
        <f t="shared" si="12"/>
        <v>1336.5</v>
      </c>
      <c r="AV61" s="746">
        <f t="shared" si="12"/>
        <v>1345.8</v>
      </c>
      <c r="AW61" s="746">
        <f t="shared" si="12"/>
        <v>1338.6</v>
      </c>
      <c r="AX61" s="746">
        <f t="shared" si="12"/>
        <v>1376.4</v>
      </c>
      <c r="AY61" s="746">
        <f t="shared" si="12"/>
        <v>1404.7</v>
      </c>
      <c r="AZ61" s="746">
        <f t="shared" si="12"/>
        <v>1434.6</v>
      </c>
      <c r="BA61" s="746">
        <f t="shared" si="12"/>
        <v>1485.2</v>
      </c>
      <c r="BB61" s="746">
        <f t="shared" si="12"/>
        <v>1639.8</v>
      </c>
    </row>
    <row r="62" spans="1:54" s="747" customFormat="1" x14ac:dyDescent="0.25">
      <c r="A62" s="748" t="s">
        <v>1150</v>
      </c>
      <c r="B62" s="742"/>
      <c r="C62" s="743" t="s">
        <v>1038</v>
      </c>
      <c r="D62" s="744" t="s">
        <v>1114</v>
      </c>
      <c r="E62" s="745" t="s">
        <v>38</v>
      </c>
      <c r="F62" s="743" t="s">
        <v>1077</v>
      </c>
      <c r="G62" s="743"/>
      <c r="H62" s="746">
        <f t="shared" ref="H62:O62" si="13">+H58-H61</f>
        <v>0</v>
      </c>
      <c r="I62" s="746">
        <f t="shared" si="13"/>
        <v>0</v>
      </c>
      <c r="J62" s="746">
        <f t="shared" si="13"/>
        <v>0</v>
      </c>
      <c r="K62" s="746">
        <f t="shared" si="13"/>
        <v>0</v>
      </c>
      <c r="L62" s="746">
        <f t="shared" si="13"/>
        <v>0</v>
      </c>
      <c r="M62" s="746">
        <f t="shared" si="13"/>
        <v>0</v>
      </c>
      <c r="N62" s="746">
        <f t="shared" si="13"/>
        <v>0</v>
      </c>
      <c r="O62" s="746">
        <f t="shared" si="13"/>
        <v>0</v>
      </c>
      <c r="P62" s="746">
        <f>+P58-P61</f>
        <v>0</v>
      </c>
      <c r="Q62" s="746">
        <f t="shared" ref="Q62:BB62" si="14">+Q58-Q61</f>
        <v>0</v>
      </c>
      <c r="R62" s="746">
        <f t="shared" si="14"/>
        <v>0</v>
      </c>
      <c r="S62" s="746">
        <f t="shared" si="14"/>
        <v>0</v>
      </c>
      <c r="T62" s="746">
        <f t="shared" si="14"/>
        <v>0</v>
      </c>
      <c r="U62" s="746">
        <f t="shared" si="14"/>
        <v>0</v>
      </c>
      <c r="V62" s="746">
        <f t="shared" si="14"/>
        <v>0</v>
      </c>
      <c r="W62" s="746">
        <f t="shared" si="14"/>
        <v>0</v>
      </c>
      <c r="X62" s="746">
        <f t="shared" si="14"/>
        <v>0</v>
      </c>
      <c r="Y62" s="746">
        <f t="shared" si="14"/>
        <v>0</v>
      </c>
      <c r="Z62" s="746">
        <f t="shared" si="14"/>
        <v>0</v>
      </c>
      <c r="AA62" s="746">
        <f t="shared" si="14"/>
        <v>0</v>
      </c>
      <c r="AB62" s="746">
        <f t="shared" si="14"/>
        <v>0</v>
      </c>
      <c r="AC62" s="746">
        <f t="shared" si="14"/>
        <v>0</v>
      </c>
      <c r="AD62" s="746">
        <f t="shared" si="14"/>
        <v>0</v>
      </c>
      <c r="AE62" s="746">
        <f t="shared" si="14"/>
        <v>0</v>
      </c>
      <c r="AF62" s="746">
        <f t="shared" si="14"/>
        <v>0</v>
      </c>
      <c r="AG62" s="746">
        <f t="shared" si="14"/>
        <v>0</v>
      </c>
      <c r="AH62" s="746">
        <f t="shared" si="14"/>
        <v>0</v>
      </c>
      <c r="AI62" s="746">
        <f t="shared" si="14"/>
        <v>0</v>
      </c>
      <c r="AJ62" s="746">
        <f t="shared" si="14"/>
        <v>0</v>
      </c>
      <c r="AK62" s="746">
        <f t="shared" si="14"/>
        <v>0</v>
      </c>
      <c r="AL62" s="746">
        <f t="shared" si="14"/>
        <v>0</v>
      </c>
      <c r="AM62" s="746">
        <f t="shared" si="14"/>
        <v>0</v>
      </c>
      <c r="AN62" s="746">
        <f t="shared" si="14"/>
        <v>3393.2</v>
      </c>
      <c r="AO62" s="746">
        <f t="shared" si="14"/>
        <v>2416.8999999999996</v>
      </c>
      <c r="AP62" s="746">
        <f t="shared" si="14"/>
        <v>2741.3</v>
      </c>
      <c r="AQ62" s="746">
        <f t="shared" si="14"/>
        <v>3738.1</v>
      </c>
      <c r="AR62" s="746">
        <f t="shared" si="14"/>
        <v>3603.5000000000005</v>
      </c>
      <c r="AS62" s="746">
        <f t="shared" si="14"/>
        <v>3516.6000000000008</v>
      </c>
      <c r="AT62" s="746">
        <f t="shared" si="14"/>
        <v>3723.0999999999995</v>
      </c>
      <c r="AU62" s="746">
        <f t="shared" si="14"/>
        <v>4475.2999999999993</v>
      </c>
      <c r="AV62" s="746">
        <f t="shared" si="14"/>
        <v>3800.6000000000004</v>
      </c>
      <c r="AW62" s="746">
        <f t="shared" si="14"/>
        <v>3866.8000000000006</v>
      </c>
      <c r="AX62" s="746">
        <f t="shared" si="14"/>
        <v>4484.4000000000015</v>
      </c>
      <c r="AY62" s="746">
        <f t="shared" si="14"/>
        <v>5004.5000000000018</v>
      </c>
      <c r="AZ62" s="746">
        <f t="shared" si="14"/>
        <v>4377</v>
      </c>
      <c r="BA62" s="746">
        <f t="shared" si="14"/>
        <v>4611.6000000000004</v>
      </c>
      <c r="BB62" s="746">
        <f t="shared" si="14"/>
        <v>4797.2</v>
      </c>
    </row>
    <row r="63" spans="1:54" x14ac:dyDescent="0.25">
      <c r="A63" s="703" t="s">
        <v>1151</v>
      </c>
      <c r="B63" s="737" t="str">
        <f>IF(IF(D63="+",MIN(H63:IU63)&gt;=0,IF(D63="-",MAX(H63:IU63)&lt;=0,TRUE)),"",1)</f>
        <v/>
      </c>
      <c r="C63" s="705" t="s">
        <v>1036</v>
      </c>
      <c r="D63" s="738" t="s">
        <v>1109</v>
      </c>
      <c r="E63" s="739" t="s">
        <v>106</v>
      </c>
      <c r="F63" s="705" t="s">
        <v>1077</v>
      </c>
    </row>
    <row r="64" spans="1:54" x14ac:dyDescent="0.25">
      <c r="A64" s="750" t="s">
        <v>1152</v>
      </c>
      <c r="B64" s="737" t="str">
        <f>IF(IF(D64="+",MIN(H64:IU64)&gt;=0,IF(D64="-",MAX(H64:IU64)&lt;=0,TRUE)),"",1)</f>
        <v/>
      </c>
      <c r="C64" s="705" t="s">
        <v>1036</v>
      </c>
      <c r="D64" s="738" t="s">
        <v>1159</v>
      </c>
      <c r="E64" s="739" t="s">
        <v>1153</v>
      </c>
      <c r="F64" s="705" t="s">
        <v>1077</v>
      </c>
      <c r="H64" s="740"/>
      <c r="I64" s="740"/>
      <c r="J64" s="740"/>
      <c r="K64" s="740"/>
      <c r="L64" s="740"/>
      <c r="M64" s="740"/>
      <c r="N64" s="740"/>
      <c r="O64" s="740"/>
      <c r="P64" s="740"/>
      <c r="Q64" s="740"/>
      <c r="R64" s="740"/>
      <c r="S64" s="740"/>
      <c r="T64" s="740"/>
      <c r="U64" s="740"/>
      <c r="V64" s="740"/>
      <c r="W64" s="740"/>
      <c r="X64" s="740"/>
      <c r="Y64" s="740"/>
      <c r="Z64" s="740"/>
      <c r="AA64" s="740"/>
      <c r="AB64" s="740"/>
      <c r="AC64" s="740"/>
      <c r="AD64" s="740"/>
      <c r="AE64" s="740"/>
      <c r="AF64" s="740"/>
      <c r="AG64" s="740"/>
      <c r="AH64" s="740"/>
      <c r="AI64" s="1065"/>
      <c r="AJ64" s="1065"/>
      <c r="AK64" s="1065"/>
      <c r="AL64" s="1065"/>
      <c r="AM64" s="1065"/>
      <c r="AN64" s="1065">
        <f>+Qtrly!I85+Qtrly!I86</f>
        <v>1398.4</v>
      </c>
      <c r="AO64" s="1065">
        <f>+Qtrly!J85+Qtrly!J86</f>
        <v>1091.5999999999999</v>
      </c>
      <c r="AP64" s="1065">
        <f>+Qtrly!K85+Qtrly!K86</f>
        <v>2108.1</v>
      </c>
      <c r="AQ64" s="1065">
        <f>+Qtrly!L85+Qtrly!L86</f>
        <v>1362.8000000000002</v>
      </c>
      <c r="AR64" s="1065">
        <f>+Qtrly!M85+Qtrly!M86</f>
        <v>-157.5</v>
      </c>
      <c r="AS64" s="1065">
        <f>+Qtrly!N85+Qtrly!N86</f>
        <v>706.7</v>
      </c>
      <c r="AT64" s="1065">
        <f>+Qtrly!O85+Qtrly!O86</f>
        <v>1434.5</v>
      </c>
      <c r="AU64" s="1065">
        <f>+Qtrly!P85+Qtrly!P86</f>
        <v>1340.8000000000002</v>
      </c>
      <c r="AV64" s="1065">
        <f>+Qtrly!Q85+Qtrly!Q86</f>
        <v>823.4</v>
      </c>
      <c r="AW64" s="1065">
        <f>+Qtrly!R85+Qtrly!R86</f>
        <v>-804.3</v>
      </c>
      <c r="AX64" s="1065">
        <f>+Qtrly!S85+Qtrly!S86</f>
        <v>2560.1000000000004</v>
      </c>
      <c r="AY64" s="1065">
        <f>+Qtrly!T85+Qtrly!T86</f>
        <v>78.200000000000045</v>
      </c>
      <c r="AZ64" s="1065">
        <f>+Qtrly!U85+Qtrly!U86</f>
        <v>549.9</v>
      </c>
      <c r="BA64" s="1065">
        <f>+Qtrly!V85+Qtrly!V86</f>
        <v>1045.9000000000001</v>
      </c>
      <c r="BB64" s="1065">
        <f>+Qtrly!W85+Qtrly!W86</f>
        <v>930.3</v>
      </c>
    </row>
    <row r="65" spans="1:54" s="747" customFormat="1" x14ac:dyDescent="0.25">
      <c r="A65" s="741" t="s">
        <v>1154</v>
      </c>
      <c r="B65" s="742"/>
      <c r="C65" s="743" t="s">
        <v>1038</v>
      </c>
      <c r="D65" s="744" t="s">
        <v>1114</v>
      </c>
      <c r="E65" s="745" t="s">
        <v>1155</v>
      </c>
      <c r="F65" s="743" t="s">
        <v>1077</v>
      </c>
      <c r="G65" s="743"/>
      <c r="H65" s="746">
        <f t="shared" ref="H65:O65" si="15">+H63+H64</f>
        <v>0</v>
      </c>
      <c r="I65" s="746">
        <f t="shared" si="15"/>
        <v>0</v>
      </c>
      <c r="J65" s="746">
        <f t="shared" si="15"/>
        <v>0</v>
      </c>
      <c r="K65" s="746">
        <f t="shared" si="15"/>
        <v>0</v>
      </c>
      <c r="L65" s="746">
        <f t="shared" si="15"/>
        <v>0</v>
      </c>
      <c r="M65" s="746">
        <f t="shared" si="15"/>
        <v>0</v>
      </c>
      <c r="N65" s="746">
        <f t="shared" si="15"/>
        <v>0</v>
      </c>
      <c r="O65" s="746">
        <f t="shared" si="15"/>
        <v>0</v>
      </c>
      <c r="P65" s="746">
        <f>+P63+P64</f>
        <v>0</v>
      </c>
      <c r="Q65" s="746">
        <f t="shared" ref="Q65:BB65" si="16">+Q63+Q64</f>
        <v>0</v>
      </c>
      <c r="R65" s="746">
        <f t="shared" si="16"/>
        <v>0</v>
      </c>
      <c r="S65" s="746">
        <f t="shared" si="16"/>
        <v>0</v>
      </c>
      <c r="T65" s="746">
        <f t="shared" si="16"/>
        <v>0</v>
      </c>
      <c r="U65" s="746">
        <f t="shared" si="16"/>
        <v>0</v>
      </c>
      <c r="V65" s="746">
        <f t="shared" si="16"/>
        <v>0</v>
      </c>
      <c r="W65" s="746">
        <f t="shared" si="16"/>
        <v>0</v>
      </c>
      <c r="X65" s="746">
        <f t="shared" si="16"/>
        <v>0</v>
      </c>
      <c r="Y65" s="746">
        <f t="shared" si="16"/>
        <v>0</v>
      </c>
      <c r="Z65" s="746">
        <f t="shared" si="16"/>
        <v>0</v>
      </c>
      <c r="AA65" s="746">
        <f t="shared" si="16"/>
        <v>0</v>
      </c>
      <c r="AB65" s="746">
        <f t="shared" si="16"/>
        <v>0</v>
      </c>
      <c r="AC65" s="746">
        <f t="shared" si="16"/>
        <v>0</v>
      </c>
      <c r="AD65" s="746">
        <f t="shared" si="16"/>
        <v>0</v>
      </c>
      <c r="AE65" s="746">
        <f t="shared" si="16"/>
        <v>0</v>
      </c>
      <c r="AF65" s="746">
        <f t="shared" si="16"/>
        <v>0</v>
      </c>
      <c r="AG65" s="746">
        <f t="shared" si="16"/>
        <v>0</v>
      </c>
      <c r="AH65" s="746">
        <f t="shared" si="16"/>
        <v>0</v>
      </c>
      <c r="AI65" s="746">
        <f t="shared" si="16"/>
        <v>0</v>
      </c>
      <c r="AJ65" s="746">
        <f t="shared" si="16"/>
        <v>0</v>
      </c>
      <c r="AK65" s="746">
        <f t="shared" si="16"/>
        <v>0</v>
      </c>
      <c r="AL65" s="746">
        <f t="shared" si="16"/>
        <v>0</v>
      </c>
      <c r="AM65" s="746">
        <f t="shared" si="16"/>
        <v>0</v>
      </c>
      <c r="AN65" s="746">
        <f t="shared" si="16"/>
        <v>1398.4</v>
      </c>
      <c r="AO65" s="746">
        <f t="shared" si="16"/>
        <v>1091.5999999999999</v>
      </c>
      <c r="AP65" s="746">
        <f t="shared" si="16"/>
        <v>2108.1</v>
      </c>
      <c r="AQ65" s="746">
        <f t="shared" si="16"/>
        <v>1362.8000000000002</v>
      </c>
      <c r="AR65" s="746">
        <f t="shared" si="16"/>
        <v>-157.5</v>
      </c>
      <c r="AS65" s="746">
        <f t="shared" si="16"/>
        <v>706.7</v>
      </c>
      <c r="AT65" s="746">
        <f t="shared" si="16"/>
        <v>1434.5</v>
      </c>
      <c r="AU65" s="746">
        <f t="shared" si="16"/>
        <v>1340.8000000000002</v>
      </c>
      <c r="AV65" s="746">
        <f t="shared" si="16"/>
        <v>823.4</v>
      </c>
      <c r="AW65" s="746">
        <f t="shared" si="16"/>
        <v>-804.3</v>
      </c>
      <c r="AX65" s="746">
        <f t="shared" si="16"/>
        <v>2560.1000000000004</v>
      </c>
      <c r="AY65" s="746">
        <f t="shared" si="16"/>
        <v>78.200000000000045</v>
      </c>
      <c r="AZ65" s="746">
        <f t="shared" si="16"/>
        <v>549.9</v>
      </c>
      <c r="BA65" s="746">
        <f t="shared" si="16"/>
        <v>1045.9000000000001</v>
      </c>
      <c r="BB65" s="746">
        <f t="shared" si="16"/>
        <v>930.3</v>
      </c>
    </row>
    <row r="66" spans="1:54" x14ac:dyDescent="0.25">
      <c r="A66" s="750" t="s">
        <v>1156</v>
      </c>
      <c r="B66" s="737" t="str">
        <f>IF(IF(D66="+",MIN(H66:IU66)&gt;=0,IF(D66="-",MAX(H66:IU66)&lt;=0,TRUE)),"",1)</f>
        <v/>
      </c>
      <c r="C66" s="705" t="s">
        <v>1036</v>
      </c>
      <c r="D66" s="738" t="s">
        <v>1109</v>
      </c>
      <c r="E66" s="739" t="s">
        <v>1157</v>
      </c>
      <c r="F66" s="705" t="s">
        <v>1077</v>
      </c>
      <c r="H66" s="740"/>
      <c r="I66" s="740"/>
      <c r="J66" s="740"/>
      <c r="K66" s="740"/>
      <c r="L66" s="740"/>
      <c r="M66" s="740"/>
      <c r="N66" s="740"/>
      <c r="O66" s="740"/>
      <c r="P66" s="740"/>
      <c r="Q66" s="740"/>
      <c r="R66" s="740"/>
      <c r="S66" s="740"/>
      <c r="T66" s="740"/>
      <c r="U66" s="740"/>
      <c r="V66" s="740"/>
      <c r="W66" s="740"/>
      <c r="X66" s="740"/>
      <c r="Y66" s="740"/>
      <c r="Z66" s="740"/>
      <c r="AA66" s="740"/>
      <c r="AB66" s="740"/>
      <c r="AC66" s="740"/>
      <c r="AD66" s="740"/>
      <c r="AE66" s="740"/>
      <c r="AF66" s="740"/>
      <c r="AG66" s="740"/>
      <c r="AH66" s="740"/>
      <c r="AI66" s="1065"/>
      <c r="AJ66" s="1065"/>
      <c r="AK66" s="1065"/>
      <c r="AL66" s="1065"/>
      <c r="AM66" s="1065"/>
      <c r="AN66" s="1065">
        <f>Qtrly!I80</f>
        <v>414.19999999999993</v>
      </c>
      <c r="AO66" s="1065">
        <f>Qtrly!J80</f>
        <v>345.1</v>
      </c>
      <c r="AP66" s="1065">
        <f>Qtrly!K80</f>
        <v>442.9</v>
      </c>
      <c r="AQ66" s="1065">
        <f>Qtrly!L80</f>
        <v>579</v>
      </c>
      <c r="AR66" s="1065">
        <f>Qtrly!M80</f>
        <v>401.30000000000018</v>
      </c>
      <c r="AS66" s="1065">
        <f>Qtrly!N80</f>
        <v>471.7</v>
      </c>
      <c r="AT66" s="1065">
        <f>Qtrly!O80</f>
        <v>781.9</v>
      </c>
      <c r="AU66" s="1065">
        <f>Qtrly!P80</f>
        <v>1039.2</v>
      </c>
      <c r="AV66" s="1065">
        <f>Qtrly!Q80</f>
        <v>939.2</v>
      </c>
      <c r="AW66" s="1065">
        <f>Qtrly!R80</f>
        <v>868.3</v>
      </c>
      <c r="AX66" s="1065">
        <f>Qtrly!S80</f>
        <v>834.8</v>
      </c>
      <c r="AY66" s="1065">
        <f>Qtrly!T80</f>
        <v>887.2</v>
      </c>
      <c r="AZ66" s="1065">
        <f>Qtrly!U80</f>
        <v>898.5</v>
      </c>
      <c r="BA66" s="1065">
        <f>Qtrly!V80</f>
        <v>1067.2</v>
      </c>
      <c r="BB66" s="1065">
        <f>Qtrly!W80</f>
        <v>597.20000000000005</v>
      </c>
    </row>
    <row r="67" spans="1:54" x14ac:dyDescent="0.25">
      <c r="A67" s="750" t="s">
        <v>1158</v>
      </c>
      <c r="B67" s="737" t="str">
        <f>IF(IF(D67="+",MIN(H67:IU67)&gt;=0,IF(D67="-",MAX(H67:IU67)&lt;=0,TRUE)),"",1)</f>
        <v/>
      </c>
      <c r="C67" s="705" t="s">
        <v>1036</v>
      </c>
      <c r="D67" s="738" t="s">
        <v>1159</v>
      </c>
      <c r="E67" s="739" t="s">
        <v>1160</v>
      </c>
      <c r="F67" s="705" t="s">
        <v>1077</v>
      </c>
      <c r="H67" s="740"/>
      <c r="I67" s="740"/>
      <c r="J67" s="740"/>
      <c r="K67" s="740"/>
      <c r="L67" s="740"/>
      <c r="M67" s="740"/>
      <c r="N67" s="740"/>
      <c r="O67" s="740"/>
      <c r="P67" s="740"/>
      <c r="Q67" s="740"/>
      <c r="R67" s="740"/>
      <c r="S67" s="740"/>
      <c r="T67" s="740"/>
      <c r="U67" s="740"/>
      <c r="V67" s="740"/>
      <c r="W67" s="740"/>
      <c r="X67" s="740"/>
      <c r="Y67" s="740"/>
      <c r="Z67" s="740"/>
      <c r="AA67" s="740"/>
      <c r="AB67" s="740"/>
      <c r="AC67" s="740"/>
      <c r="AD67" s="740"/>
      <c r="AE67" s="740"/>
      <c r="AF67" s="740"/>
      <c r="AG67" s="740"/>
      <c r="AH67" s="740"/>
      <c r="AI67" s="740"/>
      <c r="AJ67" s="740"/>
      <c r="AK67" s="740"/>
      <c r="AL67" s="740"/>
      <c r="AM67" s="740"/>
      <c r="AN67" s="740">
        <f>-Qtrly!I89</f>
        <v>0</v>
      </c>
      <c r="AO67" s="740">
        <f>-Qtrly!J89</f>
        <v>0</v>
      </c>
      <c r="AP67" s="740">
        <f>-Qtrly!K89</f>
        <v>0</v>
      </c>
      <c r="AQ67" s="740">
        <f>-Qtrly!L89</f>
        <v>0</v>
      </c>
      <c r="AR67" s="740">
        <f>-Qtrly!M89</f>
        <v>0</v>
      </c>
      <c r="AS67" s="740">
        <f>-Qtrly!N89</f>
        <v>0</v>
      </c>
      <c r="AT67" s="740">
        <f>-Qtrly!O89</f>
        <v>0</v>
      </c>
      <c r="AU67" s="740">
        <f>-Qtrly!P89</f>
        <v>0</v>
      </c>
      <c r="AV67" s="740">
        <f>-Qtrly!Q89</f>
        <v>0</v>
      </c>
      <c r="AW67" s="740">
        <f>-Qtrly!R89</f>
        <v>0</v>
      </c>
      <c r="AX67" s="740">
        <f>-Qtrly!S89</f>
        <v>0</v>
      </c>
      <c r="AY67" s="740">
        <f>-Qtrly!T89</f>
        <v>0</v>
      </c>
      <c r="AZ67" s="740">
        <f>-Qtrly!U89</f>
        <v>0</v>
      </c>
      <c r="BA67" s="740">
        <f>-Qtrly!V89</f>
        <v>0</v>
      </c>
      <c r="BB67" s="740">
        <f>-Qtrly!W89</f>
        <v>-72.400000000000006</v>
      </c>
    </row>
    <row r="68" spans="1:54" s="747" customFormat="1" x14ac:dyDescent="0.25">
      <c r="A68" s="748" t="s">
        <v>1161</v>
      </c>
      <c r="B68" s="742"/>
      <c r="C68" s="743" t="s">
        <v>1038</v>
      </c>
      <c r="D68" s="744" t="s">
        <v>1114</v>
      </c>
      <c r="E68" s="745" t="s">
        <v>1162</v>
      </c>
      <c r="F68" s="743" t="s">
        <v>1077</v>
      </c>
      <c r="G68" s="743"/>
      <c r="H68" s="746">
        <f t="shared" ref="H68:O68" si="17">+H62-H65+H66+H67</f>
        <v>0</v>
      </c>
      <c r="I68" s="746">
        <f t="shared" si="17"/>
        <v>0</v>
      </c>
      <c r="J68" s="746">
        <f t="shared" si="17"/>
        <v>0</v>
      </c>
      <c r="K68" s="746">
        <f t="shared" si="17"/>
        <v>0</v>
      </c>
      <c r="L68" s="746">
        <f t="shared" si="17"/>
        <v>0</v>
      </c>
      <c r="M68" s="746">
        <f t="shared" si="17"/>
        <v>0</v>
      </c>
      <c r="N68" s="746">
        <f t="shared" si="17"/>
        <v>0</v>
      </c>
      <c r="O68" s="746">
        <f t="shared" si="17"/>
        <v>0</v>
      </c>
      <c r="P68" s="746">
        <f>+P62-P65+P66+P67</f>
        <v>0</v>
      </c>
      <c r="Q68" s="746">
        <f>+Q62-Q65+Q66+Q67</f>
        <v>0</v>
      </c>
      <c r="R68" s="746">
        <f>+R62-R65+R66+R67</f>
        <v>0</v>
      </c>
      <c r="S68" s="746">
        <f t="shared" ref="S68:BB68" si="18">+S62-S65+S66+S67</f>
        <v>0</v>
      </c>
      <c r="T68" s="746">
        <f t="shared" si="18"/>
        <v>0</v>
      </c>
      <c r="U68" s="746">
        <f t="shared" si="18"/>
        <v>0</v>
      </c>
      <c r="V68" s="746">
        <f t="shared" si="18"/>
        <v>0</v>
      </c>
      <c r="W68" s="746">
        <f t="shared" si="18"/>
        <v>0</v>
      </c>
      <c r="X68" s="746">
        <f t="shared" si="18"/>
        <v>0</v>
      </c>
      <c r="Y68" s="746">
        <f t="shared" si="18"/>
        <v>0</v>
      </c>
      <c r="Z68" s="746">
        <f t="shared" si="18"/>
        <v>0</v>
      </c>
      <c r="AA68" s="746">
        <f t="shared" si="18"/>
        <v>0</v>
      </c>
      <c r="AB68" s="746">
        <f t="shared" si="18"/>
        <v>0</v>
      </c>
      <c r="AC68" s="746">
        <f t="shared" si="18"/>
        <v>0</v>
      </c>
      <c r="AD68" s="746">
        <f t="shared" si="18"/>
        <v>0</v>
      </c>
      <c r="AE68" s="746">
        <f t="shared" si="18"/>
        <v>0</v>
      </c>
      <c r="AF68" s="746">
        <f t="shared" si="18"/>
        <v>0</v>
      </c>
      <c r="AG68" s="746">
        <f t="shared" si="18"/>
        <v>0</v>
      </c>
      <c r="AH68" s="746">
        <f t="shared" si="18"/>
        <v>0</v>
      </c>
      <c r="AI68" s="746">
        <f t="shared" si="18"/>
        <v>0</v>
      </c>
      <c r="AJ68" s="746">
        <f t="shared" si="18"/>
        <v>0</v>
      </c>
      <c r="AK68" s="746">
        <f t="shared" si="18"/>
        <v>0</v>
      </c>
      <c r="AL68" s="746">
        <f t="shared" si="18"/>
        <v>0</v>
      </c>
      <c r="AM68" s="746">
        <f t="shared" si="18"/>
        <v>0</v>
      </c>
      <c r="AN68" s="746">
        <f t="shared" si="18"/>
        <v>2408.9999999999995</v>
      </c>
      <c r="AO68" s="746">
        <f t="shared" si="18"/>
        <v>1670.3999999999996</v>
      </c>
      <c r="AP68" s="746">
        <f t="shared" si="18"/>
        <v>1076.1000000000004</v>
      </c>
      <c r="AQ68" s="746">
        <f t="shared" si="18"/>
        <v>2954.2999999999997</v>
      </c>
      <c r="AR68" s="746">
        <f t="shared" si="18"/>
        <v>4162.3000000000011</v>
      </c>
      <c r="AS68" s="746">
        <f t="shared" si="18"/>
        <v>3281.6000000000004</v>
      </c>
      <c r="AT68" s="746">
        <f t="shared" si="18"/>
        <v>3070.4999999999995</v>
      </c>
      <c r="AU68" s="746">
        <f t="shared" si="18"/>
        <v>4173.6999999999989</v>
      </c>
      <c r="AV68" s="746">
        <f t="shared" si="18"/>
        <v>3916.4000000000005</v>
      </c>
      <c r="AW68" s="746">
        <f t="shared" si="18"/>
        <v>5539.4000000000005</v>
      </c>
      <c r="AX68" s="746">
        <f t="shared" si="18"/>
        <v>2759.1000000000013</v>
      </c>
      <c r="AY68" s="746">
        <f t="shared" si="18"/>
        <v>5813.5000000000018</v>
      </c>
      <c r="AZ68" s="746">
        <f t="shared" si="18"/>
        <v>4725.6000000000004</v>
      </c>
      <c r="BA68" s="746">
        <f t="shared" si="18"/>
        <v>4632.9000000000005</v>
      </c>
      <c r="BB68" s="746">
        <f t="shared" si="18"/>
        <v>4391.7</v>
      </c>
    </row>
    <row r="69" spans="1:54" s="747" customFormat="1" x14ac:dyDescent="0.25">
      <c r="A69" s="741" t="s">
        <v>1163</v>
      </c>
      <c r="B69" s="742"/>
      <c r="C69" s="743" t="s">
        <v>1038</v>
      </c>
      <c r="D69" s="744" t="s">
        <v>1114</v>
      </c>
      <c r="E69" s="745" t="s">
        <v>1164</v>
      </c>
      <c r="F69" s="743" t="s">
        <v>1077</v>
      </c>
      <c r="G69" s="743"/>
      <c r="H69" s="746">
        <f t="shared" ref="H69:O69" si="19">+H68-H67</f>
        <v>0</v>
      </c>
      <c r="I69" s="746">
        <f t="shared" si="19"/>
        <v>0</v>
      </c>
      <c r="J69" s="746">
        <f t="shared" si="19"/>
        <v>0</v>
      </c>
      <c r="K69" s="746">
        <f t="shared" si="19"/>
        <v>0</v>
      </c>
      <c r="L69" s="746">
        <f t="shared" si="19"/>
        <v>0</v>
      </c>
      <c r="M69" s="746">
        <f t="shared" si="19"/>
        <v>0</v>
      </c>
      <c r="N69" s="746">
        <f t="shared" si="19"/>
        <v>0</v>
      </c>
      <c r="O69" s="746">
        <f t="shared" si="19"/>
        <v>0</v>
      </c>
      <c r="P69" s="746">
        <f>+P68-P67</f>
        <v>0</v>
      </c>
      <c r="Q69" s="746">
        <f t="shared" ref="Q69:BB69" si="20">+Q68-Q67</f>
        <v>0</v>
      </c>
      <c r="R69" s="746">
        <f t="shared" si="20"/>
        <v>0</v>
      </c>
      <c r="S69" s="746">
        <f t="shared" si="20"/>
        <v>0</v>
      </c>
      <c r="T69" s="746">
        <f t="shared" si="20"/>
        <v>0</v>
      </c>
      <c r="U69" s="746">
        <f t="shared" si="20"/>
        <v>0</v>
      </c>
      <c r="V69" s="746">
        <f t="shared" si="20"/>
        <v>0</v>
      </c>
      <c r="W69" s="746">
        <f t="shared" si="20"/>
        <v>0</v>
      </c>
      <c r="X69" s="746">
        <f t="shared" si="20"/>
        <v>0</v>
      </c>
      <c r="Y69" s="746">
        <f t="shared" si="20"/>
        <v>0</v>
      </c>
      <c r="Z69" s="746">
        <f t="shared" si="20"/>
        <v>0</v>
      </c>
      <c r="AA69" s="746">
        <f t="shared" si="20"/>
        <v>0</v>
      </c>
      <c r="AB69" s="746">
        <f t="shared" si="20"/>
        <v>0</v>
      </c>
      <c r="AC69" s="746">
        <f t="shared" si="20"/>
        <v>0</v>
      </c>
      <c r="AD69" s="746">
        <f t="shared" si="20"/>
        <v>0</v>
      </c>
      <c r="AE69" s="746">
        <f t="shared" si="20"/>
        <v>0</v>
      </c>
      <c r="AF69" s="746">
        <f t="shared" si="20"/>
        <v>0</v>
      </c>
      <c r="AG69" s="746">
        <f t="shared" si="20"/>
        <v>0</v>
      </c>
      <c r="AH69" s="746">
        <f t="shared" si="20"/>
        <v>0</v>
      </c>
      <c r="AI69" s="746">
        <f t="shared" si="20"/>
        <v>0</v>
      </c>
      <c r="AJ69" s="746">
        <f t="shared" si="20"/>
        <v>0</v>
      </c>
      <c r="AK69" s="746">
        <f t="shared" si="20"/>
        <v>0</v>
      </c>
      <c r="AL69" s="746">
        <f t="shared" si="20"/>
        <v>0</v>
      </c>
      <c r="AM69" s="746">
        <f t="shared" si="20"/>
        <v>0</v>
      </c>
      <c r="AN69" s="746">
        <f t="shared" si="20"/>
        <v>2408.9999999999995</v>
      </c>
      <c r="AO69" s="746">
        <f t="shared" si="20"/>
        <v>1670.3999999999996</v>
      </c>
      <c r="AP69" s="746">
        <f t="shared" si="20"/>
        <v>1076.1000000000004</v>
      </c>
      <c r="AQ69" s="746">
        <f t="shared" si="20"/>
        <v>2954.2999999999997</v>
      </c>
      <c r="AR69" s="746">
        <f t="shared" si="20"/>
        <v>4162.3000000000011</v>
      </c>
      <c r="AS69" s="746">
        <f t="shared" si="20"/>
        <v>3281.6000000000004</v>
      </c>
      <c r="AT69" s="746">
        <f t="shared" si="20"/>
        <v>3070.4999999999995</v>
      </c>
      <c r="AU69" s="746">
        <f t="shared" si="20"/>
        <v>4173.6999999999989</v>
      </c>
      <c r="AV69" s="746">
        <f t="shared" si="20"/>
        <v>3916.4000000000005</v>
      </c>
      <c r="AW69" s="746">
        <f t="shared" si="20"/>
        <v>5539.4000000000005</v>
      </c>
      <c r="AX69" s="746">
        <f t="shared" si="20"/>
        <v>2759.1000000000013</v>
      </c>
      <c r="AY69" s="746">
        <f t="shared" si="20"/>
        <v>5813.5000000000018</v>
      </c>
      <c r="AZ69" s="746">
        <f t="shared" si="20"/>
        <v>4725.6000000000004</v>
      </c>
      <c r="BA69" s="746">
        <f t="shared" si="20"/>
        <v>4632.9000000000005</v>
      </c>
      <c r="BB69" s="746">
        <f t="shared" si="20"/>
        <v>4464.0999999999995</v>
      </c>
    </row>
    <row r="70" spans="1:54" x14ac:dyDescent="0.25">
      <c r="A70" s="703" t="s">
        <v>1165</v>
      </c>
      <c r="B70" s="737" t="str">
        <f>IF(IF(D70="+",MIN(H70:IU70)&gt;=0,IF(D70="-",MAX(H70:IU70)&lt;=0,TRUE)),"",1)</f>
        <v/>
      </c>
      <c r="C70" s="705" t="s">
        <v>1036</v>
      </c>
      <c r="D70" s="738" t="s">
        <v>1109</v>
      </c>
      <c r="E70" s="739" t="s">
        <v>42</v>
      </c>
      <c r="F70" s="705" t="s">
        <v>1077</v>
      </c>
      <c r="H70" s="740"/>
      <c r="I70" s="740"/>
      <c r="J70" s="740"/>
      <c r="K70" s="740"/>
      <c r="L70" s="740"/>
      <c r="M70" s="740"/>
      <c r="N70" s="740"/>
      <c r="O70" s="740"/>
      <c r="P70" s="740"/>
      <c r="Q70" s="740"/>
      <c r="R70" s="740"/>
      <c r="S70" s="740"/>
      <c r="T70" s="740"/>
      <c r="U70" s="740"/>
      <c r="V70" s="740"/>
      <c r="W70" s="740"/>
      <c r="X70" s="740"/>
      <c r="Y70" s="740"/>
      <c r="Z70" s="740"/>
      <c r="AA70" s="740"/>
      <c r="AB70" s="740"/>
      <c r="AC70" s="740"/>
      <c r="AD70" s="740"/>
      <c r="AE70" s="740"/>
      <c r="AF70" s="740"/>
      <c r="AG70" s="740"/>
      <c r="AH70" s="740"/>
    </row>
    <row r="71" spans="1:54" x14ac:dyDescent="0.25">
      <c r="A71" s="703" t="s">
        <v>1166</v>
      </c>
      <c r="B71" s="737" t="str">
        <f>IF(IF(D71="+",MIN(H71:IU71)&gt;=0,IF(D71="-",MAX(H71:IU71)&lt;=0,TRUE)),"",1)</f>
        <v/>
      </c>
      <c r="C71" s="705" t="s">
        <v>1036</v>
      </c>
      <c r="D71" s="738" t="s">
        <v>1159</v>
      </c>
      <c r="E71" s="739" t="s">
        <v>43</v>
      </c>
      <c r="F71" s="705" t="s">
        <v>1077</v>
      </c>
      <c r="H71" s="740"/>
      <c r="I71" s="740"/>
      <c r="J71" s="740"/>
      <c r="K71" s="740"/>
      <c r="L71" s="740"/>
      <c r="M71" s="740"/>
      <c r="N71" s="740"/>
      <c r="O71" s="740"/>
      <c r="P71" s="740"/>
      <c r="Q71" s="740"/>
      <c r="R71" s="740"/>
      <c r="S71" s="740"/>
      <c r="T71" s="740"/>
      <c r="U71" s="740"/>
      <c r="V71" s="740"/>
      <c r="W71" s="740"/>
      <c r="X71" s="740"/>
      <c r="Y71" s="740"/>
      <c r="Z71" s="740"/>
      <c r="AA71" s="740"/>
      <c r="AB71" s="740"/>
      <c r="AC71" s="740"/>
      <c r="AD71" s="740"/>
      <c r="AE71" s="740"/>
      <c r="AF71" s="740"/>
      <c r="AG71" s="740"/>
      <c r="AH71" s="740"/>
    </row>
    <row r="72" spans="1:54" x14ac:dyDescent="0.25">
      <c r="A72" s="703" t="s">
        <v>1167</v>
      </c>
      <c r="B72" s="737" t="str">
        <f>IF(IF(D72="+",MIN(H72:IU72)&gt;=0,IF(D72="-",MAX(H72:IU72)&lt;=0,TRUE)),"",1)</f>
        <v/>
      </c>
      <c r="C72" s="705" t="s">
        <v>1036</v>
      </c>
      <c r="D72" s="738" t="s">
        <v>1159</v>
      </c>
      <c r="E72" s="739" t="s">
        <v>1168</v>
      </c>
      <c r="F72" s="705" t="s">
        <v>1077</v>
      </c>
      <c r="H72" s="740"/>
      <c r="I72" s="740"/>
      <c r="J72" s="740"/>
      <c r="K72" s="740"/>
      <c r="L72" s="740"/>
      <c r="M72" s="740"/>
      <c r="N72" s="740"/>
      <c r="O72" s="740"/>
      <c r="P72" s="740"/>
      <c r="Q72" s="740"/>
      <c r="R72" s="740"/>
      <c r="S72" s="740"/>
      <c r="T72" s="740"/>
      <c r="U72" s="740"/>
      <c r="V72" s="740"/>
      <c r="W72" s="740"/>
      <c r="X72" s="740"/>
      <c r="Y72" s="740"/>
      <c r="Z72" s="740"/>
      <c r="AA72" s="740"/>
      <c r="AB72" s="740"/>
      <c r="AC72" s="740"/>
      <c r="AD72" s="740"/>
      <c r="AE72" s="740"/>
      <c r="AF72" s="740"/>
      <c r="AG72" s="740"/>
      <c r="AH72" s="740"/>
    </row>
    <row r="73" spans="1:54" s="747" customFormat="1" x14ac:dyDescent="0.25">
      <c r="A73" s="741" t="s">
        <v>1169</v>
      </c>
      <c r="B73" s="742"/>
      <c r="C73" s="743" t="s">
        <v>1038</v>
      </c>
      <c r="D73" s="744" t="s">
        <v>1114</v>
      </c>
      <c r="E73" s="745" t="s">
        <v>45</v>
      </c>
      <c r="F73" s="743" t="s">
        <v>1077</v>
      </c>
      <c r="G73" s="743"/>
      <c r="H73" s="746"/>
      <c r="I73" s="746"/>
      <c r="J73" s="746"/>
      <c r="K73" s="746"/>
      <c r="L73" s="746"/>
      <c r="M73" s="746"/>
      <c r="N73" s="746"/>
      <c r="O73" s="746"/>
      <c r="P73" s="746"/>
      <c r="Q73" s="746"/>
      <c r="R73" s="746"/>
      <c r="S73" s="746"/>
      <c r="T73" s="746"/>
      <c r="U73" s="746"/>
      <c r="V73" s="746"/>
      <c r="W73" s="746"/>
      <c r="X73" s="746"/>
      <c r="Y73" s="746"/>
      <c r="Z73" s="746"/>
      <c r="AA73" s="746"/>
      <c r="AB73" s="746"/>
      <c r="AC73" s="746"/>
      <c r="AD73" s="746"/>
      <c r="AE73" s="746"/>
      <c r="AF73" s="746"/>
      <c r="AG73" s="746"/>
      <c r="AH73" s="746"/>
      <c r="AI73" s="1066"/>
      <c r="AJ73" s="1066"/>
      <c r="AK73" s="1066"/>
      <c r="AL73" s="1066"/>
      <c r="AM73" s="1066"/>
      <c r="AN73" s="746">
        <f>Qtrly!I93</f>
        <v>483.5</v>
      </c>
      <c r="AO73" s="746">
        <f>Qtrly!J93</f>
        <v>287.5</v>
      </c>
      <c r="AP73" s="746">
        <f>Qtrly!K93</f>
        <v>-87.7</v>
      </c>
      <c r="AQ73" s="746">
        <f>Qtrly!L93</f>
        <v>-68.3</v>
      </c>
      <c r="AR73" s="746">
        <f>Qtrly!M93</f>
        <v>902.90000000000009</v>
      </c>
      <c r="AS73" s="746">
        <f>Qtrly!N93</f>
        <v>722.9</v>
      </c>
      <c r="AT73" s="746">
        <f>Qtrly!O93</f>
        <v>534.79999999999995</v>
      </c>
      <c r="AU73" s="746">
        <f>Qtrly!P93</f>
        <v>882.9</v>
      </c>
      <c r="AV73" s="746">
        <f>Qtrly!Q93</f>
        <v>950.9</v>
      </c>
      <c r="AW73" s="746">
        <f>Qtrly!R93</f>
        <v>1802.1</v>
      </c>
      <c r="AX73" s="746">
        <f>Qtrly!S93</f>
        <v>-597.1</v>
      </c>
      <c r="AY73" s="746">
        <f>Qtrly!T93</f>
        <v>657.7</v>
      </c>
      <c r="AZ73" s="746">
        <f>Qtrly!U93</f>
        <v>829.9</v>
      </c>
      <c r="BA73" s="746">
        <f>Qtrly!V93</f>
        <v>944.8</v>
      </c>
      <c r="BB73" s="746">
        <f>Qtrly!W93</f>
        <v>743.2</v>
      </c>
    </row>
    <row r="74" spans="1:54" s="747" customFormat="1" x14ac:dyDescent="0.25">
      <c r="A74" s="741" t="s">
        <v>1170</v>
      </c>
      <c r="B74" s="742"/>
      <c r="C74" s="743" t="s">
        <v>1038</v>
      </c>
      <c r="D74" s="744" t="s">
        <v>1114</v>
      </c>
      <c r="E74" s="745" t="s">
        <v>1171</v>
      </c>
      <c r="F74" s="743" t="s">
        <v>1077</v>
      </c>
      <c r="G74" s="743"/>
      <c r="H74" s="746">
        <f t="shared" ref="H74:O74" si="21">+H68-H73</f>
        <v>0</v>
      </c>
      <c r="I74" s="746">
        <f t="shared" si="21"/>
        <v>0</v>
      </c>
      <c r="J74" s="746">
        <f t="shared" si="21"/>
        <v>0</v>
      </c>
      <c r="K74" s="746">
        <f t="shared" si="21"/>
        <v>0</v>
      </c>
      <c r="L74" s="746">
        <f t="shared" si="21"/>
        <v>0</v>
      </c>
      <c r="M74" s="746">
        <f t="shared" si="21"/>
        <v>0</v>
      </c>
      <c r="N74" s="746">
        <f t="shared" si="21"/>
        <v>0</v>
      </c>
      <c r="O74" s="746">
        <f t="shared" si="21"/>
        <v>0</v>
      </c>
      <c r="P74" s="746">
        <f>+P68-P73</f>
        <v>0</v>
      </c>
      <c r="Q74" s="746">
        <f t="shared" ref="Q74:BB74" si="22">+Q68-Q73</f>
        <v>0</v>
      </c>
      <c r="R74" s="746">
        <f t="shared" si="22"/>
        <v>0</v>
      </c>
      <c r="S74" s="746">
        <f t="shared" si="22"/>
        <v>0</v>
      </c>
      <c r="T74" s="746">
        <f t="shared" si="22"/>
        <v>0</v>
      </c>
      <c r="U74" s="746">
        <f t="shared" si="22"/>
        <v>0</v>
      </c>
      <c r="V74" s="746">
        <f t="shared" si="22"/>
        <v>0</v>
      </c>
      <c r="W74" s="746">
        <f t="shared" si="22"/>
        <v>0</v>
      </c>
      <c r="X74" s="746">
        <f t="shared" si="22"/>
        <v>0</v>
      </c>
      <c r="Y74" s="746">
        <f t="shared" si="22"/>
        <v>0</v>
      </c>
      <c r="Z74" s="746">
        <f t="shared" si="22"/>
        <v>0</v>
      </c>
      <c r="AA74" s="746">
        <f t="shared" si="22"/>
        <v>0</v>
      </c>
      <c r="AB74" s="746">
        <f t="shared" si="22"/>
        <v>0</v>
      </c>
      <c r="AC74" s="746">
        <f t="shared" si="22"/>
        <v>0</v>
      </c>
      <c r="AD74" s="746">
        <f t="shared" si="22"/>
        <v>0</v>
      </c>
      <c r="AE74" s="746">
        <f t="shared" si="22"/>
        <v>0</v>
      </c>
      <c r="AF74" s="746">
        <f t="shared" si="22"/>
        <v>0</v>
      </c>
      <c r="AG74" s="746">
        <f t="shared" si="22"/>
        <v>0</v>
      </c>
      <c r="AH74" s="746">
        <f t="shared" si="22"/>
        <v>0</v>
      </c>
      <c r="AI74" s="746">
        <f t="shared" si="22"/>
        <v>0</v>
      </c>
      <c r="AJ74" s="746">
        <f t="shared" si="22"/>
        <v>0</v>
      </c>
      <c r="AK74" s="746">
        <f t="shared" si="22"/>
        <v>0</v>
      </c>
      <c r="AL74" s="746">
        <f t="shared" si="22"/>
        <v>0</v>
      </c>
      <c r="AM74" s="746">
        <f t="shared" si="22"/>
        <v>0</v>
      </c>
      <c r="AN74" s="746">
        <f t="shared" si="22"/>
        <v>1925.4999999999995</v>
      </c>
      <c r="AO74" s="746">
        <f t="shared" si="22"/>
        <v>1382.8999999999996</v>
      </c>
      <c r="AP74" s="746">
        <f t="shared" si="22"/>
        <v>1163.8000000000004</v>
      </c>
      <c r="AQ74" s="746">
        <f t="shared" si="22"/>
        <v>3022.6</v>
      </c>
      <c r="AR74" s="746">
        <f t="shared" si="22"/>
        <v>3259.400000000001</v>
      </c>
      <c r="AS74" s="746">
        <f t="shared" si="22"/>
        <v>2558.7000000000003</v>
      </c>
      <c r="AT74" s="746">
        <f t="shared" si="22"/>
        <v>2535.6999999999998</v>
      </c>
      <c r="AU74" s="746">
        <f t="shared" si="22"/>
        <v>3290.7999999999988</v>
      </c>
      <c r="AV74" s="746">
        <f t="shared" si="22"/>
        <v>2965.5000000000005</v>
      </c>
      <c r="AW74" s="746">
        <f t="shared" si="22"/>
        <v>3737.3000000000006</v>
      </c>
      <c r="AX74" s="746">
        <f t="shared" si="22"/>
        <v>3356.2000000000012</v>
      </c>
      <c r="AY74" s="746">
        <f t="shared" si="22"/>
        <v>5155.800000000002</v>
      </c>
      <c r="AZ74" s="746">
        <f t="shared" si="22"/>
        <v>3895.7000000000003</v>
      </c>
      <c r="BA74" s="746">
        <f t="shared" si="22"/>
        <v>3688.1000000000004</v>
      </c>
      <c r="BB74" s="746">
        <f t="shared" si="22"/>
        <v>3648.5</v>
      </c>
    </row>
    <row r="75" spans="1:54" x14ac:dyDescent="0.25">
      <c r="A75" s="703" t="s">
        <v>1172</v>
      </c>
      <c r="B75" s="737" t="str">
        <f>IF(IF(D75="+",MIN(H75:IU75)&gt;=0,IF(D75="-",MAX(H75:IU75)&lt;=0,TRUE)),"",1)</f>
        <v/>
      </c>
      <c r="C75" s="705" t="s">
        <v>1036</v>
      </c>
      <c r="D75" s="738" t="s">
        <v>1159</v>
      </c>
      <c r="E75" s="739" t="s">
        <v>1173</v>
      </c>
      <c r="F75" s="705" t="s">
        <v>1077</v>
      </c>
      <c r="H75" s="740"/>
      <c r="I75" s="740"/>
      <c r="J75" s="740"/>
      <c r="K75" s="740"/>
      <c r="L75" s="740"/>
      <c r="M75" s="740"/>
      <c r="N75" s="740"/>
      <c r="O75" s="740"/>
      <c r="P75" s="740"/>
      <c r="Q75" s="740"/>
      <c r="R75" s="740"/>
      <c r="S75" s="740"/>
      <c r="T75" s="740"/>
      <c r="U75" s="740"/>
      <c r="V75" s="740"/>
      <c r="W75" s="740"/>
      <c r="X75" s="740"/>
      <c r="Y75" s="740"/>
      <c r="Z75" s="740"/>
      <c r="AA75" s="740"/>
      <c r="AB75" s="740"/>
      <c r="AC75" s="740"/>
      <c r="AD75" s="740"/>
      <c r="AE75" s="740"/>
      <c r="AF75" s="740"/>
      <c r="AG75" s="740"/>
      <c r="AH75" s="740"/>
    </row>
    <row r="76" spans="1:54" x14ac:dyDescent="0.25">
      <c r="A76" s="703" t="s">
        <v>1174</v>
      </c>
      <c r="B76" s="737" t="str">
        <f>IF(IF(D76="+",MIN(H76:IU76)&gt;=0,IF(D76="-",MAX(H76:IU76)&lt;=0,TRUE)),"",1)</f>
        <v/>
      </c>
      <c r="C76" s="705" t="s">
        <v>1036</v>
      </c>
      <c r="D76" s="738" t="s">
        <v>1159</v>
      </c>
      <c r="E76" s="739" t="s">
        <v>63</v>
      </c>
      <c r="F76" s="705" t="s">
        <v>1077</v>
      </c>
      <c r="H76" s="740"/>
      <c r="I76" s="740"/>
      <c r="J76" s="740"/>
      <c r="K76" s="740"/>
      <c r="L76" s="740"/>
      <c r="M76" s="740"/>
      <c r="N76" s="740"/>
      <c r="O76" s="740"/>
      <c r="P76" s="740"/>
      <c r="Q76" s="740"/>
      <c r="R76" s="740"/>
      <c r="S76" s="740"/>
      <c r="T76" s="740"/>
      <c r="U76" s="740"/>
      <c r="V76" s="740"/>
      <c r="W76" s="740"/>
      <c r="X76" s="740"/>
      <c r="Y76" s="740"/>
      <c r="Z76" s="740"/>
      <c r="AA76" s="740"/>
      <c r="AB76" s="740"/>
      <c r="AC76" s="740"/>
      <c r="AD76" s="740"/>
      <c r="AE76" s="740"/>
      <c r="AF76" s="740"/>
      <c r="AG76" s="740"/>
      <c r="AH76" s="740"/>
      <c r="AI76" s="1065"/>
      <c r="AJ76" s="1065"/>
      <c r="AK76" s="1065"/>
      <c r="AL76" s="1065"/>
      <c r="AM76" s="1065"/>
      <c r="AN76" s="1065">
        <f>Qtrly!I97</f>
        <v>27.299999999999997</v>
      </c>
      <c r="AO76" s="1065">
        <f>Qtrly!J97</f>
        <v>36.5</v>
      </c>
      <c r="AP76" s="1065">
        <f>Qtrly!K97</f>
        <v>14.9</v>
      </c>
      <c r="AQ76" s="1065">
        <f>Qtrly!L97</f>
        <v>18.2</v>
      </c>
      <c r="AR76" s="1065">
        <f>Qtrly!M97</f>
        <v>13.200000000000003</v>
      </c>
      <c r="AS76" s="1065">
        <f>Qtrly!N97</f>
        <v>14.7</v>
      </c>
      <c r="AT76" s="1065">
        <f>Qtrly!O97</f>
        <v>29.1</v>
      </c>
      <c r="AU76" s="1065">
        <f>Qtrly!P97</f>
        <v>-9.3000000000000007</v>
      </c>
      <c r="AV76" s="1065">
        <f>Qtrly!Q97</f>
        <v>41.1</v>
      </c>
      <c r="AW76" s="1065">
        <f>Qtrly!R97</f>
        <v>22.2</v>
      </c>
      <c r="AX76" s="1065">
        <f>Qtrly!S97</f>
        <v>58.6</v>
      </c>
      <c r="AY76" s="1065">
        <f>Qtrly!T97</f>
        <v>62.1</v>
      </c>
      <c r="AZ76" s="1065">
        <f>Qtrly!U97</f>
        <v>48.9</v>
      </c>
      <c r="BA76" s="1065">
        <f>Qtrly!V97</f>
        <v>75.7</v>
      </c>
      <c r="BB76" s="1065">
        <f>Qtrly!W97</f>
        <v>57.5</v>
      </c>
    </row>
    <row r="77" spans="1:54" x14ac:dyDescent="0.25">
      <c r="A77" s="703" t="s">
        <v>1175</v>
      </c>
      <c r="B77" s="737" t="str">
        <f>IF(IF(D77="+",MIN(H77:IU77)&gt;=0,IF(D77="-",MAX(H77:IU77)&lt;=0,TRUE)),"",1)</f>
        <v/>
      </c>
      <c r="C77" s="705" t="s">
        <v>1036</v>
      </c>
      <c r="D77" s="738" t="s">
        <v>1159</v>
      </c>
      <c r="E77" s="739" t="s">
        <v>1176</v>
      </c>
      <c r="F77" s="705" t="s">
        <v>1077</v>
      </c>
      <c r="H77" s="740"/>
      <c r="I77" s="740"/>
      <c r="J77" s="740"/>
      <c r="K77" s="740"/>
      <c r="L77" s="740"/>
      <c r="M77" s="740"/>
      <c r="N77" s="740"/>
      <c r="O77" s="740"/>
      <c r="P77" s="740"/>
      <c r="Q77" s="740"/>
      <c r="R77" s="740"/>
      <c r="S77" s="740"/>
      <c r="T77" s="740"/>
      <c r="U77" s="740"/>
      <c r="V77" s="740"/>
      <c r="W77" s="740"/>
      <c r="X77" s="740"/>
      <c r="Y77" s="740"/>
      <c r="Z77" s="740"/>
      <c r="AA77" s="740"/>
      <c r="AB77" s="740"/>
      <c r="AC77" s="740"/>
      <c r="AD77" s="740"/>
      <c r="AE77" s="740"/>
      <c r="AF77" s="740"/>
      <c r="AG77" s="740"/>
      <c r="AH77" s="740"/>
      <c r="AI77" s="1065"/>
      <c r="AJ77" s="1065"/>
      <c r="AK77" s="1065"/>
      <c r="AL77" s="1065"/>
      <c r="AM77" s="1065"/>
      <c r="AN77" s="1065"/>
      <c r="AO77" s="1065"/>
      <c r="AP77" s="1065"/>
      <c r="AQ77" s="1065"/>
      <c r="AR77" s="1065"/>
      <c r="AS77" s="1065"/>
      <c r="AT77" s="1065"/>
      <c r="AU77" s="1065"/>
      <c r="AV77" s="1065"/>
      <c r="AW77" s="1065"/>
      <c r="AX77" s="1065"/>
      <c r="AY77" s="1065"/>
      <c r="AZ77" s="1065"/>
      <c r="BA77" s="1065"/>
      <c r="BB77" s="1065"/>
    </row>
    <row r="78" spans="1:54" s="747" customFormat="1" x14ac:dyDescent="0.25">
      <c r="A78" s="748" t="s">
        <v>1177</v>
      </c>
      <c r="B78" s="742"/>
      <c r="C78" s="743" t="s">
        <v>1038</v>
      </c>
      <c r="D78" s="744" t="s">
        <v>1114</v>
      </c>
      <c r="E78" s="745" t="s">
        <v>1178</v>
      </c>
      <c r="F78" s="743" t="s">
        <v>1077</v>
      </c>
      <c r="G78" s="743"/>
      <c r="H78" s="746">
        <f t="shared" ref="H78:O78" si="23">+H74-H76+H77</f>
        <v>0</v>
      </c>
      <c r="I78" s="746">
        <f t="shared" si="23"/>
        <v>0</v>
      </c>
      <c r="J78" s="746">
        <f t="shared" si="23"/>
        <v>0</v>
      </c>
      <c r="K78" s="746">
        <f t="shared" si="23"/>
        <v>0</v>
      </c>
      <c r="L78" s="746">
        <f t="shared" si="23"/>
        <v>0</v>
      </c>
      <c r="M78" s="746">
        <f t="shared" si="23"/>
        <v>0</v>
      </c>
      <c r="N78" s="746">
        <f t="shared" si="23"/>
        <v>0</v>
      </c>
      <c r="O78" s="746">
        <f t="shared" si="23"/>
        <v>0</v>
      </c>
      <c r="P78" s="746">
        <f>+P74-P76+P77</f>
        <v>0</v>
      </c>
      <c r="Q78" s="746">
        <f t="shared" ref="Q78:BB78" si="24">+Q74-Q76+Q77</f>
        <v>0</v>
      </c>
      <c r="R78" s="746">
        <f t="shared" si="24"/>
        <v>0</v>
      </c>
      <c r="S78" s="746">
        <f t="shared" si="24"/>
        <v>0</v>
      </c>
      <c r="T78" s="746">
        <f t="shared" si="24"/>
        <v>0</v>
      </c>
      <c r="U78" s="746">
        <f t="shared" si="24"/>
        <v>0</v>
      </c>
      <c r="V78" s="746">
        <f t="shared" si="24"/>
        <v>0</v>
      </c>
      <c r="W78" s="746">
        <f t="shared" si="24"/>
        <v>0</v>
      </c>
      <c r="X78" s="746">
        <f t="shared" si="24"/>
        <v>0</v>
      </c>
      <c r="Y78" s="746">
        <f t="shared" si="24"/>
        <v>0</v>
      </c>
      <c r="Z78" s="746">
        <f t="shared" si="24"/>
        <v>0</v>
      </c>
      <c r="AA78" s="746">
        <f t="shared" si="24"/>
        <v>0</v>
      </c>
      <c r="AB78" s="746">
        <f t="shared" si="24"/>
        <v>0</v>
      </c>
      <c r="AC78" s="746">
        <f t="shared" si="24"/>
        <v>0</v>
      </c>
      <c r="AD78" s="746">
        <f t="shared" si="24"/>
        <v>0</v>
      </c>
      <c r="AE78" s="746">
        <f t="shared" si="24"/>
        <v>0</v>
      </c>
      <c r="AF78" s="746">
        <f t="shared" si="24"/>
        <v>0</v>
      </c>
      <c r="AG78" s="746">
        <f t="shared" si="24"/>
        <v>0</v>
      </c>
      <c r="AH78" s="746">
        <f t="shared" si="24"/>
        <v>0</v>
      </c>
      <c r="AI78" s="746">
        <f t="shared" si="24"/>
        <v>0</v>
      </c>
      <c r="AJ78" s="746">
        <f t="shared" si="24"/>
        <v>0</v>
      </c>
      <c r="AK78" s="746">
        <f t="shared" si="24"/>
        <v>0</v>
      </c>
      <c r="AL78" s="746">
        <f t="shared" si="24"/>
        <v>0</v>
      </c>
      <c r="AM78" s="746">
        <f t="shared" si="24"/>
        <v>0</v>
      </c>
      <c r="AN78" s="746">
        <f t="shared" si="24"/>
        <v>1898.1999999999996</v>
      </c>
      <c r="AO78" s="746">
        <f t="shared" si="24"/>
        <v>1346.3999999999996</v>
      </c>
      <c r="AP78" s="746">
        <f t="shared" si="24"/>
        <v>1148.9000000000003</v>
      </c>
      <c r="AQ78" s="746">
        <f t="shared" si="24"/>
        <v>3004.4</v>
      </c>
      <c r="AR78" s="746">
        <f t="shared" si="24"/>
        <v>3246.2000000000012</v>
      </c>
      <c r="AS78" s="746">
        <f t="shared" si="24"/>
        <v>2544.0000000000005</v>
      </c>
      <c r="AT78" s="746">
        <f t="shared" si="24"/>
        <v>2506.6</v>
      </c>
      <c r="AU78" s="746">
        <f t="shared" si="24"/>
        <v>3300.099999999999</v>
      </c>
      <c r="AV78" s="746">
        <f t="shared" si="24"/>
        <v>2924.4000000000005</v>
      </c>
      <c r="AW78" s="746">
        <f t="shared" si="24"/>
        <v>3715.1000000000008</v>
      </c>
      <c r="AX78" s="746">
        <f t="shared" si="24"/>
        <v>3297.6000000000013</v>
      </c>
      <c r="AY78" s="746">
        <f t="shared" si="24"/>
        <v>5093.7000000000016</v>
      </c>
      <c r="AZ78" s="746">
        <f t="shared" si="24"/>
        <v>3846.8</v>
      </c>
      <c r="BA78" s="746">
        <f t="shared" si="24"/>
        <v>3612.4000000000005</v>
      </c>
      <c r="BB78" s="746">
        <f t="shared" si="24"/>
        <v>3591</v>
      </c>
    </row>
    <row r="79" spans="1:54" s="747" customFormat="1" x14ac:dyDescent="0.25">
      <c r="A79" s="748" t="s">
        <v>1179</v>
      </c>
      <c r="B79" s="742"/>
      <c r="C79" s="743" t="s">
        <v>1038</v>
      </c>
      <c r="D79" s="744" t="s">
        <v>1114</v>
      </c>
      <c r="E79" s="745" t="s">
        <v>1180</v>
      </c>
      <c r="F79" s="743" t="s">
        <v>1077</v>
      </c>
      <c r="G79" s="743"/>
      <c r="H79" s="746">
        <f t="shared" ref="H79:O79" si="25">+H78-H67</f>
        <v>0</v>
      </c>
      <c r="I79" s="746">
        <f t="shared" si="25"/>
        <v>0</v>
      </c>
      <c r="J79" s="746">
        <f t="shared" si="25"/>
        <v>0</v>
      </c>
      <c r="K79" s="746">
        <f t="shared" si="25"/>
        <v>0</v>
      </c>
      <c r="L79" s="746">
        <f t="shared" si="25"/>
        <v>0</v>
      </c>
      <c r="M79" s="746">
        <f t="shared" si="25"/>
        <v>0</v>
      </c>
      <c r="N79" s="746">
        <f t="shared" si="25"/>
        <v>0</v>
      </c>
      <c r="O79" s="746">
        <f t="shared" si="25"/>
        <v>0</v>
      </c>
      <c r="P79" s="746">
        <f>+P78-P67</f>
        <v>0</v>
      </c>
      <c r="Q79" s="746">
        <f t="shared" ref="Q79:BB79" si="26">+Q78-Q67</f>
        <v>0</v>
      </c>
      <c r="R79" s="746">
        <f t="shared" si="26"/>
        <v>0</v>
      </c>
      <c r="S79" s="746">
        <f t="shared" si="26"/>
        <v>0</v>
      </c>
      <c r="T79" s="746">
        <f t="shared" si="26"/>
        <v>0</v>
      </c>
      <c r="U79" s="746">
        <f t="shared" si="26"/>
        <v>0</v>
      </c>
      <c r="V79" s="746">
        <f t="shared" si="26"/>
        <v>0</v>
      </c>
      <c r="W79" s="746">
        <f t="shared" si="26"/>
        <v>0</v>
      </c>
      <c r="X79" s="746">
        <f t="shared" si="26"/>
        <v>0</v>
      </c>
      <c r="Y79" s="746">
        <f t="shared" si="26"/>
        <v>0</v>
      </c>
      <c r="Z79" s="746">
        <f t="shared" si="26"/>
        <v>0</v>
      </c>
      <c r="AA79" s="746">
        <f t="shared" si="26"/>
        <v>0</v>
      </c>
      <c r="AB79" s="746">
        <f t="shared" si="26"/>
        <v>0</v>
      </c>
      <c r="AC79" s="746">
        <f t="shared" si="26"/>
        <v>0</v>
      </c>
      <c r="AD79" s="746">
        <f t="shared" si="26"/>
        <v>0</v>
      </c>
      <c r="AE79" s="746">
        <f t="shared" si="26"/>
        <v>0</v>
      </c>
      <c r="AF79" s="746">
        <f t="shared" si="26"/>
        <v>0</v>
      </c>
      <c r="AG79" s="746">
        <f t="shared" si="26"/>
        <v>0</v>
      </c>
      <c r="AH79" s="746">
        <f t="shared" si="26"/>
        <v>0</v>
      </c>
      <c r="AI79" s="746">
        <f t="shared" si="26"/>
        <v>0</v>
      </c>
      <c r="AJ79" s="746">
        <f t="shared" si="26"/>
        <v>0</v>
      </c>
      <c r="AK79" s="746">
        <f t="shared" si="26"/>
        <v>0</v>
      </c>
      <c r="AL79" s="746">
        <f t="shared" si="26"/>
        <v>0</v>
      </c>
      <c r="AM79" s="746">
        <f t="shared" si="26"/>
        <v>0</v>
      </c>
      <c r="AN79" s="746">
        <f t="shared" si="26"/>
        <v>1898.1999999999996</v>
      </c>
      <c r="AO79" s="746">
        <f t="shared" si="26"/>
        <v>1346.3999999999996</v>
      </c>
      <c r="AP79" s="746">
        <f t="shared" si="26"/>
        <v>1148.9000000000003</v>
      </c>
      <c r="AQ79" s="746">
        <f t="shared" si="26"/>
        <v>3004.4</v>
      </c>
      <c r="AR79" s="746">
        <f t="shared" si="26"/>
        <v>3246.2000000000012</v>
      </c>
      <c r="AS79" s="746">
        <f t="shared" si="26"/>
        <v>2544.0000000000005</v>
      </c>
      <c r="AT79" s="746">
        <f t="shared" si="26"/>
        <v>2506.6</v>
      </c>
      <c r="AU79" s="746">
        <f t="shared" si="26"/>
        <v>3300.099999999999</v>
      </c>
      <c r="AV79" s="746">
        <f t="shared" si="26"/>
        <v>2924.4000000000005</v>
      </c>
      <c r="AW79" s="746">
        <f t="shared" si="26"/>
        <v>3715.1000000000008</v>
      </c>
      <c r="AX79" s="746">
        <f t="shared" si="26"/>
        <v>3297.6000000000013</v>
      </c>
      <c r="AY79" s="746">
        <f t="shared" si="26"/>
        <v>5093.7000000000016</v>
      </c>
      <c r="AZ79" s="746">
        <f t="shared" si="26"/>
        <v>3846.8</v>
      </c>
      <c r="BA79" s="746">
        <f t="shared" si="26"/>
        <v>3612.4000000000005</v>
      </c>
      <c r="BB79" s="746">
        <f t="shared" si="26"/>
        <v>3663.4</v>
      </c>
    </row>
    <row r="80" spans="1:54" x14ac:dyDescent="0.25">
      <c r="A80" s="703" t="s">
        <v>1181</v>
      </c>
      <c r="B80" s="737" t="str">
        <f>IF(IF(D80="+",MIN(H80:IU80)&gt;=0,IF(D80="-",MAX(H80:IU80)&lt;=0,TRUE)),"",1)</f>
        <v/>
      </c>
      <c r="C80" s="705" t="s">
        <v>1036</v>
      </c>
      <c r="D80" s="738" t="s">
        <v>1109</v>
      </c>
      <c r="E80" s="739" t="s">
        <v>1182</v>
      </c>
      <c r="F80" s="705" t="s">
        <v>1077</v>
      </c>
      <c r="L80" s="740"/>
      <c r="M80" s="740"/>
      <c r="N80" s="740"/>
      <c r="O80" s="740"/>
      <c r="P80" s="740"/>
      <c r="Q80" s="740"/>
      <c r="R80" s="740"/>
      <c r="S80" s="740"/>
      <c r="T80" s="740"/>
      <c r="U80" s="740"/>
      <c r="V80" s="740"/>
      <c r="W80" s="740"/>
      <c r="X80" s="740"/>
      <c r="Y80" s="740"/>
      <c r="Z80" s="740"/>
      <c r="AA80" s="740"/>
      <c r="AB80" s="740"/>
      <c r="AC80" s="740"/>
      <c r="AD80" s="740"/>
      <c r="AE80" s="740"/>
      <c r="AF80" s="740"/>
      <c r="AG80" s="740"/>
      <c r="AH80" s="740"/>
      <c r="AI80" s="740"/>
      <c r="AJ80" s="740"/>
      <c r="AK80" s="740"/>
      <c r="AL80" s="740"/>
      <c r="AM80" s="740"/>
      <c r="AN80" s="740"/>
      <c r="AO80" s="740"/>
      <c r="AP80" s="740"/>
      <c r="AQ80" s="740"/>
      <c r="AR80" s="740"/>
      <c r="AS80" s="740"/>
      <c r="AT80" s="740"/>
      <c r="AU80" s="740"/>
      <c r="AV80" s="740"/>
      <c r="AW80" s="740"/>
      <c r="AX80" s="740"/>
      <c r="AY80" s="740"/>
      <c r="AZ80" s="740"/>
      <c r="BA80" s="740"/>
      <c r="BB80" s="740"/>
    </row>
    <row r="81" spans="1:34" x14ac:dyDescent="0.25">
      <c r="A81" s="703" t="s">
        <v>1183</v>
      </c>
      <c r="B81" s="737" t="str">
        <f>IF(IF(D81="+",MIN(H81:IU81)&gt;=0,IF(D81="-",MAX(H81:IU81)&lt;=0,TRUE)),"",1)</f>
        <v/>
      </c>
      <c r="C81" s="705" t="s">
        <v>1036</v>
      </c>
      <c r="D81" s="738" t="s">
        <v>1109</v>
      </c>
      <c r="E81" s="739" t="s">
        <v>1184</v>
      </c>
      <c r="F81" s="705" t="s">
        <v>1077</v>
      </c>
      <c r="L81" s="740"/>
      <c r="M81" s="740"/>
      <c r="N81" s="740">
        <v>0</v>
      </c>
      <c r="O81" s="740"/>
      <c r="P81" s="740"/>
      <c r="Q81" s="740"/>
      <c r="R81" s="740"/>
      <c r="S81" s="740"/>
      <c r="T81" s="740"/>
      <c r="U81" s="740"/>
      <c r="V81" s="740"/>
      <c r="W81" s="740"/>
      <c r="X81" s="740"/>
      <c r="Y81" s="740"/>
      <c r="Z81" s="740"/>
      <c r="AA81" s="740"/>
      <c r="AB81" s="740"/>
      <c r="AC81" s="740"/>
      <c r="AD81" s="740"/>
      <c r="AE81" s="740"/>
      <c r="AF81" s="740"/>
      <c r="AG81" s="740"/>
      <c r="AH81" s="740"/>
    </row>
    <row r="82" spans="1:34" x14ac:dyDescent="0.25">
      <c r="A82" s="750" t="s">
        <v>1185</v>
      </c>
      <c r="B82" s="737" t="str">
        <f>IF(IF(D82="+",MIN(H82:IU82)&gt;=0,IF(D82="-",MAX(H82:IU82)&lt;=0,TRUE)),"",1)</f>
        <v/>
      </c>
      <c r="C82" s="705" t="s">
        <v>1036</v>
      </c>
      <c r="D82" s="738" t="s">
        <v>1109</v>
      </c>
      <c r="E82" s="739" t="s">
        <v>1186</v>
      </c>
      <c r="F82" s="705" t="s">
        <v>1077</v>
      </c>
      <c r="L82" s="740"/>
      <c r="M82" s="740"/>
      <c r="N82" s="740">
        <f t="shared" ref="N82" si="27">N81</f>
        <v>0</v>
      </c>
      <c r="O82" s="740"/>
      <c r="P82" s="740"/>
      <c r="Q82" s="740"/>
      <c r="R82" s="740"/>
      <c r="S82" s="740"/>
      <c r="T82" s="740"/>
      <c r="U82" s="740"/>
      <c r="V82" s="740"/>
      <c r="W82" s="740"/>
      <c r="X82" s="740"/>
      <c r="Y82" s="740"/>
      <c r="Z82" s="740"/>
      <c r="AA82" s="740"/>
      <c r="AB82" s="740"/>
      <c r="AC82" s="740"/>
      <c r="AD82" s="740"/>
      <c r="AE82" s="740"/>
      <c r="AF82" s="740"/>
      <c r="AG82" s="740"/>
      <c r="AH82" s="740"/>
    </row>
    <row r="84" spans="1:34" x14ac:dyDescent="0.25">
      <c r="E84" s="736" t="s">
        <v>59</v>
      </c>
    </row>
    <row r="85" spans="1:34" x14ac:dyDescent="0.25">
      <c r="E85" s="751" t="s">
        <v>1187</v>
      </c>
    </row>
    <row r="86" spans="1:34" x14ac:dyDescent="0.25">
      <c r="E86" s="739" t="s">
        <v>1188</v>
      </c>
    </row>
    <row r="87" spans="1:34" x14ac:dyDescent="0.25">
      <c r="A87" s="703" t="s">
        <v>1189</v>
      </c>
      <c r="B87" s="737" t="str">
        <f>IF(IF(D87="+",MIN(H87:IU87)&gt;=0,IF(D87="-",MAX(H87:IU87)&lt;=0,TRUE)),"",1)</f>
        <v/>
      </c>
      <c r="C87" s="705" t="s">
        <v>1036</v>
      </c>
      <c r="D87" s="706" t="s">
        <v>1109</v>
      </c>
      <c r="E87" s="739" t="s">
        <v>1190</v>
      </c>
      <c r="F87" s="705" t="s">
        <v>1077</v>
      </c>
      <c r="M87" s="740"/>
      <c r="N87" s="740"/>
      <c r="O87" s="740"/>
      <c r="P87" s="740"/>
      <c r="Q87" s="740"/>
      <c r="R87" s="740"/>
      <c r="S87" s="740"/>
      <c r="T87" s="740"/>
      <c r="U87" s="740"/>
      <c r="V87" s="740"/>
      <c r="W87" s="740"/>
      <c r="X87" s="740"/>
      <c r="Y87" s="740"/>
      <c r="Z87" s="740"/>
      <c r="AA87" s="740"/>
      <c r="AB87" s="740"/>
      <c r="AC87" s="740"/>
      <c r="AD87" s="740"/>
      <c r="AE87" s="740"/>
      <c r="AF87" s="740"/>
      <c r="AG87" s="740"/>
      <c r="AH87" s="740"/>
    </row>
    <row r="88" spans="1:34" x14ac:dyDescent="0.25">
      <c r="A88" s="703" t="s">
        <v>1191</v>
      </c>
      <c r="B88" s="737" t="str">
        <f>IF(IF(D88="+",MIN(H88:IU88)&gt;=0,IF(D88="-",MAX(H88:IU88)&lt;=0,TRUE)),"",1)</f>
        <v/>
      </c>
      <c r="C88" s="705" t="s">
        <v>1036</v>
      </c>
      <c r="D88" s="706" t="s">
        <v>1109</v>
      </c>
      <c r="E88" s="739" t="s">
        <v>1192</v>
      </c>
      <c r="F88" s="705" t="s">
        <v>1077</v>
      </c>
      <c r="M88" s="740"/>
      <c r="N88" s="740"/>
      <c r="O88" s="740"/>
      <c r="P88" s="740"/>
      <c r="Q88" s="740"/>
      <c r="R88" s="740"/>
      <c r="S88" s="740"/>
      <c r="T88" s="740"/>
      <c r="U88" s="740"/>
      <c r="V88" s="740"/>
      <c r="W88" s="740"/>
      <c r="X88" s="740"/>
      <c r="Y88" s="740"/>
      <c r="Z88" s="740"/>
      <c r="AA88" s="740"/>
      <c r="AB88" s="740"/>
      <c r="AC88" s="740"/>
      <c r="AD88" s="740"/>
      <c r="AE88" s="740"/>
      <c r="AF88" s="740"/>
      <c r="AG88" s="740"/>
      <c r="AH88" s="740"/>
    </row>
    <row r="89" spans="1:34" s="747" customFormat="1" x14ac:dyDescent="0.25">
      <c r="A89" s="741" t="s">
        <v>1193</v>
      </c>
      <c r="B89" s="742"/>
      <c r="C89" s="743" t="s">
        <v>1038</v>
      </c>
      <c r="D89" s="744" t="s">
        <v>1114</v>
      </c>
      <c r="E89" s="745" t="s">
        <v>61</v>
      </c>
      <c r="F89" s="743" t="s">
        <v>1077</v>
      </c>
      <c r="G89" s="743"/>
      <c r="H89" s="743"/>
      <c r="I89" s="743"/>
      <c r="J89" s="743"/>
      <c r="K89" s="743"/>
      <c r="L89" s="743"/>
      <c r="M89" s="746"/>
      <c r="N89" s="746"/>
      <c r="O89" s="746"/>
      <c r="P89" s="746"/>
      <c r="Q89" s="746"/>
      <c r="R89" s="746"/>
      <c r="S89" s="746"/>
      <c r="T89" s="746"/>
      <c r="U89" s="746"/>
      <c r="V89" s="746"/>
      <c r="W89" s="746"/>
      <c r="X89" s="746"/>
      <c r="Y89" s="746"/>
      <c r="Z89" s="746"/>
      <c r="AA89" s="746"/>
      <c r="AB89" s="746"/>
      <c r="AC89" s="746"/>
      <c r="AD89" s="746"/>
      <c r="AE89" s="746"/>
      <c r="AF89" s="746"/>
      <c r="AG89" s="746"/>
      <c r="AH89" s="746"/>
    </row>
    <row r="90" spans="1:34" x14ac:dyDescent="0.25">
      <c r="A90" s="703" t="s">
        <v>1194</v>
      </c>
      <c r="B90" s="737" t="str">
        <f>IF(IF(D90="+",MIN(H90:IU90)&gt;=0,IF(D90="-",MAX(H90:IU90)&lt;=0,TRUE)),"",1)</f>
        <v/>
      </c>
      <c r="C90" s="705" t="s">
        <v>1036</v>
      </c>
      <c r="D90" s="738" t="s">
        <v>1109</v>
      </c>
      <c r="E90" s="739" t="s">
        <v>1195</v>
      </c>
      <c r="F90" s="705" t="s">
        <v>1077</v>
      </c>
      <c r="M90" s="740"/>
      <c r="N90" s="740"/>
      <c r="O90" s="740"/>
      <c r="P90" s="740"/>
      <c r="Q90" s="740"/>
      <c r="R90" s="740"/>
      <c r="S90" s="740"/>
      <c r="T90" s="740"/>
      <c r="U90" s="740"/>
      <c r="V90" s="740"/>
      <c r="W90" s="740"/>
      <c r="X90" s="740"/>
      <c r="Y90" s="740"/>
      <c r="Z90" s="740"/>
      <c r="AA90" s="740"/>
      <c r="AB90" s="740"/>
      <c r="AC90" s="740"/>
      <c r="AD90" s="740"/>
      <c r="AE90" s="740"/>
      <c r="AF90" s="740"/>
      <c r="AG90" s="740"/>
      <c r="AH90" s="740"/>
    </row>
    <row r="91" spans="1:34" x14ac:dyDescent="0.25">
      <c r="A91" s="703" t="s">
        <v>1196</v>
      </c>
      <c r="B91" s="737" t="str">
        <f>IF(IF(D91="+",MIN(H91:IU91)&gt;=0,IF(D91="-",MAX(H91:IU91)&lt;=0,TRUE)),"",1)</f>
        <v/>
      </c>
      <c r="C91" s="705" t="s">
        <v>1036</v>
      </c>
      <c r="D91" s="738" t="s">
        <v>1109</v>
      </c>
      <c r="E91" s="739" t="s">
        <v>1197</v>
      </c>
      <c r="F91" s="705" t="s">
        <v>1077</v>
      </c>
      <c r="M91" s="740"/>
      <c r="N91" s="740"/>
      <c r="O91" s="740"/>
      <c r="P91" s="740"/>
      <c r="Q91" s="740"/>
      <c r="R91" s="740"/>
      <c r="S91" s="740"/>
      <c r="T91" s="740"/>
      <c r="U91" s="740"/>
      <c r="V91" s="740"/>
      <c r="W91" s="740"/>
      <c r="X91" s="740"/>
      <c r="Y91" s="740"/>
      <c r="Z91" s="740"/>
      <c r="AA91" s="740"/>
      <c r="AB91" s="740"/>
      <c r="AC91" s="740"/>
      <c r="AD91" s="740"/>
      <c r="AE91" s="740"/>
      <c r="AF91" s="740"/>
      <c r="AG91" s="740"/>
      <c r="AH91" s="740"/>
    </row>
    <row r="92" spans="1:34" x14ac:dyDescent="0.25">
      <c r="A92" s="703" t="s">
        <v>1198</v>
      </c>
      <c r="B92" s="737" t="str">
        <f>IF(IF(D92="+",MIN(H92:IU92)&gt;=0,IF(D92="-",MAX(H92:IU92)&lt;=0,TRUE)),"",1)</f>
        <v/>
      </c>
      <c r="C92" s="705" t="s">
        <v>1036</v>
      </c>
      <c r="D92" s="738" t="s">
        <v>1109</v>
      </c>
      <c r="E92" s="739" t="s">
        <v>1199</v>
      </c>
      <c r="F92" s="705" t="s">
        <v>1077</v>
      </c>
      <c r="M92" s="740"/>
      <c r="N92" s="740"/>
      <c r="O92" s="740"/>
      <c r="P92" s="740"/>
      <c r="Q92" s="740"/>
      <c r="R92" s="740"/>
      <c r="S92" s="740"/>
      <c r="T92" s="740"/>
      <c r="U92" s="740"/>
      <c r="V92" s="740"/>
      <c r="W92" s="740"/>
      <c r="X92" s="740"/>
      <c r="Y92" s="740"/>
      <c r="Z92" s="740"/>
      <c r="AA92" s="740"/>
      <c r="AB92" s="740"/>
      <c r="AC92" s="740"/>
      <c r="AD92" s="740"/>
      <c r="AE92" s="740"/>
      <c r="AF92" s="740"/>
      <c r="AG92" s="740"/>
      <c r="AH92" s="740"/>
    </row>
    <row r="93" spans="1:34" x14ac:dyDescent="0.25">
      <c r="A93" s="703" t="s">
        <v>1200</v>
      </c>
      <c r="B93" s="737" t="str">
        <f>IF(IF(D93="+",MIN(H93:IU93)&gt;=0,IF(D93="-",MAX(H93:IU93)&lt;=0,TRUE)),"",1)</f>
        <v/>
      </c>
      <c r="C93" s="705" t="s">
        <v>1036</v>
      </c>
      <c r="D93" s="738" t="s">
        <v>1159</v>
      </c>
      <c r="E93" s="739" t="s">
        <v>1201</v>
      </c>
      <c r="F93" s="705" t="s">
        <v>1077</v>
      </c>
      <c r="M93" s="740"/>
      <c r="N93" s="740"/>
      <c r="O93" s="740"/>
      <c r="P93" s="740"/>
      <c r="Q93" s="740"/>
      <c r="R93" s="740"/>
      <c r="S93" s="740"/>
      <c r="T93" s="740"/>
      <c r="U93" s="740"/>
      <c r="V93" s="740"/>
      <c r="W93" s="740"/>
      <c r="X93" s="740"/>
      <c r="Y93" s="740"/>
      <c r="Z93" s="740"/>
      <c r="AA93" s="740"/>
      <c r="AB93" s="740"/>
      <c r="AC93" s="740"/>
      <c r="AD93" s="740"/>
      <c r="AE93" s="740"/>
      <c r="AF93" s="740"/>
      <c r="AG93" s="740"/>
      <c r="AH93" s="740"/>
    </row>
    <row r="94" spans="1:34" x14ac:dyDescent="0.25">
      <c r="A94" s="703" t="s">
        <v>1202</v>
      </c>
      <c r="B94" s="737" t="str">
        <f>IF(IF(D94="+",MIN(H94:IU94)&gt;=0,IF(D94="-",MAX(H94:IU94)&lt;=0,TRUE)),"",1)</f>
        <v/>
      </c>
      <c r="C94" s="705" t="s">
        <v>1036</v>
      </c>
      <c r="D94" s="738" t="s">
        <v>1159</v>
      </c>
      <c r="E94" s="739" t="s">
        <v>1203</v>
      </c>
      <c r="F94" s="705" t="s">
        <v>1077</v>
      </c>
      <c r="M94" s="740"/>
      <c r="N94" s="740"/>
      <c r="O94" s="740"/>
      <c r="P94" s="740"/>
      <c r="Q94" s="740"/>
      <c r="R94" s="740"/>
      <c r="S94" s="740"/>
      <c r="T94" s="740"/>
      <c r="U94" s="740"/>
      <c r="V94" s="740"/>
      <c r="W94" s="740"/>
      <c r="X94" s="740"/>
      <c r="Y94" s="740"/>
      <c r="Z94" s="740"/>
      <c r="AA94" s="740"/>
      <c r="AB94" s="740"/>
      <c r="AC94" s="740"/>
      <c r="AD94" s="740"/>
      <c r="AE94" s="740"/>
      <c r="AF94" s="740"/>
      <c r="AG94" s="740"/>
      <c r="AH94" s="740"/>
    </row>
    <row r="95" spans="1:34" s="747" customFormat="1" x14ac:dyDescent="0.25">
      <c r="A95" s="741" t="s">
        <v>1204</v>
      </c>
      <c r="B95" s="742"/>
      <c r="C95" s="743" t="s">
        <v>1038</v>
      </c>
      <c r="D95" s="744" t="s">
        <v>1114</v>
      </c>
      <c r="E95" s="745" t="s">
        <v>1205</v>
      </c>
      <c r="F95" s="743" t="s">
        <v>1077</v>
      </c>
      <c r="G95" s="743"/>
      <c r="H95" s="743"/>
      <c r="I95" s="743"/>
      <c r="J95" s="743"/>
      <c r="K95" s="1064"/>
      <c r="L95" s="1064"/>
      <c r="M95" s="746"/>
      <c r="N95" s="746"/>
      <c r="O95" s="746"/>
      <c r="P95" s="746"/>
      <c r="Q95" s="746"/>
      <c r="R95" s="746"/>
      <c r="S95" s="746"/>
      <c r="T95" s="746"/>
      <c r="U95" s="746"/>
      <c r="V95" s="746"/>
      <c r="W95" s="746"/>
      <c r="X95" s="746"/>
      <c r="Y95" s="746"/>
      <c r="Z95" s="746"/>
      <c r="AA95" s="746"/>
      <c r="AB95" s="746"/>
      <c r="AC95" s="746"/>
      <c r="AD95" s="746"/>
      <c r="AE95" s="746"/>
      <c r="AF95" s="746"/>
      <c r="AG95" s="746"/>
      <c r="AH95" s="746"/>
    </row>
    <row r="96" spans="1:34" x14ac:dyDescent="0.25">
      <c r="A96" s="703" t="s">
        <v>1206</v>
      </c>
      <c r="B96" s="737" t="str">
        <f>IF(IF(D96="+",MIN(H96:IU96)&gt;=0,IF(D96="-",MAX(H96:IU96)&lt;=0,TRUE)),"",1)</f>
        <v/>
      </c>
      <c r="C96" s="705" t="s">
        <v>1036</v>
      </c>
      <c r="D96" s="738" t="s">
        <v>1109</v>
      </c>
      <c r="E96" s="739" t="s">
        <v>63</v>
      </c>
      <c r="F96" s="705" t="s">
        <v>1077</v>
      </c>
      <c r="M96" s="740"/>
      <c r="N96" s="740"/>
      <c r="O96" s="740"/>
      <c r="P96" s="740"/>
      <c r="Q96" s="740"/>
      <c r="R96" s="740"/>
      <c r="S96" s="740"/>
      <c r="T96" s="740"/>
      <c r="U96" s="740"/>
      <c r="V96" s="740"/>
      <c r="W96" s="740"/>
      <c r="X96" s="740"/>
      <c r="Y96" s="740"/>
      <c r="Z96" s="740"/>
      <c r="AA96" s="740"/>
      <c r="AB96" s="740"/>
      <c r="AC96" s="740"/>
      <c r="AD96" s="740"/>
      <c r="AE96" s="740"/>
      <c r="AF96" s="740"/>
      <c r="AG96" s="740"/>
      <c r="AH96" s="740"/>
    </row>
    <row r="97" spans="1:34" s="747" customFormat="1" x14ac:dyDescent="0.25">
      <c r="A97" s="748" t="s">
        <v>1207</v>
      </c>
      <c r="B97" s="742"/>
      <c r="C97" s="743" t="s">
        <v>1038</v>
      </c>
      <c r="D97" s="744" t="s">
        <v>1114</v>
      </c>
      <c r="E97" s="745" t="s">
        <v>1208</v>
      </c>
      <c r="F97" s="743" t="s">
        <v>1077</v>
      </c>
      <c r="G97" s="743"/>
      <c r="H97" s="743"/>
      <c r="I97" s="743"/>
      <c r="J97" s="743"/>
      <c r="K97" s="1064"/>
      <c r="L97" s="1064"/>
      <c r="M97" s="1064"/>
      <c r="N97" s="1064"/>
      <c r="O97" s="1064"/>
      <c r="P97" s="746"/>
      <c r="Q97" s="746"/>
      <c r="R97" s="746"/>
      <c r="S97" s="746"/>
      <c r="T97" s="746"/>
      <c r="U97" s="746"/>
      <c r="V97" s="746"/>
      <c r="W97" s="746"/>
      <c r="X97" s="746"/>
      <c r="Y97" s="746"/>
      <c r="Z97" s="746"/>
      <c r="AA97" s="746"/>
      <c r="AB97" s="746"/>
      <c r="AC97" s="746"/>
      <c r="AD97" s="746"/>
      <c r="AE97" s="746"/>
      <c r="AF97" s="746"/>
      <c r="AG97" s="746"/>
      <c r="AH97" s="746"/>
    </row>
    <row r="98" spans="1:34" s="747" customFormat="1" x14ac:dyDescent="0.25">
      <c r="A98" s="748" t="s">
        <v>1209</v>
      </c>
      <c r="B98" s="742"/>
      <c r="C98" s="743" t="s">
        <v>1038</v>
      </c>
      <c r="D98" s="744" t="s">
        <v>1114</v>
      </c>
      <c r="E98" s="745" t="s">
        <v>1210</v>
      </c>
      <c r="F98" s="743" t="s">
        <v>1077</v>
      </c>
      <c r="G98" s="743"/>
      <c r="H98" s="743"/>
      <c r="I98" s="743"/>
      <c r="J98" s="743"/>
      <c r="K98" s="1064"/>
      <c r="L98" s="1064"/>
      <c r="M98" s="746"/>
      <c r="N98" s="746"/>
      <c r="O98" s="746"/>
      <c r="P98" s="746"/>
      <c r="Q98" s="746"/>
      <c r="R98" s="746"/>
      <c r="S98" s="746"/>
      <c r="T98" s="746"/>
      <c r="U98" s="746"/>
      <c r="V98" s="746"/>
      <c r="W98" s="746"/>
      <c r="X98" s="746"/>
      <c r="Y98" s="746"/>
      <c r="Z98" s="746"/>
      <c r="AA98" s="746"/>
      <c r="AB98" s="746"/>
      <c r="AC98" s="746"/>
      <c r="AD98" s="746"/>
      <c r="AE98" s="746"/>
      <c r="AF98" s="746"/>
      <c r="AG98" s="746"/>
      <c r="AH98" s="746"/>
    </row>
    <row r="99" spans="1:34" x14ac:dyDescent="0.25">
      <c r="A99" s="703" t="s">
        <v>1211</v>
      </c>
      <c r="B99" s="737" t="str">
        <f t="shared" ref="B99:B104" si="28">IF(IF(D99="+",MIN(H99:IU99)&gt;=0,IF(D99="-",MAX(H99:IU99)&lt;=0,TRUE)),"",1)</f>
        <v/>
      </c>
      <c r="C99" s="705" t="s">
        <v>1036</v>
      </c>
      <c r="D99" s="738" t="s">
        <v>1109</v>
      </c>
      <c r="E99" s="739" t="s">
        <v>64</v>
      </c>
      <c r="F99" s="705" t="s">
        <v>1077</v>
      </c>
      <c r="M99" s="740"/>
      <c r="N99" s="740"/>
      <c r="O99" s="740"/>
      <c r="P99" s="740"/>
      <c r="Q99" s="740"/>
      <c r="R99" s="740"/>
      <c r="S99" s="740"/>
      <c r="T99" s="740"/>
      <c r="U99" s="740"/>
      <c r="V99" s="740"/>
      <c r="W99" s="740"/>
      <c r="X99" s="740"/>
      <c r="Y99" s="740"/>
      <c r="Z99" s="740"/>
      <c r="AA99" s="740"/>
      <c r="AB99" s="740"/>
      <c r="AC99" s="740"/>
      <c r="AD99" s="740"/>
      <c r="AE99" s="740"/>
      <c r="AF99" s="740"/>
      <c r="AG99" s="740"/>
      <c r="AH99" s="740"/>
    </row>
    <row r="100" spans="1:34" x14ac:dyDescent="0.25">
      <c r="A100" s="703" t="s">
        <v>1212</v>
      </c>
      <c r="B100" s="737" t="str">
        <f t="shared" si="28"/>
        <v/>
      </c>
      <c r="C100" s="705" t="s">
        <v>1036</v>
      </c>
      <c r="D100" s="738" t="s">
        <v>1109</v>
      </c>
      <c r="E100" s="739" t="s">
        <v>65</v>
      </c>
      <c r="F100" s="705" t="s">
        <v>1077</v>
      </c>
      <c r="M100" s="740"/>
      <c r="N100" s="740"/>
      <c r="O100" s="740"/>
      <c r="P100" s="740"/>
      <c r="Q100" s="740"/>
      <c r="R100" s="740"/>
      <c r="S100" s="740"/>
      <c r="T100" s="740"/>
      <c r="U100" s="740"/>
      <c r="V100" s="740"/>
      <c r="W100" s="740"/>
      <c r="X100" s="740"/>
      <c r="Y100" s="740"/>
      <c r="Z100" s="740"/>
      <c r="AA100" s="740"/>
      <c r="AB100" s="740"/>
      <c r="AC100" s="740"/>
      <c r="AD100" s="740"/>
      <c r="AE100" s="740"/>
      <c r="AF100" s="740"/>
      <c r="AG100" s="740"/>
      <c r="AH100" s="740"/>
    </row>
    <row r="101" spans="1:34" x14ac:dyDescent="0.25">
      <c r="A101" s="703" t="s">
        <v>1213</v>
      </c>
      <c r="B101" s="737" t="str">
        <f t="shared" si="28"/>
        <v/>
      </c>
      <c r="C101" s="705" t="s">
        <v>1036</v>
      </c>
      <c r="D101" s="738" t="s">
        <v>1109</v>
      </c>
      <c r="E101" s="739" t="s">
        <v>1214</v>
      </c>
      <c r="F101" s="705" t="s">
        <v>1077</v>
      </c>
      <c r="M101" s="740"/>
      <c r="N101" s="740"/>
      <c r="O101" s="740"/>
      <c r="P101" s="740"/>
      <c r="Q101" s="740"/>
      <c r="R101" s="740"/>
      <c r="S101" s="740"/>
      <c r="T101" s="740"/>
      <c r="U101" s="740"/>
      <c r="V101" s="740"/>
      <c r="W101" s="740"/>
      <c r="X101" s="740"/>
      <c r="Y101" s="740"/>
      <c r="Z101" s="740"/>
      <c r="AA101" s="740"/>
      <c r="AB101" s="740"/>
      <c r="AC101" s="740"/>
      <c r="AD101" s="740"/>
      <c r="AE101" s="740"/>
      <c r="AF101" s="740"/>
      <c r="AG101" s="740"/>
      <c r="AH101" s="740"/>
    </row>
    <row r="102" spans="1:34" x14ac:dyDescent="0.25">
      <c r="A102" s="703" t="s">
        <v>1215</v>
      </c>
      <c r="B102" s="737" t="str">
        <f t="shared" si="28"/>
        <v/>
      </c>
      <c r="C102" s="705" t="s">
        <v>1036</v>
      </c>
      <c r="D102" s="738" t="s">
        <v>1109</v>
      </c>
      <c r="E102" s="739" t="s">
        <v>1216</v>
      </c>
      <c r="F102" s="705" t="s">
        <v>1077</v>
      </c>
      <c r="M102" s="740"/>
      <c r="N102" s="740"/>
      <c r="O102" s="740"/>
      <c r="P102" s="740"/>
      <c r="Q102" s="740"/>
      <c r="R102" s="740"/>
      <c r="S102" s="740"/>
      <c r="T102" s="740"/>
      <c r="U102" s="740"/>
      <c r="V102" s="740"/>
      <c r="W102" s="740"/>
      <c r="X102" s="740"/>
      <c r="Y102" s="740"/>
      <c r="Z102" s="740"/>
      <c r="AA102" s="740"/>
      <c r="AB102" s="740"/>
      <c r="AC102" s="740"/>
      <c r="AD102" s="740"/>
      <c r="AE102" s="740"/>
      <c r="AF102" s="740"/>
      <c r="AG102" s="740"/>
      <c r="AH102" s="740"/>
    </row>
    <row r="103" spans="1:34" x14ac:dyDescent="0.25">
      <c r="A103" s="703" t="s">
        <v>1217</v>
      </c>
      <c r="B103" s="737" t="str">
        <f t="shared" si="28"/>
        <v/>
      </c>
      <c r="C103" s="705" t="s">
        <v>1036</v>
      </c>
      <c r="D103" s="738" t="s">
        <v>1109</v>
      </c>
      <c r="E103" s="739" t="s">
        <v>1218</v>
      </c>
      <c r="F103" s="705" t="s">
        <v>1077</v>
      </c>
      <c r="M103" s="740"/>
      <c r="N103" s="740"/>
      <c r="O103" s="740"/>
      <c r="P103" s="740"/>
      <c r="Q103" s="740"/>
      <c r="R103" s="740"/>
      <c r="S103" s="740"/>
      <c r="T103" s="740"/>
      <c r="U103" s="740"/>
      <c r="V103" s="740"/>
      <c r="W103" s="740"/>
      <c r="X103" s="740"/>
      <c r="Y103" s="740"/>
      <c r="Z103" s="740"/>
      <c r="AA103" s="740"/>
      <c r="AB103" s="740"/>
      <c r="AC103" s="740"/>
      <c r="AD103" s="740"/>
      <c r="AE103" s="740"/>
      <c r="AF103" s="740"/>
      <c r="AG103" s="740"/>
      <c r="AH103" s="740"/>
    </row>
    <row r="104" spans="1:34" x14ac:dyDescent="0.25">
      <c r="A104" s="703" t="s">
        <v>1219</v>
      </c>
      <c r="B104" s="737" t="str">
        <f t="shared" si="28"/>
        <v/>
      </c>
      <c r="C104" s="705" t="s">
        <v>1036</v>
      </c>
      <c r="D104" s="738" t="s">
        <v>1109</v>
      </c>
      <c r="E104" s="739" t="s">
        <v>73</v>
      </c>
      <c r="F104" s="705" t="s">
        <v>1077</v>
      </c>
      <c r="M104" s="740"/>
      <c r="N104" s="740"/>
      <c r="O104" s="740"/>
      <c r="P104" s="740"/>
      <c r="Q104" s="740"/>
      <c r="R104" s="740"/>
      <c r="S104" s="740"/>
      <c r="T104" s="740"/>
      <c r="U104" s="740"/>
      <c r="V104" s="740"/>
      <c r="W104" s="740"/>
      <c r="X104" s="740"/>
      <c r="Y104" s="740"/>
      <c r="Z104" s="740"/>
      <c r="AA104" s="740"/>
      <c r="AB104" s="740"/>
      <c r="AC104" s="740"/>
      <c r="AD104" s="740"/>
      <c r="AE104" s="740"/>
      <c r="AF104" s="740"/>
      <c r="AG104" s="740"/>
      <c r="AH104" s="740"/>
    </row>
    <row r="105" spans="1:34" s="747" customFormat="1" x14ac:dyDescent="0.25">
      <c r="A105" s="748" t="s">
        <v>1220</v>
      </c>
      <c r="B105" s="742"/>
      <c r="C105" s="743" t="s">
        <v>1038</v>
      </c>
      <c r="D105" s="744" t="s">
        <v>1114</v>
      </c>
      <c r="E105" s="745" t="s">
        <v>75</v>
      </c>
      <c r="F105" s="743" t="s">
        <v>1077</v>
      </c>
      <c r="G105" s="743"/>
      <c r="H105" s="743"/>
      <c r="I105" s="743"/>
      <c r="J105" s="743"/>
      <c r="K105" s="1064"/>
      <c r="L105" s="1064"/>
      <c r="M105" s="746"/>
      <c r="N105" s="746"/>
      <c r="O105" s="746"/>
      <c r="P105" s="746"/>
      <c r="Q105" s="746"/>
      <c r="R105" s="746"/>
      <c r="S105" s="746"/>
      <c r="T105" s="746"/>
      <c r="U105" s="746"/>
      <c r="V105" s="746"/>
      <c r="W105" s="746"/>
      <c r="X105" s="746"/>
      <c r="Y105" s="746"/>
      <c r="Z105" s="746"/>
      <c r="AA105" s="746"/>
      <c r="AB105" s="746"/>
      <c r="AC105" s="746"/>
      <c r="AD105" s="746"/>
      <c r="AE105" s="746"/>
      <c r="AF105" s="746"/>
      <c r="AG105" s="746"/>
      <c r="AH105" s="746"/>
    </row>
    <row r="106" spans="1:34" x14ac:dyDescent="0.25">
      <c r="M106" s="740"/>
      <c r="N106" s="746"/>
      <c r="O106" s="746"/>
      <c r="P106" s="746"/>
      <c r="Q106" s="746"/>
      <c r="R106" s="746"/>
      <c r="S106" s="746"/>
      <c r="T106" s="746"/>
      <c r="U106" s="746"/>
      <c r="V106" s="746"/>
      <c r="W106" s="746"/>
      <c r="X106" s="746"/>
      <c r="Y106" s="746"/>
      <c r="Z106" s="746"/>
      <c r="AA106" s="746"/>
      <c r="AB106" s="746"/>
      <c r="AC106" s="746"/>
      <c r="AD106" s="746"/>
      <c r="AE106" s="746"/>
      <c r="AF106" s="746"/>
      <c r="AG106" s="746"/>
      <c r="AH106" s="746"/>
    </row>
    <row r="107" spans="1:34" x14ac:dyDescent="0.25">
      <c r="E107" s="751" t="s">
        <v>897</v>
      </c>
      <c r="M107" s="740"/>
      <c r="N107" s="740"/>
      <c r="O107" s="740"/>
      <c r="P107" s="740"/>
      <c r="Q107" s="740"/>
      <c r="R107" s="740"/>
      <c r="S107" s="740"/>
      <c r="T107" s="740"/>
      <c r="U107" s="740"/>
      <c r="V107" s="740"/>
      <c r="W107" s="740"/>
      <c r="X107" s="740"/>
      <c r="Y107" s="740"/>
      <c r="Z107" s="740"/>
      <c r="AA107" s="740"/>
      <c r="AB107" s="740"/>
      <c r="AC107" s="740"/>
      <c r="AD107" s="740"/>
      <c r="AE107" s="740"/>
      <c r="AF107" s="740"/>
      <c r="AG107" s="740"/>
      <c r="AH107" s="740"/>
    </row>
    <row r="108" spans="1:34" x14ac:dyDescent="0.25">
      <c r="A108" s="750" t="s">
        <v>1221</v>
      </c>
      <c r="B108" s="737" t="str">
        <f>IF(IF(D108="+",MIN(H108:IU108)&gt;=0,IF(D108="-",MAX(H108:IU108)&lt;=0,TRUE)),"",1)</f>
        <v/>
      </c>
      <c r="C108" s="705" t="s">
        <v>1036</v>
      </c>
      <c r="D108" s="738" t="s">
        <v>1109</v>
      </c>
      <c r="E108" s="739" t="s">
        <v>1222</v>
      </c>
      <c r="F108" s="705" t="s">
        <v>1077</v>
      </c>
      <c r="M108" s="740"/>
      <c r="N108" s="740"/>
      <c r="O108" s="740"/>
      <c r="P108" s="740"/>
      <c r="Q108" s="740"/>
      <c r="R108" s="740"/>
      <c r="S108" s="740"/>
      <c r="T108" s="740"/>
      <c r="U108" s="740"/>
      <c r="V108" s="740"/>
      <c r="W108" s="740"/>
      <c r="X108" s="740"/>
      <c r="Y108" s="740"/>
      <c r="Z108" s="740"/>
      <c r="AA108" s="740"/>
      <c r="AB108" s="740"/>
      <c r="AC108" s="740"/>
      <c r="AD108" s="740"/>
      <c r="AE108" s="740"/>
      <c r="AF108" s="740"/>
      <c r="AG108" s="740"/>
      <c r="AH108" s="740"/>
    </row>
    <row r="109" spans="1:34" x14ac:dyDescent="0.25">
      <c r="A109" s="703" t="s">
        <v>1223</v>
      </c>
      <c r="B109" s="737" t="str">
        <f>IF(IF(D109="+",MIN(H109:IU109)&gt;=0,IF(D109="-",MAX(H109:IU109)&lt;=0,TRUE)),"",1)</f>
        <v/>
      </c>
      <c r="C109" s="705" t="s">
        <v>1036</v>
      </c>
      <c r="D109" s="738" t="s">
        <v>1159</v>
      </c>
      <c r="E109" s="739" t="s">
        <v>1224</v>
      </c>
      <c r="F109" s="705" t="s">
        <v>1077</v>
      </c>
      <c r="M109" s="740"/>
      <c r="P109" s="740"/>
      <c r="Q109" s="740"/>
      <c r="R109" s="740"/>
      <c r="S109" s="740"/>
      <c r="T109" s="740"/>
      <c r="U109" s="740"/>
      <c r="V109" s="740"/>
      <c r="W109" s="740"/>
      <c r="X109" s="740"/>
      <c r="Y109" s="740"/>
      <c r="Z109" s="740"/>
      <c r="AA109" s="740"/>
      <c r="AB109" s="740"/>
      <c r="AC109" s="740"/>
      <c r="AD109" s="740"/>
      <c r="AE109" s="740"/>
      <c r="AF109" s="740"/>
      <c r="AG109" s="740"/>
      <c r="AH109" s="740"/>
    </row>
    <row r="110" spans="1:34" s="747" customFormat="1" x14ac:dyDescent="0.25">
      <c r="A110" s="748" t="s">
        <v>1225</v>
      </c>
      <c r="B110" s="742"/>
      <c r="C110" s="743" t="s">
        <v>1038</v>
      </c>
      <c r="D110" s="744" t="s">
        <v>1114</v>
      </c>
      <c r="E110" s="745" t="s">
        <v>1226</v>
      </c>
      <c r="F110" s="743" t="s">
        <v>1077</v>
      </c>
      <c r="G110" s="743"/>
      <c r="H110" s="743"/>
      <c r="I110" s="743"/>
      <c r="J110" s="743"/>
      <c r="K110" s="1064"/>
      <c r="L110" s="1064"/>
      <c r="M110" s="746"/>
      <c r="N110" s="746"/>
      <c r="O110" s="746"/>
      <c r="P110" s="746"/>
      <c r="Q110" s="746"/>
      <c r="R110" s="746"/>
      <c r="S110" s="746"/>
      <c r="T110" s="746"/>
      <c r="U110" s="746"/>
      <c r="V110" s="746"/>
      <c r="W110" s="746"/>
      <c r="X110" s="746"/>
      <c r="Y110" s="746"/>
      <c r="Z110" s="746"/>
      <c r="AA110" s="746"/>
      <c r="AB110" s="746"/>
      <c r="AC110" s="746"/>
      <c r="AD110" s="746"/>
      <c r="AE110" s="746"/>
      <c r="AF110" s="746"/>
      <c r="AG110" s="746"/>
      <c r="AH110" s="746"/>
    </row>
    <row r="111" spans="1:34" x14ac:dyDescent="0.25">
      <c r="A111" s="750" t="s">
        <v>1227</v>
      </c>
      <c r="B111" s="737" t="str">
        <f>IF(IF(D111="+",MIN(H111:IU111)&gt;=0,IF(D111="-",MAX(H111:IU111)&lt;=0,TRUE)),"",1)</f>
        <v/>
      </c>
      <c r="C111" s="705" t="s">
        <v>1036</v>
      </c>
      <c r="D111" s="738" t="s">
        <v>1109</v>
      </c>
      <c r="E111" s="739" t="s">
        <v>1228</v>
      </c>
      <c r="F111" s="705" t="s">
        <v>1077</v>
      </c>
      <c r="M111" s="740"/>
      <c r="P111" s="740"/>
      <c r="Q111" s="740"/>
      <c r="R111" s="740"/>
      <c r="S111" s="740"/>
      <c r="T111" s="740"/>
      <c r="U111" s="740"/>
      <c r="V111" s="740"/>
      <c r="W111" s="740"/>
      <c r="X111" s="740"/>
      <c r="Y111" s="740"/>
      <c r="Z111" s="740"/>
      <c r="AA111" s="740"/>
      <c r="AB111" s="740"/>
      <c r="AC111" s="740"/>
      <c r="AD111" s="740"/>
      <c r="AE111" s="740"/>
      <c r="AF111" s="740"/>
      <c r="AG111" s="740"/>
      <c r="AH111" s="740"/>
    </row>
    <row r="112" spans="1:34" s="747" customFormat="1" x14ac:dyDescent="0.25">
      <c r="A112" s="741" t="s">
        <v>1229</v>
      </c>
      <c r="B112" s="742"/>
      <c r="C112" s="743" t="s">
        <v>1038</v>
      </c>
      <c r="D112" s="744" t="s">
        <v>1114</v>
      </c>
      <c r="E112" s="745" t="s">
        <v>1230</v>
      </c>
      <c r="F112" s="743" t="s">
        <v>1077</v>
      </c>
      <c r="G112" s="743"/>
      <c r="H112" s="743"/>
      <c r="I112" s="743"/>
      <c r="J112" s="743"/>
      <c r="K112" s="743"/>
      <c r="L112" s="743"/>
      <c r="M112" s="746"/>
      <c r="N112" s="746"/>
      <c r="O112" s="746"/>
      <c r="P112" s="746"/>
      <c r="Q112" s="746"/>
      <c r="R112" s="746"/>
      <c r="S112" s="746"/>
      <c r="T112" s="746"/>
      <c r="U112" s="746"/>
      <c r="V112" s="746"/>
      <c r="W112" s="746"/>
      <c r="X112" s="746"/>
      <c r="Y112" s="746"/>
      <c r="Z112" s="746"/>
      <c r="AA112" s="746"/>
      <c r="AB112" s="746"/>
      <c r="AC112" s="746"/>
      <c r="AD112" s="746"/>
      <c r="AE112" s="746"/>
      <c r="AF112" s="746"/>
      <c r="AG112" s="746"/>
      <c r="AH112" s="746"/>
    </row>
    <row r="113" spans="1:34" x14ac:dyDescent="0.25">
      <c r="A113" s="703" t="s">
        <v>1231</v>
      </c>
      <c r="B113" s="737" t="str">
        <f>IF(IF(D113="+",MIN(H113:IU113)&gt;=0,IF(D113="-",MAX(H113:IU113)&lt;=0,TRUE)),"",1)</f>
        <v/>
      </c>
      <c r="C113" s="705" t="s">
        <v>1036</v>
      </c>
      <c r="D113" s="738" t="s">
        <v>1109</v>
      </c>
      <c r="E113" s="739" t="s">
        <v>1232</v>
      </c>
      <c r="F113" s="705" t="s">
        <v>1077</v>
      </c>
      <c r="M113" s="740"/>
      <c r="N113" s="740"/>
      <c r="O113" s="740"/>
      <c r="P113" s="740"/>
      <c r="Q113" s="740"/>
      <c r="R113" s="740"/>
      <c r="S113" s="740"/>
      <c r="T113" s="740"/>
      <c r="U113" s="740"/>
      <c r="V113" s="740"/>
      <c r="W113" s="740"/>
      <c r="X113" s="740"/>
      <c r="Y113" s="740"/>
      <c r="Z113" s="740"/>
      <c r="AA113" s="740"/>
      <c r="AB113" s="740"/>
      <c r="AC113" s="740"/>
      <c r="AD113" s="740"/>
      <c r="AE113" s="740"/>
      <c r="AF113" s="740"/>
      <c r="AG113" s="740"/>
      <c r="AH113" s="740"/>
    </row>
    <row r="114" spans="1:34" s="747" customFormat="1" x14ac:dyDescent="0.25">
      <c r="A114" s="748" t="s">
        <v>1233</v>
      </c>
      <c r="B114" s="742"/>
      <c r="C114" s="743" t="s">
        <v>1038</v>
      </c>
      <c r="D114" s="744" t="s">
        <v>1114</v>
      </c>
      <c r="E114" s="745" t="s">
        <v>1234</v>
      </c>
      <c r="F114" s="743" t="s">
        <v>1077</v>
      </c>
      <c r="G114" s="743"/>
      <c r="H114" s="743"/>
      <c r="I114" s="743"/>
      <c r="J114" s="743"/>
      <c r="K114" s="743"/>
      <c r="L114" s="743"/>
      <c r="M114" s="746"/>
      <c r="N114" s="746"/>
      <c r="O114" s="746"/>
      <c r="P114" s="746"/>
      <c r="Q114" s="746"/>
      <c r="R114" s="746"/>
      <c r="S114" s="746"/>
      <c r="T114" s="746"/>
      <c r="U114" s="746"/>
      <c r="V114" s="746"/>
      <c r="W114" s="746"/>
      <c r="X114" s="746"/>
      <c r="Y114" s="746"/>
      <c r="Z114" s="746"/>
      <c r="AA114" s="746"/>
      <c r="AB114" s="746"/>
      <c r="AC114" s="746"/>
      <c r="AD114" s="746"/>
      <c r="AE114" s="746"/>
      <c r="AF114" s="746"/>
      <c r="AG114" s="746"/>
      <c r="AH114" s="746"/>
    </row>
    <row r="115" spans="1:34" x14ac:dyDescent="0.25">
      <c r="A115" s="703" t="s">
        <v>1235</v>
      </c>
      <c r="B115" s="737" t="str">
        <f>IF(IF(D115="+",MIN(H115:IU115)&gt;=0,IF(D115="-",MAX(H115:IU115)&lt;=0,TRUE)),"",1)</f>
        <v/>
      </c>
      <c r="C115" s="705" t="s">
        <v>1036</v>
      </c>
      <c r="D115" s="738" t="s">
        <v>1109</v>
      </c>
      <c r="E115" s="739" t="s">
        <v>949</v>
      </c>
      <c r="F115" s="705" t="s">
        <v>1077</v>
      </c>
      <c r="M115" s="740"/>
      <c r="P115" s="740"/>
      <c r="Q115" s="740"/>
      <c r="R115" s="740"/>
      <c r="S115" s="740"/>
      <c r="T115" s="740"/>
      <c r="U115" s="740"/>
      <c r="V115" s="740"/>
      <c r="W115" s="740"/>
      <c r="X115" s="740"/>
      <c r="Y115" s="740"/>
      <c r="Z115" s="740"/>
      <c r="AA115" s="740"/>
      <c r="AB115" s="740"/>
      <c r="AC115" s="740"/>
      <c r="AD115" s="740"/>
      <c r="AE115" s="740"/>
      <c r="AF115" s="740"/>
      <c r="AG115" s="740"/>
      <c r="AH115" s="740"/>
    </row>
    <row r="116" spans="1:34" x14ac:dyDescent="0.25">
      <c r="A116" s="703" t="s">
        <v>1236</v>
      </c>
      <c r="B116" s="737" t="str">
        <f>IF(IF(D116="+",MIN(H116:IU116)&gt;=0,IF(D116="-",MAX(H116:IU116)&lt;=0,TRUE)),"",1)</f>
        <v/>
      </c>
      <c r="C116" s="705" t="s">
        <v>1036</v>
      </c>
      <c r="D116" s="738" t="s">
        <v>1109</v>
      </c>
      <c r="E116" s="739" t="s">
        <v>1237</v>
      </c>
      <c r="F116" s="705" t="s">
        <v>1077</v>
      </c>
      <c r="M116" s="740"/>
      <c r="N116" s="740"/>
      <c r="O116" s="740"/>
      <c r="P116" s="740"/>
      <c r="Q116" s="740"/>
      <c r="R116" s="740"/>
      <c r="S116" s="740"/>
      <c r="T116" s="740"/>
      <c r="U116" s="740"/>
      <c r="V116" s="740"/>
      <c r="W116" s="740"/>
      <c r="X116" s="740"/>
      <c r="Y116" s="740"/>
      <c r="Z116" s="740"/>
      <c r="AA116" s="740"/>
      <c r="AB116" s="740"/>
      <c r="AC116" s="740"/>
      <c r="AD116" s="740"/>
      <c r="AE116" s="740"/>
      <c r="AF116" s="740"/>
      <c r="AG116" s="740"/>
      <c r="AH116" s="740"/>
    </row>
    <row r="117" spans="1:34" s="747" customFormat="1" x14ac:dyDescent="0.25">
      <c r="A117" s="752" t="s">
        <v>1238</v>
      </c>
      <c r="B117" s="753"/>
      <c r="C117" s="754" t="s">
        <v>1038</v>
      </c>
      <c r="D117" s="744" t="s">
        <v>1114</v>
      </c>
      <c r="E117" s="707" t="s">
        <v>1239</v>
      </c>
      <c r="F117" s="743" t="s">
        <v>1077</v>
      </c>
      <c r="G117" s="743"/>
      <c r="H117" s="755"/>
      <c r="I117" s="755"/>
      <c r="J117" s="755"/>
      <c r="K117" s="755"/>
      <c r="L117" s="755"/>
      <c r="M117" s="755"/>
      <c r="N117" s="746"/>
      <c r="O117" s="746"/>
      <c r="P117" s="746"/>
      <c r="Q117" s="746"/>
      <c r="R117" s="746"/>
      <c r="S117" s="746"/>
      <c r="T117" s="746"/>
      <c r="U117" s="746"/>
      <c r="V117" s="746"/>
      <c r="W117" s="746"/>
      <c r="X117" s="746"/>
      <c r="Y117" s="746"/>
      <c r="Z117" s="746"/>
      <c r="AA117" s="746"/>
      <c r="AB117" s="746"/>
      <c r="AC117" s="746"/>
      <c r="AD117" s="746"/>
      <c r="AE117" s="746"/>
      <c r="AF117" s="746"/>
      <c r="AG117" s="746"/>
      <c r="AH117" s="746"/>
    </row>
    <row r="118" spans="1:34" x14ac:dyDescent="0.25">
      <c r="A118" s="703" t="s">
        <v>1240</v>
      </c>
      <c r="B118" s="737" t="str">
        <f>IF(IF(D118="+",MIN(H118:IU118)&gt;=0,IF(D118="-",MAX(H118:IU118)&lt;=0,TRUE)),"",1)</f>
        <v/>
      </c>
      <c r="C118" s="705" t="s">
        <v>1036</v>
      </c>
      <c r="D118" s="738" t="s">
        <v>1109</v>
      </c>
      <c r="E118" s="739" t="s">
        <v>1241</v>
      </c>
      <c r="F118" s="705" t="s">
        <v>1077</v>
      </c>
      <c r="M118" s="740"/>
      <c r="N118" s="740"/>
      <c r="O118" s="740"/>
      <c r="P118" s="740"/>
      <c r="Q118" s="740"/>
      <c r="R118" s="740"/>
      <c r="S118" s="740"/>
      <c r="T118" s="740"/>
      <c r="U118" s="740"/>
      <c r="V118" s="740"/>
      <c r="W118" s="740"/>
      <c r="X118" s="740"/>
      <c r="Y118" s="740"/>
      <c r="Z118" s="740"/>
      <c r="AA118" s="740"/>
      <c r="AB118" s="740"/>
      <c r="AC118" s="740"/>
      <c r="AD118" s="740"/>
      <c r="AE118" s="740"/>
      <c r="AF118" s="740"/>
      <c r="AG118" s="740"/>
      <c r="AH118" s="740"/>
    </row>
    <row r="119" spans="1:34" x14ac:dyDescent="0.25">
      <c r="A119" s="703" t="s">
        <v>1242</v>
      </c>
      <c r="B119" s="737" t="str">
        <f>IF(IF(D119="+",MIN(H119:IU119)&gt;=0,IF(D119="-",MAX(H119:IU119)&lt;=0,TRUE)),"",1)</f>
        <v/>
      </c>
      <c r="C119" s="705" t="s">
        <v>1036</v>
      </c>
      <c r="D119" s="738" t="s">
        <v>1109</v>
      </c>
      <c r="E119" s="739" t="s">
        <v>89</v>
      </c>
      <c r="F119" s="705" t="s">
        <v>1077</v>
      </c>
      <c r="M119" s="740"/>
      <c r="N119" s="740"/>
      <c r="O119" s="740"/>
      <c r="P119" s="740"/>
      <c r="Q119" s="740"/>
      <c r="R119" s="740"/>
      <c r="S119" s="740"/>
      <c r="T119" s="740"/>
      <c r="U119" s="740"/>
      <c r="V119" s="740"/>
      <c r="W119" s="740"/>
      <c r="X119" s="740"/>
      <c r="Y119" s="740"/>
      <c r="Z119" s="740"/>
      <c r="AA119" s="740"/>
      <c r="AB119" s="740"/>
      <c r="AC119" s="740"/>
      <c r="AD119" s="740"/>
      <c r="AE119" s="740"/>
      <c r="AF119" s="740"/>
      <c r="AG119" s="740"/>
      <c r="AH119" s="740"/>
    </row>
    <row r="120" spans="1:34" x14ac:dyDescent="0.25">
      <c r="A120" s="703" t="s">
        <v>1243</v>
      </c>
      <c r="B120" s="737" t="str">
        <f>IF(IF(D120="+",MIN(H120:IU120)&gt;=0,IF(D120="-",MAX(H120:IU120)&lt;=0,TRUE)),"",1)</f>
        <v/>
      </c>
      <c r="C120" s="705" t="s">
        <v>1036</v>
      </c>
      <c r="D120" s="738" t="s">
        <v>1109</v>
      </c>
      <c r="E120" s="739" t="s">
        <v>1244</v>
      </c>
      <c r="F120" s="705" t="s">
        <v>1077</v>
      </c>
      <c r="M120" s="740"/>
      <c r="N120" s="740"/>
      <c r="O120" s="740"/>
      <c r="P120" s="740"/>
      <c r="Q120" s="740"/>
      <c r="R120" s="740"/>
      <c r="S120" s="740"/>
      <c r="T120" s="740"/>
      <c r="U120" s="740"/>
      <c r="V120" s="740"/>
      <c r="W120" s="740"/>
      <c r="X120" s="740"/>
      <c r="Y120" s="740"/>
      <c r="Z120" s="740"/>
      <c r="AA120" s="740"/>
      <c r="AB120" s="740"/>
      <c r="AC120" s="740"/>
      <c r="AD120" s="740"/>
      <c r="AE120" s="740"/>
      <c r="AF120" s="740"/>
      <c r="AG120" s="740"/>
      <c r="AH120" s="740"/>
    </row>
    <row r="121" spans="1:34" x14ac:dyDescent="0.25">
      <c r="A121" s="703" t="s">
        <v>1245</v>
      </c>
      <c r="B121" s="737" t="str">
        <f>IF(IF(D121="+",MIN(H121:IU121)&gt;=0,IF(D121="-",MAX(H121:IU121)&lt;=0,TRUE)),"",1)</f>
        <v/>
      </c>
      <c r="C121" s="705" t="s">
        <v>1036</v>
      </c>
      <c r="D121" s="738" t="s">
        <v>1109</v>
      </c>
      <c r="E121" s="739" t="s">
        <v>1246</v>
      </c>
      <c r="F121" s="705" t="s">
        <v>1077</v>
      </c>
      <c r="M121" s="740"/>
      <c r="N121" s="740"/>
      <c r="O121" s="740"/>
      <c r="P121" s="740"/>
      <c r="Q121" s="740"/>
      <c r="R121" s="740"/>
      <c r="S121" s="740"/>
      <c r="T121" s="740"/>
      <c r="U121" s="740"/>
      <c r="V121" s="740"/>
      <c r="W121" s="740"/>
      <c r="X121" s="740"/>
      <c r="Y121" s="740"/>
      <c r="Z121" s="740"/>
      <c r="AA121" s="740"/>
      <c r="AB121" s="740"/>
      <c r="AC121" s="740"/>
      <c r="AD121" s="740"/>
      <c r="AE121" s="740"/>
      <c r="AF121" s="740"/>
      <c r="AG121" s="740"/>
      <c r="AH121" s="740"/>
    </row>
    <row r="122" spans="1:34" s="747" customFormat="1" x14ac:dyDescent="0.25">
      <c r="A122" s="741" t="s">
        <v>1247</v>
      </c>
      <c r="B122" s="742"/>
      <c r="C122" s="743" t="s">
        <v>1038</v>
      </c>
      <c r="D122" s="744" t="s">
        <v>1114</v>
      </c>
      <c r="E122" s="745" t="s">
        <v>100</v>
      </c>
      <c r="F122" s="743" t="s">
        <v>1077</v>
      </c>
      <c r="G122" s="743"/>
      <c r="H122" s="743"/>
      <c r="I122" s="743"/>
      <c r="J122" s="743"/>
      <c r="K122" s="743"/>
      <c r="L122" s="743"/>
      <c r="M122" s="746"/>
      <c r="N122" s="746"/>
      <c r="O122" s="746"/>
      <c r="P122" s="746"/>
      <c r="Q122" s="746"/>
      <c r="R122" s="746"/>
      <c r="S122" s="746"/>
      <c r="T122" s="746"/>
      <c r="U122" s="746"/>
      <c r="V122" s="746"/>
      <c r="W122" s="746"/>
      <c r="X122" s="746"/>
      <c r="Y122" s="746"/>
      <c r="Z122" s="746"/>
      <c r="AA122" s="746"/>
      <c r="AB122" s="746"/>
      <c r="AC122" s="746"/>
      <c r="AD122" s="746"/>
      <c r="AE122" s="746"/>
      <c r="AF122" s="746"/>
      <c r="AG122" s="746"/>
      <c r="AH122" s="746"/>
    </row>
    <row r="123" spans="1:34" x14ac:dyDescent="0.25">
      <c r="A123" s="703" t="s">
        <v>1248</v>
      </c>
      <c r="B123" s="737" t="str">
        <f>IF(IF(D123="+",MIN(H123:IU123)&gt;=0,IF(D123="-",MAX(H123:IU123)&lt;=0,TRUE)),"",1)</f>
        <v/>
      </c>
      <c r="C123" s="705" t="s">
        <v>1036</v>
      </c>
      <c r="D123" s="738" t="s">
        <v>1109</v>
      </c>
      <c r="E123" s="739" t="s">
        <v>90</v>
      </c>
      <c r="F123" s="705" t="s">
        <v>1077</v>
      </c>
      <c r="M123" s="740"/>
      <c r="N123" s="740"/>
      <c r="O123" s="740"/>
      <c r="P123" s="740"/>
      <c r="Q123" s="740"/>
      <c r="R123" s="740"/>
      <c r="S123" s="740"/>
      <c r="T123" s="740"/>
      <c r="U123" s="740"/>
      <c r="V123" s="740"/>
      <c r="W123" s="740"/>
      <c r="X123" s="740"/>
      <c r="Y123" s="740"/>
      <c r="Z123" s="740"/>
      <c r="AA123" s="740"/>
      <c r="AB123" s="740"/>
      <c r="AC123" s="740"/>
      <c r="AD123" s="740"/>
      <c r="AE123" s="740"/>
      <c r="AF123" s="740"/>
      <c r="AG123" s="740"/>
      <c r="AH123" s="740"/>
    </row>
    <row r="124" spans="1:34" x14ac:dyDescent="0.25">
      <c r="A124" s="703" t="s">
        <v>1249</v>
      </c>
      <c r="B124" s="737" t="str">
        <f>IF(IF(D124="+",MIN(H124:IU124)&gt;=0,IF(D124="-",MAX(H124:IU124)&lt;=0,TRUE)),"",1)</f>
        <v/>
      </c>
      <c r="C124" s="705" t="s">
        <v>1036</v>
      </c>
      <c r="D124" s="738" t="s">
        <v>1109</v>
      </c>
      <c r="E124" s="739" t="s">
        <v>1250</v>
      </c>
      <c r="F124" s="705" t="s">
        <v>1077</v>
      </c>
      <c r="M124" s="740"/>
      <c r="N124" s="740"/>
      <c r="O124" s="740"/>
      <c r="P124" s="740"/>
      <c r="Q124" s="740"/>
      <c r="R124" s="740"/>
      <c r="S124" s="740"/>
      <c r="T124" s="740"/>
      <c r="U124" s="740"/>
      <c r="V124" s="740"/>
      <c r="W124" s="740"/>
      <c r="X124" s="740"/>
      <c r="Y124" s="740"/>
      <c r="Z124" s="740"/>
      <c r="AA124" s="740"/>
      <c r="AB124" s="740"/>
      <c r="AC124" s="740"/>
      <c r="AD124" s="740"/>
      <c r="AE124" s="740"/>
      <c r="AF124" s="740"/>
      <c r="AG124" s="740"/>
      <c r="AH124" s="740"/>
    </row>
    <row r="125" spans="1:34" x14ac:dyDescent="0.25">
      <c r="A125" s="750" t="s">
        <v>1251</v>
      </c>
      <c r="B125" s="737" t="str">
        <f>IF(IF(D125="+",MIN(H125:IU125)&gt;=0,IF(D125="-",MAX(H125:IU125)&lt;=0,TRUE)),"",1)</f>
        <v/>
      </c>
      <c r="C125" s="705" t="s">
        <v>1036</v>
      </c>
      <c r="D125" s="738" t="s">
        <v>1159</v>
      </c>
      <c r="E125" s="739" t="s">
        <v>1252</v>
      </c>
      <c r="F125" s="705" t="s">
        <v>1077</v>
      </c>
      <c r="M125" s="740"/>
      <c r="N125" s="740"/>
      <c r="O125" s="740"/>
      <c r="P125" s="740"/>
      <c r="Q125" s="740"/>
      <c r="R125" s="740"/>
      <c r="S125" s="740"/>
      <c r="T125" s="740"/>
      <c r="U125" s="740"/>
      <c r="V125" s="740"/>
      <c r="W125" s="740"/>
      <c r="X125" s="740"/>
      <c r="Y125" s="740"/>
      <c r="Z125" s="740"/>
      <c r="AA125" s="740"/>
      <c r="AB125" s="740"/>
      <c r="AC125" s="740"/>
      <c r="AD125" s="740"/>
      <c r="AE125" s="740"/>
      <c r="AF125" s="740"/>
      <c r="AG125" s="740"/>
      <c r="AH125" s="740"/>
    </row>
    <row r="126" spans="1:34" x14ac:dyDescent="0.25">
      <c r="A126" s="703" t="s">
        <v>1253</v>
      </c>
      <c r="B126" s="737" t="str">
        <f>IF(IF(D126="+",MIN(H126:IU126)&gt;=0,IF(D126="-",MAX(H126:IU126)&lt;=0,TRUE)),"",1)</f>
        <v/>
      </c>
      <c r="C126" s="705" t="s">
        <v>1036</v>
      </c>
      <c r="D126" s="738" t="s">
        <v>1109</v>
      </c>
      <c r="E126" s="739" t="s">
        <v>1254</v>
      </c>
      <c r="F126" s="705" t="s">
        <v>1077</v>
      </c>
      <c r="M126" s="740"/>
      <c r="N126" s="740"/>
      <c r="O126" s="740"/>
      <c r="P126" s="740"/>
      <c r="Q126" s="740"/>
      <c r="R126" s="740"/>
      <c r="S126" s="740"/>
      <c r="T126" s="740"/>
      <c r="U126" s="740"/>
      <c r="V126" s="740"/>
      <c r="W126" s="740"/>
      <c r="X126" s="740"/>
      <c r="Y126" s="740"/>
      <c r="Z126" s="740"/>
      <c r="AA126" s="740"/>
      <c r="AB126" s="740"/>
      <c r="AC126" s="740"/>
      <c r="AD126" s="740"/>
      <c r="AE126" s="740"/>
      <c r="AF126" s="740"/>
      <c r="AG126" s="740"/>
      <c r="AH126" s="740"/>
    </row>
    <row r="127" spans="1:34" x14ac:dyDescent="0.25">
      <c r="A127" s="703" t="s">
        <v>1255</v>
      </c>
      <c r="B127" s="737" t="str">
        <f>IF(IF(D127="+",MIN(H127:IU127)&gt;=0,IF(D127="-",MAX(H127:IU127)&lt;=0,TRUE)),"",1)</f>
        <v/>
      </c>
      <c r="C127" s="705" t="s">
        <v>1036</v>
      </c>
      <c r="D127" s="738" t="s">
        <v>1109</v>
      </c>
      <c r="E127" s="739" t="s">
        <v>1256</v>
      </c>
      <c r="F127" s="705" t="s">
        <v>1077</v>
      </c>
      <c r="M127" s="740"/>
      <c r="N127" s="740"/>
      <c r="O127" s="740"/>
      <c r="P127" s="740"/>
      <c r="Q127" s="740"/>
      <c r="R127" s="740"/>
      <c r="S127" s="740"/>
      <c r="T127" s="740"/>
      <c r="U127" s="740"/>
      <c r="V127" s="740"/>
      <c r="W127" s="740"/>
      <c r="X127" s="740"/>
      <c r="Y127" s="740"/>
      <c r="Z127" s="740"/>
      <c r="AA127" s="740"/>
      <c r="AB127" s="740"/>
      <c r="AC127" s="740"/>
      <c r="AD127" s="740"/>
      <c r="AE127" s="740"/>
      <c r="AF127" s="740"/>
      <c r="AG127" s="740"/>
      <c r="AH127" s="740"/>
    </row>
    <row r="128" spans="1:34" s="747" customFormat="1" x14ac:dyDescent="0.25">
      <c r="A128" s="741" t="s">
        <v>1257</v>
      </c>
      <c r="B128" s="742"/>
      <c r="C128" s="743" t="s">
        <v>1038</v>
      </c>
      <c r="D128" s="744" t="s">
        <v>1114</v>
      </c>
      <c r="E128" s="745" t="s">
        <v>95</v>
      </c>
      <c r="F128" s="743" t="s">
        <v>1077</v>
      </c>
      <c r="G128" s="743"/>
      <c r="H128" s="743"/>
      <c r="I128" s="743"/>
      <c r="J128" s="743"/>
      <c r="K128" s="743"/>
      <c r="L128" s="743"/>
      <c r="M128" s="746"/>
      <c r="N128" s="746"/>
      <c r="O128" s="746"/>
      <c r="P128" s="746"/>
      <c r="Q128" s="746"/>
      <c r="R128" s="746"/>
      <c r="S128" s="746"/>
      <c r="T128" s="746"/>
      <c r="U128" s="746"/>
      <c r="V128" s="746"/>
      <c r="W128" s="746"/>
      <c r="X128" s="746"/>
      <c r="Y128" s="746"/>
      <c r="Z128" s="746"/>
      <c r="AA128" s="746"/>
      <c r="AB128" s="746"/>
      <c r="AC128" s="746"/>
      <c r="AD128" s="746"/>
      <c r="AE128" s="746"/>
      <c r="AF128" s="746"/>
      <c r="AG128" s="746"/>
      <c r="AH128" s="746"/>
    </row>
    <row r="129" spans="1:54" x14ac:dyDescent="0.25">
      <c r="A129" s="703" t="s">
        <v>1258</v>
      </c>
      <c r="B129" s="737" t="str">
        <f>IF(IF(D129="+",MIN(H129:IU129)&gt;=0,IF(D129="-",MAX(H129:IU129)&lt;=0,TRUE)),"",1)</f>
        <v/>
      </c>
      <c r="C129" s="705" t="s">
        <v>1036</v>
      </c>
      <c r="D129" s="738" t="s">
        <v>1109</v>
      </c>
      <c r="E129" s="739" t="s">
        <v>1259</v>
      </c>
      <c r="F129" s="705" t="s">
        <v>1077</v>
      </c>
      <c r="M129" s="740"/>
      <c r="N129" s="740"/>
      <c r="O129" s="740"/>
      <c r="P129" s="740"/>
      <c r="Q129" s="740"/>
      <c r="R129" s="740"/>
      <c r="S129" s="740"/>
      <c r="T129" s="740"/>
      <c r="U129" s="740"/>
      <c r="V129" s="740"/>
      <c r="W129" s="740"/>
      <c r="X129" s="740"/>
      <c r="Y129" s="740"/>
      <c r="Z129" s="740"/>
      <c r="AA129" s="740"/>
      <c r="AB129" s="740"/>
      <c r="AC129" s="740"/>
      <c r="AD129" s="740"/>
      <c r="AE129" s="740"/>
      <c r="AF129" s="740"/>
      <c r="AG129" s="740"/>
      <c r="AH129" s="740"/>
    </row>
    <row r="130" spans="1:54" x14ac:dyDescent="0.25">
      <c r="A130" s="703" t="s">
        <v>1260</v>
      </c>
      <c r="B130" s="737" t="str">
        <f>IF(IF(D130="+",MIN(H130:IU130)&gt;=0,IF(D130="-",MAX(H130:IU130)&lt;=0,TRUE)),"",1)</f>
        <v/>
      </c>
      <c r="C130" s="705" t="s">
        <v>1036</v>
      </c>
      <c r="D130" s="738" t="s">
        <v>1109</v>
      </c>
      <c r="E130" s="739" t="s">
        <v>1261</v>
      </c>
      <c r="F130" s="705" t="s">
        <v>1077</v>
      </c>
      <c r="M130" s="740"/>
      <c r="N130" s="740"/>
      <c r="O130" s="740"/>
      <c r="P130" s="740"/>
      <c r="Q130" s="740"/>
      <c r="R130" s="740"/>
      <c r="S130" s="740"/>
      <c r="T130" s="740"/>
      <c r="U130" s="740"/>
      <c r="V130" s="740"/>
      <c r="W130" s="740"/>
      <c r="X130" s="740"/>
      <c r="Y130" s="740"/>
      <c r="Z130" s="740"/>
      <c r="AA130" s="740"/>
      <c r="AB130" s="740"/>
      <c r="AC130" s="740"/>
      <c r="AD130" s="740"/>
      <c r="AE130" s="740"/>
      <c r="AF130" s="740"/>
      <c r="AG130" s="740"/>
      <c r="AH130" s="740"/>
    </row>
    <row r="131" spans="1:54" x14ac:dyDescent="0.25">
      <c r="A131" s="703" t="s">
        <v>1262</v>
      </c>
      <c r="B131" s="737" t="str">
        <f>IF(IF(D131="+",MIN(H131:IU131)&gt;=0,IF(D131="-",MAX(H131:IU131)&lt;=0,TRUE)),"",1)</f>
        <v/>
      </c>
      <c r="C131" s="705" t="s">
        <v>1036</v>
      </c>
      <c r="D131" s="738" t="s">
        <v>1109</v>
      </c>
      <c r="E131" s="739" t="s">
        <v>1140</v>
      </c>
      <c r="F131" s="705" t="s">
        <v>1077</v>
      </c>
      <c r="M131" s="740"/>
      <c r="N131" s="740"/>
      <c r="O131" s="740"/>
      <c r="P131" s="740"/>
      <c r="Q131" s="740"/>
      <c r="R131" s="740"/>
      <c r="S131" s="740"/>
      <c r="T131" s="740"/>
      <c r="U131" s="740"/>
      <c r="V131" s="740"/>
      <c r="W131" s="740"/>
      <c r="X131" s="740"/>
      <c r="Y131" s="740"/>
      <c r="Z131" s="740"/>
      <c r="AA131" s="740"/>
      <c r="AB131" s="740"/>
      <c r="AC131" s="740"/>
      <c r="AD131" s="740"/>
      <c r="AE131" s="740"/>
      <c r="AF131" s="740"/>
      <c r="AG131" s="740"/>
      <c r="AH131" s="740"/>
    </row>
    <row r="132" spans="1:54" s="747" customFormat="1" x14ac:dyDescent="0.25">
      <c r="A132" s="741" t="s">
        <v>1263</v>
      </c>
      <c r="B132" s="742"/>
      <c r="C132" s="743" t="s">
        <v>1038</v>
      </c>
      <c r="D132" s="744" t="s">
        <v>1114</v>
      </c>
      <c r="E132" s="745" t="s">
        <v>99</v>
      </c>
      <c r="F132" s="743" t="s">
        <v>1077</v>
      </c>
      <c r="G132" s="743"/>
      <c r="H132" s="743"/>
      <c r="I132" s="743"/>
      <c r="J132" s="743"/>
      <c r="K132" s="743"/>
      <c r="L132" s="743"/>
      <c r="M132" s="746"/>
      <c r="N132" s="746"/>
      <c r="O132" s="746"/>
      <c r="P132" s="746"/>
      <c r="Q132" s="746"/>
      <c r="R132" s="746"/>
      <c r="S132" s="746"/>
      <c r="T132" s="746"/>
      <c r="U132" s="746"/>
      <c r="V132" s="746"/>
      <c r="W132" s="746"/>
      <c r="X132" s="746"/>
      <c r="Y132" s="746"/>
      <c r="Z132" s="746"/>
      <c r="AA132" s="746"/>
      <c r="AB132" s="746"/>
      <c r="AC132" s="746"/>
      <c r="AD132" s="746"/>
      <c r="AE132" s="746"/>
      <c r="AF132" s="746"/>
      <c r="AG132" s="746"/>
      <c r="AH132" s="746"/>
    </row>
    <row r="133" spans="1:54" x14ac:dyDescent="0.25">
      <c r="A133" s="703" t="s">
        <v>1215</v>
      </c>
      <c r="B133" s="737" t="str">
        <f>IF(IF(D133="+",MIN(H133:IU133)&gt;=0,IF(D133="-",MAX(H133:IU133)&lt;=0,TRUE)),"",1)</f>
        <v/>
      </c>
      <c r="C133" s="705" t="s">
        <v>1036</v>
      </c>
      <c r="D133" s="738" t="s">
        <v>1159</v>
      </c>
      <c r="E133" s="739" t="s">
        <v>1264</v>
      </c>
      <c r="F133" s="705" t="s">
        <v>1077</v>
      </c>
      <c r="M133" s="740"/>
      <c r="N133" s="740"/>
      <c r="O133" s="740"/>
      <c r="P133" s="740"/>
      <c r="Q133" s="740"/>
      <c r="R133" s="740"/>
      <c r="S133" s="740"/>
      <c r="T133" s="740"/>
      <c r="U133" s="740"/>
      <c r="V133" s="740"/>
      <c r="W133" s="740"/>
      <c r="X133" s="740"/>
      <c r="Y133" s="740"/>
      <c r="Z133" s="740"/>
      <c r="AA133" s="740"/>
      <c r="AB133" s="740"/>
      <c r="AC133" s="740"/>
      <c r="AD133" s="740"/>
      <c r="AE133" s="740"/>
      <c r="AF133" s="740"/>
      <c r="AG133" s="740"/>
      <c r="AH133" s="740"/>
    </row>
    <row r="134" spans="1:54" x14ac:dyDescent="0.25">
      <c r="A134" s="703" t="s">
        <v>1265</v>
      </c>
      <c r="B134" s="737" t="str">
        <f>IF(IF(D134="+",MIN(H134:IU134)&gt;=0,IF(D134="-",MAX(H134:IU134)&lt;=0,TRUE)),"",1)</f>
        <v/>
      </c>
      <c r="C134" s="705" t="s">
        <v>1036</v>
      </c>
      <c r="D134" s="738" t="s">
        <v>1109</v>
      </c>
      <c r="E134" s="739" t="s">
        <v>1266</v>
      </c>
      <c r="F134" s="705" t="s">
        <v>1077</v>
      </c>
      <c r="M134" s="740"/>
      <c r="N134" s="740"/>
      <c r="O134" s="740"/>
      <c r="P134" s="740"/>
      <c r="Q134" s="740"/>
      <c r="R134" s="740"/>
      <c r="S134" s="740"/>
      <c r="T134" s="740"/>
      <c r="U134" s="740"/>
      <c r="V134" s="740"/>
      <c r="W134" s="740"/>
      <c r="X134" s="740"/>
      <c r="Y134" s="740"/>
      <c r="Z134" s="740"/>
      <c r="AA134" s="740"/>
      <c r="AB134" s="740"/>
      <c r="AC134" s="740"/>
      <c r="AD134" s="740"/>
      <c r="AE134" s="740"/>
      <c r="AF134" s="740"/>
      <c r="AG134" s="740"/>
      <c r="AH134" s="740"/>
    </row>
    <row r="135" spans="1:54" s="747" customFormat="1" x14ac:dyDescent="0.25">
      <c r="A135" s="748" t="s">
        <v>1267</v>
      </c>
      <c r="B135" s="742"/>
      <c r="C135" s="747" t="s">
        <v>1038</v>
      </c>
      <c r="D135" s="744" t="s">
        <v>1114</v>
      </c>
      <c r="E135" s="756" t="s">
        <v>101</v>
      </c>
      <c r="F135" s="743" t="s">
        <v>1077</v>
      </c>
      <c r="G135" s="743"/>
      <c r="H135" s="755"/>
      <c r="I135" s="755"/>
      <c r="J135" s="755"/>
      <c r="K135" s="755"/>
      <c r="L135" s="755"/>
      <c r="M135" s="755"/>
      <c r="N135" s="757"/>
      <c r="O135" s="757"/>
      <c r="P135" s="746"/>
      <c r="Q135" s="746"/>
      <c r="R135" s="746"/>
      <c r="S135" s="746"/>
      <c r="T135" s="746"/>
      <c r="U135" s="746"/>
      <c r="V135" s="746"/>
      <c r="W135" s="746"/>
      <c r="X135" s="746"/>
      <c r="Y135" s="746"/>
      <c r="Z135" s="746"/>
      <c r="AA135" s="746"/>
      <c r="AB135" s="746"/>
      <c r="AC135" s="746"/>
      <c r="AD135" s="746"/>
      <c r="AE135" s="746"/>
      <c r="AF135" s="746"/>
      <c r="AG135" s="746"/>
      <c r="AH135" s="746"/>
    </row>
    <row r="136" spans="1:54" s="763" customFormat="1" x14ac:dyDescent="0.25">
      <c r="A136" s="758"/>
      <c r="B136" s="759" t="str">
        <f>IF(IF(D136="+",MIN(H136:IU136)&gt;=0,IF(D136="-",MAX(H136:IU136)&lt;=0,TRUE)),"",1)</f>
        <v/>
      </c>
      <c r="C136" s="758" t="s">
        <v>1038</v>
      </c>
      <c r="D136" s="760" t="s">
        <v>1109</v>
      </c>
      <c r="E136" s="761" t="s">
        <v>1268</v>
      </c>
      <c r="F136" s="758"/>
      <c r="G136" s="758"/>
      <c r="H136" s="762"/>
      <c r="I136" s="762"/>
      <c r="J136" s="762"/>
      <c r="K136" s="762"/>
      <c r="L136" s="762"/>
      <c r="M136" s="762"/>
      <c r="N136" s="762"/>
      <c r="O136" s="762"/>
      <c r="P136" s="762"/>
      <c r="Q136" s="762"/>
      <c r="R136" s="762"/>
      <c r="S136" s="762"/>
      <c r="T136" s="762"/>
      <c r="U136" s="762"/>
      <c r="V136" s="762"/>
      <c r="W136" s="762"/>
      <c r="X136" s="762"/>
      <c r="Y136" s="762"/>
      <c r="Z136" s="762"/>
      <c r="AA136" s="762"/>
      <c r="AB136" s="762"/>
      <c r="AC136" s="762"/>
      <c r="AD136" s="762"/>
      <c r="AE136" s="762"/>
      <c r="AF136" s="762"/>
      <c r="AG136" s="762"/>
      <c r="AH136" s="762"/>
    </row>
    <row r="137" spans="1:54" x14ac:dyDescent="0.25">
      <c r="B137" s="759" t="str">
        <f>IF(IF(D137="+",MIN(H137:IU137)&gt;=0,IF(D137="-",MAX(H137:IU137)&lt;=0,TRUE)),"",1)</f>
        <v/>
      </c>
      <c r="D137" s="760" t="s">
        <v>1109</v>
      </c>
      <c r="H137" s="755"/>
      <c r="I137" s="755"/>
      <c r="J137" s="755"/>
      <c r="K137" s="755"/>
      <c r="L137" s="755"/>
      <c r="M137" s="755"/>
      <c r="N137" s="757"/>
      <c r="O137" s="757"/>
      <c r="P137" s="746"/>
      <c r="Q137" s="746"/>
      <c r="R137" s="746"/>
      <c r="S137" s="746"/>
      <c r="T137" s="746"/>
      <c r="U137" s="746"/>
      <c r="V137" s="746"/>
      <c r="W137" s="746"/>
      <c r="X137" s="746"/>
      <c r="Y137" s="746"/>
      <c r="Z137" s="746"/>
      <c r="AA137" s="746"/>
      <c r="AB137" s="746"/>
      <c r="AC137" s="746"/>
      <c r="AD137" s="746"/>
      <c r="AE137" s="746"/>
      <c r="AF137" s="746"/>
      <c r="AG137" s="746"/>
      <c r="AH137" s="746"/>
      <c r="AI137" s="747"/>
      <c r="AJ137" s="747"/>
      <c r="AK137" s="747"/>
      <c r="AL137" s="747"/>
      <c r="AM137" s="747"/>
      <c r="AN137" s="747"/>
      <c r="AO137" s="747"/>
      <c r="AP137" s="747"/>
      <c r="AQ137" s="747"/>
      <c r="AR137" s="747"/>
      <c r="AS137" s="747"/>
      <c r="AT137" s="747"/>
      <c r="AU137" s="747"/>
      <c r="AV137" s="747"/>
      <c r="AW137" s="747"/>
      <c r="AX137" s="747"/>
      <c r="AY137" s="747"/>
      <c r="AZ137" s="747"/>
      <c r="BA137" s="747"/>
      <c r="BB137" s="747"/>
    </row>
    <row r="138" spans="1:54" x14ac:dyDescent="0.25">
      <c r="E138" s="736" t="s">
        <v>1269</v>
      </c>
    </row>
    <row r="139" spans="1:54" x14ac:dyDescent="0.25">
      <c r="A139" s="749" t="s">
        <v>1270</v>
      </c>
      <c r="B139" s="737" t="str">
        <f>IF(IF(D139="+",MIN(H139:IU139)&gt;=0,IF(D139="-",MAX(H139:IU139)&lt;=0,TRUE)),"",1)</f>
        <v/>
      </c>
      <c r="C139" s="705" t="s">
        <v>1036</v>
      </c>
      <c r="D139" s="738" t="s">
        <v>1159</v>
      </c>
      <c r="E139" s="764" t="s">
        <v>1271</v>
      </c>
      <c r="F139" s="705" t="s">
        <v>1077</v>
      </c>
      <c r="L139" s="740"/>
      <c r="M139" s="740"/>
      <c r="N139" s="740"/>
      <c r="O139" s="740"/>
      <c r="P139" s="740"/>
      <c r="Q139" s="740"/>
      <c r="R139" s="740"/>
      <c r="S139" s="740"/>
      <c r="T139" s="740"/>
      <c r="U139" s="740"/>
      <c r="V139" s="740"/>
      <c r="W139" s="740"/>
      <c r="X139" s="740"/>
      <c r="Y139" s="740"/>
      <c r="Z139" s="740"/>
      <c r="AA139" s="740"/>
      <c r="AB139" s="740"/>
      <c r="AC139" s="740"/>
      <c r="AD139" s="740"/>
      <c r="AE139" s="740"/>
      <c r="AF139" s="740"/>
      <c r="AG139" s="740"/>
      <c r="AH139" s="740"/>
    </row>
    <row r="140" spans="1:54" x14ac:dyDescent="0.25">
      <c r="A140" s="749" t="s">
        <v>1272</v>
      </c>
      <c r="B140" s="737" t="str">
        <f>IF(IF(D140="+",MIN(H140:IU140)&gt;=0,IF(D140="-",MAX(H140:IU140)&lt;=0,TRUE)),"",1)</f>
        <v/>
      </c>
      <c r="C140" s="705" t="s">
        <v>1036</v>
      </c>
      <c r="D140" s="738" t="s">
        <v>1159</v>
      </c>
      <c r="E140" s="739" t="s">
        <v>1273</v>
      </c>
      <c r="F140" s="705" t="s">
        <v>1077</v>
      </c>
      <c r="L140" s="740"/>
      <c r="M140" s="740"/>
      <c r="N140" s="740"/>
      <c r="O140" s="740"/>
      <c r="P140" s="740"/>
      <c r="Q140" s="740"/>
      <c r="R140" s="740"/>
      <c r="S140" s="740"/>
      <c r="T140" s="740"/>
      <c r="U140" s="740"/>
      <c r="V140" s="740"/>
      <c r="W140" s="740"/>
      <c r="X140" s="740"/>
      <c r="Y140" s="740"/>
      <c r="Z140" s="740"/>
      <c r="AA140" s="740"/>
      <c r="AB140" s="740"/>
      <c r="AC140" s="740"/>
      <c r="AD140" s="740"/>
      <c r="AE140" s="740"/>
      <c r="AF140" s="740"/>
      <c r="AG140" s="740"/>
      <c r="AH140" s="740"/>
    </row>
    <row r="141" spans="1:54" x14ac:dyDescent="0.25">
      <c r="A141" s="749" t="s">
        <v>1274</v>
      </c>
      <c r="B141" s="737" t="str">
        <f>IF(IF(D141="+",MIN(H141:IU141)&gt;=0,IF(D141="-",MAX(H141:IU141)&lt;=0,TRUE)),"",1)</f>
        <v/>
      </c>
      <c r="C141" s="705" t="s">
        <v>1036</v>
      </c>
      <c r="D141" s="738" t="s">
        <v>1159</v>
      </c>
      <c r="E141" s="739" t="s">
        <v>1275</v>
      </c>
      <c r="F141" s="705" t="s">
        <v>1077</v>
      </c>
      <c r="L141" s="740"/>
      <c r="M141" s="740"/>
      <c r="N141" s="740"/>
      <c r="O141" s="740"/>
      <c r="P141" s="740"/>
      <c r="Q141" s="740"/>
      <c r="R141" s="740"/>
      <c r="S141" s="740"/>
      <c r="T141" s="740"/>
      <c r="U141" s="740"/>
      <c r="V141" s="740"/>
      <c r="W141" s="740"/>
      <c r="X141" s="740"/>
      <c r="Y141" s="740"/>
      <c r="Z141" s="740"/>
      <c r="AA141" s="740"/>
      <c r="AB141" s="740"/>
      <c r="AC141" s="740"/>
      <c r="AD141" s="740"/>
      <c r="AE141" s="740"/>
      <c r="AF141" s="740"/>
      <c r="AG141" s="740"/>
      <c r="AH141" s="740"/>
    </row>
    <row r="142" spans="1:54" x14ac:dyDescent="0.25">
      <c r="A142" s="749" t="s">
        <v>1276</v>
      </c>
      <c r="B142" s="737" t="str">
        <f>IF(IF(D142="+",MIN(H142:IU142)&gt;=0,IF(D142="-",MAX(H142:IU142)&lt;=0,TRUE)),"",1)</f>
        <v/>
      </c>
      <c r="C142" s="705" t="s">
        <v>1036</v>
      </c>
      <c r="D142" s="738" t="s">
        <v>1159</v>
      </c>
      <c r="E142" s="739" t="s">
        <v>1277</v>
      </c>
      <c r="F142" s="705" t="s">
        <v>1077</v>
      </c>
      <c r="L142" s="740"/>
      <c r="M142" s="740"/>
      <c r="N142" s="740"/>
      <c r="O142" s="740"/>
      <c r="P142" s="740"/>
      <c r="Q142" s="740"/>
      <c r="R142" s="740"/>
      <c r="S142" s="740"/>
      <c r="T142" s="740"/>
      <c r="U142" s="740"/>
      <c r="V142" s="740"/>
      <c r="W142" s="740"/>
      <c r="X142" s="740"/>
      <c r="Y142" s="740"/>
      <c r="Z142" s="740"/>
      <c r="AA142" s="740"/>
      <c r="AB142" s="740"/>
      <c r="AC142" s="740"/>
      <c r="AD142" s="740"/>
      <c r="AE142" s="740"/>
      <c r="AF142" s="740"/>
      <c r="AG142" s="740"/>
      <c r="AH142" s="740"/>
    </row>
    <row r="143" spans="1:54" x14ac:dyDescent="0.25">
      <c r="A143" s="749" t="s">
        <v>1278</v>
      </c>
      <c r="B143" s="737" t="str">
        <f>IF(IF(D143="+",MIN(H143:IU143)&gt;=0,IF(D143="-",MAX(H143:IU143)&lt;=0,TRUE)),"",1)</f>
        <v/>
      </c>
      <c r="C143" s="705" t="s">
        <v>1036</v>
      </c>
      <c r="D143" s="738" t="s">
        <v>1159</v>
      </c>
      <c r="E143" s="739" t="s">
        <v>1279</v>
      </c>
      <c r="F143" s="705" t="s">
        <v>1077</v>
      </c>
      <c r="L143" s="740"/>
      <c r="M143" s="740"/>
      <c r="N143" s="740"/>
      <c r="O143" s="740"/>
      <c r="P143" s="740"/>
      <c r="Q143" s="740"/>
      <c r="R143" s="740"/>
      <c r="S143" s="740"/>
      <c r="T143" s="740"/>
      <c r="U143" s="740"/>
      <c r="V143" s="740"/>
      <c r="W143" s="740"/>
      <c r="X143" s="740"/>
      <c r="Y143" s="740"/>
      <c r="Z143" s="740"/>
      <c r="AA143" s="740"/>
      <c r="AB143" s="740"/>
      <c r="AC143" s="740"/>
      <c r="AD143" s="740"/>
      <c r="AE143" s="740"/>
      <c r="AF143" s="740"/>
      <c r="AG143" s="740"/>
      <c r="AH143" s="740"/>
    </row>
    <row r="144" spans="1:54" s="747" customFormat="1" x14ac:dyDescent="0.25">
      <c r="A144" s="741" t="s">
        <v>1280</v>
      </c>
      <c r="B144" s="742"/>
      <c r="C144" s="743" t="s">
        <v>1038</v>
      </c>
      <c r="D144" s="744" t="s">
        <v>1114</v>
      </c>
      <c r="E144" s="745" t="s">
        <v>1281</v>
      </c>
      <c r="F144" s="743" t="s">
        <v>1077</v>
      </c>
      <c r="G144" s="743"/>
      <c r="H144" s="743"/>
      <c r="I144" s="743"/>
      <c r="J144" s="743"/>
      <c r="K144" s="743"/>
      <c r="L144" s="746"/>
      <c r="M144" s="746"/>
      <c r="N144" s="746"/>
      <c r="O144" s="746"/>
      <c r="P144" s="746"/>
      <c r="Q144" s="746"/>
      <c r="R144" s="746"/>
      <c r="S144" s="746"/>
      <c r="T144" s="746"/>
      <c r="U144" s="746"/>
      <c r="V144" s="746"/>
      <c r="W144" s="746"/>
      <c r="X144" s="746"/>
      <c r="Y144" s="746"/>
      <c r="Z144" s="746"/>
      <c r="AA144" s="746"/>
      <c r="AB144" s="746"/>
      <c r="AC144" s="746"/>
      <c r="AD144" s="746"/>
      <c r="AE144" s="746"/>
      <c r="AF144" s="746"/>
      <c r="AG144" s="746"/>
      <c r="AH144" s="746"/>
    </row>
    <row r="145" spans="1:34" s="747" customFormat="1" x14ac:dyDescent="0.25">
      <c r="A145" s="748" t="s">
        <v>1282</v>
      </c>
      <c r="B145" s="742"/>
      <c r="C145" s="743" t="s">
        <v>1038</v>
      </c>
      <c r="D145" s="744" t="s">
        <v>1114</v>
      </c>
      <c r="E145" s="745" t="s">
        <v>1283</v>
      </c>
      <c r="F145" s="743" t="s">
        <v>1077</v>
      </c>
      <c r="G145" s="743"/>
      <c r="H145" s="743"/>
      <c r="I145" s="743"/>
      <c r="J145" s="743"/>
      <c r="K145" s="1064"/>
      <c r="L145" s="746"/>
      <c r="M145" s="746"/>
      <c r="N145" s="746"/>
      <c r="O145" s="746"/>
      <c r="P145" s="746"/>
      <c r="Q145" s="746"/>
      <c r="R145" s="746"/>
      <c r="S145" s="746"/>
      <c r="T145" s="746"/>
      <c r="U145" s="746"/>
      <c r="V145" s="746"/>
      <c r="W145" s="746"/>
      <c r="X145" s="746"/>
      <c r="Y145" s="746"/>
      <c r="Z145" s="746"/>
      <c r="AA145" s="746"/>
      <c r="AB145" s="746"/>
      <c r="AC145" s="746"/>
      <c r="AD145" s="746"/>
      <c r="AE145" s="746"/>
      <c r="AF145" s="746"/>
      <c r="AG145" s="746"/>
      <c r="AH145" s="746"/>
    </row>
    <row r="146" spans="1:34" x14ac:dyDescent="0.25">
      <c r="A146" s="703" t="s">
        <v>1284</v>
      </c>
      <c r="B146" s="737" t="str">
        <f>IF(IF(D146="+",MIN(H146:IU146)&gt;=0,IF(D146="-",MAX(H146:IU146)&lt;=0,TRUE)),"",1)</f>
        <v/>
      </c>
      <c r="C146" s="705" t="s">
        <v>1285</v>
      </c>
      <c r="D146" s="738" t="s">
        <v>1159</v>
      </c>
      <c r="E146" s="739" t="s">
        <v>1286</v>
      </c>
      <c r="F146" s="705" t="s">
        <v>1077</v>
      </c>
      <c r="L146" s="740"/>
      <c r="M146" s="740"/>
      <c r="P146" s="1065"/>
      <c r="Q146" s="1065"/>
      <c r="R146" s="1065"/>
      <c r="S146" s="1065"/>
      <c r="T146" s="1065"/>
      <c r="U146" s="1065"/>
      <c r="V146" s="1065"/>
      <c r="W146" s="1065"/>
      <c r="X146" s="1065"/>
      <c r="Y146" s="1065"/>
      <c r="Z146" s="1065"/>
      <c r="AA146" s="1065"/>
      <c r="AB146" s="1065"/>
      <c r="AC146" s="1065"/>
      <c r="AD146" s="1065"/>
      <c r="AE146" s="1065"/>
      <c r="AF146" s="1065"/>
      <c r="AG146" s="1065"/>
      <c r="AH146" s="1065"/>
    </row>
    <row r="147" spans="1:34" x14ac:dyDescent="0.25">
      <c r="A147" s="703" t="s">
        <v>1287</v>
      </c>
      <c r="B147" s="737" t="str">
        <f>IF(IF(D147="+",MIN(H147:IU147)&gt;=0,IF(D147="-",MAX(H147:IU147)&lt;=0,TRUE)),"",1)</f>
        <v/>
      </c>
      <c r="C147" s="705" t="s">
        <v>1285</v>
      </c>
      <c r="D147" s="738" t="s">
        <v>1159</v>
      </c>
      <c r="E147" s="739" t="s">
        <v>1288</v>
      </c>
      <c r="F147" s="705" t="s">
        <v>1077</v>
      </c>
      <c r="L147" s="740"/>
      <c r="M147" s="740"/>
      <c r="N147" s="740"/>
      <c r="O147" s="740"/>
      <c r="P147" s="740"/>
      <c r="Q147" s="740"/>
      <c r="R147" s="740"/>
      <c r="S147" s="740"/>
      <c r="T147" s="740"/>
      <c r="U147" s="740"/>
      <c r="V147" s="740"/>
      <c r="W147" s="740"/>
      <c r="X147" s="740"/>
      <c r="Y147" s="740"/>
      <c r="Z147" s="740"/>
      <c r="AA147" s="740"/>
      <c r="AB147" s="740"/>
      <c r="AC147" s="740"/>
      <c r="AD147" s="740"/>
      <c r="AE147" s="740"/>
      <c r="AF147" s="740"/>
      <c r="AG147" s="740"/>
      <c r="AH147" s="740"/>
    </row>
    <row r="148" spans="1:34" s="747" customFormat="1" x14ac:dyDescent="0.25">
      <c r="A148" s="748" t="s">
        <v>1289</v>
      </c>
      <c r="B148" s="742"/>
      <c r="C148" s="743" t="s">
        <v>1038</v>
      </c>
      <c r="D148" s="744" t="s">
        <v>1114</v>
      </c>
      <c r="E148" s="745" t="s">
        <v>1290</v>
      </c>
      <c r="F148" s="743" t="s">
        <v>1077</v>
      </c>
      <c r="G148" s="743"/>
      <c r="H148" s="743"/>
      <c r="I148" s="743"/>
      <c r="J148" s="743"/>
      <c r="K148" s="1064"/>
      <c r="L148" s="740"/>
      <c r="M148" s="740"/>
      <c r="N148" s="765"/>
      <c r="O148" s="765"/>
      <c r="P148" s="765"/>
      <c r="Q148" s="765"/>
      <c r="R148" s="765"/>
      <c r="S148" s="765"/>
      <c r="T148" s="765"/>
      <c r="U148" s="765"/>
      <c r="V148" s="765"/>
      <c r="W148" s="765"/>
      <c r="X148" s="765"/>
      <c r="Y148" s="765"/>
      <c r="Z148" s="765"/>
      <c r="AA148" s="765"/>
      <c r="AB148" s="765"/>
      <c r="AC148" s="765"/>
      <c r="AD148" s="765"/>
      <c r="AE148" s="765"/>
      <c r="AF148" s="765"/>
      <c r="AG148" s="765"/>
      <c r="AH148" s="765"/>
    </row>
    <row r="149" spans="1:34" x14ac:dyDescent="0.25">
      <c r="A149" s="749" t="s">
        <v>1291</v>
      </c>
      <c r="B149" s="737" t="str">
        <f>IF(IF(D149="+",MIN(H149:IU149)&gt;=0,IF(D149="-",MAX(H149:IU149)&lt;=0,TRUE)),"",1)</f>
        <v/>
      </c>
      <c r="C149" s="705" t="s">
        <v>1285</v>
      </c>
      <c r="D149" s="738" t="s">
        <v>1159</v>
      </c>
      <c r="E149" s="739" t="s">
        <v>1292</v>
      </c>
      <c r="F149" s="705" t="s">
        <v>1077</v>
      </c>
      <c r="L149" s="740"/>
      <c r="M149" s="740"/>
    </row>
    <row r="150" spans="1:34" x14ac:dyDescent="0.25">
      <c r="A150" s="749" t="s">
        <v>1293</v>
      </c>
      <c r="B150" s="737" t="str">
        <f>IF(IF(D150="+",MIN(H150:IU150)&gt;=0,IF(D150="-",MAX(H150:IU150)&lt;=0,TRUE)),"",1)</f>
        <v/>
      </c>
      <c r="C150" s="705" t="s">
        <v>1285</v>
      </c>
      <c r="D150" s="738" t="s">
        <v>1159</v>
      </c>
      <c r="E150" s="739" t="s">
        <v>1294</v>
      </c>
      <c r="F150" s="705" t="s">
        <v>1077</v>
      </c>
      <c r="L150" s="740"/>
      <c r="M150" s="740"/>
      <c r="N150" s="740"/>
      <c r="O150" s="740"/>
      <c r="P150" s="740"/>
      <c r="Q150" s="740"/>
      <c r="R150" s="740"/>
      <c r="S150" s="740"/>
      <c r="T150" s="740"/>
      <c r="U150" s="740"/>
      <c r="V150" s="740"/>
      <c r="W150" s="740"/>
      <c r="X150" s="740"/>
      <c r="Y150" s="740"/>
      <c r="Z150" s="740"/>
      <c r="AA150" s="740"/>
      <c r="AB150" s="740"/>
      <c r="AC150" s="740"/>
      <c r="AD150" s="740"/>
      <c r="AE150" s="740"/>
      <c r="AF150" s="740"/>
      <c r="AG150" s="740"/>
      <c r="AH150" s="740"/>
    </row>
    <row r="151" spans="1:34" s="747" customFormat="1" x14ac:dyDescent="0.25">
      <c r="A151" s="748" t="s">
        <v>1295</v>
      </c>
      <c r="B151" s="742"/>
      <c r="C151" s="743" t="s">
        <v>1038</v>
      </c>
      <c r="D151" s="744" t="s">
        <v>1114</v>
      </c>
      <c r="E151" s="745" t="s">
        <v>1296</v>
      </c>
      <c r="F151" s="743" t="s">
        <v>1077</v>
      </c>
      <c r="G151" s="743"/>
      <c r="H151" s="743"/>
      <c r="I151" s="743"/>
      <c r="J151" s="743"/>
      <c r="K151" s="1064"/>
      <c r="L151" s="746"/>
      <c r="M151" s="746"/>
      <c r="N151" s="740"/>
      <c r="O151" s="740"/>
      <c r="P151" s="740"/>
      <c r="Q151" s="740"/>
      <c r="R151" s="740"/>
      <c r="S151" s="740"/>
      <c r="T151" s="740"/>
      <c r="U151" s="740"/>
      <c r="V151" s="740"/>
      <c r="W151" s="740"/>
      <c r="X151" s="740"/>
      <c r="Y151" s="740"/>
      <c r="Z151" s="740"/>
      <c r="AA151" s="740"/>
      <c r="AB151" s="740"/>
      <c r="AC151" s="740"/>
      <c r="AD151" s="740"/>
      <c r="AE151" s="740"/>
      <c r="AF151" s="740"/>
      <c r="AG151" s="740"/>
      <c r="AH151" s="740"/>
    </row>
    <row r="152" spans="1:34" s="747" customFormat="1" x14ac:dyDescent="0.25">
      <c r="A152" s="748" t="s">
        <v>1297</v>
      </c>
      <c r="B152" s="742"/>
      <c r="C152" s="743" t="s">
        <v>1038</v>
      </c>
      <c r="D152" s="744" t="s">
        <v>1114</v>
      </c>
      <c r="E152" s="745" t="s">
        <v>1298</v>
      </c>
      <c r="F152" s="743" t="s">
        <v>1077</v>
      </c>
      <c r="G152" s="743"/>
      <c r="H152" s="743"/>
      <c r="I152" s="743"/>
      <c r="J152" s="743"/>
      <c r="K152" s="1064"/>
      <c r="L152" s="746"/>
      <c r="M152" s="746"/>
      <c r="N152" s="740"/>
      <c r="O152" s="740"/>
      <c r="P152" s="740"/>
      <c r="Q152" s="740"/>
      <c r="R152" s="740"/>
      <c r="S152" s="740"/>
      <c r="T152" s="740"/>
      <c r="U152" s="740"/>
      <c r="V152" s="740"/>
      <c r="W152" s="740"/>
      <c r="X152" s="740"/>
      <c r="Y152" s="740"/>
      <c r="Z152" s="740"/>
      <c r="AA152" s="740"/>
      <c r="AB152" s="740"/>
      <c r="AC152" s="740"/>
      <c r="AD152" s="740"/>
      <c r="AE152" s="740"/>
      <c r="AF152" s="740"/>
      <c r="AG152" s="740"/>
      <c r="AH152" s="740"/>
    </row>
    <row r="153" spans="1:34" x14ac:dyDescent="0.25">
      <c r="A153" s="703" t="s">
        <v>1299</v>
      </c>
      <c r="B153" s="737" t="str">
        <f>IF(IF(D153="+",MIN(H153:IU153)&gt;=0,IF(D153="-",MAX(H153:IU153)&lt;=0,TRUE)),"",1)</f>
        <v/>
      </c>
      <c r="C153" s="705" t="s">
        <v>1036</v>
      </c>
      <c r="D153" s="738" t="s">
        <v>1159</v>
      </c>
      <c r="E153" s="739" t="s">
        <v>1300</v>
      </c>
      <c r="F153" s="705" t="s">
        <v>1077</v>
      </c>
      <c r="L153" s="740"/>
      <c r="M153" s="740"/>
      <c r="N153" s="740"/>
      <c r="O153" s="740"/>
      <c r="P153" s="740"/>
      <c r="Q153" s="740"/>
      <c r="R153" s="740"/>
      <c r="S153" s="740"/>
      <c r="T153" s="740"/>
      <c r="U153" s="740"/>
      <c r="V153" s="740"/>
      <c r="W153" s="740"/>
      <c r="X153" s="740"/>
      <c r="Y153" s="740"/>
      <c r="Z153" s="740"/>
      <c r="AA153" s="740"/>
      <c r="AB153" s="740"/>
      <c r="AC153" s="740"/>
      <c r="AD153" s="740"/>
      <c r="AE153" s="740"/>
      <c r="AF153" s="740"/>
      <c r="AG153" s="740"/>
      <c r="AH153" s="740"/>
    </row>
    <row r="154" spans="1:34" s="747" customFormat="1" x14ac:dyDescent="0.25">
      <c r="A154" s="748" t="s">
        <v>1301</v>
      </c>
      <c r="B154" s="742"/>
      <c r="C154" s="743" t="s">
        <v>1038</v>
      </c>
      <c r="D154" s="744" t="s">
        <v>1114</v>
      </c>
      <c r="E154" s="745" t="s">
        <v>1302</v>
      </c>
      <c r="F154" s="743" t="s">
        <v>1077</v>
      </c>
      <c r="G154" s="743"/>
      <c r="H154" s="743"/>
      <c r="I154" s="743"/>
      <c r="J154" s="743"/>
      <c r="K154" s="1064"/>
      <c r="L154" s="746"/>
      <c r="M154" s="746"/>
      <c r="N154" s="740"/>
      <c r="O154" s="740"/>
      <c r="P154" s="740"/>
      <c r="Q154" s="740"/>
      <c r="R154" s="740"/>
      <c r="S154" s="740"/>
      <c r="T154" s="740"/>
      <c r="U154" s="740"/>
      <c r="V154" s="740"/>
      <c r="W154" s="740"/>
      <c r="X154" s="740"/>
      <c r="Y154" s="740"/>
      <c r="Z154" s="740"/>
      <c r="AA154" s="740"/>
      <c r="AB154" s="740"/>
      <c r="AC154" s="740"/>
      <c r="AD154" s="740"/>
      <c r="AE154" s="740"/>
      <c r="AF154" s="740"/>
      <c r="AG154" s="740"/>
      <c r="AH154" s="740"/>
    </row>
    <row r="155" spans="1:34" x14ac:dyDescent="0.25">
      <c r="A155" s="703" t="s">
        <v>1303</v>
      </c>
      <c r="B155" s="737" t="str">
        <f t="shared" ref="B155:B161" si="29">IF(IF(D155="+",MIN(H155:IU155)&gt;=0,IF(D155="-",MAX(H155:IU155)&lt;=0,TRUE)),"",1)</f>
        <v/>
      </c>
      <c r="C155" s="705" t="s">
        <v>1036</v>
      </c>
      <c r="D155" s="738" t="s">
        <v>1159</v>
      </c>
      <c r="E155" s="739" t="s">
        <v>1304</v>
      </c>
      <c r="F155" s="705" t="s">
        <v>1077</v>
      </c>
      <c r="L155" s="740"/>
      <c r="M155" s="740"/>
    </row>
    <row r="156" spans="1:34" x14ac:dyDescent="0.25">
      <c r="A156" s="703" t="s">
        <v>1305</v>
      </c>
      <c r="B156" s="737" t="str">
        <f t="shared" si="29"/>
        <v/>
      </c>
      <c r="C156" s="705" t="s">
        <v>1036</v>
      </c>
      <c r="D156" s="738" t="s">
        <v>1159</v>
      </c>
      <c r="E156" s="739" t="s">
        <v>1306</v>
      </c>
      <c r="F156" s="705" t="s">
        <v>1077</v>
      </c>
      <c r="L156" s="740"/>
      <c r="M156" s="740"/>
      <c r="N156" s="740"/>
      <c r="O156" s="740"/>
      <c r="P156" s="740"/>
      <c r="Q156" s="740"/>
      <c r="R156" s="740"/>
      <c r="S156" s="740"/>
      <c r="T156" s="740"/>
      <c r="U156" s="740"/>
      <c r="V156" s="740"/>
      <c r="W156" s="740"/>
      <c r="X156" s="740"/>
      <c r="Y156" s="740"/>
      <c r="Z156" s="740"/>
      <c r="AA156" s="740"/>
      <c r="AB156" s="740"/>
      <c r="AC156" s="740"/>
      <c r="AD156" s="740"/>
      <c r="AE156" s="740"/>
      <c r="AF156" s="740"/>
      <c r="AG156" s="740"/>
      <c r="AH156" s="740"/>
    </row>
    <row r="157" spans="1:34" x14ac:dyDescent="0.25">
      <c r="A157" s="703" t="s">
        <v>1307</v>
      </c>
      <c r="B157" s="737" t="str">
        <f t="shared" si="29"/>
        <v/>
      </c>
      <c r="C157" s="705" t="s">
        <v>1036</v>
      </c>
      <c r="D157" s="738" t="s">
        <v>1159</v>
      </c>
      <c r="E157" s="739" t="s">
        <v>431</v>
      </c>
      <c r="F157" s="705" t="s">
        <v>1077</v>
      </c>
      <c r="L157" s="740"/>
      <c r="M157" s="740"/>
      <c r="N157" s="740"/>
      <c r="O157" s="740"/>
      <c r="P157" s="740"/>
      <c r="Q157" s="740"/>
      <c r="R157" s="740"/>
      <c r="S157" s="740"/>
      <c r="T157" s="740"/>
      <c r="U157" s="740"/>
      <c r="V157" s="740"/>
      <c r="W157" s="740"/>
      <c r="X157" s="740"/>
      <c r="Y157" s="740"/>
      <c r="Z157" s="740"/>
      <c r="AA157" s="740"/>
      <c r="AB157" s="740"/>
      <c r="AC157" s="740"/>
      <c r="AD157" s="740"/>
      <c r="AE157" s="740"/>
      <c r="AF157" s="740"/>
      <c r="AG157" s="740"/>
      <c r="AH157" s="740"/>
    </row>
    <row r="158" spans="1:34" s="766" customFormat="1" x14ac:dyDescent="0.25">
      <c r="A158" s="749" t="s">
        <v>1308</v>
      </c>
      <c r="B158" s="737" t="str">
        <f t="shared" si="29"/>
        <v/>
      </c>
      <c r="C158" s="766" t="s">
        <v>1036</v>
      </c>
      <c r="D158" s="738" t="s">
        <v>1159</v>
      </c>
      <c r="E158" s="764" t="s">
        <v>1309</v>
      </c>
      <c r="F158" s="766" t="s">
        <v>1077</v>
      </c>
      <c r="L158" s="740"/>
      <c r="M158" s="740"/>
      <c r="N158" s="740"/>
      <c r="O158" s="740"/>
      <c r="P158" s="740"/>
      <c r="Q158" s="740"/>
      <c r="R158" s="740"/>
      <c r="S158" s="740"/>
      <c r="T158" s="740"/>
      <c r="U158" s="740"/>
      <c r="V158" s="740"/>
      <c r="W158" s="740"/>
      <c r="X158" s="740"/>
      <c r="Y158" s="740"/>
      <c r="Z158" s="740"/>
      <c r="AA158" s="740"/>
      <c r="AB158" s="740"/>
      <c r="AC158" s="740"/>
      <c r="AD158" s="740"/>
      <c r="AE158" s="740"/>
      <c r="AF158" s="740"/>
      <c r="AG158" s="740"/>
      <c r="AH158" s="740"/>
    </row>
    <row r="159" spans="1:34" x14ac:dyDescent="0.25">
      <c r="A159" s="749" t="s">
        <v>1310</v>
      </c>
      <c r="B159" s="737" t="str">
        <f t="shared" si="29"/>
        <v/>
      </c>
      <c r="C159" s="705" t="s">
        <v>1036</v>
      </c>
      <c r="D159" s="738" t="s">
        <v>1159</v>
      </c>
      <c r="E159" s="739" t="s">
        <v>1311</v>
      </c>
      <c r="F159" s="705" t="s">
        <v>1077</v>
      </c>
      <c r="L159" s="740"/>
      <c r="M159" s="740"/>
      <c r="N159" s="740"/>
      <c r="O159" s="740"/>
      <c r="P159" s="740"/>
      <c r="Q159" s="740"/>
      <c r="R159" s="740"/>
      <c r="S159" s="740"/>
      <c r="T159" s="740"/>
      <c r="U159" s="740"/>
      <c r="V159" s="740"/>
      <c r="W159" s="740"/>
      <c r="X159" s="740"/>
      <c r="Y159" s="740"/>
      <c r="Z159" s="740"/>
      <c r="AA159" s="740"/>
      <c r="AB159" s="740"/>
      <c r="AC159" s="740"/>
      <c r="AD159" s="740"/>
      <c r="AE159" s="740"/>
      <c r="AF159" s="740"/>
      <c r="AG159" s="740"/>
      <c r="AH159" s="740"/>
    </row>
    <row r="160" spans="1:34" x14ac:dyDescent="0.25">
      <c r="A160" s="749" t="s">
        <v>1312</v>
      </c>
      <c r="B160" s="737" t="str">
        <f t="shared" si="29"/>
        <v/>
      </c>
      <c r="C160" s="705" t="s">
        <v>1036</v>
      </c>
      <c r="D160" s="738" t="s">
        <v>1159</v>
      </c>
      <c r="E160" s="739" t="s">
        <v>1313</v>
      </c>
      <c r="F160" s="705" t="s">
        <v>1077</v>
      </c>
      <c r="L160" s="740"/>
      <c r="M160" s="740"/>
      <c r="N160" s="740"/>
      <c r="O160" s="740"/>
      <c r="P160" s="740"/>
      <c r="Q160" s="740"/>
      <c r="R160" s="740"/>
      <c r="S160" s="740"/>
      <c r="T160" s="740"/>
      <c r="U160" s="740"/>
      <c r="V160" s="740"/>
      <c r="W160" s="740"/>
      <c r="X160" s="740"/>
      <c r="Y160" s="740"/>
      <c r="Z160" s="740"/>
      <c r="AA160" s="740"/>
      <c r="AB160" s="740"/>
      <c r="AC160" s="740"/>
      <c r="AD160" s="740"/>
      <c r="AE160" s="740"/>
      <c r="AF160" s="740"/>
      <c r="AG160" s="740"/>
      <c r="AH160" s="740"/>
    </row>
    <row r="161" spans="1:34" x14ac:dyDescent="0.25">
      <c r="A161" s="703" t="s">
        <v>1314</v>
      </c>
      <c r="B161" s="737" t="str">
        <f t="shared" si="29"/>
        <v/>
      </c>
      <c r="C161" s="705" t="s">
        <v>1036</v>
      </c>
      <c r="D161" s="738" t="s">
        <v>1159</v>
      </c>
      <c r="E161" s="739" t="s">
        <v>1315</v>
      </c>
      <c r="F161" s="705" t="s">
        <v>1077</v>
      </c>
      <c r="L161" s="740"/>
      <c r="M161" s="740"/>
      <c r="N161" s="740"/>
      <c r="O161" s="740"/>
      <c r="P161" s="740"/>
      <c r="Q161" s="740"/>
      <c r="R161" s="740"/>
      <c r="S161" s="740"/>
      <c r="T161" s="740"/>
      <c r="U161" s="740"/>
      <c r="V161" s="740"/>
      <c r="W161" s="740"/>
      <c r="X161" s="740"/>
      <c r="Y161" s="740"/>
      <c r="Z161" s="740"/>
      <c r="AA161" s="740"/>
      <c r="AB161" s="740"/>
      <c r="AC161" s="740"/>
      <c r="AD161" s="740"/>
      <c r="AE161" s="740"/>
      <c r="AF161" s="740"/>
      <c r="AG161" s="740"/>
      <c r="AH161" s="740"/>
    </row>
    <row r="162" spans="1:34" s="747" customFormat="1" x14ac:dyDescent="0.25">
      <c r="A162" s="748" t="s">
        <v>1316</v>
      </c>
      <c r="B162" s="742"/>
      <c r="C162" s="743" t="s">
        <v>1038</v>
      </c>
      <c r="D162" s="744" t="s">
        <v>1114</v>
      </c>
      <c r="E162" s="745" t="s">
        <v>1317</v>
      </c>
      <c r="F162" s="743" t="s">
        <v>1077</v>
      </c>
      <c r="G162" s="743"/>
      <c r="H162" s="743"/>
      <c r="I162" s="743"/>
      <c r="J162" s="743"/>
      <c r="K162" s="1064"/>
      <c r="L162" s="746"/>
      <c r="M162" s="746"/>
      <c r="N162" s="740"/>
      <c r="O162" s="740"/>
      <c r="P162" s="740"/>
      <c r="Q162" s="740"/>
      <c r="R162" s="740"/>
      <c r="S162" s="740"/>
      <c r="T162" s="740"/>
      <c r="U162" s="740"/>
      <c r="V162" s="740"/>
      <c r="W162" s="740"/>
      <c r="X162" s="740"/>
      <c r="Y162" s="740"/>
      <c r="Z162" s="740"/>
      <c r="AA162" s="740"/>
      <c r="AB162" s="740"/>
      <c r="AC162" s="740"/>
      <c r="AD162" s="740"/>
      <c r="AE162" s="740"/>
      <c r="AF162" s="740"/>
      <c r="AG162" s="740"/>
      <c r="AH162" s="740"/>
    </row>
    <row r="163" spans="1:34" x14ac:dyDescent="0.25">
      <c r="A163" s="703" t="s">
        <v>1318</v>
      </c>
      <c r="B163" s="737" t="str">
        <f>IF(IF(D163="+",MIN(H163:IU163)&gt;=0,IF(D163="-",MAX(H163:IU163)&lt;=0,TRUE)),"",1)</f>
        <v/>
      </c>
      <c r="C163" s="705" t="s">
        <v>1036</v>
      </c>
      <c r="D163" s="738" t="s">
        <v>1159</v>
      </c>
      <c r="E163" s="739" t="s">
        <v>1319</v>
      </c>
      <c r="F163" s="743" t="s">
        <v>1077</v>
      </c>
      <c r="M163" s="740"/>
      <c r="N163" s="740"/>
      <c r="O163" s="740"/>
      <c r="P163" s="740"/>
      <c r="Q163" s="740"/>
      <c r="R163" s="740"/>
      <c r="S163" s="740"/>
      <c r="T163" s="740"/>
      <c r="U163" s="740"/>
      <c r="V163" s="740"/>
      <c r="W163" s="740"/>
      <c r="X163" s="740"/>
      <c r="Y163" s="740"/>
      <c r="Z163" s="740"/>
      <c r="AA163" s="740"/>
      <c r="AB163" s="740"/>
      <c r="AC163" s="740"/>
      <c r="AD163" s="740"/>
      <c r="AE163" s="740"/>
      <c r="AF163" s="740"/>
      <c r="AG163" s="740"/>
      <c r="AH163" s="740"/>
    </row>
    <row r="164" spans="1:34" s="747" customFormat="1" x14ac:dyDescent="0.25">
      <c r="A164" s="741" t="s">
        <v>1320</v>
      </c>
      <c r="B164" s="742"/>
      <c r="C164" s="743" t="s">
        <v>1038</v>
      </c>
      <c r="D164" s="744" t="s">
        <v>1114</v>
      </c>
      <c r="E164" s="745" t="s">
        <v>1321</v>
      </c>
      <c r="F164" s="743" t="s">
        <v>1077</v>
      </c>
      <c r="G164" s="743"/>
      <c r="H164" s="743"/>
      <c r="I164" s="743"/>
      <c r="J164" s="743"/>
      <c r="K164" s="743"/>
      <c r="L164" s="746"/>
      <c r="M164" s="746"/>
      <c r="N164" s="746"/>
      <c r="O164" s="746"/>
      <c r="P164" s="746"/>
      <c r="Q164" s="746"/>
      <c r="R164" s="746"/>
      <c r="S164" s="746"/>
      <c r="T164" s="746"/>
      <c r="U164" s="746"/>
      <c r="V164" s="746"/>
      <c r="W164" s="746"/>
      <c r="X164" s="746"/>
      <c r="Y164" s="746"/>
      <c r="Z164" s="746"/>
      <c r="AA164" s="746"/>
      <c r="AB164" s="746"/>
      <c r="AC164" s="746"/>
      <c r="AD164" s="746"/>
      <c r="AE164" s="746"/>
      <c r="AF164" s="746"/>
      <c r="AG164" s="746"/>
      <c r="AH164" s="746"/>
    </row>
    <row r="165" spans="1:34" s="747" customFormat="1" x14ac:dyDescent="0.25">
      <c r="A165" s="741" t="s">
        <v>1322</v>
      </c>
      <c r="B165" s="742"/>
      <c r="C165" s="743" t="s">
        <v>1038</v>
      </c>
      <c r="D165" s="744" t="s">
        <v>1114</v>
      </c>
      <c r="E165" s="745" t="s">
        <v>1323</v>
      </c>
      <c r="F165" s="743" t="s">
        <v>1077</v>
      </c>
      <c r="G165" s="743"/>
      <c r="H165" s="743"/>
      <c r="I165" s="743"/>
      <c r="J165" s="743"/>
      <c r="K165" s="743"/>
      <c r="L165" s="746"/>
      <c r="M165" s="746"/>
      <c r="N165" s="746"/>
      <c r="O165" s="746"/>
      <c r="P165" s="746"/>
      <c r="Q165" s="746"/>
      <c r="R165" s="746"/>
      <c r="S165" s="746"/>
      <c r="T165" s="746"/>
      <c r="U165" s="746"/>
      <c r="V165" s="746"/>
      <c r="W165" s="746"/>
      <c r="X165" s="746"/>
      <c r="Y165" s="746"/>
      <c r="Z165" s="746"/>
      <c r="AA165" s="746"/>
      <c r="AB165" s="746"/>
      <c r="AC165" s="746"/>
      <c r="AD165" s="746"/>
      <c r="AE165" s="746"/>
      <c r="AF165" s="746"/>
      <c r="AG165" s="746"/>
      <c r="AH165" s="746"/>
    </row>
    <row r="166" spans="1:34" s="747" customFormat="1" x14ac:dyDescent="0.25">
      <c r="A166" s="741" t="s">
        <v>1324</v>
      </c>
      <c r="B166" s="742"/>
      <c r="C166" s="743" t="s">
        <v>1038</v>
      </c>
      <c r="D166" s="744" t="s">
        <v>1114</v>
      </c>
      <c r="E166" s="745" t="s">
        <v>1325</v>
      </c>
      <c r="F166" s="743" t="s">
        <v>1077</v>
      </c>
      <c r="G166" s="743"/>
      <c r="H166" s="743"/>
      <c r="I166" s="743"/>
      <c r="J166" s="743"/>
      <c r="K166" s="743"/>
      <c r="L166" s="746"/>
      <c r="M166" s="746"/>
      <c r="N166" s="746"/>
      <c r="O166" s="746"/>
      <c r="P166" s="746"/>
      <c r="Q166" s="746"/>
      <c r="R166" s="746"/>
      <c r="S166" s="746"/>
      <c r="T166" s="746"/>
      <c r="U166" s="746"/>
      <c r="V166" s="746"/>
      <c r="W166" s="746"/>
      <c r="X166" s="746"/>
      <c r="Y166" s="746"/>
      <c r="Z166" s="746"/>
      <c r="AA166" s="746"/>
      <c r="AB166" s="746"/>
      <c r="AC166" s="746"/>
      <c r="AD166" s="746"/>
      <c r="AE166" s="746"/>
      <c r="AF166" s="746"/>
      <c r="AG166" s="746"/>
      <c r="AH166" s="746"/>
    </row>
    <row r="167" spans="1:34" x14ac:dyDescent="0.25">
      <c r="A167" s="713"/>
      <c r="B167" s="710"/>
      <c r="C167" s="712" t="s">
        <v>1038</v>
      </c>
      <c r="D167" s="744" t="s">
        <v>1114</v>
      </c>
      <c r="E167" s="767" t="s">
        <v>1326</v>
      </c>
      <c r="F167" s="712"/>
      <c r="G167" s="712"/>
      <c r="H167" s="712"/>
      <c r="I167" s="712"/>
      <c r="J167" s="712"/>
      <c r="K167" s="712"/>
      <c r="L167" s="765"/>
      <c r="M167" s="765"/>
      <c r="N167" s="765"/>
      <c r="O167" s="765"/>
      <c r="P167" s="765"/>
      <c r="Q167" s="765"/>
      <c r="R167" s="765"/>
      <c r="S167" s="765"/>
      <c r="T167" s="765"/>
      <c r="U167" s="765"/>
      <c r="V167" s="765"/>
      <c r="W167" s="765"/>
      <c r="X167" s="765"/>
      <c r="Y167" s="765"/>
      <c r="Z167" s="765"/>
      <c r="AA167" s="765"/>
      <c r="AB167" s="765"/>
      <c r="AC167" s="765"/>
      <c r="AD167" s="765"/>
      <c r="AE167" s="765"/>
      <c r="AF167" s="765"/>
      <c r="AG167" s="765"/>
      <c r="AH167" s="765"/>
    </row>
    <row r="169" spans="1:34" x14ac:dyDescent="0.25">
      <c r="E169" s="736" t="s">
        <v>1327</v>
      </c>
    </row>
    <row r="170" spans="1:34" x14ac:dyDescent="0.25">
      <c r="E170" s="768" t="s">
        <v>1328</v>
      </c>
    </row>
    <row r="171" spans="1:34" x14ac:dyDescent="0.25">
      <c r="A171" s="713" t="s">
        <v>52</v>
      </c>
      <c r="B171" s="710"/>
      <c r="C171" s="712" t="s">
        <v>1038</v>
      </c>
      <c r="D171" s="711" t="s">
        <v>1114</v>
      </c>
      <c r="E171" s="767" t="s">
        <v>1329</v>
      </c>
      <c r="F171" s="712" t="s">
        <v>605</v>
      </c>
      <c r="G171" s="712"/>
      <c r="H171" s="712"/>
      <c r="I171" s="712"/>
      <c r="J171" s="712"/>
      <c r="K171" s="712"/>
      <c r="L171" s="712"/>
      <c r="M171" s="769"/>
      <c r="N171" s="769"/>
      <c r="O171" s="769"/>
      <c r="P171" s="769"/>
      <c r="Q171" s="769"/>
      <c r="R171" s="769"/>
      <c r="S171" s="769"/>
      <c r="T171" s="769"/>
      <c r="U171" s="769"/>
      <c r="V171" s="769"/>
      <c r="W171" s="769"/>
      <c r="X171" s="769"/>
      <c r="Y171" s="769"/>
      <c r="Z171" s="769"/>
      <c r="AA171" s="769"/>
      <c r="AB171" s="769"/>
      <c r="AC171" s="769"/>
      <c r="AD171" s="769"/>
      <c r="AE171" s="769"/>
      <c r="AF171" s="769"/>
      <c r="AG171" s="769"/>
      <c r="AH171" s="769"/>
    </row>
    <row r="172" spans="1:34" x14ac:dyDescent="0.25">
      <c r="A172" s="750" t="s">
        <v>1330</v>
      </c>
      <c r="B172" s="710"/>
      <c r="C172" s="712" t="s">
        <v>1038</v>
      </c>
      <c r="D172" s="711" t="s">
        <v>1114</v>
      </c>
      <c r="E172" s="767" t="s">
        <v>1331</v>
      </c>
      <c r="F172" s="712" t="s">
        <v>605</v>
      </c>
      <c r="G172" s="712"/>
      <c r="H172" s="712"/>
      <c r="I172" s="712"/>
      <c r="J172" s="712"/>
      <c r="K172" s="712"/>
      <c r="L172" s="712"/>
      <c r="M172" s="769"/>
      <c r="N172" s="769"/>
      <c r="O172" s="769"/>
      <c r="P172" s="769"/>
      <c r="Q172" s="769"/>
      <c r="R172" s="769"/>
      <c r="S172" s="769"/>
      <c r="T172" s="769"/>
      <c r="U172" s="769"/>
      <c r="V172" s="769"/>
      <c r="W172" s="769"/>
      <c r="X172" s="769"/>
      <c r="Y172" s="769"/>
      <c r="Z172" s="769"/>
      <c r="AA172" s="769"/>
      <c r="AB172" s="769"/>
      <c r="AC172" s="769"/>
      <c r="AD172" s="769"/>
      <c r="AE172" s="769"/>
      <c r="AF172" s="769"/>
      <c r="AG172" s="769"/>
      <c r="AH172" s="769"/>
    </row>
    <row r="173" spans="1:34" x14ac:dyDescent="0.25">
      <c r="A173" s="713" t="s">
        <v>1332</v>
      </c>
      <c r="B173" s="710"/>
      <c r="C173" s="712" t="s">
        <v>1038</v>
      </c>
      <c r="D173" s="711" t="s">
        <v>1114</v>
      </c>
      <c r="E173" s="767" t="s">
        <v>1333</v>
      </c>
      <c r="F173" s="712" t="s">
        <v>605</v>
      </c>
      <c r="G173" s="712"/>
      <c r="H173" s="712"/>
      <c r="I173" s="712"/>
      <c r="J173" s="712"/>
      <c r="K173" s="712"/>
      <c r="L173" s="712"/>
      <c r="M173" s="769"/>
      <c r="N173" s="769"/>
      <c r="O173" s="769"/>
      <c r="P173" s="769"/>
      <c r="Q173" s="769"/>
      <c r="R173" s="769"/>
      <c r="S173" s="769"/>
      <c r="T173" s="769"/>
      <c r="U173" s="769"/>
      <c r="V173" s="769"/>
      <c r="W173" s="769"/>
      <c r="X173" s="769"/>
      <c r="Y173" s="769"/>
      <c r="Z173" s="769"/>
      <c r="AA173" s="769"/>
      <c r="AB173" s="769"/>
      <c r="AC173" s="769"/>
      <c r="AD173" s="769"/>
      <c r="AE173" s="769"/>
      <c r="AF173" s="769"/>
      <c r="AG173" s="769"/>
      <c r="AH173" s="769"/>
    </row>
    <row r="174" spans="1:34" x14ac:dyDescent="0.25">
      <c r="A174" s="713" t="s">
        <v>56</v>
      </c>
      <c r="B174" s="710"/>
      <c r="C174" s="712" t="s">
        <v>1038</v>
      </c>
      <c r="D174" s="711" t="s">
        <v>1114</v>
      </c>
      <c r="E174" s="767" t="s">
        <v>1334</v>
      </c>
      <c r="F174" s="712" t="s">
        <v>605</v>
      </c>
      <c r="G174" s="712"/>
      <c r="H174" s="712"/>
      <c r="I174" s="712"/>
      <c r="J174" s="712"/>
      <c r="K174" s="712"/>
      <c r="L174" s="712"/>
      <c r="M174" s="769"/>
      <c r="N174" s="769"/>
      <c r="O174" s="769"/>
      <c r="P174" s="769"/>
      <c r="Q174" s="769"/>
      <c r="R174" s="769"/>
      <c r="S174" s="769"/>
      <c r="T174" s="769"/>
      <c r="U174" s="769"/>
      <c r="V174" s="769"/>
      <c r="W174" s="769"/>
      <c r="X174" s="769"/>
      <c r="Y174" s="769"/>
      <c r="Z174" s="769"/>
      <c r="AA174" s="769"/>
      <c r="AB174" s="769"/>
      <c r="AC174" s="769"/>
      <c r="AD174" s="769"/>
      <c r="AE174" s="769"/>
      <c r="AF174" s="769"/>
      <c r="AG174" s="769"/>
      <c r="AH174" s="769"/>
    </row>
    <row r="175" spans="1:34" x14ac:dyDescent="0.25">
      <c r="A175" s="713" t="s">
        <v>1335</v>
      </c>
      <c r="B175" s="710"/>
      <c r="C175" s="712" t="s">
        <v>1038</v>
      </c>
      <c r="D175" s="711" t="s">
        <v>1114</v>
      </c>
      <c r="E175" s="767" t="s">
        <v>1336</v>
      </c>
      <c r="F175" s="712" t="s">
        <v>605</v>
      </c>
      <c r="G175" s="712"/>
      <c r="H175" s="712"/>
      <c r="I175" s="712"/>
      <c r="J175" s="712"/>
      <c r="K175" s="712"/>
      <c r="L175" s="712"/>
      <c r="M175" s="769"/>
      <c r="N175" s="769"/>
      <c r="O175" s="769"/>
      <c r="P175" s="769"/>
      <c r="Q175" s="769"/>
      <c r="R175" s="769"/>
      <c r="S175" s="769"/>
      <c r="T175" s="769"/>
      <c r="U175" s="769"/>
      <c r="V175" s="769"/>
      <c r="W175" s="769"/>
      <c r="X175" s="769"/>
      <c r="Y175" s="769"/>
      <c r="Z175" s="769"/>
      <c r="AA175" s="769"/>
      <c r="AB175" s="769"/>
      <c r="AC175" s="769"/>
      <c r="AD175" s="769"/>
      <c r="AE175" s="769"/>
      <c r="AF175" s="769"/>
      <c r="AG175" s="769"/>
      <c r="AH175" s="769"/>
    </row>
    <row r="177" spans="1:34" x14ac:dyDescent="0.25">
      <c r="E177" s="768" t="s">
        <v>1337</v>
      </c>
    </row>
    <row r="178" spans="1:34" x14ac:dyDescent="0.25">
      <c r="A178" s="750" t="s">
        <v>1338</v>
      </c>
      <c r="B178" s="710"/>
      <c r="C178" s="712" t="s">
        <v>1038</v>
      </c>
      <c r="D178" s="711" t="s">
        <v>1114</v>
      </c>
      <c r="E178" s="767" t="s">
        <v>1339</v>
      </c>
      <c r="F178" s="712" t="s">
        <v>605</v>
      </c>
      <c r="G178" s="712"/>
      <c r="H178" s="712"/>
      <c r="I178" s="712"/>
      <c r="J178" s="712"/>
      <c r="K178" s="712"/>
      <c r="L178" s="712"/>
      <c r="M178" s="769"/>
      <c r="N178" s="769"/>
      <c r="O178" s="769"/>
      <c r="P178" s="769"/>
      <c r="Q178" s="769"/>
      <c r="R178" s="769"/>
      <c r="S178" s="769"/>
      <c r="T178" s="769"/>
      <c r="U178" s="769"/>
      <c r="V178" s="769"/>
      <c r="W178" s="769"/>
      <c r="X178" s="769"/>
      <c r="Y178" s="769"/>
      <c r="Z178" s="769"/>
      <c r="AA178" s="769"/>
      <c r="AB178" s="769"/>
      <c r="AC178" s="769"/>
      <c r="AD178" s="769"/>
      <c r="AE178" s="769"/>
      <c r="AF178" s="769"/>
      <c r="AG178" s="769"/>
      <c r="AH178" s="769"/>
    </row>
    <row r="179" spans="1:34" x14ac:dyDescent="0.25">
      <c r="A179" s="750" t="s">
        <v>1340</v>
      </c>
      <c r="B179" s="710"/>
      <c r="C179" s="712" t="s">
        <v>1038</v>
      </c>
      <c r="D179" s="711" t="s">
        <v>1114</v>
      </c>
      <c r="E179" s="767" t="s">
        <v>1341</v>
      </c>
      <c r="F179" s="712" t="s">
        <v>605</v>
      </c>
      <c r="G179" s="712"/>
      <c r="H179" s="712"/>
      <c r="I179" s="712"/>
      <c r="J179" s="712"/>
      <c r="K179" s="712"/>
      <c r="L179" s="712"/>
      <c r="M179" s="769"/>
      <c r="N179" s="769"/>
      <c r="O179" s="769"/>
      <c r="P179" s="769"/>
      <c r="Q179" s="769"/>
      <c r="R179" s="769"/>
      <c r="S179" s="769"/>
      <c r="T179" s="769"/>
      <c r="U179" s="769"/>
      <c r="V179" s="769"/>
      <c r="W179" s="769"/>
      <c r="X179" s="769"/>
      <c r="Y179" s="769"/>
      <c r="Z179" s="769"/>
      <c r="AA179" s="769"/>
      <c r="AB179" s="769"/>
      <c r="AC179" s="769"/>
      <c r="AD179" s="769"/>
      <c r="AE179" s="769"/>
      <c r="AF179" s="769"/>
      <c r="AG179" s="769"/>
      <c r="AH179" s="769"/>
    </row>
    <row r="180" spans="1:34" x14ac:dyDescent="0.25">
      <c r="A180" s="713" t="s">
        <v>1342</v>
      </c>
      <c r="B180" s="710"/>
      <c r="C180" s="712" t="s">
        <v>1038</v>
      </c>
      <c r="D180" s="711" t="s">
        <v>1114</v>
      </c>
      <c r="E180" s="767" t="s">
        <v>1343</v>
      </c>
      <c r="F180" s="712" t="s">
        <v>605</v>
      </c>
      <c r="G180" s="712"/>
      <c r="H180" s="712"/>
      <c r="I180" s="712"/>
      <c r="J180" s="712"/>
      <c r="K180" s="712"/>
      <c r="L180" s="712"/>
      <c r="M180" s="769"/>
      <c r="N180" s="769"/>
      <c r="O180" s="769"/>
      <c r="P180" s="769"/>
      <c r="Q180" s="769"/>
      <c r="R180" s="769"/>
      <c r="S180" s="769"/>
      <c r="T180" s="769"/>
      <c r="U180" s="769"/>
      <c r="V180" s="769"/>
      <c r="W180" s="769"/>
      <c r="X180" s="769"/>
      <c r="Y180" s="769"/>
      <c r="Z180" s="769"/>
      <c r="AA180" s="769"/>
      <c r="AB180" s="769"/>
      <c r="AC180" s="769"/>
      <c r="AD180" s="769"/>
      <c r="AE180" s="769"/>
      <c r="AF180" s="769"/>
      <c r="AG180" s="769"/>
      <c r="AH180" s="769"/>
    </row>
    <row r="181" spans="1:34" x14ac:dyDescent="0.25">
      <c r="A181" s="713" t="s">
        <v>1344</v>
      </c>
      <c r="B181" s="710"/>
      <c r="C181" s="712" t="s">
        <v>1038</v>
      </c>
      <c r="D181" s="711" t="s">
        <v>1114</v>
      </c>
      <c r="E181" s="767" t="s">
        <v>1345</v>
      </c>
      <c r="F181" s="712" t="s">
        <v>605</v>
      </c>
      <c r="G181" s="712"/>
      <c r="H181" s="712"/>
      <c r="I181" s="712"/>
      <c r="J181" s="712"/>
      <c r="K181" s="712"/>
      <c r="L181" s="712"/>
      <c r="M181" s="769"/>
      <c r="N181" s="769"/>
      <c r="O181" s="769"/>
      <c r="P181" s="769"/>
      <c r="Q181" s="769"/>
      <c r="R181" s="769"/>
      <c r="S181" s="769"/>
      <c r="T181" s="769"/>
      <c r="U181" s="769"/>
      <c r="V181" s="769"/>
      <c r="W181" s="769"/>
      <c r="X181" s="769"/>
      <c r="Y181" s="769"/>
      <c r="Z181" s="769"/>
      <c r="AA181" s="769"/>
      <c r="AB181" s="769"/>
      <c r="AC181" s="769"/>
      <c r="AD181" s="769"/>
      <c r="AE181" s="769"/>
      <c r="AF181" s="769"/>
      <c r="AG181" s="769"/>
      <c r="AH181" s="769"/>
    </row>
    <row r="182" spans="1:34" x14ac:dyDescent="0.25">
      <c r="A182" s="750" t="s">
        <v>1346</v>
      </c>
      <c r="B182" s="710"/>
      <c r="C182" s="712" t="s">
        <v>1038</v>
      </c>
      <c r="D182" s="711" t="s">
        <v>1114</v>
      </c>
      <c r="E182" s="767" t="s">
        <v>1347</v>
      </c>
      <c r="F182" s="712" t="s">
        <v>605</v>
      </c>
      <c r="G182" s="712"/>
      <c r="H182" s="712"/>
      <c r="I182" s="712"/>
      <c r="J182" s="712"/>
      <c r="K182" s="712"/>
      <c r="L182" s="712"/>
      <c r="M182" s="769"/>
      <c r="N182" s="769"/>
      <c r="O182" s="769"/>
      <c r="P182" s="769"/>
      <c r="Q182" s="769"/>
      <c r="R182" s="769"/>
      <c r="S182" s="769"/>
      <c r="T182" s="769"/>
      <c r="U182" s="769"/>
      <c r="V182" s="769"/>
      <c r="W182" s="769"/>
      <c r="X182" s="769"/>
      <c r="Y182" s="769"/>
      <c r="Z182" s="769"/>
      <c r="AA182" s="769"/>
      <c r="AB182" s="769"/>
      <c r="AC182" s="769"/>
      <c r="AD182" s="769"/>
      <c r="AE182" s="769"/>
      <c r="AF182" s="769"/>
      <c r="AG182" s="769"/>
      <c r="AH182" s="769"/>
    </row>
    <row r="183" spans="1:34" x14ac:dyDescent="0.25">
      <c r="A183" s="713" t="s">
        <v>1348</v>
      </c>
      <c r="B183" s="710"/>
      <c r="C183" s="712" t="s">
        <v>1038</v>
      </c>
      <c r="D183" s="711" t="s">
        <v>1114</v>
      </c>
      <c r="E183" s="767" t="s">
        <v>1349</v>
      </c>
      <c r="F183" s="712" t="s">
        <v>605</v>
      </c>
      <c r="G183" s="712"/>
      <c r="H183" s="712"/>
      <c r="I183" s="712"/>
      <c r="J183" s="712"/>
      <c r="K183" s="712"/>
      <c r="L183" s="712"/>
      <c r="M183" s="769"/>
      <c r="N183" s="769"/>
      <c r="O183" s="769"/>
      <c r="P183" s="769"/>
      <c r="Q183" s="769"/>
      <c r="R183" s="769"/>
      <c r="S183" s="769"/>
      <c r="T183" s="769"/>
      <c r="U183" s="769"/>
      <c r="V183" s="769"/>
      <c r="W183" s="769"/>
      <c r="X183" s="769"/>
      <c r="Y183" s="769"/>
      <c r="Z183" s="769"/>
      <c r="AA183" s="769"/>
      <c r="AB183" s="769"/>
      <c r="AC183" s="769"/>
      <c r="AD183" s="769"/>
      <c r="AE183" s="769"/>
      <c r="AF183" s="769"/>
      <c r="AG183" s="769"/>
      <c r="AH183" s="769"/>
    </row>
    <row r="184" spans="1:34" x14ac:dyDescent="0.25">
      <c r="A184" s="750" t="s">
        <v>1350</v>
      </c>
      <c r="B184" s="710"/>
      <c r="C184" s="712" t="s">
        <v>1038</v>
      </c>
      <c r="D184" s="711" t="s">
        <v>1114</v>
      </c>
      <c r="E184" s="767" t="s">
        <v>1351</v>
      </c>
      <c r="F184" s="712" t="s">
        <v>605</v>
      </c>
      <c r="G184" s="712"/>
      <c r="H184" s="712"/>
      <c r="I184" s="712"/>
      <c r="J184" s="712"/>
      <c r="K184" s="712"/>
      <c r="L184" s="712"/>
      <c r="M184" s="769"/>
      <c r="N184" s="769"/>
      <c r="O184" s="769"/>
      <c r="P184" s="769"/>
      <c r="Q184" s="769"/>
      <c r="R184" s="769"/>
      <c r="S184" s="769"/>
      <c r="T184" s="769"/>
      <c r="U184" s="769"/>
      <c r="V184" s="769"/>
      <c r="W184" s="769"/>
      <c r="X184" s="769"/>
      <c r="Y184" s="769"/>
      <c r="Z184" s="769"/>
      <c r="AA184" s="769"/>
      <c r="AB184" s="769"/>
      <c r="AC184" s="769"/>
      <c r="AD184" s="769"/>
      <c r="AE184" s="769"/>
      <c r="AF184" s="769"/>
      <c r="AG184" s="769"/>
      <c r="AH184" s="769"/>
    </row>
    <row r="186" spans="1:34" x14ac:dyDescent="0.25">
      <c r="E186" s="768" t="s">
        <v>1352</v>
      </c>
    </row>
    <row r="187" spans="1:34" x14ac:dyDescent="0.25">
      <c r="A187" s="750" t="s">
        <v>1353</v>
      </c>
      <c r="B187" s="710"/>
      <c r="C187" s="712" t="s">
        <v>1038</v>
      </c>
      <c r="D187" s="711" t="s">
        <v>1114</v>
      </c>
      <c r="E187" s="767" t="s">
        <v>1354</v>
      </c>
      <c r="F187" s="712" t="s">
        <v>605</v>
      </c>
      <c r="G187" s="712"/>
      <c r="H187" s="712"/>
      <c r="I187" s="712"/>
      <c r="J187" s="712"/>
      <c r="K187" s="770"/>
      <c r="L187" s="770"/>
      <c r="M187" s="770"/>
      <c r="N187" s="770"/>
      <c r="O187" s="770"/>
      <c r="P187" s="770"/>
      <c r="Q187" s="770"/>
      <c r="R187" s="770"/>
      <c r="S187" s="770"/>
      <c r="T187" s="770"/>
      <c r="U187" s="770"/>
      <c r="V187" s="770"/>
      <c r="W187" s="770"/>
      <c r="X187" s="770"/>
      <c r="Y187" s="770"/>
      <c r="Z187" s="770"/>
      <c r="AA187" s="770"/>
      <c r="AB187" s="770"/>
      <c r="AC187" s="770"/>
      <c r="AD187" s="770"/>
      <c r="AE187" s="770"/>
      <c r="AF187" s="770"/>
      <c r="AG187" s="770"/>
      <c r="AH187" s="770"/>
    </row>
    <row r="188" spans="1:34" x14ac:dyDescent="0.25">
      <c r="A188" s="750" t="s">
        <v>1355</v>
      </c>
      <c r="B188" s="710"/>
      <c r="C188" s="712" t="s">
        <v>1038</v>
      </c>
      <c r="D188" s="711" t="s">
        <v>1114</v>
      </c>
      <c r="E188" s="767" t="s">
        <v>972</v>
      </c>
      <c r="F188" s="712" t="s">
        <v>605</v>
      </c>
      <c r="G188" s="712"/>
      <c r="H188" s="712"/>
      <c r="I188" s="712"/>
      <c r="J188" s="712"/>
      <c r="K188" s="770"/>
      <c r="L188" s="770"/>
      <c r="M188" s="770"/>
      <c r="N188" s="770"/>
      <c r="O188" s="770"/>
      <c r="P188" s="770"/>
      <c r="Q188" s="770"/>
      <c r="R188" s="770"/>
      <c r="S188" s="770"/>
      <c r="T188" s="770"/>
      <c r="U188" s="770"/>
      <c r="V188" s="770"/>
      <c r="W188" s="770"/>
      <c r="X188" s="770"/>
      <c r="Y188" s="770"/>
      <c r="Z188" s="770"/>
      <c r="AA188" s="770"/>
      <c r="AB188" s="770"/>
      <c r="AC188" s="770"/>
      <c r="AD188" s="770"/>
      <c r="AE188" s="770"/>
      <c r="AF188" s="770"/>
      <c r="AG188" s="770"/>
      <c r="AH188" s="770"/>
    </row>
    <row r="189" spans="1:34" x14ac:dyDescent="0.25">
      <c r="A189" s="750" t="s">
        <v>1356</v>
      </c>
      <c r="B189" s="710"/>
      <c r="C189" s="712" t="s">
        <v>1038</v>
      </c>
      <c r="D189" s="711" t="s">
        <v>1114</v>
      </c>
      <c r="E189" s="767" t="s">
        <v>1357</v>
      </c>
      <c r="F189" s="712" t="s">
        <v>605</v>
      </c>
      <c r="G189" s="712"/>
      <c r="H189" s="712"/>
      <c r="I189" s="712"/>
      <c r="J189" s="712"/>
      <c r="K189" s="770"/>
      <c r="L189" s="770"/>
      <c r="M189" s="770"/>
      <c r="N189" s="770"/>
      <c r="O189" s="770"/>
      <c r="P189" s="770"/>
      <c r="Q189" s="770"/>
      <c r="R189" s="770"/>
      <c r="S189" s="770"/>
      <c r="T189" s="770"/>
      <c r="U189" s="770"/>
      <c r="V189" s="770"/>
      <c r="W189" s="770"/>
      <c r="X189" s="770"/>
      <c r="Y189" s="770"/>
      <c r="Z189" s="770"/>
      <c r="AA189" s="770"/>
      <c r="AB189" s="770"/>
      <c r="AC189" s="770"/>
      <c r="AD189" s="770"/>
      <c r="AE189" s="770"/>
      <c r="AF189" s="770"/>
      <c r="AG189" s="770"/>
      <c r="AH189" s="770"/>
    </row>
    <row r="190" spans="1:34" x14ac:dyDescent="0.25">
      <c r="A190" s="713" t="s">
        <v>1358</v>
      </c>
      <c r="B190" s="710"/>
      <c r="C190" s="712" t="s">
        <v>1038</v>
      </c>
      <c r="D190" s="711" t="s">
        <v>1114</v>
      </c>
      <c r="E190" s="767" t="s">
        <v>1359</v>
      </c>
      <c r="F190" s="712" t="s">
        <v>605</v>
      </c>
      <c r="G190" s="712"/>
      <c r="H190" s="712"/>
      <c r="I190" s="712"/>
      <c r="J190" s="712"/>
      <c r="K190" s="712"/>
      <c r="L190" s="712"/>
      <c r="M190" s="770"/>
      <c r="N190" s="770"/>
      <c r="O190" s="770"/>
      <c r="P190" s="770"/>
      <c r="Q190" s="770"/>
      <c r="R190" s="770"/>
      <c r="S190" s="770"/>
      <c r="T190" s="770"/>
      <c r="U190" s="770"/>
      <c r="V190" s="770"/>
      <c r="W190" s="770"/>
      <c r="X190" s="770"/>
      <c r="Y190" s="770"/>
      <c r="Z190" s="770"/>
      <c r="AA190" s="770"/>
      <c r="AB190" s="770"/>
      <c r="AC190" s="770"/>
      <c r="AD190" s="770"/>
      <c r="AE190" s="770"/>
      <c r="AF190" s="770"/>
      <c r="AG190" s="770"/>
      <c r="AH190" s="770"/>
    </row>
    <row r="191" spans="1:34" x14ac:dyDescent="0.25">
      <c r="A191" s="713" t="s">
        <v>1360</v>
      </c>
      <c r="B191" s="710"/>
      <c r="C191" s="712" t="s">
        <v>1038</v>
      </c>
      <c r="D191" s="711" t="s">
        <v>1114</v>
      </c>
      <c r="E191" s="767" t="s">
        <v>1361</v>
      </c>
      <c r="F191" s="712" t="s">
        <v>605</v>
      </c>
      <c r="G191" s="712"/>
      <c r="H191" s="712"/>
      <c r="I191" s="712"/>
      <c r="J191" s="712"/>
      <c r="K191" s="712"/>
      <c r="L191" s="712"/>
      <c r="M191" s="770"/>
      <c r="N191" s="770"/>
      <c r="O191" s="770"/>
      <c r="P191" s="770"/>
      <c r="Q191" s="770"/>
      <c r="R191" s="770"/>
      <c r="S191" s="770"/>
      <c r="T191" s="770"/>
      <c r="U191" s="770"/>
      <c r="V191" s="770"/>
      <c r="W191" s="770"/>
      <c r="X191" s="770"/>
      <c r="Y191" s="770"/>
      <c r="Z191" s="770"/>
      <c r="AA191" s="770"/>
      <c r="AB191" s="770"/>
      <c r="AC191" s="770"/>
      <c r="AD191" s="770"/>
      <c r="AE191" s="770"/>
      <c r="AF191" s="770"/>
      <c r="AG191" s="770"/>
      <c r="AH191" s="770"/>
    </row>
    <row r="192" spans="1:34" x14ac:dyDescent="0.25">
      <c r="A192" s="713" t="s">
        <v>1362</v>
      </c>
      <c r="B192" s="710"/>
      <c r="C192" s="712" t="s">
        <v>1038</v>
      </c>
      <c r="D192" s="711" t="s">
        <v>1114</v>
      </c>
      <c r="E192" s="767" t="s">
        <v>1363</v>
      </c>
      <c r="F192" s="712" t="s">
        <v>605</v>
      </c>
      <c r="G192" s="712"/>
      <c r="H192" s="712"/>
      <c r="I192" s="712"/>
      <c r="J192" s="712"/>
      <c r="K192" s="712"/>
      <c r="L192" s="712"/>
      <c r="M192" s="770"/>
      <c r="N192" s="770"/>
      <c r="O192" s="770"/>
      <c r="P192" s="770"/>
      <c r="Q192" s="770"/>
      <c r="R192" s="770"/>
      <c r="S192" s="770"/>
      <c r="T192" s="770"/>
      <c r="U192" s="770"/>
      <c r="V192" s="770"/>
      <c r="W192" s="770"/>
      <c r="X192" s="770"/>
      <c r="Y192" s="770"/>
      <c r="Z192" s="770"/>
      <c r="AA192" s="770"/>
      <c r="AB192" s="770"/>
      <c r="AC192" s="770"/>
      <c r="AD192" s="770"/>
      <c r="AE192" s="770"/>
      <c r="AF192" s="770"/>
      <c r="AG192" s="770"/>
      <c r="AH192" s="770"/>
    </row>
    <row r="194" spans="1:34" x14ac:dyDescent="0.25">
      <c r="E194" s="768" t="s">
        <v>1364</v>
      </c>
    </row>
    <row r="195" spans="1:34" x14ac:dyDescent="0.25">
      <c r="A195" s="750" t="s">
        <v>1365</v>
      </c>
      <c r="B195" s="710"/>
      <c r="C195" s="712" t="s">
        <v>1038</v>
      </c>
      <c r="D195" s="711" t="s">
        <v>1114</v>
      </c>
      <c r="E195" s="767" t="s">
        <v>797</v>
      </c>
      <c r="F195" s="712" t="s">
        <v>605</v>
      </c>
      <c r="G195" s="712"/>
      <c r="H195" s="712"/>
      <c r="I195" s="712"/>
      <c r="J195" s="712"/>
      <c r="K195" s="712"/>
      <c r="L195" s="712"/>
      <c r="M195" s="712"/>
      <c r="N195" s="770"/>
      <c r="O195" s="770"/>
      <c r="P195" s="770"/>
      <c r="Q195" s="770"/>
      <c r="R195" s="770"/>
      <c r="S195" s="770"/>
      <c r="T195" s="770"/>
      <c r="U195" s="770"/>
      <c r="V195" s="770"/>
      <c r="W195" s="770"/>
      <c r="X195" s="770"/>
      <c r="Y195" s="770"/>
      <c r="Z195" s="770"/>
      <c r="AA195" s="770"/>
      <c r="AB195" s="770"/>
      <c r="AC195" s="770"/>
      <c r="AD195" s="770"/>
      <c r="AE195" s="770"/>
      <c r="AF195" s="770"/>
      <c r="AG195" s="770"/>
      <c r="AH195" s="770"/>
    </row>
    <row r="196" spans="1:34" x14ac:dyDescent="0.25">
      <c r="A196" s="750" t="s">
        <v>1366</v>
      </c>
      <c r="B196" s="710"/>
      <c r="C196" s="712" t="s">
        <v>1038</v>
      </c>
      <c r="D196" s="711" t="s">
        <v>1114</v>
      </c>
      <c r="E196" s="767" t="s">
        <v>34</v>
      </c>
      <c r="F196" s="712" t="s">
        <v>605</v>
      </c>
      <c r="G196" s="712"/>
      <c r="H196" s="712"/>
      <c r="I196" s="712"/>
      <c r="J196" s="712"/>
      <c r="K196" s="712"/>
      <c r="L196" s="712"/>
      <c r="M196" s="712"/>
      <c r="N196" s="770"/>
      <c r="O196" s="770"/>
      <c r="P196" s="770"/>
      <c r="Q196" s="770"/>
      <c r="R196" s="770"/>
      <c r="S196" s="770"/>
      <c r="T196" s="770"/>
      <c r="U196" s="770"/>
      <c r="V196" s="770"/>
      <c r="W196" s="770"/>
      <c r="X196" s="770"/>
      <c r="Y196" s="770"/>
      <c r="Z196" s="770"/>
      <c r="AA196" s="770"/>
      <c r="AB196" s="770"/>
      <c r="AC196" s="770"/>
      <c r="AD196" s="770"/>
      <c r="AE196" s="770"/>
      <c r="AF196" s="770"/>
      <c r="AG196" s="770"/>
      <c r="AH196" s="770"/>
    </row>
    <row r="197" spans="1:34" x14ac:dyDescent="0.25">
      <c r="A197" s="750" t="s">
        <v>1367</v>
      </c>
      <c r="B197" s="710"/>
      <c r="C197" s="712" t="s">
        <v>1038</v>
      </c>
      <c r="D197" s="711" t="s">
        <v>1114</v>
      </c>
      <c r="E197" s="767" t="s">
        <v>1368</v>
      </c>
      <c r="F197" s="712" t="s">
        <v>605</v>
      </c>
      <c r="G197" s="712"/>
      <c r="H197" s="712"/>
      <c r="I197" s="712"/>
      <c r="J197" s="712"/>
      <c r="K197" s="712"/>
      <c r="L197" s="712"/>
      <c r="M197" s="712"/>
      <c r="N197" s="770"/>
      <c r="O197" s="770"/>
      <c r="P197" s="770"/>
      <c r="Q197" s="770"/>
      <c r="R197" s="770"/>
      <c r="S197" s="770"/>
      <c r="T197" s="770"/>
      <c r="U197" s="770"/>
      <c r="V197" s="770"/>
      <c r="W197" s="770"/>
      <c r="X197" s="770"/>
      <c r="Y197" s="770"/>
      <c r="Z197" s="770"/>
      <c r="AA197" s="770"/>
      <c r="AB197" s="770"/>
      <c r="AC197" s="770"/>
      <c r="AD197" s="770"/>
      <c r="AE197" s="770"/>
      <c r="AF197" s="770"/>
      <c r="AG197" s="770"/>
      <c r="AH197" s="770"/>
    </row>
    <row r="199" spans="1:34" x14ac:dyDescent="0.25">
      <c r="E199" s="768" t="s">
        <v>1369</v>
      </c>
    </row>
    <row r="200" spans="1:34" x14ac:dyDescent="0.25">
      <c r="A200" s="771" t="s">
        <v>1370</v>
      </c>
      <c r="B200" s="737" t="str">
        <f>IF(IF(D200="+",MIN(H200:IU200)&gt;=0,IF(D200="-",MAX(H200:IU200)&lt;=0,TRUE)),"",1)</f>
        <v/>
      </c>
      <c r="C200" s="705" t="s">
        <v>1036</v>
      </c>
      <c r="D200" s="738"/>
      <c r="E200" s="739" t="s">
        <v>1069</v>
      </c>
      <c r="AC200" s="740"/>
    </row>
    <row r="201" spans="1:34" x14ac:dyDescent="0.25">
      <c r="A201" s="772" t="s">
        <v>1371</v>
      </c>
      <c r="B201" s="737" t="str">
        <f>IF(IF(D201="+",MIN(H201:IU201)&gt;=0,IF(D201="-",MAX(H201:IU201)&lt;=0,TRUE)),"",1)</f>
        <v/>
      </c>
      <c r="C201" s="705" t="s">
        <v>1036</v>
      </c>
      <c r="D201" s="738"/>
      <c r="E201" s="739" t="s">
        <v>1372</v>
      </c>
      <c r="F201" s="705" t="s">
        <v>1077</v>
      </c>
      <c r="AC201" s="740"/>
    </row>
    <row r="202" spans="1:34" x14ac:dyDescent="0.25">
      <c r="A202" s="750" t="s">
        <v>1373</v>
      </c>
      <c r="B202" s="710"/>
      <c r="C202" s="712" t="s">
        <v>1038</v>
      </c>
      <c r="D202" s="711" t="s">
        <v>1114</v>
      </c>
      <c r="E202" s="767" t="s">
        <v>603</v>
      </c>
      <c r="F202" s="712" t="s">
        <v>1077</v>
      </c>
      <c r="G202" s="712"/>
      <c r="H202" s="712"/>
      <c r="I202" s="712"/>
      <c r="J202" s="712"/>
      <c r="K202" s="1067"/>
      <c r="L202" s="1067"/>
      <c r="M202" s="765"/>
      <c r="N202" s="765"/>
      <c r="O202" s="765"/>
      <c r="P202" s="765"/>
      <c r="Q202" s="765"/>
      <c r="R202" s="765"/>
      <c r="S202" s="765"/>
      <c r="T202" s="765"/>
      <c r="U202" s="765"/>
      <c r="V202" s="765"/>
      <c r="W202" s="765"/>
      <c r="X202" s="765"/>
      <c r="Y202" s="765"/>
      <c r="Z202" s="765"/>
      <c r="AA202" s="765"/>
      <c r="AB202" s="765"/>
      <c r="AC202" s="765"/>
      <c r="AD202" s="765"/>
      <c r="AE202" s="765"/>
      <c r="AF202" s="765"/>
      <c r="AG202" s="765"/>
      <c r="AH202" s="765"/>
    </row>
    <row r="203" spans="1:34" x14ac:dyDescent="0.25">
      <c r="A203" s="750" t="s">
        <v>1374</v>
      </c>
      <c r="B203" s="710"/>
      <c r="C203" s="712" t="s">
        <v>1038</v>
      </c>
      <c r="D203" s="711" t="s">
        <v>1114</v>
      </c>
      <c r="E203" s="767" t="s">
        <v>173</v>
      </c>
      <c r="F203" s="712" t="s">
        <v>1077</v>
      </c>
      <c r="G203" s="712"/>
      <c r="H203" s="712"/>
      <c r="I203" s="712"/>
      <c r="J203" s="712"/>
      <c r="K203" s="1067"/>
      <c r="L203" s="1067"/>
      <c r="M203" s="765"/>
      <c r="N203" s="765"/>
      <c r="O203" s="765"/>
      <c r="P203" s="765"/>
      <c r="Q203" s="765"/>
      <c r="R203" s="765"/>
      <c r="S203" s="765"/>
      <c r="T203" s="765"/>
      <c r="U203" s="765"/>
      <c r="V203" s="765"/>
      <c r="W203" s="765"/>
      <c r="X203" s="765"/>
      <c r="Y203" s="765"/>
      <c r="Z203" s="765"/>
      <c r="AA203" s="765"/>
      <c r="AB203" s="765"/>
      <c r="AC203" s="765"/>
      <c r="AD203" s="765"/>
      <c r="AE203" s="765"/>
      <c r="AF203" s="765"/>
      <c r="AG203" s="765"/>
      <c r="AH203" s="765"/>
    </row>
    <row r="204" spans="1:34" x14ac:dyDescent="0.25">
      <c r="A204" s="750" t="s">
        <v>1375</v>
      </c>
      <c r="B204" s="710"/>
      <c r="C204" s="712" t="s">
        <v>1038</v>
      </c>
      <c r="D204" s="711" t="s">
        <v>1114</v>
      </c>
      <c r="E204" s="767" t="s">
        <v>953</v>
      </c>
      <c r="F204" s="712" t="s">
        <v>1077</v>
      </c>
      <c r="G204" s="712"/>
      <c r="H204" s="712"/>
      <c r="I204" s="712"/>
      <c r="J204" s="712"/>
      <c r="K204" s="1067"/>
      <c r="L204" s="1067"/>
      <c r="M204" s="765"/>
      <c r="N204" s="765"/>
      <c r="O204" s="765"/>
      <c r="P204" s="765"/>
      <c r="Q204" s="765"/>
      <c r="R204" s="765"/>
      <c r="S204" s="765"/>
      <c r="T204" s="765"/>
      <c r="U204" s="765"/>
      <c r="V204" s="765"/>
      <c r="W204" s="765"/>
      <c r="X204" s="765"/>
      <c r="Y204" s="765"/>
      <c r="Z204" s="765"/>
      <c r="AA204" s="765"/>
      <c r="AB204" s="765"/>
      <c r="AC204" s="765"/>
      <c r="AD204" s="765"/>
      <c r="AE204" s="765"/>
      <c r="AF204" s="765"/>
      <c r="AG204" s="765"/>
      <c r="AH204" s="765"/>
    </row>
    <row r="205" spans="1:34" x14ac:dyDescent="0.25">
      <c r="A205" s="750" t="s">
        <v>1376</v>
      </c>
      <c r="B205" s="710"/>
      <c r="C205" s="712" t="s">
        <v>1038</v>
      </c>
      <c r="D205" s="711" t="s">
        <v>1114</v>
      </c>
      <c r="E205" s="767" t="s">
        <v>984</v>
      </c>
      <c r="F205" s="712" t="s">
        <v>605</v>
      </c>
      <c r="G205" s="712"/>
      <c r="H205" s="712"/>
      <c r="I205" s="712"/>
      <c r="J205" s="712"/>
      <c r="K205" s="712"/>
      <c r="L205" s="712"/>
      <c r="M205" s="712"/>
      <c r="N205" s="712"/>
      <c r="O205" s="712"/>
      <c r="P205" s="712"/>
      <c r="Q205" s="712"/>
      <c r="R205" s="712"/>
      <c r="S205" s="712"/>
      <c r="T205" s="712"/>
      <c r="U205" s="712"/>
      <c r="V205" s="712"/>
      <c r="W205" s="712"/>
      <c r="X205" s="712"/>
      <c r="Y205" s="712"/>
      <c r="Z205" s="770"/>
      <c r="AA205" s="770"/>
      <c r="AB205" s="770"/>
      <c r="AC205" s="770"/>
      <c r="AD205" s="770"/>
      <c r="AE205" s="770"/>
      <c r="AF205" s="770"/>
      <c r="AG205" s="770"/>
      <c r="AH205" s="770"/>
    </row>
    <row r="206" spans="1:34" x14ac:dyDescent="0.25">
      <c r="A206" s="750" t="s">
        <v>1377</v>
      </c>
      <c r="B206" s="710"/>
      <c r="C206" s="712" t="s">
        <v>1038</v>
      </c>
      <c r="D206" s="711" t="s">
        <v>1114</v>
      </c>
      <c r="E206" s="767" t="s">
        <v>1378</v>
      </c>
      <c r="F206" s="712" t="s">
        <v>605</v>
      </c>
      <c r="G206" s="712"/>
      <c r="H206" s="712"/>
      <c r="I206" s="712"/>
      <c r="J206" s="712"/>
      <c r="K206" s="712"/>
      <c r="L206" s="712"/>
      <c r="M206" s="712"/>
      <c r="N206" s="712"/>
      <c r="O206" s="712"/>
      <c r="P206" s="712"/>
      <c r="Q206" s="712"/>
      <c r="R206" s="712"/>
      <c r="S206" s="712"/>
      <c r="T206" s="712"/>
      <c r="U206" s="712"/>
      <c r="V206" s="712"/>
      <c r="W206" s="712"/>
      <c r="X206" s="712"/>
      <c r="Y206" s="712"/>
      <c r="Z206" s="770"/>
      <c r="AA206" s="770"/>
      <c r="AB206" s="770"/>
      <c r="AC206" s="770"/>
      <c r="AD206" s="770"/>
      <c r="AE206" s="770"/>
      <c r="AF206" s="770"/>
      <c r="AG206" s="770"/>
      <c r="AH206" s="770"/>
    </row>
    <row r="207" spans="1:34" x14ac:dyDescent="0.25">
      <c r="A207" s="750" t="s">
        <v>829</v>
      </c>
      <c r="B207" s="710"/>
      <c r="C207" s="712" t="s">
        <v>1038</v>
      </c>
      <c r="D207" s="711" t="s">
        <v>1114</v>
      </c>
      <c r="E207" s="767" t="s">
        <v>986</v>
      </c>
      <c r="F207" s="712" t="s">
        <v>605</v>
      </c>
      <c r="G207" s="712"/>
      <c r="H207" s="712"/>
      <c r="I207" s="712"/>
      <c r="J207" s="712"/>
      <c r="K207" s="712"/>
      <c r="L207" s="712"/>
      <c r="M207" s="712"/>
      <c r="N207" s="712"/>
      <c r="O207" s="712"/>
      <c r="P207" s="712"/>
      <c r="Q207" s="712"/>
      <c r="R207" s="712"/>
      <c r="S207" s="712"/>
      <c r="T207" s="712"/>
      <c r="U207" s="712"/>
      <c r="V207" s="712"/>
      <c r="W207" s="712"/>
      <c r="X207" s="712"/>
      <c r="Y207" s="712"/>
      <c r="Z207" s="765"/>
      <c r="AA207" s="765"/>
      <c r="AB207" s="765"/>
      <c r="AC207" s="765"/>
      <c r="AD207" s="765"/>
      <c r="AE207" s="765"/>
      <c r="AF207" s="765"/>
      <c r="AG207" s="765"/>
      <c r="AH207" s="765"/>
    </row>
    <row r="208" spans="1:34" x14ac:dyDescent="0.25">
      <c r="A208" s="750" t="s">
        <v>1379</v>
      </c>
      <c r="B208" s="710"/>
      <c r="C208" s="712" t="s">
        <v>1038</v>
      </c>
      <c r="D208" s="711" t="s">
        <v>1114</v>
      </c>
      <c r="E208" s="767" t="s">
        <v>987</v>
      </c>
      <c r="F208" s="712" t="s">
        <v>605</v>
      </c>
      <c r="G208" s="712"/>
      <c r="H208" s="712"/>
      <c r="I208" s="712"/>
      <c r="J208" s="712"/>
      <c r="K208" s="712"/>
      <c r="L208" s="712"/>
      <c r="M208" s="712"/>
      <c r="N208" s="712"/>
      <c r="O208" s="712"/>
      <c r="P208" s="712"/>
      <c r="Q208" s="712"/>
      <c r="R208" s="712"/>
      <c r="S208" s="712"/>
      <c r="T208" s="712"/>
      <c r="U208" s="712"/>
      <c r="V208" s="712"/>
      <c r="W208" s="712"/>
      <c r="X208" s="712"/>
      <c r="Y208" s="712"/>
      <c r="Z208" s="770"/>
      <c r="AA208" s="770"/>
      <c r="AB208" s="770"/>
      <c r="AC208" s="770"/>
      <c r="AD208" s="770"/>
      <c r="AE208" s="770"/>
      <c r="AF208" s="770"/>
      <c r="AG208" s="770"/>
      <c r="AH208" s="770"/>
    </row>
    <row r="209" spans="1:34" x14ac:dyDescent="0.25">
      <c r="A209" s="750" t="s">
        <v>1380</v>
      </c>
      <c r="B209" s="710"/>
      <c r="C209" s="712" t="s">
        <v>1038</v>
      </c>
      <c r="D209" s="711" t="s">
        <v>1114</v>
      </c>
      <c r="E209" s="767" t="s">
        <v>988</v>
      </c>
      <c r="F209" s="712" t="s">
        <v>605</v>
      </c>
      <c r="G209" s="712"/>
      <c r="H209" s="712"/>
      <c r="I209" s="712"/>
      <c r="J209" s="712"/>
      <c r="K209" s="712"/>
      <c r="L209" s="712"/>
      <c r="M209" s="712"/>
      <c r="N209" s="712"/>
      <c r="O209" s="712"/>
      <c r="P209" s="712"/>
      <c r="Q209" s="712"/>
      <c r="R209" s="712"/>
      <c r="S209" s="712"/>
      <c r="T209" s="712"/>
      <c r="U209" s="712"/>
      <c r="V209" s="712"/>
      <c r="W209" s="712"/>
      <c r="X209" s="712"/>
      <c r="Y209" s="712"/>
      <c r="Z209" s="770"/>
      <c r="AA209" s="770"/>
      <c r="AB209" s="770"/>
      <c r="AC209" s="770"/>
      <c r="AD209" s="770"/>
      <c r="AE209" s="770"/>
      <c r="AF209" s="770"/>
      <c r="AG209" s="770"/>
      <c r="AH209" s="770"/>
    </row>
    <row r="210" spans="1:34" x14ac:dyDescent="0.25">
      <c r="A210" s="750" t="s">
        <v>1381</v>
      </c>
      <c r="B210" s="710"/>
      <c r="C210" s="712" t="s">
        <v>1038</v>
      </c>
      <c r="D210" s="711" t="s">
        <v>1114</v>
      </c>
      <c r="E210" s="767" t="s">
        <v>1382</v>
      </c>
      <c r="F210" s="712" t="s">
        <v>605</v>
      </c>
      <c r="G210" s="712"/>
      <c r="H210" s="712"/>
      <c r="I210" s="712"/>
      <c r="J210" s="712"/>
      <c r="K210" s="712"/>
      <c r="L210" s="712"/>
      <c r="M210" s="712"/>
      <c r="N210" s="712"/>
      <c r="O210" s="712"/>
      <c r="P210" s="712"/>
      <c r="Q210" s="712"/>
      <c r="R210" s="712"/>
      <c r="S210" s="712"/>
      <c r="T210" s="712"/>
      <c r="U210" s="712"/>
      <c r="V210" s="712"/>
      <c r="W210" s="712"/>
      <c r="X210" s="712"/>
      <c r="Y210" s="712"/>
      <c r="Z210" s="770"/>
      <c r="AA210" s="770"/>
      <c r="AB210" s="770"/>
      <c r="AC210" s="770"/>
      <c r="AD210" s="770"/>
      <c r="AE210" s="770"/>
      <c r="AF210" s="770"/>
      <c r="AG210" s="770"/>
      <c r="AH210" s="770"/>
    </row>
    <row r="211" spans="1:34" x14ac:dyDescent="0.25">
      <c r="A211" s="750" t="s">
        <v>1383</v>
      </c>
      <c r="B211" s="710"/>
      <c r="C211" s="712" t="s">
        <v>1038</v>
      </c>
      <c r="D211" s="711" t="s">
        <v>1114</v>
      </c>
      <c r="E211" s="767" t="s">
        <v>990</v>
      </c>
      <c r="F211" s="712" t="s">
        <v>605</v>
      </c>
      <c r="G211" s="712"/>
      <c r="H211" s="712"/>
      <c r="I211" s="712"/>
      <c r="J211" s="712"/>
      <c r="K211" s="712"/>
      <c r="L211" s="712"/>
      <c r="M211" s="712"/>
      <c r="N211" s="712"/>
      <c r="O211" s="712"/>
      <c r="P211" s="712"/>
      <c r="Q211" s="712"/>
      <c r="R211" s="712"/>
      <c r="S211" s="712"/>
      <c r="T211" s="712"/>
      <c r="U211" s="712"/>
      <c r="V211" s="712"/>
      <c r="W211" s="712"/>
      <c r="X211" s="712"/>
      <c r="Y211" s="712"/>
      <c r="Z211" s="770"/>
      <c r="AA211" s="770"/>
      <c r="AB211" s="770"/>
      <c r="AC211" s="770"/>
      <c r="AD211" s="770"/>
      <c r="AE211" s="770"/>
      <c r="AF211" s="770"/>
      <c r="AG211" s="770"/>
      <c r="AH211" s="770"/>
    </row>
    <row r="212" spans="1:34" x14ac:dyDescent="0.25">
      <c r="A212" s="750" t="s">
        <v>1384</v>
      </c>
      <c r="B212" s="710"/>
      <c r="C212" s="712" t="s">
        <v>1038</v>
      </c>
      <c r="D212" s="711" t="s">
        <v>1114</v>
      </c>
      <c r="E212" s="767" t="s">
        <v>993</v>
      </c>
      <c r="F212" s="712" t="s">
        <v>605</v>
      </c>
      <c r="G212" s="712"/>
      <c r="H212" s="712"/>
      <c r="I212" s="712"/>
      <c r="J212" s="712"/>
      <c r="K212" s="712"/>
      <c r="L212" s="712"/>
      <c r="M212" s="712"/>
      <c r="N212" s="770"/>
      <c r="O212" s="770"/>
      <c r="P212" s="770"/>
      <c r="Q212" s="770"/>
      <c r="R212" s="770"/>
      <c r="S212" s="770"/>
      <c r="T212" s="770"/>
      <c r="U212" s="770"/>
      <c r="V212" s="770"/>
      <c r="W212" s="770"/>
      <c r="X212" s="770"/>
      <c r="Y212" s="770"/>
      <c r="Z212" s="770"/>
      <c r="AA212" s="770"/>
      <c r="AB212" s="770"/>
      <c r="AC212" s="770"/>
      <c r="AD212" s="770"/>
      <c r="AE212" s="770"/>
      <c r="AF212" s="770"/>
      <c r="AG212" s="770"/>
      <c r="AH212" s="770"/>
    </row>
    <row r="213" spans="1:34" x14ac:dyDescent="0.25">
      <c r="A213" s="750" t="s">
        <v>1385</v>
      </c>
      <c r="B213" s="710"/>
      <c r="C213" s="712" t="s">
        <v>1038</v>
      </c>
      <c r="D213" s="711" t="s">
        <v>1114</v>
      </c>
      <c r="E213" s="767" t="s">
        <v>977</v>
      </c>
      <c r="F213" s="712" t="s">
        <v>605</v>
      </c>
      <c r="G213" s="712"/>
      <c r="H213" s="712"/>
      <c r="I213" s="712"/>
      <c r="J213" s="712"/>
      <c r="K213" s="770"/>
      <c r="L213" s="770"/>
      <c r="M213" s="770"/>
      <c r="N213" s="770"/>
      <c r="O213" s="770"/>
      <c r="P213" s="770"/>
      <c r="Q213" s="770"/>
      <c r="R213" s="770"/>
      <c r="S213" s="770"/>
      <c r="T213" s="770"/>
      <c r="U213" s="770"/>
      <c r="V213" s="770"/>
      <c r="W213" s="770"/>
      <c r="X213" s="770"/>
      <c r="Y213" s="770"/>
      <c r="Z213" s="770"/>
      <c r="AA213" s="770"/>
      <c r="AB213" s="770"/>
      <c r="AC213" s="770"/>
      <c r="AD213" s="770"/>
      <c r="AE213" s="770"/>
      <c r="AF213" s="770"/>
      <c r="AG213" s="770"/>
      <c r="AH213" s="770"/>
    </row>
    <row r="214" spans="1:34" x14ac:dyDescent="0.25">
      <c r="A214" s="750" t="s">
        <v>1386</v>
      </c>
      <c r="B214" s="710"/>
      <c r="C214" s="712" t="s">
        <v>1038</v>
      </c>
      <c r="D214" s="711" t="s">
        <v>1114</v>
      </c>
      <c r="E214" s="767" t="s">
        <v>978</v>
      </c>
      <c r="F214" s="712" t="s">
        <v>605</v>
      </c>
      <c r="G214" s="712"/>
      <c r="H214" s="712"/>
      <c r="I214" s="712"/>
      <c r="J214" s="712"/>
      <c r="K214" s="770"/>
      <c r="L214" s="770"/>
      <c r="M214" s="770"/>
      <c r="N214" s="770"/>
      <c r="O214" s="770"/>
      <c r="P214" s="770"/>
      <c r="Q214" s="770"/>
      <c r="R214" s="770"/>
      <c r="S214" s="770"/>
      <c r="T214" s="770"/>
      <c r="U214" s="770"/>
      <c r="V214" s="770"/>
      <c r="W214" s="770"/>
      <c r="X214" s="770"/>
      <c r="Y214" s="770"/>
      <c r="Z214" s="770"/>
      <c r="AA214" s="770"/>
      <c r="AB214" s="770"/>
      <c r="AC214" s="770"/>
      <c r="AD214" s="770"/>
      <c r="AE214" s="770"/>
      <c r="AF214" s="770"/>
      <c r="AG214" s="770"/>
      <c r="AH214" s="770"/>
    </row>
    <row r="215" spans="1:34" x14ac:dyDescent="0.25">
      <c r="A215" s="750" t="s">
        <v>1387</v>
      </c>
      <c r="B215" s="710"/>
      <c r="C215" s="712" t="s">
        <v>1038</v>
      </c>
      <c r="D215" s="711" t="s">
        <v>1114</v>
      </c>
      <c r="E215" s="767" t="s">
        <v>979</v>
      </c>
      <c r="F215" s="712" t="s">
        <v>605</v>
      </c>
      <c r="G215" s="712"/>
      <c r="H215" s="712"/>
      <c r="I215" s="712"/>
      <c r="J215" s="712"/>
      <c r="K215" s="770"/>
      <c r="L215" s="770"/>
      <c r="M215" s="770"/>
      <c r="N215" s="770"/>
      <c r="O215" s="770"/>
      <c r="P215" s="770"/>
      <c r="Q215" s="770"/>
      <c r="R215" s="770"/>
      <c r="S215" s="770"/>
      <c r="T215" s="770"/>
      <c r="U215" s="770"/>
      <c r="V215" s="770"/>
      <c r="W215" s="770"/>
      <c r="X215" s="770"/>
      <c r="Y215" s="770"/>
      <c r="Z215" s="770"/>
      <c r="AA215" s="770"/>
      <c r="AB215" s="770"/>
      <c r="AC215" s="770"/>
      <c r="AD215" s="770"/>
      <c r="AE215" s="770"/>
      <c r="AF215" s="770"/>
      <c r="AG215" s="770"/>
      <c r="AH215" s="770"/>
    </row>
    <row r="216" spans="1:34" x14ac:dyDescent="0.25">
      <c r="A216" s="774" t="s">
        <v>1388</v>
      </c>
      <c r="B216" s="710"/>
      <c r="C216" s="712" t="s">
        <v>1038</v>
      </c>
      <c r="D216" s="711" t="s">
        <v>1114</v>
      </c>
      <c r="E216" s="767" t="s">
        <v>1389</v>
      </c>
      <c r="F216" s="712" t="s">
        <v>605</v>
      </c>
      <c r="G216" s="712"/>
      <c r="H216" s="712"/>
      <c r="I216" s="712"/>
      <c r="J216" s="712"/>
      <c r="K216" s="712"/>
      <c r="L216" s="712"/>
      <c r="M216" s="773"/>
      <c r="N216" s="773"/>
      <c r="O216" s="773"/>
      <c r="P216" s="773"/>
      <c r="Q216" s="773"/>
      <c r="R216" s="773"/>
      <c r="S216" s="773"/>
      <c r="T216" s="773"/>
      <c r="U216" s="773"/>
      <c r="V216" s="773"/>
      <c r="W216" s="773"/>
      <c r="X216" s="773"/>
      <c r="Y216" s="773"/>
      <c r="Z216" s="773"/>
      <c r="AA216" s="773"/>
      <c r="AB216" s="773"/>
      <c r="AC216" s="773"/>
      <c r="AD216" s="773"/>
      <c r="AE216" s="773"/>
      <c r="AF216" s="773"/>
      <c r="AG216" s="773"/>
      <c r="AH216" s="773"/>
    </row>
    <row r="217" spans="1:34" x14ac:dyDescent="0.25">
      <c r="A217" s="774" t="s">
        <v>1390</v>
      </c>
      <c r="B217" s="710"/>
      <c r="C217" s="712" t="s">
        <v>1038</v>
      </c>
      <c r="D217" s="711" t="s">
        <v>1114</v>
      </c>
      <c r="E217" s="767" t="s">
        <v>1391</v>
      </c>
      <c r="F217" s="712" t="s">
        <v>605</v>
      </c>
      <c r="G217" s="712"/>
      <c r="H217" s="712"/>
      <c r="I217" s="712"/>
      <c r="J217" s="712"/>
      <c r="K217" s="712"/>
      <c r="L217" s="712"/>
      <c r="M217" s="773"/>
      <c r="N217" s="773"/>
      <c r="O217" s="773"/>
      <c r="P217" s="773"/>
      <c r="Q217" s="773"/>
      <c r="R217" s="773"/>
      <c r="S217" s="773"/>
      <c r="T217" s="773"/>
      <c r="U217" s="773"/>
      <c r="V217" s="773"/>
      <c r="W217" s="773"/>
      <c r="X217" s="773"/>
      <c r="Y217" s="773"/>
      <c r="Z217" s="773"/>
      <c r="AA217" s="773"/>
      <c r="AB217" s="773"/>
      <c r="AC217" s="773"/>
      <c r="AD217" s="773"/>
      <c r="AE217" s="773"/>
      <c r="AF217" s="773"/>
      <c r="AG217" s="773"/>
      <c r="AH217" s="773"/>
    </row>
    <row r="218" spans="1:34" x14ac:dyDescent="0.25">
      <c r="A218" s="774" t="s">
        <v>1392</v>
      </c>
      <c r="B218" s="710"/>
      <c r="C218" s="712" t="s">
        <v>1038</v>
      </c>
      <c r="D218" s="711" t="s">
        <v>1114</v>
      </c>
      <c r="E218" s="767" t="s">
        <v>1393</v>
      </c>
      <c r="F218" s="712" t="s">
        <v>605</v>
      </c>
      <c r="G218" s="712"/>
      <c r="H218" s="712"/>
      <c r="I218" s="712"/>
      <c r="J218" s="712"/>
      <c r="K218" s="712"/>
      <c r="L218" s="712"/>
      <c r="M218" s="773"/>
      <c r="N218" s="773"/>
      <c r="O218" s="773"/>
      <c r="P218" s="773"/>
      <c r="Q218" s="773"/>
      <c r="R218" s="773"/>
      <c r="S218" s="773"/>
      <c r="T218" s="773"/>
      <c r="U218" s="773"/>
      <c r="V218" s="773"/>
      <c r="W218" s="773"/>
      <c r="X218" s="773"/>
      <c r="Y218" s="773"/>
      <c r="Z218" s="773"/>
      <c r="AA218" s="773"/>
      <c r="AB218" s="773"/>
      <c r="AC218" s="773"/>
      <c r="AD218" s="773"/>
      <c r="AE218" s="773"/>
      <c r="AF218" s="773"/>
      <c r="AG218" s="773"/>
      <c r="AH218" s="773"/>
    </row>
    <row r="219" spans="1:34" x14ac:dyDescent="0.25">
      <c r="A219" s="775" t="s">
        <v>1394</v>
      </c>
      <c r="B219" s="710"/>
      <c r="C219" s="712" t="s">
        <v>1038</v>
      </c>
      <c r="D219" s="711" t="s">
        <v>1114</v>
      </c>
      <c r="E219" s="767" t="s">
        <v>1395</v>
      </c>
      <c r="F219" s="712" t="s">
        <v>605</v>
      </c>
      <c r="G219" s="712"/>
      <c r="H219" s="712"/>
      <c r="I219" s="712"/>
      <c r="J219" s="712"/>
      <c r="K219" s="1067"/>
      <c r="L219" s="1067"/>
      <c r="M219" s="773"/>
      <c r="N219" s="773"/>
      <c r="O219" s="773"/>
      <c r="P219" s="773"/>
      <c r="Q219" s="773"/>
      <c r="R219" s="773"/>
      <c r="S219" s="773"/>
      <c r="T219" s="773"/>
      <c r="U219" s="773"/>
      <c r="V219" s="773"/>
      <c r="W219" s="773"/>
      <c r="X219" s="773"/>
      <c r="Y219" s="773"/>
      <c r="Z219" s="773"/>
      <c r="AA219" s="773"/>
      <c r="AB219" s="773"/>
      <c r="AC219" s="773"/>
      <c r="AD219" s="773"/>
      <c r="AE219" s="773"/>
      <c r="AF219" s="773"/>
      <c r="AG219" s="773"/>
      <c r="AH219" s="773"/>
    </row>
    <row r="220" spans="1:34" x14ac:dyDescent="0.25">
      <c r="A220" s="775" t="s">
        <v>1396</v>
      </c>
      <c r="B220" s="710"/>
      <c r="C220" s="712" t="s">
        <v>1038</v>
      </c>
      <c r="D220" s="711" t="s">
        <v>1114</v>
      </c>
      <c r="E220" s="767" t="s">
        <v>1397</v>
      </c>
      <c r="F220" s="712" t="s">
        <v>605</v>
      </c>
      <c r="G220" s="712"/>
      <c r="H220" s="712"/>
      <c r="I220" s="712"/>
      <c r="J220" s="712"/>
      <c r="K220" s="1067"/>
      <c r="L220" s="1067"/>
      <c r="M220" s="773"/>
      <c r="N220" s="773"/>
      <c r="O220" s="773"/>
      <c r="P220" s="773"/>
      <c r="Q220" s="773"/>
      <c r="R220" s="773"/>
      <c r="S220" s="773"/>
      <c r="T220" s="773"/>
      <c r="U220" s="773"/>
      <c r="V220" s="773"/>
      <c r="W220" s="773"/>
      <c r="X220" s="773"/>
      <c r="Y220" s="773"/>
      <c r="Z220" s="773"/>
      <c r="AA220" s="773"/>
      <c r="AB220" s="773"/>
      <c r="AC220" s="773"/>
      <c r="AD220" s="773"/>
      <c r="AE220" s="773"/>
      <c r="AF220" s="773"/>
      <c r="AG220" s="773"/>
      <c r="AH220" s="773"/>
    </row>
    <row r="221" spans="1:34" x14ac:dyDescent="0.25">
      <c r="A221" s="775" t="s">
        <v>1398</v>
      </c>
      <c r="B221" s="710"/>
      <c r="C221" s="712" t="s">
        <v>1038</v>
      </c>
      <c r="D221" s="711" t="s">
        <v>1114</v>
      </c>
      <c r="E221" s="767" t="s">
        <v>1399</v>
      </c>
      <c r="F221" s="712" t="s">
        <v>605</v>
      </c>
      <c r="G221" s="712"/>
      <c r="H221" s="712"/>
      <c r="I221" s="712"/>
      <c r="J221" s="712"/>
      <c r="K221" s="770"/>
      <c r="L221" s="770"/>
      <c r="M221" s="770"/>
      <c r="N221" s="770"/>
      <c r="O221" s="770"/>
      <c r="P221" s="770"/>
      <c r="Q221" s="770"/>
      <c r="R221" s="770"/>
      <c r="S221" s="770"/>
      <c r="T221" s="770"/>
      <c r="U221" s="770"/>
      <c r="V221" s="770"/>
      <c r="W221" s="770"/>
      <c r="X221" s="770"/>
      <c r="Y221" s="770"/>
      <c r="Z221" s="770"/>
      <c r="AA221" s="770"/>
      <c r="AB221" s="770"/>
      <c r="AC221" s="770"/>
      <c r="AD221" s="770"/>
      <c r="AE221" s="770"/>
      <c r="AF221" s="770"/>
      <c r="AG221" s="770"/>
      <c r="AH221" s="770"/>
    </row>
    <row r="222" spans="1:34" x14ac:dyDescent="0.25">
      <c r="A222" s="775" t="s">
        <v>1400</v>
      </c>
      <c r="B222" s="710"/>
      <c r="C222" s="712" t="s">
        <v>1038</v>
      </c>
      <c r="D222" s="711" t="s">
        <v>1114</v>
      </c>
      <c r="E222" s="767" t="s">
        <v>969</v>
      </c>
      <c r="F222" s="712" t="s">
        <v>605</v>
      </c>
      <c r="G222" s="712"/>
      <c r="H222" s="712"/>
      <c r="I222" s="712"/>
      <c r="J222" s="712"/>
      <c r="K222" s="770"/>
      <c r="L222" s="770"/>
      <c r="M222" s="770"/>
      <c r="N222" s="770"/>
      <c r="O222" s="770"/>
      <c r="P222" s="770"/>
      <c r="Q222" s="770"/>
      <c r="R222" s="770"/>
      <c r="S222" s="770"/>
      <c r="T222" s="770"/>
      <c r="U222" s="770"/>
      <c r="V222" s="770"/>
      <c r="W222" s="770"/>
      <c r="X222" s="770"/>
      <c r="Y222" s="770"/>
      <c r="Z222" s="770"/>
      <c r="AA222" s="770"/>
      <c r="AB222" s="770"/>
      <c r="AC222" s="770"/>
      <c r="AD222" s="770"/>
      <c r="AE222" s="770"/>
      <c r="AF222" s="770"/>
      <c r="AG222" s="770"/>
      <c r="AH222" s="770"/>
    </row>
    <row r="223" spans="1:34" x14ac:dyDescent="0.25">
      <c r="A223" s="775" t="s">
        <v>1401</v>
      </c>
      <c r="B223" s="710"/>
      <c r="C223" s="712" t="s">
        <v>1038</v>
      </c>
      <c r="D223" s="711" t="s">
        <v>1114</v>
      </c>
      <c r="E223" s="767" t="s">
        <v>974</v>
      </c>
      <c r="F223" s="712" t="s">
        <v>605</v>
      </c>
      <c r="G223" s="712"/>
      <c r="H223" s="712"/>
      <c r="I223" s="712"/>
      <c r="J223" s="712"/>
      <c r="K223" s="770"/>
      <c r="L223" s="770"/>
      <c r="M223" s="770"/>
      <c r="N223" s="770"/>
      <c r="O223" s="770"/>
      <c r="P223" s="770"/>
      <c r="Q223" s="770"/>
      <c r="R223" s="770"/>
      <c r="S223" s="770"/>
      <c r="T223" s="770"/>
      <c r="U223" s="770"/>
      <c r="V223" s="770"/>
      <c r="W223" s="770"/>
      <c r="X223" s="770"/>
      <c r="Y223" s="770"/>
      <c r="Z223" s="770"/>
      <c r="AA223" s="770"/>
      <c r="AB223" s="770"/>
      <c r="AC223" s="770"/>
      <c r="AD223" s="770"/>
      <c r="AE223" s="770"/>
      <c r="AF223" s="770"/>
      <c r="AG223" s="770"/>
      <c r="AH223" s="770"/>
    </row>
    <row r="224" spans="1:34" x14ac:dyDescent="0.25">
      <c r="A224" s="775" t="s">
        <v>1402</v>
      </c>
      <c r="B224" s="710"/>
      <c r="C224" s="712" t="s">
        <v>1038</v>
      </c>
      <c r="D224" s="711" t="s">
        <v>1114</v>
      </c>
      <c r="E224" s="767" t="s">
        <v>975</v>
      </c>
      <c r="F224" s="712" t="s">
        <v>605</v>
      </c>
      <c r="G224" s="712"/>
      <c r="H224" s="712"/>
      <c r="I224" s="712"/>
      <c r="J224" s="712"/>
      <c r="K224" s="770"/>
      <c r="L224" s="770"/>
      <c r="M224" s="770"/>
      <c r="N224" s="770"/>
      <c r="O224" s="770"/>
      <c r="P224" s="770"/>
      <c r="Q224" s="770"/>
      <c r="R224" s="770"/>
      <c r="S224" s="770"/>
      <c r="T224" s="770"/>
      <c r="U224" s="770"/>
      <c r="V224" s="770"/>
      <c r="W224" s="770"/>
      <c r="X224" s="770"/>
      <c r="Y224" s="770"/>
      <c r="Z224" s="770"/>
      <c r="AA224" s="770"/>
      <c r="AB224" s="770"/>
      <c r="AC224" s="770"/>
      <c r="AD224" s="770"/>
      <c r="AE224" s="770"/>
      <c r="AF224" s="770"/>
      <c r="AG224" s="770"/>
      <c r="AH224" s="770"/>
    </row>
    <row r="226" spans="1:54" x14ac:dyDescent="0.25">
      <c r="E226" s="756" t="s">
        <v>1403</v>
      </c>
    </row>
    <row r="227" spans="1:54" x14ac:dyDescent="0.25">
      <c r="A227" s="750" t="s">
        <v>1404</v>
      </c>
      <c r="B227" s="737" t="str">
        <f t="shared" ref="B227:B276" si="30">IF(IF(D227="+",MIN(H227:IU227)&gt;=0,IF(D227="-",MAX(H227:IU227)&lt;=0,TRUE)),"",1)</f>
        <v/>
      </c>
      <c r="C227" s="705" t="s">
        <v>1036</v>
      </c>
      <c r="D227" s="738" t="s">
        <v>1159</v>
      </c>
      <c r="E227" s="777" t="s">
        <v>1405</v>
      </c>
      <c r="F227" s="778" t="s">
        <v>605</v>
      </c>
      <c r="G227" s="778" t="str">
        <f>E227</f>
        <v>Assumption 1</v>
      </c>
      <c r="P227" s="1066"/>
      <c r="Q227" s="1066"/>
      <c r="R227" s="1066"/>
      <c r="S227" s="1066"/>
      <c r="T227" s="1065"/>
      <c r="U227" s="1065"/>
      <c r="V227" s="1065"/>
      <c r="W227" s="1065"/>
      <c r="X227" s="1065"/>
      <c r="Y227" s="1065"/>
      <c r="Z227" s="1065"/>
      <c r="AA227" s="1065"/>
      <c r="AB227" s="1065"/>
      <c r="AC227" s="1065"/>
      <c r="AD227" s="1065"/>
      <c r="AE227" s="1065"/>
      <c r="AF227" s="1065"/>
      <c r="AG227" s="1065"/>
      <c r="AH227" s="1065"/>
      <c r="AI227" s="1065"/>
      <c r="AJ227" s="1065"/>
      <c r="AK227" s="1065"/>
      <c r="AL227" s="1065"/>
      <c r="AM227" s="1065"/>
      <c r="AN227" s="1065"/>
      <c r="AO227" s="1065"/>
      <c r="AP227" s="1065"/>
      <c r="AQ227" s="1065"/>
      <c r="AR227" s="1065"/>
      <c r="AS227" s="1065"/>
      <c r="AT227" s="1065"/>
      <c r="AU227" s="1065">
        <v>3508</v>
      </c>
      <c r="AV227" s="1065">
        <v>3508</v>
      </c>
      <c r="AW227" s="1065">
        <v>3858</v>
      </c>
      <c r="AX227" s="1065">
        <v>3858</v>
      </c>
      <c r="AY227" s="1065">
        <v>5658</v>
      </c>
      <c r="AZ227" s="1065">
        <v>5658</v>
      </c>
      <c r="BA227" s="1065">
        <v>5658</v>
      </c>
      <c r="BB227" s="1065">
        <v>5658</v>
      </c>
    </row>
    <row r="228" spans="1:54" x14ac:dyDescent="0.25">
      <c r="A228" s="750" t="s">
        <v>1406</v>
      </c>
      <c r="B228" s="737" t="str">
        <f t="shared" si="30"/>
        <v/>
      </c>
      <c r="C228" s="705" t="s">
        <v>1036</v>
      </c>
      <c r="D228" s="738" t="s">
        <v>1159</v>
      </c>
      <c r="E228" s="777" t="s">
        <v>1407</v>
      </c>
      <c r="F228" s="778" t="s">
        <v>605</v>
      </c>
      <c r="G228" s="778" t="str">
        <f t="shared" ref="G228:G276" si="31">E228</f>
        <v>Assumption 2</v>
      </c>
      <c r="Q228" s="781"/>
    </row>
    <row r="229" spans="1:54" x14ac:dyDescent="0.25">
      <c r="A229" s="750" t="s">
        <v>1408</v>
      </c>
      <c r="B229" s="737" t="str">
        <f t="shared" si="30"/>
        <v/>
      </c>
      <c r="C229" s="705" t="s">
        <v>1036</v>
      </c>
      <c r="D229" s="738" t="s">
        <v>1159</v>
      </c>
      <c r="E229" s="777" t="s">
        <v>1409</v>
      </c>
      <c r="F229" s="778" t="s">
        <v>605</v>
      </c>
      <c r="G229" s="778" t="str">
        <f t="shared" si="31"/>
        <v>Assumption 3</v>
      </c>
      <c r="Q229" s="781"/>
      <c r="R229" s="781"/>
      <c r="S229" s="781"/>
    </row>
    <row r="230" spans="1:54" x14ac:dyDescent="0.25">
      <c r="A230" s="703" t="s">
        <v>1410</v>
      </c>
      <c r="B230" s="737" t="str">
        <f t="shared" si="30"/>
        <v/>
      </c>
      <c r="C230" s="705" t="s">
        <v>1036</v>
      </c>
      <c r="D230" s="738" t="s">
        <v>1159</v>
      </c>
      <c r="E230" s="739" t="s">
        <v>1411</v>
      </c>
      <c r="F230" s="705" t="s">
        <v>605</v>
      </c>
      <c r="G230" s="705" t="str">
        <f t="shared" si="31"/>
        <v>Assumption 4</v>
      </c>
      <c r="P230" s="1066"/>
      <c r="Q230" s="1066"/>
      <c r="R230" s="1066"/>
      <c r="S230" s="1066"/>
      <c r="T230" s="1065"/>
      <c r="U230" s="1065"/>
      <c r="V230" s="1065"/>
      <c r="W230" s="1065"/>
      <c r="X230" s="1065"/>
      <c r="Y230" s="1065"/>
      <c r="Z230" s="1065"/>
      <c r="AA230" s="1065"/>
      <c r="AB230" s="1065"/>
      <c r="AC230" s="1065"/>
      <c r="AD230" s="1065"/>
      <c r="AE230" s="1065"/>
      <c r="AF230" s="1065"/>
      <c r="AG230" s="1065"/>
      <c r="AH230" s="1065"/>
      <c r="AI230" s="1065"/>
      <c r="AJ230" s="1065"/>
      <c r="AK230" s="1065"/>
      <c r="AL230" s="1065"/>
      <c r="AM230" s="1065"/>
      <c r="AN230" s="1065"/>
      <c r="AO230" s="1065"/>
      <c r="AP230" s="1065"/>
      <c r="AQ230" s="1065"/>
      <c r="AR230" s="1065"/>
      <c r="AS230" s="1065"/>
      <c r="AT230" s="1065"/>
      <c r="AU230" s="1065">
        <v>1391</v>
      </c>
      <c r="AV230" s="1065">
        <v>1391</v>
      </c>
      <c r="AW230" s="1065">
        <v>1391</v>
      </c>
      <c r="AX230" s="1065">
        <v>1391</v>
      </c>
      <c r="AY230" s="1065">
        <v>1391</v>
      </c>
      <c r="AZ230" s="1065">
        <v>1391</v>
      </c>
      <c r="BA230" s="1065">
        <v>1631</v>
      </c>
      <c r="BB230" s="1065">
        <v>1631</v>
      </c>
    </row>
    <row r="231" spans="1:54" x14ac:dyDescent="0.25">
      <c r="A231" s="703" t="s">
        <v>1412</v>
      </c>
      <c r="B231" s="737" t="str">
        <f t="shared" si="30"/>
        <v/>
      </c>
      <c r="C231" s="705" t="s">
        <v>1036</v>
      </c>
      <c r="D231" s="738" t="s">
        <v>1159</v>
      </c>
      <c r="E231" s="739" t="s">
        <v>1413</v>
      </c>
      <c r="F231" s="705" t="s">
        <v>605</v>
      </c>
      <c r="G231" s="705" t="str">
        <f t="shared" si="31"/>
        <v>Assumption 5</v>
      </c>
      <c r="P231" s="1066"/>
      <c r="Q231" s="1066"/>
      <c r="R231" s="1066"/>
      <c r="S231" s="1066"/>
      <c r="T231" s="1066"/>
      <c r="U231" s="1066"/>
      <c r="V231" s="1066"/>
      <c r="W231" s="1066"/>
      <c r="X231" s="1066"/>
      <c r="Y231" s="1066"/>
      <c r="Z231" s="1066"/>
      <c r="AA231" s="1066"/>
      <c r="AB231" s="1066"/>
      <c r="AC231" s="1066"/>
      <c r="AD231" s="1066"/>
      <c r="AE231" s="1066"/>
      <c r="AF231" s="1066"/>
      <c r="AG231" s="1066"/>
      <c r="AH231" s="1066"/>
      <c r="AI231" s="1066"/>
      <c r="AJ231" s="1066"/>
      <c r="AK231" s="1066"/>
      <c r="AL231" s="1066"/>
      <c r="AM231" s="1066"/>
      <c r="AN231" s="1066"/>
      <c r="AO231" s="1066"/>
      <c r="AP231" s="1066"/>
      <c r="AQ231" s="1066"/>
      <c r="AR231" s="1066"/>
      <c r="AS231" s="1066"/>
      <c r="AT231" s="1066"/>
      <c r="AU231" s="1066">
        <f t="shared" ref="AU231:BB231" si="32">+SUM(AU232:AU234)</f>
        <v>2391</v>
      </c>
      <c r="AV231" s="1066">
        <f t="shared" si="32"/>
        <v>2391</v>
      </c>
      <c r="AW231" s="1066">
        <f t="shared" si="32"/>
        <v>2840</v>
      </c>
      <c r="AX231" s="1066">
        <f t="shared" si="32"/>
        <v>3218</v>
      </c>
      <c r="AY231" s="1066">
        <f t="shared" si="32"/>
        <v>3822</v>
      </c>
      <c r="AZ231" s="1066">
        <f t="shared" si="32"/>
        <v>5719</v>
      </c>
      <c r="BA231" s="1066">
        <f t="shared" si="32"/>
        <v>5922</v>
      </c>
      <c r="BB231" s="1066">
        <f t="shared" si="32"/>
        <v>6047</v>
      </c>
    </row>
    <row r="232" spans="1:54" x14ac:dyDescent="0.25">
      <c r="A232" s="703" t="s">
        <v>1414</v>
      </c>
      <c r="B232" s="737" t="str">
        <f t="shared" si="30"/>
        <v/>
      </c>
      <c r="C232" s="705" t="s">
        <v>1036</v>
      </c>
      <c r="D232" s="738" t="s">
        <v>1159</v>
      </c>
      <c r="E232" s="739" t="s">
        <v>1415</v>
      </c>
      <c r="F232" s="705" t="s">
        <v>605</v>
      </c>
      <c r="G232" s="705" t="str">
        <f t="shared" si="31"/>
        <v>Assumption 6</v>
      </c>
      <c r="P232" s="1065"/>
      <c r="Q232" s="1065"/>
      <c r="R232" s="1065"/>
      <c r="S232" s="1065"/>
      <c r="T232" s="1065"/>
      <c r="U232" s="1065"/>
      <c r="V232" s="1065"/>
      <c r="W232" s="1065"/>
      <c r="X232" s="1065"/>
      <c r="Y232" s="1065"/>
      <c r="Z232" s="1065"/>
      <c r="AA232" s="1065"/>
      <c r="AB232" s="1065"/>
      <c r="AC232" s="1065"/>
      <c r="AD232" s="1065"/>
      <c r="AE232" s="1065"/>
      <c r="AF232" s="1065"/>
      <c r="AG232" s="1065"/>
      <c r="AH232" s="1065"/>
      <c r="AI232" s="1065"/>
      <c r="AJ232" s="1065"/>
      <c r="AK232" s="1065"/>
      <c r="AL232" s="1065"/>
      <c r="AM232" s="1065"/>
      <c r="AN232" s="1065"/>
      <c r="AO232" s="1065"/>
      <c r="AP232" s="1065"/>
      <c r="AQ232" s="1065"/>
      <c r="AR232" s="1065"/>
      <c r="AS232" s="1065"/>
      <c r="AT232" s="1065"/>
      <c r="AU232" s="1065">
        <v>675</v>
      </c>
      <c r="AV232" s="1065">
        <v>675</v>
      </c>
      <c r="AW232" s="1065">
        <v>675</v>
      </c>
      <c r="AX232" s="1065">
        <v>675</v>
      </c>
      <c r="AY232" s="1065">
        <v>675</v>
      </c>
      <c r="AZ232" s="1065">
        <v>2157</v>
      </c>
      <c r="BA232" s="1065">
        <v>2213</v>
      </c>
      <c r="BB232" s="1065">
        <v>2127</v>
      </c>
    </row>
    <row r="233" spans="1:54" x14ac:dyDescent="0.25">
      <c r="A233" s="703" t="s">
        <v>1416</v>
      </c>
      <c r="B233" s="737" t="str">
        <f t="shared" si="30"/>
        <v/>
      </c>
      <c r="C233" s="705" t="s">
        <v>1036</v>
      </c>
      <c r="D233" s="738" t="s">
        <v>1159</v>
      </c>
      <c r="E233" s="739" t="s">
        <v>1417</v>
      </c>
      <c r="F233" s="705" t="s">
        <v>605</v>
      </c>
      <c r="G233" s="705" t="str">
        <f t="shared" si="31"/>
        <v>Assumption 7</v>
      </c>
      <c r="P233" s="1065"/>
      <c r="Q233" s="1065"/>
      <c r="R233" s="1065"/>
      <c r="S233" s="1065"/>
      <c r="T233" s="1065"/>
      <c r="U233" s="1065"/>
      <c r="V233" s="1065"/>
      <c r="W233" s="1065"/>
      <c r="X233" s="1065"/>
      <c r="Y233" s="1065"/>
      <c r="Z233" s="1065"/>
      <c r="AA233" s="1065"/>
      <c r="AB233" s="1065"/>
      <c r="AC233" s="1065"/>
      <c r="AD233" s="1065"/>
      <c r="AE233" s="1065"/>
      <c r="AF233" s="1065"/>
      <c r="AG233" s="1065"/>
      <c r="AH233" s="1065"/>
      <c r="AI233" s="1065"/>
      <c r="AJ233" s="1065"/>
      <c r="AK233" s="1065"/>
      <c r="AL233" s="1065"/>
      <c r="AM233" s="1065"/>
      <c r="AN233" s="1065"/>
      <c r="AO233" s="1065"/>
      <c r="AP233" s="1065"/>
      <c r="AQ233" s="1065"/>
      <c r="AR233" s="1065"/>
      <c r="AS233" s="1065"/>
      <c r="AT233" s="1065"/>
      <c r="AU233" s="1065">
        <v>1716</v>
      </c>
      <c r="AV233" s="1065">
        <v>1716</v>
      </c>
      <c r="AW233" s="1065">
        <v>2165</v>
      </c>
      <c r="AX233" s="1065">
        <v>2543</v>
      </c>
      <c r="AY233" s="1065">
        <v>3147</v>
      </c>
      <c r="AZ233" s="1065">
        <v>3562</v>
      </c>
      <c r="BA233" s="1065">
        <v>3709</v>
      </c>
      <c r="BB233" s="1065">
        <v>3648</v>
      </c>
    </row>
    <row r="234" spans="1:54" x14ac:dyDescent="0.25">
      <c r="A234" s="703" t="s">
        <v>1418</v>
      </c>
      <c r="B234" s="737" t="str">
        <f t="shared" si="30"/>
        <v/>
      </c>
      <c r="C234" s="705" t="s">
        <v>1036</v>
      </c>
      <c r="D234" s="738" t="s">
        <v>1159</v>
      </c>
      <c r="E234" s="739" t="s">
        <v>1419</v>
      </c>
      <c r="F234" s="705" t="s">
        <v>605</v>
      </c>
      <c r="G234" s="705" t="str">
        <f t="shared" si="31"/>
        <v>Assumption 8</v>
      </c>
      <c r="P234" s="1065"/>
      <c r="Q234" s="1065"/>
      <c r="R234" s="1065"/>
      <c r="S234" s="1065"/>
      <c r="T234" s="1065"/>
      <c r="U234" s="1065"/>
      <c r="V234" s="1065"/>
      <c r="W234" s="1065"/>
      <c r="X234" s="1065"/>
      <c r="Y234" s="1065"/>
      <c r="Z234" s="1065"/>
      <c r="AA234" s="1065"/>
      <c r="AB234" s="1065"/>
      <c r="AC234" s="1065"/>
      <c r="AD234" s="1065"/>
      <c r="AE234" s="1065"/>
      <c r="AF234" s="1065"/>
      <c r="AG234" s="1065"/>
      <c r="AH234" s="1065"/>
      <c r="AI234" s="1065"/>
      <c r="AJ234" s="1065"/>
      <c r="AK234" s="1065"/>
      <c r="AL234" s="1065"/>
      <c r="AM234" s="1065"/>
      <c r="AN234" s="1065"/>
      <c r="AO234" s="1065"/>
      <c r="AP234" s="1065"/>
      <c r="AQ234" s="1065"/>
      <c r="AR234" s="1065"/>
      <c r="AS234" s="1065"/>
      <c r="AT234" s="1065"/>
      <c r="AU234" s="1065">
        <v>0</v>
      </c>
      <c r="AV234" s="1065">
        <v>0</v>
      </c>
      <c r="AW234" s="1065">
        <v>0</v>
      </c>
      <c r="AX234" s="1065">
        <v>0</v>
      </c>
      <c r="AY234" s="1065">
        <v>0</v>
      </c>
      <c r="AZ234" s="1065">
        <v>0</v>
      </c>
      <c r="BA234" s="1065">
        <v>0</v>
      </c>
      <c r="BB234" s="1065">
        <v>272</v>
      </c>
    </row>
    <row r="235" spans="1:54" x14ac:dyDescent="0.25">
      <c r="A235" s="703" t="s">
        <v>1420</v>
      </c>
      <c r="B235" s="737" t="str">
        <f t="shared" si="30"/>
        <v/>
      </c>
      <c r="C235" s="705" t="s">
        <v>1036</v>
      </c>
      <c r="D235" s="738" t="s">
        <v>1159</v>
      </c>
      <c r="E235" s="739" t="s">
        <v>1421</v>
      </c>
      <c r="F235" s="705" t="s">
        <v>605</v>
      </c>
      <c r="G235" s="705" t="str">
        <f t="shared" si="31"/>
        <v>Assumption 9</v>
      </c>
      <c r="P235" s="1066"/>
      <c r="Q235" s="1066"/>
      <c r="R235" s="1066"/>
      <c r="S235" s="1066"/>
    </row>
    <row r="236" spans="1:54" x14ac:dyDescent="0.25">
      <c r="A236" s="703" t="s">
        <v>1422</v>
      </c>
      <c r="B236" s="737" t="str">
        <f t="shared" si="30"/>
        <v/>
      </c>
      <c r="C236" s="705" t="s">
        <v>1036</v>
      </c>
      <c r="D236" s="738" t="s">
        <v>1159</v>
      </c>
      <c r="E236" s="739" t="s">
        <v>1423</v>
      </c>
      <c r="F236" s="705" t="s">
        <v>605</v>
      </c>
      <c r="G236" s="705" t="str">
        <f t="shared" si="31"/>
        <v>Assumption 10</v>
      </c>
      <c r="P236" s="1065"/>
      <c r="Q236" s="1065"/>
      <c r="R236" s="1065"/>
      <c r="S236" s="1065"/>
    </row>
    <row r="237" spans="1:54" x14ac:dyDescent="0.25">
      <c r="A237" s="703" t="s">
        <v>1424</v>
      </c>
      <c r="B237" s="737" t="str">
        <f t="shared" si="30"/>
        <v/>
      </c>
      <c r="C237" s="705" t="s">
        <v>1036</v>
      </c>
      <c r="D237" s="738" t="s">
        <v>1159</v>
      </c>
      <c r="E237" s="739" t="s">
        <v>1425</v>
      </c>
      <c r="F237" s="705" t="s">
        <v>605</v>
      </c>
      <c r="G237" s="705" t="str">
        <f t="shared" si="31"/>
        <v>Assumption 11</v>
      </c>
      <c r="P237" s="1065"/>
      <c r="Q237" s="1065"/>
      <c r="R237" s="1065"/>
      <c r="S237" s="1065"/>
    </row>
    <row r="238" spans="1:54" x14ac:dyDescent="0.25">
      <c r="A238" s="703" t="s">
        <v>1426</v>
      </c>
      <c r="B238" s="737" t="str">
        <f t="shared" si="30"/>
        <v/>
      </c>
      <c r="C238" s="705" t="s">
        <v>1036</v>
      </c>
      <c r="D238" s="738" t="s">
        <v>1159</v>
      </c>
      <c r="E238" s="739" t="s">
        <v>1427</v>
      </c>
      <c r="F238" s="705" t="s">
        <v>605</v>
      </c>
      <c r="G238" s="705" t="str">
        <f t="shared" si="31"/>
        <v>Assumption 12</v>
      </c>
      <c r="H238" s="743"/>
      <c r="I238" s="743"/>
      <c r="J238" s="743"/>
      <c r="K238" s="1064"/>
      <c r="L238" s="746"/>
      <c r="M238" s="746"/>
      <c r="N238" s="746"/>
      <c r="O238" s="746"/>
      <c r="P238" s="746"/>
      <c r="Q238" s="746"/>
      <c r="R238" s="746"/>
      <c r="S238" s="746"/>
      <c r="T238" s="746"/>
      <c r="U238" s="746"/>
      <c r="V238" s="746"/>
      <c r="W238" s="746"/>
      <c r="X238" s="746"/>
      <c r="Y238" s="746"/>
      <c r="Z238" s="746"/>
      <c r="AA238" s="746"/>
      <c r="AB238" s="746"/>
      <c r="AC238" s="746"/>
      <c r="AD238" s="746"/>
      <c r="AE238" s="746"/>
      <c r="AF238" s="746"/>
      <c r="AG238" s="746"/>
      <c r="AH238" s="746"/>
      <c r="AI238" s="746"/>
      <c r="AJ238" s="746"/>
      <c r="AK238" s="746"/>
      <c r="AL238" s="746"/>
      <c r="AM238" s="746"/>
      <c r="AN238" s="746"/>
      <c r="AO238" s="746"/>
      <c r="AP238" s="746"/>
      <c r="AQ238" s="746"/>
      <c r="AR238" s="746"/>
      <c r="AS238" s="746"/>
      <c r="AT238" s="746"/>
      <c r="AU238" s="746">
        <f t="shared" ref="AU238:BB238" si="33">+AU227+AU230+AU231+AU235</f>
        <v>7290</v>
      </c>
      <c r="AV238" s="746">
        <f t="shared" si="33"/>
        <v>7290</v>
      </c>
      <c r="AW238" s="746">
        <f t="shared" si="33"/>
        <v>8089</v>
      </c>
      <c r="AX238" s="746">
        <f t="shared" si="33"/>
        <v>8467</v>
      </c>
      <c r="AY238" s="746">
        <f t="shared" si="33"/>
        <v>10871</v>
      </c>
      <c r="AZ238" s="746">
        <f t="shared" si="33"/>
        <v>12768</v>
      </c>
      <c r="BA238" s="746">
        <f t="shared" si="33"/>
        <v>13211</v>
      </c>
      <c r="BB238" s="746">
        <f t="shared" si="33"/>
        <v>13336</v>
      </c>
    </row>
    <row r="239" spans="1:54" x14ac:dyDescent="0.25">
      <c r="A239" s="703" t="s">
        <v>1428</v>
      </c>
      <c r="B239" s="737" t="str">
        <f t="shared" si="30"/>
        <v/>
      </c>
      <c r="C239" s="705" t="s">
        <v>1036</v>
      </c>
      <c r="D239" s="738" t="s">
        <v>1159</v>
      </c>
      <c r="E239" s="739" t="s">
        <v>1429</v>
      </c>
      <c r="F239" s="705" t="s">
        <v>605</v>
      </c>
      <c r="G239" s="705" t="str">
        <f t="shared" si="31"/>
        <v>Assumption 13</v>
      </c>
      <c r="Q239" s="1065"/>
      <c r="R239" s="1065"/>
      <c r="S239" s="1065"/>
      <c r="T239" s="1065"/>
      <c r="U239" s="1065"/>
      <c r="V239" s="1065"/>
      <c r="W239" s="1065"/>
      <c r="X239" s="1065"/>
      <c r="Y239" s="1065"/>
      <c r="Z239" s="1065"/>
      <c r="AA239" s="1065"/>
      <c r="AB239" s="1065"/>
      <c r="AC239" s="1065"/>
      <c r="AD239" s="1065"/>
      <c r="AE239" s="1065"/>
      <c r="AF239" s="1065"/>
      <c r="AG239" s="1065"/>
      <c r="AH239" s="1065"/>
      <c r="AU239" s="1065"/>
      <c r="AV239" s="1065">
        <f t="shared" ref="AV239:BB239" si="34">+AV227-AU227</f>
        <v>0</v>
      </c>
      <c r="AW239" s="1065">
        <f t="shared" si="34"/>
        <v>350</v>
      </c>
      <c r="AX239" s="1065">
        <f t="shared" si="34"/>
        <v>0</v>
      </c>
      <c r="AY239" s="1065">
        <f t="shared" si="34"/>
        <v>1800</v>
      </c>
      <c r="AZ239" s="1065">
        <f t="shared" si="34"/>
        <v>0</v>
      </c>
      <c r="BA239" s="1065">
        <f t="shared" si="34"/>
        <v>0</v>
      </c>
      <c r="BB239" s="1065">
        <f t="shared" si="34"/>
        <v>0</v>
      </c>
    </row>
    <row r="240" spans="1:54" x14ac:dyDescent="0.25">
      <c r="A240" s="703" t="s">
        <v>1430</v>
      </c>
      <c r="B240" s="737" t="str">
        <f t="shared" si="30"/>
        <v/>
      </c>
      <c r="C240" s="705" t="s">
        <v>1036</v>
      </c>
      <c r="D240" s="738" t="s">
        <v>1159</v>
      </c>
      <c r="E240" s="739" t="s">
        <v>1431</v>
      </c>
      <c r="F240" s="705" t="s">
        <v>605</v>
      </c>
      <c r="G240" s="705" t="str">
        <f t="shared" si="31"/>
        <v>Assumption 14</v>
      </c>
      <c r="Q240" s="1065"/>
      <c r="R240" s="1065"/>
      <c r="S240" s="1065"/>
      <c r="T240" s="1065"/>
      <c r="U240" s="1065"/>
      <c r="V240" s="1065"/>
      <c r="W240" s="1065"/>
      <c r="X240" s="1065"/>
      <c r="Y240" s="1065"/>
      <c r="Z240" s="1065"/>
      <c r="AA240" s="1065"/>
      <c r="AB240" s="1065"/>
      <c r="AC240" s="1065"/>
      <c r="AD240" s="1065"/>
      <c r="AE240" s="1065"/>
      <c r="AF240" s="1065"/>
      <c r="AG240" s="1065"/>
      <c r="AH240" s="1065"/>
      <c r="AU240" s="1065"/>
      <c r="AV240" s="1065"/>
      <c r="AW240" s="1065"/>
      <c r="AX240" s="1065"/>
      <c r="AY240" s="1065"/>
      <c r="AZ240" s="1065"/>
      <c r="BA240" s="1065"/>
      <c r="BB240" s="1065"/>
    </row>
    <row r="241" spans="1:54" x14ac:dyDescent="0.25">
      <c r="A241" s="703" t="s">
        <v>1432</v>
      </c>
      <c r="B241" s="737" t="str">
        <f t="shared" si="30"/>
        <v/>
      </c>
      <c r="C241" s="705" t="s">
        <v>1036</v>
      </c>
      <c r="D241" s="738" t="s">
        <v>1159</v>
      </c>
      <c r="E241" s="739" t="s">
        <v>1433</v>
      </c>
      <c r="F241" s="705" t="s">
        <v>605</v>
      </c>
      <c r="G241" s="705" t="str">
        <f t="shared" si="31"/>
        <v>Assumption 15</v>
      </c>
      <c r="R241" s="1065"/>
      <c r="S241" s="1065"/>
      <c r="T241" s="1065"/>
      <c r="U241" s="1065"/>
      <c r="V241" s="1065"/>
      <c r="W241" s="1065"/>
      <c r="X241" s="1065"/>
      <c r="Y241" s="1065"/>
      <c r="Z241" s="1065"/>
      <c r="AA241" s="1065"/>
      <c r="AB241" s="1065"/>
      <c r="AC241" s="1065"/>
      <c r="AD241" s="1065"/>
      <c r="AE241" s="1065"/>
      <c r="AF241" s="1065"/>
      <c r="AG241" s="1065"/>
      <c r="AH241" s="1065"/>
      <c r="AU241" s="1065"/>
      <c r="AV241" s="1065"/>
      <c r="AW241" s="1065"/>
      <c r="AX241" s="1065"/>
      <c r="AY241" s="1065"/>
      <c r="AZ241" s="1065"/>
      <c r="BA241" s="1065"/>
      <c r="BB241" s="1065"/>
    </row>
    <row r="242" spans="1:54" x14ac:dyDescent="0.25">
      <c r="A242" s="703" t="s">
        <v>1434</v>
      </c>
      <c r="B242" s="737" t="str">
        <f t="shared" si="30"/>
        <v/>
      </c>
      <c r="C242" s="705" t="s">
        <v>1036</v>
      </c>
      <c r="D242" s="738" t="s">
        <v>1159</v>
      </c>
      <c r="E242" s="739" t="s">
        <v>1435</v>
      </c>
      <c r="F242" s="705" t="s">
        <v>605</v>
      </c>
      <c r="G242" s="705" t="str">
        <f t="shared" si="31"/>
        <v>Assumption 16</v>
      </c>
      <c r="Q242" s="1065"/>
      <c r="R242" s="1065"/>
      <c r="S242" s="1065"/>
      <c r="T242" s="1065"/>
      <c r="U242" s="1065"/>
      <c r="V242" s="1065"/>
      <c r="W242" s="1065"/>
      <c r="X242" s="1065"/>
      <c r="Y242" s="1065"/>
      <c r="Z242" s="1065"/>
      <c r="AA242" s="1065"/>
      <c r="AB242" s="1065"/>
      <c r="AC242" s="1065"/>
      <c r="AD242" s="1065"/>
      <c r="AE242" s="1065"/>
      <c r="AF242" s="1065"/>
      <c r="AG242" s="1065"/>
      <c r="AH242" s="1065"/>
      <c r="AU242" s="1065"/>
      <c r="AV242" s="1065">
        <f t="shared" ref="AV242:BB249" si="35">+AV230-AU230</f>
        <v>0</v>
      </c>
      <c r="AW242" s="1065">
        <f t="shared" si="35"/>
        <v>0</v>
      </c>
      <c r="AX242" s="1065">
        <f t="shared" si="35"/>
        <v>0</v>
      </c>
      <c r="AY242" s="1065">
        <f t="shared" si="35"/>
        <v>0</v>
      </c>
      <c r="AZ242" s="1065">
        <f t="shared" si="35"/>
        <v>0</v>
      </c>
      <c r="BA242" s="1065">
        <f t="shared" si="35"/>
        <v>240</v>
      </c>
      <c r="BB242" s="1065">
        <f t="shared" si="35"/>
        <v>0</v>
      </c>
    </row>
    <row r="243" spans="1:54" x14ac:dyDescent="0.25">
      <c r="A243" s="703" t="s">
        <v>1436</v>
      </c>
      <c r="B243" s="737" t="str">
        <f t="shared" si="30"/>
        <v/>
      </c>
      <c r="C243" s="705" t="s">
        <v>1036</v>
      </c>
      <c r="D243" s="738" t="s">
        <v>1159</v>
      </c>
      <c r="E243" s="739" t="s">
        <v>1437</v>
      </c>
      <c r="F243" s="705" t="s">
        <v>605</v>
      </c>
      <c r="G243" s="705" t="str">
        <f t="shared" si="31"/>
        <v>Assumption 17</v>
      </c>
      <c r="Q243" s="1065"/>
      <c r="R243" s="1065"/>
      <c r="S243" s="1065"/>
      <c r="T243" s="1065"/>
      <c r="U243" s="1065"/>
      <c r="V243" s="1065"/>
      <c r="W243" s="1065"/>
      <c r="X243" s="1065"/>
      <c r="Y243" s="1065"/>
      <c r="Z243" s="1065"/>
      <c r="AA243" s="1065"/>
      <c r="AB243" s="1065"/>
      <c r="AC243" s="1065"/>
      <c r="AD243" s="1065"/>
      <c r="AE243" s="1065"/>
      <c r="AF243" s="1065"/>
      <c r="AG243" s="1065"/>
      <c r="AH243" s="1065"/>
      <c r="AU243" s="1065"/>
      <c r="AV243" s="1065">
        <f t="shared" si="35"/>
        <v>0</v>
      </c>
      <c r="AW243" s="1065">
        <f t="shared" si="35"/>
        <v>449</v>
      </c>
      <c r="AX243" s="1065">
        <f t="shared" si="35"/>
        <v>378</v>
      </c>
      <c r="AY243" s="1065">
        <f t="shared" si="35"/>
        <v>604</v>
      </c>
      <c r="AZ243" s="1065">
        <f t="shared" si="35"/>
        <v>1897</v>
      </c>
      <c r="BA243" s="1065">
        <f t="shared" si="35"/>
        <v>203</v>
      </c>
      <c r="BB243" s="1065">
        <f t="shared" si="35"/>
        <v>125</v>
      </c>
    </row>
    <row r="244" spans="1:54" x14ac:dyDescent="0.25">
      <c r="A244" s="703" t="s">
        <v>1438</v>
      </c>
      <c r="B244" s="737" t="str">
        <f t="shared" si="30"/>
        <v/>
      </c>
      <c r="C244" s="705" t="s">
        <v>1036</v>
      </c>
      <c r="D244" s="738" t="s">
        <v>1159</v>
      </c>
      <c r="E244" s="739" t="s">
        <v>1439</v>
      </c>
      <c r="F244" s="705" t="s">
        <v>605</v>
      </c>
      <c r="G244" s="705" t="str">
        <f t="shared" si="31"/>
        <v>Assumption 18</v>
      </c>
      <c r="Q244" s="1065"/>
      <c r="R244" s="1065"/>
      <c r="S244" s="1065"/>
      <c r="T244" s="1065"/>
      <c r="U244" s="1065"/>
      <c r="V244" s="1065"/>
      <c r="W244" s="1065"/>
      <c r="X244" s="1065"/>
      <c r="Y244" s="1065"/>
      <c r="Z244" s="1065"/>
      <c r="AA244" s="1065"/>
      <c r="AB244" s="1065"/>
      <c r="AC244" s="1065"/>
      <c r="AD244" s="1065"/>
      <c r="AE244" s="1065"/>
      <c r="AF244" s="1065"/>
      <c r="AG244" s="1065"/>
      <c r="AH244" s="1065"/>
      <c r="AU244" s="1065"/>
      <c r="AV244" s="1065">
        <f t="shared" si="35"/>
        <v>0</v>
      </c>
      <c r="AW244" s="1065">
        <f t="shared" si="35"/>
        <v>0</v>
      </c>
      <c r="AX244" s="1065">
        <f t="shared" si="35"/>
        <v>0</v>
      </c>
      <c r="AY244" s="1065">
        <f t="shared" si="35"/>
        <v>0</v>
      </c>
      <c r="AZ244" s="1065">
        <f t="shared" si="35"/>
        <v>1482</v>
      </c>
      <c r="BA244" s="1065">
        <f t="shared" si="35"/>
        <v>56</v>
      </c>
      <c r="BB244" s="1065">
        <f t="shared" si="35"/>
        <v>-86</v>
      </c>
    </row>
    <row r="245" spans="1:54" x14ac:dyDescent="0.25">
      <c r="A245" s="703" t="s">
        <v>1440</v>
      </c>
      <c r="B245" s="737" t="str">
        <f t="shared" si="30"/>
        <v/>
      </c>
      <c r="C245" s="705" t="s">
        <v>1036</v>
      </c>
      <c r="D245" s="738" t="s">
        <v>1159</v>
      </c>
      <c r="E245" s="739" t="s">
        <v>1441</v>
      </c>
      <c r="F245" s="705" t="s">
        <v>605</v>
      </c>
      <c r="G245" s="705" t="str">
        <f t="shared" si="31"/>
        <v>Assumption 19</v>
      </c>
      <c r="Q245" s="1065"/>
      <c r="R245" s="1065"/>
      <c r="S245" s="1065"/>
      <c r="T245" s="1065"/>
      <c r="U245" s="1065"/>
      <c r="V245" s="1065"/>
      <c r="W245" s="1065"/>
      <c r="X245" s="1065"/>
      <c r="Y245" s="1065"/>
      <c r="Z245" s="1065"/>
      <c r="AA245" s="1065"/>
      <c r="AB245" s="1065"/>
      <c r="AC245" s="1065"/>
      <c r="AD245" s="1065"/>
      <c r="AE245" s="1065"/>
      <c r="AF245" s="1065"/>
      <c r="AG245" s="1065"/>
      <c r="AH245" s="1065"/>
      <c r="AU245" s="1065"/>
      <c r="AV245" s="1065">
        <f t="shared" si="35"/>
        <v>0</v>
      </c>
      <c r="AW245" s="1065">
        <f t="shared" si="35"/>
        <v>449</v>
      </c>
      <c r="AX245" s="1065">
        <f t="shared" si="35"/>
        <v>378</v>
      </c>
      <c r="AY245" s="1065">
        <f t="shared" si="35"/>
        <v>604</v>
      </c>
      <c r="AZ245" s="1065">
        <f t="shared" si="35"/>
        <v>415</v>
      </c>
      <c r="BA245" s="1065">
        <f t="shared" si="35"/>
        <v>147</v>
      </c>
      <c r="BB245" s="1065">
        <f t="shared" si="35"/>
        <v>-61</v>
      </c>
    </row>
    <row r="246" spans="1:54" x14ac:dyDescent="0.25">
      <c r="A246" s="703" t="s">
        <v>1442</v>
      </c>
      <c r="B246" s="737" t="str">
        <f t="shared" si="30"/>
        <v/>
      </c>
      <c r="C246" s="705" t="s">
        <v>1036</v>
      </c>
      <c r="D246" s="738" t="s">
        <v>1159</v>
      </c>
      <c r="E246" s="739" t="s">
        <v>1443</v>
      </c>
      <c r="F246" s="705" t="s">
        <v>605</v>
      </c>
      <c r="G246" s="705" t="str">
        <f t="shared" si="31"/>
        <v>Assumption 20</v>
      </c>
      <c r="Q246" s="1065"/>
      <c r="R246" s="1065"/>
      <c r="S246" s="1065"/>
      <c r="T246" s="1065"/>
      <c r="U246" s="1065"/>
      <c r="V246" s="1065"/>
      <c r="W246" s="1065"/>
      <c r="X246" s="1065"/>
      <c r="Y246" s="1065"/>
      <c r="Z246" s="1065"/>
      <c r="AA246" s="1065"/>
      <c r="AB246" s="1065"/>
      <c r="AC246" s="1065"/>
      <c r="AD246" s="1065"/>
      <c r="AE246" s="1065"/>
      <c r="AF246" s="1065"/>
      <c r="AG246" s="1065"/>
      <c r="AH246" s="1065"/>
      <c r="AU246" s="1065"/>
      <c r="AV246" s="1065">
        <f t="shared" si="35"/>
        <v>0</v>
      </c>
      <c r="AW246" s="1065">
        <f t="shared" si="35"/>
        <v>0</v>
      </c>
      <c r="AX246" s="1065">
        <f t="shared" si="35"/>
        <v>0</v>
      </c>
      <c r="AY246" s="1065">
        <f t="shared" si="35"/>
        <v>0</v>
      </c>
      <c r="AZ246" s="1065">
        <f t="shared" si="35"/>
        <v>0</v>
      </c>
      <c r="BA246" s="1065">
        <f t="shared" si="35"/>
        <v>0</v>
      </c>
      <c r="BB246" s="1065">
        <f t="shared" si="35"/>
        <v>272</v>
      </c>
    </row>
    <row r="247" spans="1:54" x14ac:dyDescent="0.25">
      <c r="A247" s="703" t="s">
        <v>1444</v>
      </c>
      <c r="B247" s="737" t="str">
        <f t="shared" si="30"/>
        <v/>
      </c>
      <c r="C247" s="705" t="s">
        <v>1036</v>
      </c>
      <c r="D247" s="738" t="s">
        <v>1159</v>
      </c>
      <c r="E247" s="739" t="s">
        <v>1445</v>
      </c>
      <c r="F247" s="705" t="s">
        <v>605</v>
      </c>
      <c r="G247" s="705" t="str">
        <f t="shared" si="31"/>
        <v>Assumption 21</v>
      </c>
      <c r="Q247" s="1065"/>
      <c r="R247" s="1065"/>
      <c r="S247" s="1065"/>
      <c r="T247" s="1065"/>
      <c r="U247" s="1065"/>
      <c r="V247" s="1065"/>
      <c r="W247" s="1065"/>
      <c r="X247" s="1065"/>
      <c r="Y247" s="1065"/>
      <c r="Z247" s="1065"/>
      <c r="AA247" s="1065"/>
      <c r="AB247" s="1065"/>
      <c r="AC247" s="1065"/>
      <c r="AD247" s="1065"/>
      <c r="AE247" s="1065"/>
      <c r="AF247" s="1065"/>
      <c r="AG247" s="1065"/>
      <c r="AH247" s="1065"/>
      <c r="AU247" s="1065"/>
      <c r="AV247" s="1065">
        <f t="shared" si="35"/>
        <v>0</v>
      </c>
      <c r="AW247" s="1065">
        <f t="shared" si="35"/>
        <v>0</v>
      </c>
      <c r="AX247" s="1065">
        <f t="shared" si="35"/>
        <v>0</v>
      </c>
      <c r="AY247" s="1065">
        <f t="shared" si="35"/>
        <v>0</v>
      </c>
      <c r="AZ247" s="1065">
        <f t="shared" si="35"/>
        <v>0</v>
      </c>
      <c r="BA247" s="1065">
        <f t="shared" si="35"/>
        <v>0</v>
      </c>
      <c r="BB247" s="1065">
        <f t="shared" si="35"/>
        <v>0</v>
      </c>
    </row>
    <row r="248" spans="1:54" x14ac:dyDescent="0.25">
      <c r="A248" s="703" t="s">
        <v>1446</v>
      </c>
      <c r="B248" s="737" t="str">
        <f t="shared" si="30"/>
        <v/>
      </c>
      <c r="C248" s="705" t="s">
        <v>1036</v>
      </c>
      <c r="D248" s="738" t="s">
        <v>1159</v>
      </c>
      <c r="E248" s="739" t="s">
        <v>1447</v>
      </c>
      <c r="F248" s="705" t="s">
        <v>605</v>
      </c>
      <c r="G248" s="705" t="str">
        <f t="shared" si="31"/>
        <v>Assumption 22</v>
      </c>
      <c r="Q248" s="1065"/>
      <c r="R248" s="1065"/>
      <c r="S248" s="1065"/>
      <c r="T248" s="1065"/>
      <c r="U248" s="1065"/>
      <c r="V248" s="1065"/>
      <c r="W248" s="1065"/>
      <c r="X248" s="1065"/>
      <c r="Y248" s="1065"/>
      <c r="Z248" s="1065"/>
      <c r="AA248" s="1065"/>
      <c r="AB248" s="1065"/>
      <c r="AC248" s="1065"/>
      <c r="AD248" s="1065"/>
      <c r="AE248" s="1065"/>
      <c r="AF248" s="1065"/>
      <c r="AG248" s="1065"/>
      <c r="AH248" s="1065"/>
      <c r="AU248" s="1065"/>
      <c r="AV248" s="1065">
        <f t="shared" si="35"/>
        <v>0</v>
      </c>
      <c r="AW248" s="1065">
        <f t="shared" si="35"/>
        <v>0</v>
      </c>
      <c r="AX248" s="1065">
        <f t="shared" si="35"/>
        <v>0</v>
      </c>
      <c r="AY248" s="1065">
        <f t="shared" si="35"/>
        <v>0</v>
      </c>
      <c r="AZ248" s="1065">
        <f t="shared" si="35"/>
        <v>0</v>
      </c>
      <c r="BA248" s="1065">
        <f t="shared" si="35"/>
        <v>0</v>
      </c>
      <c r="BB248" s="1065">
        <f t="shared" si="35"/>
        <v>0</v>
      </c>
    </row>
    <row r="249" spans="1:54" x14ac:dyDescent="0.25">
      <c r="A249" s="703" t="s">
        <v>1448</v>
      </c>
      <c r="B249" s="737" t="str">
        <f t="shared" si="30"/>
        <v/>
      </c>
      <c r="C249" s="705" t="s">
        <v>1036</v>
      </c>
      <c r="D249" s="738" t="s">
        <v>1159</v>
      </c>
      <c r="E249" s="739" t="s">
        <v>1449</v>
      </c>
      <c r="F249" s="705" t="s">
        <v>605</v>
      </c>
      <c r="G249" s="705" t="str">
        <f t="shared" si="31"/>
        <v>Assumption 23</v>
      </c>
      <c r="Q249" s="1065"/>
      <c r="R249" s="1065"/>
      <c r="S249" s="1065"/>
      <c r="T249" s="1065"/>
      <c r="U249" s="1065"/>
      <c r="V249" s="1065"/>
      <c r="W249" s="1065"/>
      <c r="X249" s="1065"/>
      <c r="Y249" s="1065"/>
      <c r="Z249" s="1065"/>
      <c r="AA249" s="1065"/>
      <c r="AB249" s="1065"/>
      <c r="AC249" s="1065"/>
      <c r="AD249" s="1065"/>
      <c r="AE249" s="1065"/>
      <c r="AF249" s="1065"/>
      <c r="AG249" s="1065"/>
      <c r="AH249" s="1065"/>
      <c r="AU249" s="1065"/>
      <c r="AV249" s="1065">
        <f t="shared" si="35"/>
        <v>0</v>
      </c>
      <c r="AW249" s="1065">
        <f t="shared" si="35"/>
        <v>0</v>
      </c>
      <c r="AX249" s="1065">
        <f t="shared" si="35"/>
        <v>0</v>
      </c>
      <c r="AY249" s="1065">
        <f t="shared" si="35"/>
        <v>0</v>
      </c>
      <c r="AZ249" s="1065">
        <f t="shared" si="35"/>
        <v>0</v>
      </c>
      <c r="BA249" s="1065">
        <f t="shared" si="35"/>
        <v>0</v>
      </c>
      <c r="BB249" s="1065">
        <f t="shared" si="35"/>
        <v>0</v>
      </c>
    </row>
    <row r="250" spans="1:54" x14ac:dyDescent="0.25">
      <c r="A250" s="703" t="s">
        <v>1450</v>
      </c>
      <c r="B250" s="737" t="str">
        <f t="shared" si="30"/>
        <v/>
      </c>
      <c r="C250" s="705" t="s">
        <v>1036</v>
      </c>
      <c r="D250" s="738" t="s">
        <v>1159</v>
      </c>
      <c r="E250" s="739" t="s">
        <v>1451</v>
      </c>
      <c r="F250" s="705" t="s">
        <v>605</v>
      </c>
      <c r="G250" s="705" t="str">
        <f t="shared" si="31"/>
        <v>Assumption 24</v>
      </c>
      <c r="H250" s="743"/>
      <c r="I250" s="743"/>
      <c r="J250" s="743"/>
      <c r="K250" s="1064"/>
      <c r="L250" s="746"/>
      <c r="M250" s="746"/>
      <c r="N250" s="746"/>
      <c r="O250" s="746"/>
      <c r="P250" s="746"/>
      <c r="Q250" s="746"/>
      <c r="R250" s="746"/>
      <c r="S250" s="746"/>
      <c r="T250" s="746"/>
      <c r="U250" s="746"/>
      <c r="V250" s="746"/>
      <c r="W250" s="746"/>
      <c r="X250" s="746"/>
      <c r="Y250" s="746"/>
      <c r="Z250" s="746"/>
      <c r="AA250" s="746"/>
      <c r="AB250" s="746"/>
      <c r="AC250" s="746"/>
      <c r="AD250" s="746"/>
      <c r="AE250" s="746"/>
      <c r="AF250" s="746"/>
      <c r="AG250" s="746"/>
      <c r="AH250" s="746"/>
      <c r="AI250" s="747"/>
      <c r="AJ250" s="747"/>
      <c r="AK250" s="747"/>
      <c r="AL250" s="747"/>
      <c r="AM250" s="747"/>
      <c r="AN250" s="747"/>
      <c r="AO250" s="747"/>
      <c r="AP250" s="747"/>
      <c r="AQ250" s="747"/>
      <c r="AR250" s="747"/>
      <c r="AS250" s="747"/>
      <c r="AT250" s="747"/>
      <c r="AU250" s="1068"/>
      <c r="AV250" s="746">
        <f t="shared" ref="AV250:BB250" si="36">+AV239+AV242+AV243+AV247</f>
        <v>0</v>
      </c>
      <c r="AW250" s="746">
        <f t="shared" si="36"/>
        <v>799</v>
      </c>
      <c r="AX250" s="746">
        <f t="shared" si="36"/>
        <v>378</v>
      </c>
      <c r="AY250" s="746">
        <f t="shared" si="36"/>
        <v>2404</v>
      </c>
      <c r="AZ250" s="746">
        <f t="shared" si="36"/>
        <v>1897</v>
      </c>
      <c r="BA250" s="746">
        <f t="shared" si="36"/>
        <v>443</v>
      </c>
      <c r="BB250" s="746">
        <f t="shared" si="36"/>
        <v>125</v>
      </c>
    </row>
    <row r="251" spans="1:54" x14ac:dyDescent="0.25">
      <c r="A251" s="703" t="s">
        <v>1452</v>
      </c>
      <c r="B251" s="737" t="str">
        <f t="shared" si="30"/>
        <v/>
      </c>
      <c r="C251" s="705" t="s">
        <v>1036</v>
      </c>
      <c r="D251" s="738" t="s">
        <v>1159</v>
      </c>
      <c r="E251" s="739" t="s">
        <v>1453</v>
      </c>
      <c r="F251" s="705" t="s">
        <v>605</v>
      </c>
      <c r="G251" s="705" t="str">
        <f t="shared" si="31"/>
        <v>Assumption 25</v>
      </c>
    </row>
    <row r="252" spans="1:54" x14ac:dyDescent="0.25">
      <c r="A252" s="703" t="s">
        <v>1454</v>
      </c>
      <c r="B252" s="737" t="str">
        <f t="shared" si="30"/>
        <v/>
      </c>
      <c r="C252" s="705" t="s">
        <v>1036</v>
      </c>
      <c r="D252" s="738" t="s">
        <v>1159</v>
      </c>
      <c r="E252" s="739" t="s">
        <v>1455</v>
      </c>
      <c r="F252" s="705" t="s">
        <v>605</v>
      </c>
      <c r="G252" s="705" t="str">
        <f t="shared" si="31"/>
        <v>Assumption 26</v>
      </c>
    </row>
    <row r="253" spans="1:54" x14ac:dyDescent="0.25">
      <c r="A253" s="703" t="s">
        <v>1456</v>
      </c>
      <c r="B253" s="737" t="str">
        <f t="shared" si="30"/>
        <v/>
      </c>
      <c r="C253" s="705" t="s">
        <v>1036</v>
      </c>
      <c r="D253" s="738" t="s">
        <v>1159</v>
      </c>
      <c r="E253" s="739" t="s">
        <v>1457</v>
      </c>
      <c r="F253" s="705" t="s">
        <v>605</v>
      </c>
      <c r="G253" s="705" t="str">
        <f t="shared" si="31"/>
        <v>Assumption 27</v>
      </c>
    </row>
    <row r="254" spans="1:54" x14ac:dyDescent="0.25">
      <c r="A254" s="703" t="s">
        <v>1458</v>
      </c>
      <c r="B254" s="737" t="str">
        <f t="shared" si="30"/>
        <v/>
      </c>
      <c r="C254" s="705" t="s">
        <v>1036</v>
      </c>
      <c r="D254" s="738" t="s">
        <v>1159</v>
      </c>
      <c r="E254" s="739" t="s">
        <v>1459</v>
      </c>
      <c r="F254" s="705" t="s">
        <v>605</v>
      </c>
      <c r="G254" s="705" t="str">
        <f t="shared" si="31"/>
        <v>Assumption 28</v>
      </c>
    </row>
    <row r="255" spans="1:54" x14ac:dyDescent="0.25">
      <c r="A255" s="703" t="s">
        <v>1460</v>
      </c>
      <c r="B255" s="737" t="str">
        <f t="shared" si="30"/>
        <v/>
      </c>
      <c r="C255" s="705" t="s">
        <v>1036</v>
      </c>
      <c r="D255" s="738" t="s">
        <v>1159</v>
      </c>
      <c r="E255" s="739" t="s">
        <v>1461</v>
      </c>
      <c r="F255" s="705" t="s">
        <v>605</v>
      </c>
      <c r="G255" s="705" t="str">
        <f t="shared" si="31"/>
        <v>Assumption 29</v>
      </c>
    </row>
    <row r="256" spans="1:54" x14ac:dyDescent="0.25">
      <c r="A256" s="703" t="s">
        <v>1462</v>
      </c>
      <c r="B256" s="737" t="str">
        <f t="shared" si="30"/>
        <v/>
      </c>
      <c r="C256" s="705" t="s">
        <v>1036</v>
      </c>
      <c r="D256" s="738" t="s">
        <v>1159</v>
      </c>
      <c r="E256" s="739" t="s">
        <v>1463</v>
      </c>
      <c r="F256" s="705" t="s">
        <v>605</v>
      </c>
      <c r="G256" s="705" t="str">
        <f t="shared" si="31"/>
        <v>Assumption 30</v>
      </c>
    </row>
    <row r="257" spans="1:34" x14ac:dyDescent="0.25">
      <c r="A257" s="703" t="s">
        <v>1464</v>
      </c>
      <c r="B257" s="737" t="str">
        <f t="shared" si="30"/>
        <v/>
      </c>
      <c r="C257" s="705" t="s">
        <v>1036</v>
      </c>
      <c r="D257" s="738" t="s">
        <v>1159</v>
      </c>
      <c r="E257" s="739" t="s">
        <v>1465</v>
      </c>
      <c r="F257" s="705" t="s">
        <v>605</v>
      </c>
      <c r="G257" s="705" t="str">
        <f t="shared" si="31"/>
        <v>Assumption 31</v>
      </c>
    </row>
    <row r="258" spans="1:34" x14ac:dyDescent="0.25">
      <c r="A258" s="703" t="s">
        <v>1466</v>
      </c>
      <c r="B258" s="737" t="str">
        <f t="shared" si="30"/>
        <v/>
      </c>
      <c r="C258" s="705" t="s">
        <v>1036</v>
      </c>
      <c r="D258" s="738" t="s">
        <v>1159</v>
      </c>
      <c r="E258" s="739" t="s">
        <v>1467</v>
      </c>
      <c r="F258" s="705" t="s">
        <v>605</v>
      </c>
      <c r="G258" s="705" t="str">
        <f t="shared" si="31"/>
        <v>Assumption 32</v>
      </c>
    </row>
    <row r="259" spans="1:34" x14ac:dyDescent="0.25">
      <c r="A259" s="703" t="s">
        <v>1468</v>
      </c>
      <c r="B259" s="737" t="str">
        <f t="shared" si="30"/>
        <v/>
      </c>
      <c r="C259" s="705" t="s">
        <v>1036</v>
      </c>
      <c r="D259" s="738" t="s">
        <v>1159</v>
      </c>
      <c r="E259" s="739" t="s">
        <v>1469</v>
      </c>
      <c r="F259" s="705" t="s">
        <v>605</v>
      </c>
      <c r="G259" s="705" t="str">
        <f t="shared" si="31"/>
        <v>Assumption 33</v>
      </c>
    </row>
    <row r="260" spans="1:34" x14ac:dyDescent="0.25">
      <c r="A260" s="703" t="s">
        <v>1470</v>
      </c>
      <c r="B260" s="737" t="str">
        <f t="shared" si="30"/>
        <v/>
      </c>
      <c r="C260" s="705" t="s">
        <v>1036</v>
      </c>
      <c r="D260" s="738" t="s">
        <v>1159</v>
      </c>
      <c r="E260" s="739" t="s">
        <v>1471</v>
      </c>
      <c r="F260" s="705" t="s">
        <v>605</v>
      </c>
      <c r="G260" s="705" t="str">
        <f t="shared" si="31"/>
        <v>Assumption 34</v>
      </c>
    </row>
    <row r="261" spans="1:34" x14ac:dyDescent="0.25">
      <c r="A261" s="703" t="s">
        <v>1472</v>
      </c>
      <c r="B261" s="737" t="str">
        <f t="shared" si="30"/>
        <v/>
      </c>
      <c r="C261" s="705" t="s">
        <v>1036</v>
      </c>
      <c r="D261" s="738" t="s">
        <v>1159</v>
      </c>
      <c r="E261" s="739" t="s">
        <v>1473</v>
      </c>
      <c r="F261" s="705" t="s">
        <v>605</v>
      </c>
      <c r="G261" s="705" t="str">
        <f t="shared" si="31"/>
        <v>Assumption 35</v>
      </c>
    </row>
    <row r="262" spans="1:34" x14ac:dyDescent="0.25">
      <c r="A262" s="703" t="s">
        <v>1474</v>
      </c>
      <c r="B262" s="737" t="str">
        <f t="shared" si="30"/>
        <v/>
      </c>
      <c r="C262" s="705" t="s">
        <v>1036</v>
      </c>
      <c r="D262" s="738" t="s">
        <v>1159</v>
      </c>
      <c r="E262" s="739" t="s">
        <v>1475</v>
      </c>
      <c r="F262" s="705" t="s">
        <v>605</v>
      </c>
      <c r="G262" s="705" t="str">
        <f t="shared" si="31"/>
        <v>Assumption 36</v>
      </c>
    </row>
    <row r="263" spans="1:34" x14ac:dyDescent="0.25">
      <c r="A263" s="703" t="s">
        <v>1476</v>
      </c>
      <c r="B263" s="737" t="str">
        <f t="shared" si="30"/>
        <v/>
      </c>
      <c r="C263" s="705" t="s">
        <v>1036</v>
      </c>
      <c r="D263" s="738" t="s">
        <v>1159</v>
      </c>
      <c r="E263" s="739" t="s">
        <v>1477</v>
      </c>
      <c r="F263" s="705" t="s">
        <v>605</v>
      </c>
      <c r="G263" s="705" t="str">
        <f t="shared" si="31"/>
        <v>Assumption 37</v>
      </c>
    </row>
    <row r="264" spans="1:34" x14ac:dyDescent="0.25">
      <c r="A264" s="703" t="s">
        <v>1478</v>
      </c>
      <c r="B264" s="737" t="str">
        <f t="shared" si="30"/>
        <v/>
      </c>
      <c r="C264" s="705" t="s">
        <v>1036</v>
      </c>
      <c r="D264" s="738" t="s">
        <v>1159</v>
      </c>
      <c r="E264" s="739" t="s">
        <v>1479</v>
      </c>
      <c r="F264" s="705" t="s">
        <v>605</v>
      </c>
      <c r="G264" s="705" t="str">
        <f t="shared" si="31"/>
        <v>Assumption 38</v>
      </c>
    </row>
    <row r="265" spans="1:34" x14ac:dyDescent="0.25">
      <c r="A265" s="703" t="s">
        <v>1480</v>
      </c>
      <c r="B265" s="737" t="str">
        <f t="shared" si="30"/>
        <v/>
      </c>
      <c r="C265" s="705" t="s">
        <v>1036</v>
      </c>
      <c r="D265" s="738" t="s">
        <v>1159</v>
      </c>
      <c r="E265" s="739" t="s">
        <v>1481</v>
      </c>
      <c r="F265" s="705" t="s">
        <v>605</v>
      </c>
      <c r="G265" s="705" t="str">
        <f t="shared" si="31"/>
        <v>Assumption 39</v>
      </c>
    </row>
    <row r="266" spans="1:34" x14ac:dyDescent="0.25">
      <c r="A266" s="703" t="s">
        <v>1482</v>
      </c>
      <c r="B266" s="737" t="str">
        <f t="shared" si="30"/>
        <v/>
      </c>
      <c r="C266" s="705" t="s">
        <v>1036</v>
      </c>
      <c r="D266" s="738" t="s">
        <v>1159</v>
      </c>
      <c r="E266" s="739" t="s">
        <v>1483</v>
      </c>
      <c r="F266" s="705" t="s">
        <v>605</v>
      </c>
      <c r="G266" s="705" t="str">
        <f t="shared" si="31"/>
        <v>Assumption 40</v>
      </c>
    </row>
    <row r="267" spans="1:34" x14ac:dyDescent="0.25">
      <c r="A267" s="750" t="s">
        <v>1484</v>
      </c>
      <c r="B267" s="737" t="str">
        <f t="shared" si="30"/>
        <v/>
      </c>
      <c r="C267" s="705" t="s">
        <v>1036</v>
      </c>
      <c r="D267" s="738" t="s">
        <v>1159</v>
      </c>
      <c r="E267" s="782" t="s">
        <v>944</v>
      </c>
      <c r="F267" s="705" t="s">
        <v>605</v>
      </c>
      <c r="G267" s="705" t="str">
        <f t="shared" si="31"/>
        <v>Other liabilities and provisions</v>
      </c>
    </row>
    <row r="268" spans="1:34" x14ac:dyDescent="0.25">
      <c r="A268" s="748" t="s">
        <v>1485</v>
      </c>
      <c r="B268" s="737" t="str">
        <f t="shared" si="30"/>
        <v/>
      </c>
      <c r="C268" s="705" t="s">
        <v>1036</v>
      </c>
      <c r="D268" s="738" t="s">
        <v>1159</v>
      </c>
      <c r="E268" s="784" t="s">
        <v>945</v>
      </c>
      <c r="F268" s="705" t="s">
        <v>605</v>
      </c>
      <c r="G268" s="705" t="str">
        <f t="shared" si="31"/>
        <v>Total Networth and liabilities</v>
      </c>
    </row>
    <row r="269" spans="1:34" x14ac:dyDescent="0.25">
      <c r="A269" s="750" t="s">
        <v>1486</v>
      </c>
      <c r="B269" s="737" t="str">
        <f t="shared" si="30"/>
        <v/>
      </c>
      <c r="C269" s="705" t="s">
        <v>1036</v>
      </c>
      <c r="D269" s="738" t="s">
        <v>1159</v>
      </c>
      <c r="E269" s="782" t="s">
        <v>950</v>
      </c>
      <c r="F269" s="705" t="s">
        <v>605</v>
      </c>
      <c r="G269" s="705" t="str">
        <f t="shared" si="31"/>
        <v>Loans &amp; advances and other assets</v>
      </c>
    </row>
    <row r="270" spans="1:34" x14ac:dyDescent="0.25">
      <c r="A270" s="750" t="s">
        <v>1487</v>
      </c>
      <c r="B270" s="737" t="str">
        <f t="shared" si="30"/>
        <v/>
      </c>
      <c r="C270" s="705" t="s">
        <v>1036</v>
      </c>
      <c r="D270" s="738" t="s">
        <v>1159</v>
      </c>
      <c r="E270" s="782" t="s">
        <v>951</v>
      </c>
      <c r="F270" s="705" t="s">
        <v>605</v>
      </c>
      <c r="G270" s="705" t="str">
        <f t="shared" si="31"/>
        <v>Net working capital</v>
      </c>
    </row>
    <row r="271" spans="1:34" x14ac:dyDescent="0.25">
      <c r="A271" s="748" t="s">
        <v>1488</v>
      </c>
      <c r="B271" s="737" t="str">
        <f t="shared" si="30"/>
        <v/>
      </c>
      <c r="C271" s="705" t="s">
        <v>1036</v>
      </c>
      <c r="D271" s="738" t="s">
        <v>1159</v>
      </c>
      <c r="E271" s="784" t="s">
        <v>952</v>
      </c>
      <c r="F271" s="705" t="s">
        <v>605</v>
      </c>
      <c r="G271" s="705" t="str">
        <f t="shared" si="31"/>
        <v>Total assets</v>
      </c>
      <c r="K271" s="1065"/>
      <c r="L271" s="1065"/>
      <c r="M271" s="1065"/>
      <c r="N271" s="1065"/>
      <c r="O271" s="1065"/>
      <c r="P271" s="1065"/>
      <c r="Q271" s="1065"/>
      <c r="R271" s="1065"/>
      <c r="S271" s="1065"/>
      <c r="T271" s="1065"/>
      <c r="U271" s="1065"/>
      <c r="V271" s="1065"/>
      <c r="W271" s="1065"/>
      <c r="X271" s="1065"/>
      <c r="Y271" s="1065"/>
      <c r="Z271" s="1065"/>
      <c r="AA271" s="1065"/>
      <c r="AB271" s="1065"/>
      <c r="AC271" s="1065"/>
      <c r="AD271" s="1065"/>
      <c r="AE271" s="1065"/>
      <c r="AF271" s="1065"/>
      <c r="AG271" s="1065"/>
      <c r="AH271" s="1065"/>
    </row>
    <row r="272" spans="1:34" x14ac:dyDescent="0.25">
      <c r="A272" s="750" t="s">
        <v>1489</v>
      </c>
      <c r="B272" s="737" t="str">
        <f t="shared" si="30"/>
        <v/>
      </c>
      <c r="C272" s="705" t="s">
        <v>1036</v>
      </c>
      <c r="D272" s="738" t="s">
        <v>1159</v>
      </c>
      <c r="E272" s="782" t="s">
        <v>959</v>
      </c>
      <c r="F272" s="705" t="s">
        <v>605</v>
      </c>
      <c r="G272" s="705" t="str">
        <f t="shared" si="31"/>
        <v>Free cashflows (post interest costs)</v>
      </c>
      <c r="K272" s="1065"/>
      <c r="L272" s="1065"/>
      <c r="M272" s="1065"/>
      <c r="N272" s="1065"/>
      <c r="O272" s="1065"/>
      <c r="P272" s="1065"/>
      <c r="Q272" s="1065"/>
      <c r="R272" s="1065"/>
      <c r="S272" s="1065"/>
      <c r="T272" s="1065"/>
      <c r="U272" s="1065"/>
      <c r="V272" s="1065"/>
      <c r="W272" s="1065"/>
      <c r="X272" s="1065"/>
      <c r="Y272" s="1065"/>
      <c r="Z272" s="1065"/>
      <c r="AA272" s="1065"/>
      <c r="AB272" s="1065"/>
      <c r="AC272" s="1065"/>
      <c r="AD272" s="1065"/>
      <c r="AE272" s="1065"/>
      <c r="AF272" s="1065"/>
      <c r="AG272" s="1065"/>
      <c r="AH272" s="1065"/>
    </row>
    <row r="273" spans="1:34" x14ac:dyDescent="0.25">
      <c r="A273" s="750" t="s">
        <v>1490</v>
      </c>
      <c r="B273" s="737" t="str">
        <f t="shared" si="30"/>
        <v/>
      </c>
      <c r="C273" s="705" t="s">
        <v>1036</v>
      </c>
      <c r="D273" s="738" t="s">
        <v>1159</v>
      </c>
      <c r="E273" s="782" t="s">
        <v>962</v>
      </c>
      <c r="F273" s="705" t="s">
        <v>605</v>
      </c>
      <c r="G273" s="705" t="str">
        <f t="shared" si="31"/>
        <v>Total cash &amp; liquid investments</v>
      </c>
      <c r="K273" s="1065"/>
      <c r="L273" s="1065"/>
      <c r="M273" s="1065"/>
      <c r="N273" s="1065"/>
      <c r="O273" s="1065"/>
      <c r="P273" s="1065"/>
      <c r="Q273" s="1065"/>
      <c r="R273" s="1065"/>
      <c r="S273" s="1065"/>
      <c r="T273" s="1065"/>
      <c r="U273" s="1065"/>
      <c r="V273" s="1065"/>
      <c r="W273" s="1065"/>
      <c r="X273" s="1065"/>
      <c r="Y273" s="1065"/>
      <c r="Z273" s="1065"/>
      <c r="AA273" s="1065"/>
      <c r="AB273" s="1065"/>
      <c r="AC273" s="1065"/>
      <c r="AD273" s="1065"/>
      <c r="AE273" s="1065"/>
      <c r="AF273" s="1065"/>
      <c r="AG273" s="1065"/>
      <c r="AH273" s="1065"/>
    </row>
    <row r="274" spans="1:34" x14ac:dyDescent="0.25">
      <c r="A274" s="703" t="s">
        <v>1491</v>
      </c>
      <c r="B274" s="737" t="str">
        <f t="shared" si="30"/>
        <v/>
      </c>
      <c r="C274" s="705" t="s">
        <v>1036</v>
      </c>
      <c r="D274" s="738" t="s">
        <v>1159</v>
      </c>
      <c r="E274" s="739" t="s">
        <v>1492</v>
      </c>
      <c r="F274" s="705" t="s">
        <v>605</v>
      </c>
      <c r="G274" s="705" t="str">
        <f t="shared" si="31"/>
        <v>Assumption 48</v>
      </c>
      <c r="K274" s="1065"/>
      <c r="L274" s="1065"/>
      <c r="M274" s="1065"/>
      <c r="N274" s="1065"/>
      <c r="O274" s="1065"/>
      <c r="P274" s="1065"/>
      <c r="Q274" s="1065"/>
      <c r="R274" s="1065"/>
      <c r="S274" s="1065"/>
      <c r="T274" s="1065"/>
      <c r="U274" s="1065"/>
      <c r="V274" s="1065"/>
      <c r="W274" s="1065"/>
      <c r="X274" s="1065"/>
      <c r="Y274" s="1065"/>
      <c r="Z274" s="1065"/>
      <c r="AA274" s="1065"/>
      <c r="AB274" s="1065"/>
      <c r="AC274" s="1065"/>
      <c r="AD274" s="1065"/>
      <c r="AE274" s="1065"/>
      <c r="AF274" s="1065"/>
      <c r="AG274" s="1065"/>
      <c r="AH274" s="1065"/>
    </row>
    <row r="275" spans="1:34" x14ac:dyDescent="0.25">
      <c r="A275" s="703" t="s">
        <v>1493</v>
      </c>
      <c r="B275" s="737" t="str">
        <f t="shared" si="30"/>
        <v/>
      </c>
      <c r="C275" s="705" t="s">
        <v>1036</v>
      </c>
      <c r="D275" s="738" t="s">
        <v>1159</v>
      </c>
      <c r="E275" s="739" t="s">
        <v>1494</v>
      </c>
      <c r="F275" s="705" t="s">
        <v>605</v>
      </c>
      <c r="G275" s="705" t="str">
        <f t="shared" si="31"/>
        <v>Assumption 49</v>
      </c>
      <c r="K275" s="1065"/>
      <c r="L275" s="1065"/>
      <c r="M275" s="1065"/>
      <c r="N275" s="1065"/>
      <c r="O275" s="1065"/>
      <c r="P275" s="1065"/>
      <c r="Q275" s="1065"/>
      <c r="R275" s="1065"/>
      <c r="S275" s="1065"/>
      <c r="T275" s="1065"/>
      <c r="U275" s="1065"/>
      <c r="V275" s="1065"/>
      <c r="W275" s="1065"/>
      <c r="X275" s="1065"/>
      <c r="Y275" s="1065"/>
      <c r="Z275" s="1065"/>
      <c r="AA275" s="1065"/>
      <c r="AB275" s="1065"/>
      <c r="AC275" s="1065"/>
      <c r="AD275" s="1065"/>
      <c r="AE275" s="1065"/>
      <c r="AF275" s="1065"/>
      <c r="AG275" s="1065"/>
      <c r="AH275" s="1065"/>
    </row>
    <row r="276" spans="1:34" x14ac:dyDescent="0.25">
      <c r="A276" s="750" t="s">
        <v>1495</v>
      </c>
      <c r="B276" s="737" t="str">
        <f t="shared" si="30"/>
        <v/>
      </c>
      <c r="C276" s="705" t="s">
        <v>1036</v>
      </c>
      <c r="D276" s="738" t="s">
        <v>1159</v>
      </c>
      <c r="E276" s="785" t="s">
        <v>1496</v>
      </c>
      <c r="F276" s="705" t="s">
        <v>605</v>
      </c>
      <c r="G276" s="705" t="str">
        <f t="shared" si="31"/>
        <v>Target Multiple</v>
      </c>
      <c r="K276" s="1065"/>
      <c r="L276" s="1065"/>
      <c r="M276" s="1065"/>
      <c r="N276" s="1065"/>
      <c r="O276" s="1065"/>
      <c r="P276" s="1065"/>
      <c r="Q276" s="1065"/>
      <c r="R276" s="1065"/>
      <c r="S276" s="1065"/>
      <c r="T276" s="1065"/>
      <c r="U276" s="1065"/>
      <c r="V276" s="1065"/>
      <c r="W276" s="1065"/>
      <c r="X276" s="1065"/>
      <c r="Y276" s="1065"/>
      <c r="Z276" s="1065"/>
      <c r="AA276" s="1065"/>
      <c r="AB276" s="1065"/>
      <c r="AC276" s="1065"/>
      <c r="AD276" s="1065"/>
      <c r="AE276" s="1065"/>
      <c r="AF276" s="1065"/>
      <c r="AG276" s="1065"/>
      <c r="AH276" s="1065"/>
    </row>
    <row r="277" spans="1:34" x14ac:dyDescent="0.25">
      <c r="K277" s="1065"/>
      <c r="L277" s="1065"/>
      <c r="M277" s="1065"/>
      <c r="N277" s="1065"/>
      <c r="O277" s="1065"/>
      <c r="P277" s="1065"/>
      <c r="Q277" s="1065"/>
      <c r="R277" s="1065"/>
      <c r="S277" s="1065"/>
      <c r="T277" s="1065"/>
      <c r="U277" s="1065"/>
      <c r="V277" s="1065"/>
      <c r="W277" s="1065"/>
      <c r="X277" s="1065"/>
      <c r="Y277" s="1065"/>
      <c r="Z277" s="1065"/>
      <c r="AA277" s="1065"/>
      <c r="AB277" s="1065"/>
      <c r="AC277" s="1065"/>
      <c r="AD277" s="1065"/>
      <c r="AE277" s="1065"/>
      <c r="AF277" s="1065"/>
      <c r="AG277" s="1065"/>
      <c r="AH277" s="1065"/>
    </row>
    <row r="280" spans="1:34" x14ac:dyDescent="0.25">
      <c r="AB280" s="783"/>
      <c r="AC280" s="783"/>
      <c r="AD280" s="783"/>
      <c r="AE280" s="783"/>
      <c r="AF280" s="783"/>
      <c r="AG280" s="783"/>
      <c r="AH280" s="783"/>
    </row>
    <row r="283" spans="1:34" x14ac:dyDescent="0.25">
      <c r="AF283" s="786"/>
    </row>
  </sheetData>
  <conditionalFormatting sqref="B38:B39">
    <cfRule type="cellIs" dxfId="43" priority="44" operator="equal">
      <formula>1</formula>
    </cfRule>
  </conditionalFormatting>
  <conditionalFormatting sqref="B41:B42">
    <cfRule type="cellIs" dxfId="42" priority="43" operator="equal">
      <formula>1</formula>
    </cfRule>
  </conditionalFormatting>
  <conditionalFormatting sqref="B44:B45">
    <cfRule type="cellIs" dxfId="41" priority="42" operator="equal">
      <formula>1</formula>
    </cfRule>
  </conditionalFormatting>
  <conditionalFormatting sqref="B47:B56">
    <cfRule type="cellIs" dxfId="40" priority="41" operator="equal">
      <formula>1</formula>
    </cfRule>
  </conditionalFormatting>
  <conditionalFormatting sqref="B59:B137">
    <cfRule type="cellIs" dxfId="39" priority="1" operator="equal">
      <formula>1</formula>
    </cfRule>
  </conditionalFormatting>
  <conditionalFormatting sqref="B139:B143">
    <cfRule type="cellIs" dxfId="38" priority="40" operator="equal">
      <formula>1</formula>
    </cfRule>
  </conditionalFormatting>
  <conditionalFormatting sqref="B146:B147">
    <cfRule type="cellIs" dxfId="37" priority="39" operator="equal">
      <formula>1</formula>
    </cfRule>
  </conditionalFormatting>
  <conditionalFormatting sqref="B149:B150">
    <cfRule type="cellIs" dxfId="36" priority="38" operator="equal">
      <formula>1</formula>
    </cfRule>
  </conditionalFormatting>
  <conditionalFormatting sqref="B153">
    <cfRule type="cellIs" dxfId="35" priority="37" operator="equal">
      <formula>1</formula>
    </cfRule>
  </conditionalFormatting>
  <conditionalFormatting sqref="B155:B161">
    <cfRule type="cellIs" dxfId="34" priority="36" operator="equal">
      <formula>1</formula>
    </cfRule>
  </conditionalFormatting>
  <conditionalFormatting sqref="B163">
    <cfRule type="cellIs" dxfId="33" priority="35" operator="equal">
      <formula>1</formula>
    </cfRule>
  </conditionalFormatting>
  <conditionalFormatting sqref="B200:B201">
    <cfRule type="cellIs" dxfId="32" priority="34" operator="equal">
      <formula>1</formula>
    </cfRule>
  </conditionalFormatting>
  <conditionalFormatting sqref="B227:B276">
    <cfRule type="cellIs" dxfId="31" priority="33" operator="equal">
      <formula>1</formula>
    </cfRule>
  </conditionalFormatting>
  <conditionalFormatting sqref="D1">
    <cfRule type="cellIs" dxfId="30" priority="31" operator="equal">
      <formula>"✓"</formula>
    </cfRule>
    <cfRule type="cellIs" dxfId="29" priority="32" operator="equal">
      <formula>"×"</formula>
    </cfRule>
  </conditionalFormatting>
  <conditionalFormatting sqref="D38:D39">
    <cfRule type="expression" dxfId="28" priority="29">
      <formula>B38=1</formula>
    </cfRule>
  </conditionalFormatting>
  <conditionalFormatting sqref="D41:D42">
    <cfRule type="expression" dxfId="27" priority="28">
      <formula>B41=1</formula>
    </cfRule>
  </conditionalFormatting>
  <conditionalFormatting sqref="D44:D45">
    <cfRule type="expression" dxfId="26" priority="27">
      <formula>B44=1</formula>
    </cfRule>
  </conditionalFormatting>
  <conditionalFormatting sqref="D47:D56">
    <cfRule type="expression" dxfId="25" priority="26">
      <formula>B47=1</formula>
    </cfRule>
  </conditionalFormatting>
  <conditionalFormatting sqref="D59:D60">
    <cfRule type="expression" dxfId="24" priority="25">
      <formula>B59=1</formula>
    </cfRule>
  </conditionalFormatting>
  <conditionalFormatting sqref="D63:D64">
    <cfRule type="expression" dxfId="23" priority="24">
      <formula>B63=1</formula>
    </cfRule>
  </conditionalFormatting>
  <conditionalFormatting sqref="D66:D67">
    <cfRule type="expression" dxfId="22" priority="23">
      <formula>B66=1</formula>
    </cfRule>
  </conditionalFormatting>
  <conditionalFormatting sqref="D70:D72">
    <cfRule type="expression" dxfId="21" priority="22">
      <formula>B70=1</formula>
    </cfRule>
  </conditionalFormatting>
  <conditionalFormatting sqref="D75:D77">
    <cfRule type="expression" dxfId="20" priority="21">
      <formula>B75=1</formula>
    </cfRule>
  </conditionalFormatting>
  <conditionalFormatting sqref="D80:D82">
    <cfRule type="expression" dxfId="19" priority="20">
      <formula>B80=1</formula>
    </cfRule>
  </conditionalFormatting>
  <conditionalFormatting sqref="D90:D94">
    <cfRule type="expression" dxfId="18" priority="19">
      <formula>B90=1</formula>
    </cfRule>
  </conditionalFormatting>
  <conditionalFormatting sqref="D96">
    <cfRule type="expression" dxfId="17" priority="18">
      <formula>B96=1</formula>
    </cfRule>
  </conditionalFormatting>
  <conditionalFormatting sqref="D99:D104">
    <cfRule type="expression" dxfId="16" priority="17">
      <formula>B99=1</formula>
    </cfRule>
  </conditionalFormatting>
  <conditionalFormatting sqref="D108:D109">
    <cfRule type="expression" dxfId="15" priority="16">
      <formula>B108=1</formula>
    </cfRule>
  </conditionalFormatting>
  <conditionalFormatting sqref="D111">
    <cfRule type="expression" dxfId="14" priority="15">
      <formula>B111=1</formula>
    </cfRule>
  </conditionalFormatting>
  <conditionalFormatting sqref="D113">
    <cfRule type="expression" dxfId="13" priority="14">
      <formula>B113=1</formula>
    </cfRule>
  </conditionalFormatting>
  <conditionalFormatting sqref="D115:D116">
    <cfRule type="expression" dxfId="12" priority="13">
      <formula>B115=1</formula>
    </cfRule>
  </conditionalFormatting>
  <conditionalFormatting sqref="D118:D121">
    <cfRule type="expression" dxfId="11" priority="12">
      <formula>B118=1</formula>
    </cfRule>
  </conditionalFormatting>
  <conditionalFormatting sqref="D123:D127">
    <cfRule type="expression" dxfId="10" priority="11">
      <formula>B123=1</formula>
    </cfRule>
  </conditionalFormatting>
  <conditionalFormatting sqref="D129:D131">
    <cfRule type="expression" dxfId="9" priority="10">
      <formula>B129=1</formula>
    </cfRule>
  </conditionalFormatting>
  <conditionalFormatting sqref="D133:D134">
    <cfRule type="expression" dxfId="8" priority="9">
      <formula>B133=1</formula>
    </cfRule>
  </conditionalFormatting>
  <conditionalFormatting sqref="D139:D143">
    <cfRule type="expression" dxfId="7" priority="8">
      <formula>B139=1</formula>
    </cfRule>
  </conditionalFormatting>
  <conditionalFormatting sqref="D146:D147">
    <cfRule type="expression" dxfId="6" priority="7">
      <formula>B146=1</formula>
    </cfRule>
  </conditionalFormatting>
  <conditionalFormatting sqref="D149:D150">
    <cfRule type="expression" dxfId="5" priority="6">
      <formula>B149=1</formula>
    </cfRule>
  </conditionalFormatting>
  <conditionalFormatting sqref="D153">
    <cfRule type="expression" dxfId="4" priority="4">
      <formula>B153=1</formula>
    </cfRule>
  </conditionalFormatting>
  <conditionalFormatting sqref="D155:D161">
    <cfRule type="expression" dxfId="3" priority="5">
      <formula>B155=1</formula>
    </cfRule>
  </conditionalFormatting>
  <conditionalFormatting sqref="D163">
    <cfRule type="expression" dxfId="2" priority="3">
      <formula>B163=1</formula>
    </cfRule>
  </conditionalFormatting>
  <conditionalFormatting sqref="D200:D201">
    <cfRule type="expression" dxfId="1" priority="2">
      <formula>B200=1</formula>
    </cfRule>
  </conditionalFormatting>
  <conditionalFormatting sqref="D227:D276">
    <cfRule type="expression" dxfId="0" priority="30">
      <formula>B227=1</formula>
    </cfRule>
  </conditionalFormatting>
  <dataValidations count="5">
    <dataValidation type="list" allowBlank="1" showInputMessage="1" showErrorMessage="1" sqref="G13" xr:uid="{EDB8E726-650B-400D-8AF5-B0B77D18BC3D}">
      <formula1>"BUY,SELL,ADD,REDUCE"</formula1>
    </dataValidation>
    <dataValidation type="list" allowBlank="1" showInputMessage="1" showErrorMessage="1" sqref="C1:C34" xr:uid="{6602B6CC-91EA-4F15-A864-1EE1899D6A27}">
      <formula1>"Input,Calculated"</formula1>
    </dataValidation>
    <dataValidation type="list" allowBlank="1" showInputMessage="1" showErrorMessage="1" sqref="H2:BB2" xr:uid="{E438494B-16B5-42FF-94AB-B3DC31820E30}">
      <formula1>"A,E"</formula1>
    </dataValidation>
    <dataValidation type="list" allowBlank="1" showInputMessage="1" showErrorMessage="1" sqref="F37:F82 F178:F184 F7:F34 F171:F175 F187:F192 F195:F197 F227:F276 F87:F105 F108:F135 F201:F224 F139:F166" xr:uid="{46994349-EB88-4314-AD93-07A6D2EC5242}">
      <formula1>"th,mn,bn,tr,%,x,bps,days"</formula1>
    </dataValidation>
    <dataValidation type="list" allowBlank="1" showInputMessage="1" showErrorMessage="1" sqref="D87:D105 D38:D82 D227:D276 D171:D175 D178:D184 D202:D224 D187:D192 D195:D197 D139:D167 D108:D137" xr:uid="{33D489BA-4309-4566-A56B-CB993CDA9531}">
      <formula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E4BD0-E992-481A-9E02-71181ADB4E1A}">
  <dimension ref="B2:AI117"/>
  <sheetViews>
    <sheetView showGridLines="0" zoomScaleNormal="100" workbookViewId="0">
      <pane xSplit="2" ySplit="3" topLeftCell="H60" activePane="bottomRight" state="frozen"/>
      <selection pane="topRight" activeCell="C1" sqref="C1"/>
      <selection pane="bottomLeft" activeCell="A4" sqref="A4"/>
      <selection pane="bottomRight" activeCell="H65" sqref="H65:O65"/>
    </sheetView>
  </sheetViews>
  <sheetFormatPr defaultRowHeight="15" x14ac:dyDescent="0.25"/>
  <cols>
    <col min="2" max="2" width="39.7109375" customWidth="1"/>
    <col min="3" max="3" width="9" customWidth="1"/>
    <col min="19" max="19" width="28.5703125" customWidth="1"/>
    <col min="20" max="20" width="15.28515625" customWidth="1"/>
    <col min="21" max="21" width="12.5703125" customWidth="1"/>
    <col min="28" max="28" width="22" customWidth="1"/>
    <col min="29" max="29" width="16.5703125" customWidth="1"/>
    <col min="30" max="30" width="26.28515625" customWidth="1"/>
    <col min="31" max="31" width="15" customWidth="1"/>
  </cols>
  <sheetData>
    <row r="2" spans="2:16" x14ac:dyDescent="0.25">
      <c r="B2" s="577" t="s">
        <v>934</v>
      </c>
      <c r="C2" s="578"/>
      <c r="D2" s="578"/>
      <c r="E2" s="578"/>
      <c r="F2" s="578"/>
      <c r="G2" s="578"/>
      <c r="H2" s="578"/>
      <c r="I2" s="578"/>
      <c r="J2" s="578"/>
      <c r="K2" s="578"/>
      <c r="L2" s="578"/>
      <c r="M2" s="578"/>
      <c r="N2" s="578"/>
      <c r="O2" s="578"/>
    </row>
    <row r="3" spans="2:16" x14ac:dyDescent="0.25">
      <c r="B3" s="579" t="s">
        <v>340</v>
      </c>
      <c r="C3" s="629" t="s">
        <v>22</v>
      </c>
      <c r="D3" s="630" t="s">
        <v>23</v>
      </c>
      <c r="E3" s="630" t="s">
        <v>24</v>
      </c>
      <c r="F3" s="630" t="s">
        <v>25</v>
      </c>
      <c r="G3" s="630" t="s">
        <v>26</v>
      </c>
      <c r="H3" s="630" t="s">
        <v>27</v>
      </c>
      <c r="I3" s="630" t="s">
        <v>273</v>
      </c>
      <c r="J3" s="630" t="s">
        <v>347</v>
      </c>
      <c r="K3" s="630" t="s">
        <v>348</v>
      </c>
      <c r="L3" s="630" t="s">
        <v>178</v>
      </c>
      <c r="M3" s="630" t="s">
        <v>179</v>
      </c>
      <c r="N3" s="630" t="s">
        <v>231</v>
      </c>
      <c r="O3" s="630" t="s">
        <v>232</v>
      </c>
    </row>
    <row r="4" spans="2:16" x14ac:dyDescent="0.25">
      <c r="B4" s="581" t="s">
        <v>935</v>
      </c>
      <c r="C4" s="582"/>
      <c r="D4" s="582"/>
      <c r="E4" s="582"/>
      <c r="F4" s="582"/>
      <c r="G4" s="582"/>
      <c r="H4" s="582"/>
      <c r="I4" s="582"/>
      <c r="J4" s="582"/>
      <c r="K4" s="582"/>
      <c r="L4" s="582"/>
      <c r="M4" s="582"/>
      <c r="N4" s="582"/>
      <c r="O4" s="582"/>
    </row>
    <row r="5" spans="2:16" x14ac:dyDescent="0.25">
      <c r="B5" s="583" t="s">
        <v>797</v>
      </c>
      <c r="C5" s="584">
        <f>Consol!G16</f>
        <v>9980.9359999999979</v>
      </c>
      <c r="D5" s="584">
        <f>Consol!H16</f>
        <v>10802.602000000001</v>
      </c>
      <c r="E5" s="584">
        <f>Consol!I16</f>
        <v>11431.453</v>
      </c>
      <c r="F5" s="584">
        <f>Consol!J16</f>
        <v>16035.705</v>
      </c>
      <c r="G5" s="584">
        <f>Consol!K16</f>
        <v>22730.587999999996</v>
      </c>
      <c r="H5" s="584">
        <f>Consol!L16</f>
        <v>31947.396000000001</v>
      </c>
      <c r="I5" s="584">
        <f>Consol!M16</f>
        <v>37628.899999999994</v>
      </c>
      <c r="J5" s="584">
        <f>Consol!N16</f>
        <v>44761.4</v>
      </c>
      <c r="K5" s="584">
        <f>Consol!O16</f>
        <v>53614.400000000001</v>
      </c>
      <c r="L5" s="584">
        <f ca="1">Consol!P16</f>
        <v>72935.367693299719</v>
      </c>
      <c r="M5" s="584">
        <f ca="1">Consol!Q16</f>
        <v>108672.59111019592</v>
      </c>
      <c r="N5" s="584">
        <f ca="1">Consol!R16</f>
        <v>144351.18628049517</v>
      </c>
      <c r="O5" s="584">
        <f ca="1">Consol!S16</f>
        <v>188550.73544122337</v>
      </c>
      <c r="P5" s="1023">
        <f ca="1">(N5/J5)^(1/4)-1</f>
        <v>0.3400752120987609</v>
      </c>
    </row>
    <row r="6" spans="2:16" x14ac:dyDescent="0.25">
      <c r="B6" s="585" t="s">
        <v>936</v>
      </c>
      <c r="C6" s="586"/>
      <c r="D6" s="586"/>
      <c r="E6" s="586"/>
      <c r="F6" s="586"/>
      <c r="G6" s="586"/>
      <c r="H6" s="586"/>
      <c r="I6" s="586"/>
      <c r="J6" s="586"/>
      <c r="K6" s="586"/>
      <c r="L6" s="586"/>
      <c r="M6" s="586"/>
      <c r="N6" s="586"/>
      <c r="O6" s="586"/>
    </row>
    <row r="7" spans="2:16" x14ac:dyDescent="0.25">
      <c r="B7" s="587" t="s">
        <v>34</v>
      </c>
      <c r="C7" s="588">
        <f>Consol!G23</f>
        <v>5878.3559999999979</v>
      </c>
      <c r="D7" s="588">
        <f>Consol!H23</f>
        <v>6121.4070000000011</v>
      </c>
      <c r="E7" s="588">
        <f>Consol!I23</f>
        <v>6191.9619999999995</v>
      </c>
      <c r="F7" s="588">
        <f>Consol!J23</f>
        <v>8164.3949999999995</v>
      </c>
      <c r="G7" s="588">
        <f>Consol!K23</f>
        <v>11094.307999999995</v>
      </c>
      <c r="H7" s="588">
        <f>Consol!L23</f>
        <v>16201.896000000001</v>
      </c>
      <c r="I7" s="588">
        <f>Consol!M23</f>
        <v>19645.599999999995</v>
      </c>
      <c r="J7" s="588">
        <f>Consol!N23</f>
        <v>22621.8</v>
      </c>
      <c r="K7" s="588">
        <f>Consol!O23</f>
        <v>26037.3</v>
      </c>
      <c r="L7" s="588">
        <f ca="1">Consol!P23</f>
        <v>29530.876404599338</v>
      </c>
      <c r="M7" s="588">
        <f ca="1">Consol!Q23</f>
        <v>47439.420981768133</v>
      </c>
      <c r="N7" s="588">
        <f ca="1">Consol!R23</f>
        <v>57966.427748387025</v>
      </c>
      <c r="O7" s="588">
        <f ca="1">Consol!S23</f>
        <v>75506.814117133807</v>
      </c>
      <c r="P7" s="1023">
        <f ca="1">(N7/J7)^(1/4)-1</f>
        <v>0.26520921009422627</v>
      </c>
    </row>
    <row r="8" spans="2:16" ht="15" customHeight="1" x14ac:dyDescent="0.25">
      <c r="B8" s="585" t="s">
        <v>199</v>
      </c>
      <c r="C8" s="589">
        <f>Consol!G28</f>
        <v>1571.402</v>
      </c>
      <c r="D8" s="589">
        <f>Consol!H28</f>
        <v>2524.951</v>
      </c>
      <c r="E8" s="589">
        <f>Consol!I28</f>
        <v>2018.5730000000001</v>
      </c>
      <c r="F8" s="589">
        <f>Consol!J28</f>
        <v>2706.55</v>
      </c>
      <c r="G8" s="589">
        <f>Consol!K28</f>
        <v>3695.05</v>
      </c>
      <c r="H8" s="589">
        <f>Consol!L28</f>
        <v>3912.23</v>
      </c>
      <c r="I8" s="589">
        <f>Consol!M28</f>
        <v>4364.8</v>
      </c>
      <c r="J8" s="589">
        <f>Consol!N28</f>
        <v>5465.5</v>
      </c>
      <c r="K8" s="589">
        <f>Consol!O28</f>
        <v>6141.2</v>
      </c>
      <c r="L8" s="589">
        <f>Consol!P28</f>
        <v>7453.8824749999994</v>
      </c>
      <c r="M8" s="589">
        <f>Consol!Q28</f>
        <v>12460.683949999999</v>
      </c>
      <c r="N8" s="589">
        <f>Consol!R28</f>
        <v>18408.265199999998</v>
      </c>
      <c r="O8" s="589">
        <f>Consol!S28</f>
        <v>24495.596449999997</v>
      </c>
    </row>
    <row r="9" spans="2:16" ht="15" customHeight="1" x14ac:dyDescent="0.25">
      <c r="B9" s="587" t="s">
        <v>38</v>
      </c>
      <c r="C9" s="590">
        <f t="shared" ref="C9:M9" si="0">C7-C8</f>
        <v>4306.9539999999979</v>
      </c>
      <c r="D9" s="590">
        <f t="shared" si="0"/>
        <v>3596.456000000001</v>
      </c>
      <c r="E9" s="590">
        <f t="shared" si="0"/>
        <v>4173.3889999999992</v>
      </c>
      <c r="F9" s="590">
        <f t="shared" si="0"/>
        <v>5457.8449999999993</v>
      </c>
      <c r="G9" s="590">
        <f t="shared" si="0"/>
        <v>7399.2579999999953</v>
      </c>
      <c r="H9" s="590">
        <f t="shared" si="0"/>
        <v>12289.666000000001</v>
      </c>
      <c r="I9" s="590">
        <f t="shared" si="0"/>
        <v>15280.799999999996</v>
      </c>
      <c r="J9" s="590">
        <f t="shared" si="0"/>
        <v>17156.3</v>
      </c>
      <c r="K9" s="590">
        <f t="shared" si="0"/>
        <v>19896.099999999999</v>
      </c>
      <c r="L9" s="590">
        <f t="shared" ca="1" si="0"/>
        <v>22076.993929599339</v>
      </c>
      <c r="M9" s="590">
        <f t="shared" ca="1" si="0"/>
        <v>34978.737031768134</v>
      </c>
      <c r="N9" s="590">
        <f ca="1">N7-N8</f>
        <v>39558.16254838703</v>
      </c>
      <c r="O9" s="590">
        <f ca="1">O7-O8</f>
        <v>51011.217667133809</v>
      </c>
    </row>
    <row r="10" spans="2:16" ht="15" customHeight="1" x14ac:dyDescent="0.25">
      <c r="B10" s="585" t="s">
        <v>36</v>
      </c>
      <c r="C10" s="589">
        <f>Consol!G27</f>
        <v>766.755</v>
      </c>
      <c r="D10" s="589">
        <f>Consol!H27</f>
        <v>1013.331</v>
      </c>
      <c r="E10" s="589">
        <f>Consol!I27</f>
        <v>942.20699999999999</v>
      </c>
      <c r="F10" s="589">
        <f>Consol!J27</f>
        <v>746.93</v>
      </c>
      <c r="G10" s="589">
        <f>Consol!K27</f>
        <v>1056.79</v>
      </c>
      <c r="H10" s="589">
        <f>Consol!L27</f>
        <v>1781.13</v>
      </c>
      <c r="I10" s="589">
        <f>Consol!M27</f>
        <v>2694.1</v>
      </c>
      <c r="J10" s="589">
        <f>Consol!N27</f>
        <v>3529.5</v>
      </c>
      <c r="K10" s="589">
        <f>Consol!O27</f>
        <v>3459.5</v>
      </c>
      <c r="L10" s="589">
        <f ca="1">Consol!P27</f>
        <v>3758.2464024573082</v>
      </c>
      <c r="M10" s="589">
        <f ca="1">Consol!Q27</f>
        <v>4332.5419641836579</v>
      </c>
      <c r="N10" s="589">
        <f ca="1">Consol!R27</f>
        <v>2879.4491632562163</v>
      </c>
      <c r="O10" s="589">
        <f ca="1">Consol!S27</f>
        <v>1594.2852642714658</v>
      </c>
    </row>
    <row r="11" spans="2:16" ht="15" customHeight="1" x14ac:dyDescent="0.25">
      <c r="B11" s="587" t="s">
        <v>937</v>
      </c>
      <c r="C11" s="588">
        <f>Consol!G32</f>
        <v>1298.942</v>
      </c>
      <c r="D11" s="588">
        <f>Consol!H32</f>
        <v>1771.365</v>
      </c>
      <c r="E11" s="588">
        <f>Consol!I32</f>
        <v>2774.5830000000001</v>
      </c>
      <c r="F11" s="588">
        <f>Consol!J32</f>
        <v>2278.5700000000002</v>
      </c>
      <c r="G11" s="588">
        <f>Consol!K32</f>
        <v>4196.22</v>
      </c>
      <c r="H11" s="588">
        <f>Consol!L32</f>
        <v>5960.8</v>
      </c>
      <c r="I11" s="588">
        <f>Consol!M32</f>
        <v>3324.6</v>
      </c>
      <c r="J11" s="588">
        <f>Consol!N32</f>
        <v>2657.4</v>
      </c>
      <c r="K11" s="588">
        <f>Consol!O32</f>
        <v>3829.9</v>
      </c>
      <c r="L11" s="588">
        <f>Consol!P32</f>
        <v>4783.0374513424667</v>
      </c>
      <c r="M11" s="588">
        <f>Consol!Q32</f>
        <v>8558.4778248657531</v>
      </c>
      <c r="N11" s="588">
        <f>Consol!R32</f>
        <v>10931.457055279452</v>
      </c>
      <c r="O11" s="588">
        <f>Consol!S32</f>
        <v>15540.224814060279</v>
      </c>
      <c r="P11" s="1023">
        <f>(N11/J11)^(1/4)-1</f>
        <v>0.42414851245437935</v>
      </c>
    </row>
    <row r="12" spans="2:16" ht="15" customHeight="1" x14ac:dyDescent="0.25">
      <c r="B12" s="585" t="s">
        <v>938</v>
      </c>
      <c r="C12" s="589">
        <f>Consol!G33</f>
        <v>0</v>
      </c>
      <c r="D12" s="589">
        <f>Consol!H33</f>
        <v>0</v>
      </c>
      <c r="E12" s="589">
        <f>Consol!I33</f>
        <v>0</v>
      </c>
      <c r="F12" s="589">
        <f>Consol!J33</f>
        <v>0</v>
      </c>
      <c r="G12" s="589">
        <f>Consol!K33</f>
        <v>0</v>
      </c>
      <c r="H12" s="589">
        <f>Consol!L33</f>
        <v>0</v>
      </c>
      <c r="I12" s="589">
        <f>Consol!M33</f>
        <v>0</v>
      </c>
      <c r="J12" s="589">
        <f>Consol!N33</f>
        <v>0</v>
      </c>
      <c r="K12" s="589">
        <f>Consol!O33</f>
        <v>797.3</v>
      </c>
      <c r="L12" s="589">
        <f>Consol!P33</f>
        <v>0</v>
      </c>
      <c r="M12" s="589">
        <f>Consol!Q33</f>
        <v>0</v>
      </c>
      <c r="N12" s="589">
        <f>Consol!R33</f>
        <v>0</v>
      </c>
      <c r="O12" s="589">
        <f>Consol!S33</f>
        <v>0</v>
      </c>
    </row>
    <row r="13" spans="2:16" ht="15" customHeight="1" x14ac:dyDescent="0.25">
      <c r="B13" s="587" t="s">
        <v>40</v>
      </c>
      <c r="C13" s="590">
        <f>Consol!G35</f>
        <v>3774.766999999998</v>
      </c>
      <c r="D13" s="590">
        <f>Consol!H35</f>
        <v>2838.4220000000014</v>
      </c>
      <c r="E13" s="590">
        <f>Consol!I35</f>
        <v>2341.0129999999995</v>
      </c>
      <c r="F13" s="590">
        <f>Consol!J35</f>
        <v>3926.2049999999986</v>
      </c>
      <c r="G13" s="590">
        <f>Consol!K35</f>
        <v>4259.827999999995</v>
      </c>
      <c r="H13" s="590">
        <f>Consol!L35</f>
        <v>8109.9960000000019</v>
      </c>
      <c r="I13" s="590">
        <f>Consol!M35</f>
        <v>14650.299999999994</v>
      </c>
      <c r="J13" s="590">
        <f>Consol!N35</f>
        <v>18028.399999999998</v>
      </c>
      <c r="K13" s="590">
        <f>Consol!O35</f>
        <v>18728.399999999998</v>
      </c>
      <c r="L13" s="590">
        <f ca="1">Consol!P35</f>
        <v>21052.202880714176</v>
      </c>
      <c r="M13" s="590">
        <f ca="1">Consol!Q35</f>
        <v>30752.801171086037</v>
      </c>
      <c r="N13" s="590">
        <f ca="1">Consol!R35</f>
        <v>31506.154656363789</v>
      </c>
      <c r="O13" s="590">
        <f ca="1">Consol!S35</f>
        <v>37065.278117345006</v>
      </c>
    </row>
    <row r="14" spans="2:16" ht="15" customHeight="1" x14ac:dyDescent="0.25">
      <c r="B14" s="585" t="s">
        <v>939</v>
      </c>
      <c r="C14" s="591">
        <f>Consol!G49</f>
        <v>2808.1369999999979</v>
      </c>
      <c r="D14" s="591">
        <f>Consol!H49</f>
        <v>2667.2440000000011</v>
      </c>
      <c r="E14" s="591">
        <f>Consol!I49</f>
        <v>1904.2409999999995</v>
      </c>
      <c r="F14" s="591">
        <f>Consol!J49</f>
        <v>2913.8549999999982</v>
      </c>
      <c r="G14" s="591">
        <f>Consol!K49</f>
        <v>3279.4579999999951</v>
      </c>
      <c r="H14" s="591">
        <f>Consol!L49</f>
        <v>7398.376000000002</v>
      </c>
      <c r="I14" s="591">
        <f>Consol!M49</f>
        <v>11559.099999999995</v>
      </c>
      <c r="J14" s="591">
        <f>Consol!N49</f>
        <v>15030.799999999997</v>
      </c>
      <c r="K14" s="591">
        <f>Consol!O49</f>
        <v>15233.099999999999</v>
      </c>
      <c r="L14" s="591">
        <f ca="1">Consol!P49</f>
        <v>15958.309621090328</v>
      </c>
      <c r="M14" s="591">
        <f ca="1">Consol!Q49</f>
        <v>23388.56323225053</v>
      </c>
      <c r="N14" s="591">
        <f ca="1">Consol!R49</f>
        <v>24445.425374514682</v>
      </c>
      <c r="O14" s="591">
        <f ca="1">Consol!S49</f>
        <v>27948.574340134601</v>
      </c>
    </row>
    <row r="15" spans="2:16" ht="15" customHeight="1" x14ac:dyDescent="0.25">
      <c r="B15" s="583" t="s">
        <v>940</v>
      </c>
      <c r="C15" s="584">
        <f t="shared" ref="C15:I15" si="1">C14+C12</f>
        <v>2808.1369999999979</v>
      </c>
      <c r="D15" s="584">
        <f t="shared" si="1"/>
        <v>2667.2440000000011</v>
      </c>
      <c r="E15" s="584">
        <f t="shared" si="1"/>
        <v>1904.2409999999995</v>
      </c>
      <c r="F15" s="584">
        <f t="shared" si="1"/>
        <v>2913.8549999999982</v>
      </c>
      <c r="G15" s="584">
        <f t="shared" si="1"/>
        <v>3279.4579999999951</v>
      </c>
      <c r="H15" s="584">
        <f t="shared" si="1"/>
        <v>7398.376000000002</v>
      </c>
      <c r="I15" s="584">
        <f t="shared" si="1"/>
        <v>11559.099999999995</v>
      </c>
      <c r="J15" s="584">
        <f t="shared" ref="J15:O15" si="2">J14+J12</f>
        <v>15030.799999999997</v>
      </c>
      <c r="K15" s="584">
        <f t="shared" si="2"/>
        <v>16030.399999999998</v>
      </c>
      <c r="L15" s="584">
        <f t="shared" ca="1" si="2"/>
        <v>15958.309621090328</v>
      </c>
      <c r="M15" s="584">
        <f t="shared" ca="1" si="2"/>
        <v>23388.56323225053</v>
      </c>
      <c r="N15" s="584">
        <f t="shared" ca="1" si="2"/>
        <v>24445.425374514682</v>
      </c>
      <c r="O15" s="584">
        <f t="shared" ca="1" si="2"/>
        <v>27948.574340134601</v>
      </c>
    </row>
    <row r="16" spans="2:16" ht="15" customHeight="1" x14ac:dyDescent="0.25">
      <c r="B16" s="592" t="s">
        <v>941</v>
      </c>
      <c r="C16" s="593">
        <f t="shared" ref="C16:O16" si="3">C15/C75</f>
        <v>1.3372080952380943</v>
      </c>
      <c r="D16" s="593">
        <f t="shared" si="3"/>
        <v>1.2701161904761911</v>
      </c>
      <c r="E16" s="593">
        <f t="shared" si="3"/>
        <v>0.90678142857142829</v>
      </c>
      <c r="F16" s="593">
        <f t="shared" si="3"/>
        <v>1.3875499999999992</v>
      </c>
      <c r="G16" s="593">
        <f t="shared" si="3"/>
        <v>1.5616466666666644</v>
      </c>
      <c r="H16" s="593">
        <f t="shared" si="3"/>
        <v>3.5230361904761915</v>
      </c>
      <c r="I16" s="593">
        <f t="shared" si="3"/>
        <v>5.5043333333333306</v>
      </c>
      <c r="J16" s="593">
        <f t="shared" si="3"/>
        <v>7.1575238095238083</v>
      </c>
      <c r="K16" s="593">
        <f t="shared" si="3"/>
        <v>7.6335238095238083</v>
      </c>
      <c r="L16" s="593">
        <f t="shared" ca="1" si="3"/>
        <v>6.8490599232147327</v>
      </c>
      <c r="M16" s="593">
        <f t="shared" ca="1" si="3"/>
        <v>10.038009970922975</v>
      </c>
      <c r="N16" s="593">
        <f t="shared" ca="1" si="3"/>
        <v>10.491598873182268</v>
      </c>
      <c r="O16" s="593">
        <f t="shared" ca="1" si="3"/>
        <v>11.995096283319571</v>
      </c>
      <c r="P16" s="1023">
        <f ca="1">(N16/J16)^(1/4)-1</f>
        <v>0.10032180417821257</v>
      </c>
    </row>
    <row r="17" spans="2:31" ht="15" customHeight="1" x14ac:dyDescent="0.25">
      <c r="B17" s="594" t="s">
        <v>59</v>
      </c>
      <c r="C17" s="595"/>
      <c r="D17" s="595"/>
      <c r="E17" s="595"/>
      <c r="F17" s="595"/>
      <c r="G17" s="595"/>
      <c r="H17" s="596"/>
      <c r="I17" s="596">
        <f>+I15/H15-1</f>
        <v>0.5623834203614404</v>
      </c>
      <c r="J17" s="596">
        <f>+J16/I16-1</f>
        <v>0.30034345234490623</v>
      </c>
      <c r="K17" s="596">
        <f>+K16/J16-1</f>
        <v>6.6503446257018872E-2</v>
      </c>
      <c r="L17" s="595"/>
      <c r="M17" s="595"/>
      <c r="N17" s="595"/>
      <c r="O17" s="595"/>
      <c r="S17" s="631" t="s">
        <v>994</v>
      </c>
      <c r="T17" s="632">
        <f>Valuation!$C$3</f>
        <v>2330</v>
      </c>
      <c r="U17" s="597"/>
      <c r="V17" s="597"/>
      <c r="W17" s="597"/>
      <c r="X17" s="597"/>
      <c r="Y17" s="597"/>
      <c r="Z17" s="597"/>
      <c r="AA17" s="597"/>
      <c r="AB17" s="597"/>
      <c r="AC17" s="597"/>
      <c r="AD17" s="597"/>
      <c r="AE17" s="597"/>
    </row>
    <row r="18" spans="2:31" ht="15" customHeight="1" x14ac:dyDescent="0.25">
      <c r="B18" s="585" t="s">
        <v>942</v>
      </c>
      <c r="C18" s="591">
        <f>Consol!G65+Consol!G66+Consol!G69</f>
        <v>28048.97</v>
      </c>
      <c r="D18" s="591">
        <f>Consol!H65+Consol!H66+Consol!H69</f>
        <v>30847.182999999997</v>
      </c>
      <c r="E18" s="591">
        <f>Consol!I65+Consol!I66+Consol!I69</f>
        <v>27513.163</v>
      </c>
      <c r="F18" s="591">
        <f>Consol!J65+Consol!J66+Consol!J69</f>
        <v>30884.31</v>
      </c>
      <c r="G18" s="591">
        <f>Consol!K65+Consol!K66+Consol!K69</f>
        <v>34718.769999999997</v>
      </c>
      <c r="H18" s="591">
        <f>Consol!L65+Consol!L66+Consol!L69</f>
        <v>40888.730000000003</v>
      </c>
      <c r="I18" s="591">
        <f>Consol!M65+Consol!M66+Consol!M69</f>
        <v>82310.200000000012</v>
      </c>
      <c r="J18" s="591">
        <f>Consol!N65+Consol!N66+Consol!N69</f>
        <v>104887</v>
      </c>
      <c r="K18" s="591">
        <f>Consol!O65+Consol!O66+Consol!O69</f>
        <v>116927.4</v>
      </c>
      <c r="L18" s="591">
        <f ca="1">Consol!P65+Consol!P66+Consol!P69</f>
        <v>198213.62109242621</v>
      </c>
      <c r="M18" s="591">
        <f ca="1">Consol!Q65+Consol!Q66+Consol!Q69</f>
        <v>219394.17841800328</v>
      </c>
      <c r="N18" s="591">
        <f ca="1">Consol!R65+Consol!R66+Consol!R69</f>
        <v>241665.65109815256</v>
      </c>
      <c r="O18" s="591">
        <f ca="1">Consol!S65+Consol!S66+Consol!S69</f>
        <v>267222.7391088655</v>
      </c>
      <c r="S18" s="597"/>
      <c r="T18" s="597"/>
      <c r="U18" s="597"/>
      <c r="V18" s="597"/>
      <c r="W18" s="597"/>
      <c r="X18" s="597"/>
      <c r="Y18" s="597"/>
      <c r="Z18" s="597"/>
      <c r="AA18" s="597"/>
      <c r="AB18" s="597"/>
      <c r="AC18" s="597"/>
      <c r="AD18" s="597"/>
      <c r="AE18" s="597"/>
    </row>
    <row r="19" spans="2:31" ht="15" customHeight="1" x14ac:dyDescent="0.25">
      <c r="B19" s="587" t="s">
        <v>943</v>
      </c>
      <c r="C19" s="588">
        <f>Consol!G78</f>
        <v>16799.911</v>
      </c>
      <c r="D19" s="588">
        <f>Consol!H78</f>
        <v>20001.205999999998</v>
      </c>
      <c r="E19" s="588">
        <f>Consol!I78</f>
        <v>27167.16</v>
      </c>
      <c r="F19" s="588">
        <f>Consol!J78</f>
        <v>39458.18</v>
      </c>
      <c r="G19" s="588">
        <f>Consol!K78</f>
        <v>44086.94</v>
      </c>
      <c r="H19" s="588">
        <f>Consol!L78</f>
        <v>42436.98</v>
      </c>
      <c r="I19" s="588">
        <f>Consol!M78</f>
        <v>43806.8</v>
      </c>
      <c r="J19" s="588">
        <f>Consol!N78</f>
        <v>46588.299999999996</v>
      </c>
      <c r="K19" s="588">
        <f>Consol!O78</f>
        <v>64098.5</v>
      </c>
      <c r="L19" s="588">
        <f>Consol!P78</f>
        <v>103257.8912300848</v>
      </c>
      <c r="M19" s="588">
        <f>Consol!Q78</f>
        <v>133158.67992260426</v>
      </c>
      <c r="N19" s="588">
        <f>Consol!R78</f>
        <v>137065.13864899508</v>
      </c>
      <c r="O19" s="588">
        <f>Consol!S78</f>
        <v>153554.57116598682</v>
      </c>
      <c r="S19" s="597"/>
      <c r="T19" s="597"/>
      <c r="U19" s="597"/>
      <c r="V19" s="597"/>
      <c r="W19" s="597"/>
      <c r="X19" s="597"/>
      <c r="Y19" s="597"/>
      <c r="Z19" s="597"/>
      <c r="AA19" s="597"/>
      <c r="AB19" s="597"/>
      <c r="AC19" s="597"/>
      <c r="AD19" s="597"/>
      <c r="AE19" s="597"/>
    </row>
    <row r="20" spans="2:31" ht="15" customHeight="1" x14ac:dyDescent="0.25">
      <c r="B20" s="585" t="s">
        <v>944</v>
      </c>
      <c r="C20" s="591">
        <f>Consol!G79+Consol!G80+Consol!G81+Consol!G111+Consol!G112</f>
        <v>6182.2690000000002</v>
      </c>
      <c r="D20" s="591">
        <f>Consol!H79+Consol!H80+Consol!H81+Consol!H111+Consol!H112</f>
        <v>7355.9229999999998</v>
      </c>
      <c r="E20" s="591">
        <f>Consol!I79+Consol!I80+Consol!I81+Consol!I111+Consol!I112</f>
        <v>13119.782000000001</v>
      </c>
      <c r="F20" s="591">
        <f>Consol!J79+Consol!J80+Consol!J81+Consol!J111+Consol!J112</f>
        <v>10051.65</v>
      </c>
      <c r="G20" s="591">
        <f>Consol!K79+Consol!K80+Consol!K81+Consol!K111+Consol!K112</f>
        <v>12741</v>
      </c>
      <c r="H20" s="591">
        <f>Consol!L79+Consol!L80+Consol!L81+Consol!L111+Consol!L112</f>
        <v>8165.01</v>
      </c>
      <c r="I20" s="591">
        <f>Consol!M79+Consol!M80+Consol!M81+Consol!M111+Consol!M112</f>
        <v>8596.4</v>
      </c>
      <c r="J20" s="591">
        <f>Consol!N79+Consol!N80+Consol!N81+Consol!N111+Consol!N112</f>
        <v>14316.099999999999</v>
      </c>
      <c r="K20" s="591">
        <f>Consol!O79+Consol!O80+Consol!O81+Consol!O111+Consol!O112</f>
        <v>18813.7</v>
      </c>
      <c r="L20" s="591">
        <f>Consol!P79+Consol!P80+Consol!P81+Consol!P111+Consol!P112</f>
        <v>18813.7</v>
      </c>
      <c r="M20" s="591">
        <f>Consol!Q79+Consol!Q80+Consol!Q81+Consol!Q111+Consol!Q112</f>
        <v>18813.7</v>
      </c>
      <c r="N20" s="591">
        <f>Consol!R79+Consol!R80+Consol!R81+Consol!R111+Consol!R112</f>
        <v>18813.7</v>
      </c>
      <c r="O20" s="591">
        <f>Consol!S79+Consol!S80+Consol!S81+Consol!S111+Consol!S112</f>
        <v>18813.7</v>
      </c>
      <c r="S20" s="633" t="s">
        <v>995</v>
      </c>
      <c r="T20" s="634"/>
      <c r="U20" s="634"/>
      <c r="V20" s="634"/>
      <c r="W20" s="634"/>
      <c r="X20" s="597"/>
      <c r="Y20" s="597"/>
      <c r="Z20" s="597"/>
      <c r="AA20" s="597"/>
      <c r="AB20" s="597"/>
      <c r="AC20" s="597"/>
      <c r="AD20" s="597"/>
      <c r="AE20" s="597"/>
    </row>
    <row r="21" spans="2:31" ht="15" customHeight="1" x14ac:dyDescent="0.25">
      <c r="B21" s="813" t="s">
        <v>945</v>
      </c>
      <c r="C21" s="814">
        <f t="shared" ref="C21" si="4">SUM(C18:C20)</f>
        <v>51031.15</v>
      </c>
      <c r="D21" s="814">
        <f t="shared" ref="D21:O21" si="5">SUM(D18:D20)</f>
        <v>58204.311999999998</v>
      </c>
      <c r="E21" s="814">
        <f t="shared" si="5"/>
        <v>67800.10500000001</v>
      </c>
      <c r="F21" s="814">
        <f t="shared" si="5"/>
        <v>80394.14</v>
      </c>
      <c r="G21" s="814">
        <f t="shared" si="5"/>
        <v>91546.709999999992</v>
      </c>
      <c r="H21" s="814">
        <f t="shared" si="5"/>
        <v>91490.72</v>
      </c>
      <c r="I21" s="814">
        <f t="shared" si="5"/>
        <v>134713.40000000002</v>
      </c>
      <c r="J21" s="814">
        <f t="shared" si="5"/>
        <v>165791.4</v>
      </c>
      <c r="K21" s="814">
        <f t="shared" si="5"/>
        <v>199839.6</v>
      </c>
      <c r="L21" s="814">
        <f t="shared" ca="1" si="5"/>
        <v>320285.21232251101</v>
      </c>
      <c r="M21" s="814">
        <f t="shared" ca="1" si="5"/>
        <v>371366.55834060756</v>
      </c>
      <c r="N21" s="814">
        <f t="shared" ca="1" si="5"/>
        <v>397544.48974714766</v>
      </c>
      <c r="O21" s="814">
        <f t="shared" ca="1" si="5"/>
        <v>439591.01027485233</v>
      </c>
      <c r="S21" s="597"/>
      <c r="T21" s="597"/>
      <c r="U21" s="597"/>
      <c r="V21" s="597"/>
      <c r="W21" s="597"/>
      <c r="X21" s="597"/>
      <c r="Y21" s="597"/>
      <c r="Z21" s="597"/>
      <c r="AA21" s="597"/>
      <c r="AB21" s="597"/>
      <c r="AC21" s="597"/>
      <c r="AD21" s="597"/>
      <c r="AE21" s="597"/>
    </row>
    <row r="22" spans="2:31" ht="15" customHeight="1" x14ac:dyDescent="0.25">
      <c r="B22" s="585" t="s">
        <v>946</v>
      </c>
      <c r="C22" s="591">
        <f>Consol!G87</f>
        <v>29525.534</v>
      </c>
      <c r="D22" s="591">
        <f>Consol!H87</f>
        <v>32684.214</v>
      </c>
      <c r="E22" s="591">
        <f>Consol!I87</f>
        <v>41579.557000000001</v>
      </c>
      <c r="F22" s="591">
        <f>Consol!J87</f>
        <v>44786.870999999999</v>
      </c>
      <c r="G22" s="591">
        <f>Consol!K87</f>
        <v>47405.001000000004</v>
      </c>
      <c r="H22" s="591">
        <f>Consol!L87</f>
        <v>48886.498</v>
      </c>
      <c r="I22" s="591">
        <f>Consol!M87</f>
        <v>64231</v>
      </c>
      <c r="J22" s="591">
        <f>Consol!N87</f>
        <v>84934.2</v>
      </c>
      <c r="K22" s="591">
        <f>Consol!O87</f>
        <v>96892.4</v>
      </c>
      <c r="L22" s="591">
        <f>Consol!P87</f>
        <v>132457.82999999999</v>
      </c>
      <c r="M22" s="591">
        <f>Consol!Q87</f>
        <v>250947.83</v>
      </c>
      <c r="N22" s="591">
        <f>Consol!R87</f>
        <v>315460.32999999996</v>
      </c>
      <c r="O22" s="591">
        <f>Consol!S87</f>
        <v>438250.32999999996</v>
      </c>
      <c r="S22" s="635" t="s">
        <v>16</v>
      </c>
      <c r="T22" s="636"/>
      <c r="U22" s="636"/>
      <c r="V22" s="637" t="s">
        <v>1750</v>
      </c>
      <c r="W22" s="637" t="s">
        <v>1971</v>
      </c>
      <c r="X22" s="597"/>
      <c r="Y22" s="597"/>
      <c r="Z22" s="597"/>
      <c r="AA22" s="597"/>
      <c r="AB22" s="638" t="s">
        <v>996</v>
      </c>
      <c r="AC22" s="639"/>
      <c r="AD22" s="639"/>
      <c r="AE22" s="639"/>
    </row>
    <row r="23" spans="2:31" ht="15" customHeight="1" x14ac:dyDescent="0.25">
      <c r="B23" s="626" t="s">
        <v>947</v>
      </c>
      <c r="C23" s="627">
        <f>Consol!G89</f>
        <v>27368.260999999999</v>
      </c>
      <c r="D23" s="627">
        <f>Consol!H89</f>
        <v>29180.328999999998</v>
      </c>
      <c r="E23" s="627">
        <f>Consol!I89</f>
        <v>36437.466</v>
      </c>
      <c r="F23" s="627">
        <f>Consol!J89</f>
        <v>36938.230000000003</v>
      </c>
      <c r="G23" s="627">
        <f>Consol!K89</f>
        <v>38712.123000000007</v>
      </c>
      <c r="H23" s="627">
        <f>Consol!L89</f>
        <v>38451.017</v>
      </c>
      <c r="I23" s="627">
        <f>Consol!M89</f>
        <v>51128.1</v>
      </c>
      <c r="J23" s="627">
        <f>Consol!N89</f>
        <v>68131.7</v>
      </c>
      <c r="K23" s="627">
        <f>Consol!O89</f>
        <v>73948.7</v>
      </c>
      <c r="L23" s="627">
        <f>Consol!P89</f>
        <v>102060.24752499998</v>
      </c>
      <c r="M23" s="627">
        <f>Consol!Q89</f>
        <v>208089.56357499998</v>
      </c>
      <c r="N23" s="627">
        <f>Consol!R89</f>
        <v>254193.79837499995</v>
      </c>
      <c r="O23" s="627">
        <f>Consol!S89</f>
        <v>352488.20192499994</v>
      </c>
      <c r="S23" s="640" t="s">
        <v>997</v>
      </c>
      <c r="T23" s="641"/>
      <c r="U23" s="641"/>
      <c r="V23" s="816">
        <f>(J5/E5)^(1/5)-1</f>
        <v>0.31389435056164738</v>
      </c>
      <c r="W23" s="816">
        <f ca="1">(O5/J5)^(1/5)-1</f>
        <v>0.3332294976612391</v>
      </c>
      <c r="X23" s="597"/>
      <c r="Y23" s="597"/>
      <c r="Z23" s="597"/>
      <c r="AA23" s="597"/>
      <c r="AB23" s="642" t="s">
        <v>998</v>
      </c>
      <c r="AC23" s="642" t="s">
        <v>999</v>
      </c>
      <c r="AD23" s="643" t="s">
        <v>1751</v>
      </c>
      <c r="AE23" s="644" t="s">
        <v>1000</v>
      </c>
    </row>
    <row r="24" spans="2:31" ht="15" customHeight="1" x14ac:dyDescent="0.25">
      <c r="B24" s="585" t="s">
        <v>948</v>
      </c>
      <c r="C24" s="591">
        <f>Consol!G90+Consol!G94</f>
        <v>6326.2280000000001</v>
      </c>
      <c r="D24" s="591">
        <f>Consol!H90+Consol!H94</f>
        <v>8619.9089999999997</v>
      </c>
      <c r="E24" s="591">
        <f>Consol!I90+Consol!I94</f>
        <v>7515.7510000000002</v>
      </c>
      <c r="F24" s="591">
        <f>Consol!J90+Consol!J94</f>
        <v>11250.46</v>
      </c>
      <c r="G24" s="591">
        <f>Consol!K90+Consol!K94</f>
        <v>796.81000000000006</v>
      </c>
      <c r="H24" s="591">
        <f>Consol!L90+Consol!L94</f>
        <v>460.13</v>
      </c>
      <c r="I24" s="591">
        <f>Consol!M90+Consol!M94</f>
        <v>1320.3999999999999</v>
      </c>
      <c r="J24" s="591">
        <f>Consol!N90+Consol!N94</f>
        <v>20202.400000000001</v>
      </c>
      <c r="K24" s="591">
        <f>Consol!O90+Consol!O94</f>
        <v>31884.400000000001</v>
      </c>
      <c r="L24" s="591">
        <f>Consol!P90+Consol!P94</f>
        <v>68707.48658680667</v>
      </c>
      <c r="M24" s="591">
        <f>Consol!Q90+Consol!Q94</f>
        <v>39279.611442786831</v>
      </c>
      <c r="N24" s="591">
        <f>Consol!R90+Consol!R94</f>
        <v>55933.745870964172</v>
      </c>
      <c r="O24" s="591">
        <f>Consol!S90+Consol!S94</f>
        <v>410.2</v>
      </c>
      <c r="S24" s="640" t="s">
        <v>1002</v>
      </c>
      <c r="T24" s="641"/>
      <c r="U24" s="641"/>
      <c r="V24" s="816">
        <f>(J7/E7)^(1/5)-1</f>
        <v>0.29580536945193181</v>
      </c>
      <c r="W24" s="816">
        <f ca="1">(O7/J7)^(1/5)-1</f>
        <v>0.27259964448342866</v>
      </c>
      <c r="X24" s="597"/>
      <c r="Y24" s="597"/>
      <c r="Z24" s="597"/>
      <c r="AA24" s="597"/>
      <c r="AB24" s="646" t="s">
        <v>1001</v>
      </c>
      <c r="AC24" s="647">
        <v>15</v>
      </c>
      <c r="AD24" s="648">
        <f ca="1">Consol!$S$23/1000</f>
        <v>75.5068141171338</v>
      </c>
      <c r="AE24" s="649">
        <f ca="1">AD24*AC24*1000/$T$17</f>
        <v>486.0953698527926</v>
      </c>
    </row>
    <row r="25" spans="2:31" ht="15" customHeight="1" x14ac:dyDescent="0.25">
      <c r="B25" s="626" t="s">
        <v>83</v>
      </c>
      <c r="C25" s="627">
        <f>Consol!G93</f>
        <v>3671.5320000000002</v>
      </c>
      <c r="D25" s="627">
        <f>Consol!H93</f>
        <v>3384.5630000000001</v>
      </c>
      <c r="E25" s="627">
        <f>Consol!I93</f>
        <v>3042.4479999999999</v>
      </c>
      <c r="F25" s="627">
        <f>Consol!J93</f>
        <v>12301.710000000001</v>
      </c>
      <c r="G25" s="627">
        <f>Consol!K93</f>
        <v>22626.789999999997</v>
      </c>
      <c r="H25" s="627">
        <f>Consol!L93</f>
        <v>21294.55</v>
      </c>
      <c r="I25" s="627">
        <f>Consol!M93</f>
        <v>26446.400000000001</v>
      </c>
      <c r="J25" s="627">
        <f>Consol!N93</f>
        <v>25797.599999999999</v>
      </c>
      <c r="K25" s="627">
        <f>Consol!O93</f>
        <v>30357.4</v>
      </c>
      <c r="L25" s="627">
        <f>Consol!P93</f>
        <v>30357.4</v>
      </c>
      <c r="M25" s="627">
        <f>Consol!Q93</f>
        <v>30357.4</v>
      </c>
      <c r="N25" s="627">
        <f>Consol!R93</f>
        <v>30357.4</v>
      </c>
      <c r="O25" s="627">
        <f>Consol!S93</f>
        <v>30357.4</v>
      </c>
      <c r="S25" s="640" t="s">
        <v>1003</v>
      </c>
      <c r="T25" s="641"/>
      <c r="U25" s="641"/>
      <c r="V25" s="816">
        <f>AVERAGE(E57:J57)</f>
        <v>0.51224905218935046</v>
      </c>
      <c r="W25" s="816">
        <f ca="1">AVERAGE(J57:O57)</f>
        <v>0.4390794803960682</v>
      </c>
      <c r="X25" s="597"/>
      <c r="Y25" s="597"/>
      <c r="Z25" s="597"/>
      <c r="AA25" s="597"/>
      <c r="AB25" s="701" t="s">
        <v>1001</v>
      </c>
      <c r="AC25" s="650">
        <v>20</v>
      </c>
      <c r="AD25" s="648">
        <f ca="1">Consol!$S$23/1000</f>
        <v>75.5068141171338</v>
      </c>
      <c r="AE25" s="651">
        <f ca="1">AD25*AC25*1000/$T$17</f>
        <v>648.12715980372354</v>
      </c>
    </row>
    <row r="26" spans="2:31" ht="15" customHeight="1" x14ac:dyDescent="0.25">
      <c r="B26" s="585" t="s">
        <v>898</v>
      </c>
      <c r="C26" s="591">
        <f>Consol!G96+Consol!G102</f>
        <v>283.762</v>
      </c>
      <c r="D26" s="591">
        <f>Consol!H96+Consol!H102</f>
        <v>2297.6239999999998</v>
      </c>
      <c r="E26" s="591">
        <f>Consol!I96+Consol!I102</f>
        <v>3764.4030000000002</v>
      </c>
      <c r="F26" s="591">
        <f>Consol!J96+Consol!J102</f>
        <v>2955.08</v>
      </c>
      <c r="G26" s="591">
        <f>Consol!K96+Consol!K102</f>
        <v>2830.08</v>
      </c>
      <c r="H26" s="591">
        <f>Consol!L96+Consol!L102</f>
        <v>3070.2799999999997</v>
      </c>
      <c r="I26" s="591">
        <f>Consol!M96+Consol!M102</f>
        <v>2444.9</v>
      </c>
      <c r="J26" s="591">
        <f>Consol!N96+Consol!N102</f>
        <v>3127.6</v>
      </c>
      <c r="K26" s="591">
        <f>Consol!O96+Consol!O102</f>
        <v>1218.3999999999999</v>
      </c>
      <c r="L26" s="591">
        <f>Consol!P96+Consol!P102</f>
        <v>1218.3999999999999</v>
      </c>
      <c r="M26" s="591">
        <f>Consol!Q96+Consol!Q102</f>
        <v>1218.3999999999999</v>
      </c>
      <c r="N26" s="591">
        <f>Consol!R96+Consol!R102</f>
        <v>1218.3999999999999</v>
      </c>
      <c r="O26" s="591">
        <f>Consol!S96+Consol!S102</f>
        <v>1218.3999999999999</v>
      </c>
      <c r="S26" s="640" t="s">
        <v>1004</v>
      </c>
      <c r="T26" s="641"/>
      <c r="U26" s="641"/>
      <c r="V26" s="816">
        <f>(J15/E15)^(1/5)-1</f>
        <v>0.51165274450559228</v>
      </c>
      <c r="W26" s="816">
        <f ca="1">(O16/J16)^(1/5)-1</f>
        <v>0.10878715827384711</v>
      </c>
      <c r="X26" s="597"/>
      <c r="Y26" s="597"/>
      <c r="Z26" s="597"/>
      <c r="AA26" s="597"/>
      <c r="AB26" s="652"/>
      <c r="AC26" s="653"/>
      <c r="AD26" s="654"/>
      <c r="AE26" s="654"/>
    </row>
    <row r="27" spans="2:31" ht="15" customHeight="1" x14ac:dyDescent="0.25">
      <c r="B27" s="626" t="s">
        <v>92</v>
      </c>
      <c r="C27" s="627">
        <f>Consol!G105</f>
        <v>3284.4960000000001</v>
      </c>
      <c r="D27" s="627">
        <f>Consol!H105</f>
        <v>1017.636</v>
      </c>
      <c r="E27" s="627">
        <f>Consol!I105</f>
        <v>1626.0739999999998</v>
      </c>
      <c r="F27" s="627">
        <f>Consol!J105</f>
        <v>2648.4</v>
      </c>
      <c r="G27" s="627">
        <f>Consol!K105</f>
        <v>10382.349999999999</v>
      </c>
      <c r="H27" s="627">
        <f>Consol!L105</f>
        <v>16316.43</v>
      </c>
      <c r="I27" s="627">
        <f>Consol!M105</f>
        <v>40902.200000000004</v>
      </c>
      <c r="J27" s="627">
        <f>Consol!N105</f>
        <v>24820.7</v>
      </c>
      <c r="K27" s="627">
        <f>Consol!O105</f>
        <v>23177</v>
      </c>
      <c r="L27" s="627">
        <f ca="1">Consol!P105</f>
        <v>76224.856098292337</v>
      </c>
      <c r="M27" s="627">
        <f ca="1">Consol!Q105</f>
        <v>46148.822469053994</v>
      </c>
      <c r="N27" s="627">
        <f ca="1">Consol!R105</f>
        <v>7392.816306153225</v>
      </c>
      <c r="O27" s="627">
        <f ca="1">Consol!S105</f>
        <v>3310.0258362289778</v>
      </c>
      <c r="S27" s="640" t="s">
        <v>1005</v>
      </c>
      <c r="T27" s="655"/>
      <c r="U27" s="655"/>
      <c r="V27" s="655">
        <f>AVERAGE(E67:J67)</f>
        <v>0.27365789222828224</v>
      </c>
      <c r="W27" s="1020">
        <f ca="1">AVERAGE(J67:O67)</f>
        <v>0.33530142921735212</v>
      </c>
      <c r="X27" s="597"/>
      <c r="Y27" s="597"/>
      <c r="Z27" s="597"/>
      <c r="AA27" s="597"/>
      <c r="AB27" s="656"/>
      <c r="AC27" s="657"/>
      <c r="AD27" s="658"/>
      <c r="AE27" s="659"/>
    </row>
    <row r="28" spans="2:31" ht="15" customHeight="1" x14ac:dyDescent="0.25">
      <c r="B28" s="585" t="s">
        <v>950</v>
      </c>
      <c r="C28" s="591">
        <f>Consol!G97+Consol!G98+Consol!G99+Consol!G106+Consol!G107</f>
        <v>8212.357</v>
      </c>
      <c r="D28" s="591">
        <f>Consol!H97+Consol!H98+Consol!H99+Consol!H106+Consol!H107</f>
        <v>9113.0389999999989</v>
      </c>
      <c r="E28" s="591">
        <f>Consol!I97+Consol!I98+Consol!I99+Consol!I106+Consol!I107</f>
        <v>9939.2289999999994</v>
      </c>
      <c r="F28" s="591">
        <f>Consol!J97+Consol!J98+Consol!J99+Consol!J106+Consol!J107</f>
        <v>10642.210000000001</v>
      </c>
      <c r="G28" s="591">
        <f>Consol!K97+Consol!K98+Consol!K99+Consol!K106+Consol!K107</f>
        <v>12079.01</v>
      </c>
      <c r="H28" s="591">
        <f>Consol!L97+Consol!L98+Consol!L99+Consol!L106+Consol!L107</f>
        <v>9868.8499999999985</v>
      </c>
      <c r="I28" s="591">
        <f>Consol!M97+Consol!M98+Consol!M99+Consol!M106+Consol!M107</f>
        <v>8148.2000000000007</v>
      </c>
      <c r="J28" s="591">
        <f>Consol!N97+Consol!N98+Consol!N99+Consol!N106+Consol!N107</f>
        <v>17776.599999999999</v>
      </c>
      <c r="K28" s="591">
        <f>Consol!O97+Consol!O98+Consol!O99+Consol!O106+Consol!O107</f>
        <v>30945.399999999998</v>
      </c>
      <c r="L28" s="591">
        <f>Consol!P97+Consol!P98+Consol!P99+Consol!P106+Consol!P107</f>
        <v>30945.399999999998</v>
      </c>
      <c r="M28" s="591">
        <f>Consol!Q97+Consol!Q98+Consol!Q99+Consol!Q106+Consol!Q107</f>
        <v>30945.399999999998</v>
      </c>
      <c r="N28" s="591">
        <f>Consol!R97+Consol!R98+Consol!R99+Consol!R106+Consol!R107</f>
        <v>30945.399999999998</v>
      </c>
      <c r="O28" s="591">
        <f>Consol!S97+Consol!S98+Consol!S99+Consol!S106+Consol!S107</f>
        <v>30945.399999999998</v>
      </c>
      <c r="S28" s="640" t="s">
        <v>1006</v>
      </c>
      <c r="T28" s="660"/>
      <c r="U28" s="660"/>
      <c r="V28" s="660">
        <f>AVERAGE(E73:J73)</f>
        <v>72.955676332000067</v>
      </c>
      <c r="W28" s="1021">
        <f>AVERAGE(J73:O73)</f>
        <v>52.700473451534343</v>
      </c>
      <c r="X28" s="597"/>
      <c r="Y28" s="597"/>
      <c r="Z28" s="597"/>
      <c r="AA28" s="597"/>
      <c r="AB28" s="661" t="s">
        <v>1007</v>
      </c>
      <c r="AC28" s="661"/>
      <c r="AD28" s="661"/>
      <c r="AE28" s="662"/>
    </row>
    <row r="29" spans="2:31" ht="15" customHeight="1" x14ac:dyDescent="0.25">
      <c r="B29" s="626" t="s">
        <v>951</v>
      </c>
      <c r="C29" s="627">
        <f>Consol!G103+Consol!G104-Consol!G110</f>
        <v>1884.5139999999999</v>
      </c>
      <c r="D29" s="627">
        <f>Consol!H103+Consol!H104-Consol!H110</f>
        <v>4591.2129999999997</v>
      </c>
      <c r="E29" s="627">
        <f>Consol!I103+Consol!I104-Consol!I110</f>
        <v>5474.7359999999999</v>
      </c>
      <c r="F29" s="627">
        <f>Consol!J103+Consol!J104-Consol!J110</f>
        <v>3658.0400000000004</v>
      </c>
      <c r="G29" s="627">
        <f>Consol!K103+Consol!K104-Consol!K110</f>
        <v>4119.6000000000004</v>
      </c>
      <c r="H29" s="627">
        <f>Consol!L103+Consol!L104-Consol!L110</f>
        <v>2029.4699999999998</v>
      </c>
      <c r="I29" s="627">
        <f>Consol!M103+Consol!M104-Consol!M110</f>
        <v>4323.0999999999995</v>
      </c>
      <c r="J29" s="627">
        <f>Consol!N103+Consol!N104-Consol!N110</f>
        <v>5934.6999999999989</v>
      </c>
      <c r="K29" s="627">
        <f>Consol!O103+Consol!O104-Consol!O110</f>
        <v>8308.2999999999993</v>
      </c>
      <c r="L29" s="627">
        <f ca="1">Consol!P103+Consol!P104-Consol!P110</f>
        <v>10771.42211241203</v>
      </c>
      <c r="M29" s="627">
        <f ca="1">Consol!Q103+Consol!Q104-Consol!Q110</f>
        <v>15327.360853766697</v>
      </c>
      <c r="N29" s="627">
        <f ca="1">Consol!R103+Consol!R104-Consol!R110</f>
        <v>17502.929195030229</v>
      </c>
      <c r="O29" s="627">
        <f ca="1">Consol!S103+Consol!S104-Consol!S110</f>
        <v>20861.38251362335</v>
      </c>
      <c r="S29" s="640" t="s">
        <v>968</v>
      </c>
      <c r="T29" s="663"/>
      <c r="U29" s="663"/>
      <c r="V29" s="663">
        <f>AVERAGE(E60:J60)</f>
        <v>1.042460682345568</v>
      </c>
      <c r="W29" s="663">
        <f ca="1">AVERAGE(J60:O60)</f>
        <v>0.9978138353829894</v>
      </c>
      <c r="X29" s="597"/>
      <c r="Y29" s="597"/>
      <c r="Z29" s="597"/>
      <c r="AA29" s="597"/>
      <c r="AB29" s="664" t="s">
        <v>1008</v>
      </c>
      <c r="AC29" s="664" t="s">
        <v>1009</v>
      </c>
      <c r="AD29" s="665">
        <f ca="1">Valuation!C2</f>
        <v>348.45</v>
      </c>
      <c r="AE29" s="666"/>
    </row>
    <row r="30" spans="2:31" ht="15" customHeight="1" x14ac:dyDescent="0.25">
      <c r="B30" s="581" t="s">
        <v>952</v>
      </c>
      <c r="C30" s="815">
        <f>SUM(C23:C29)</f>
        <v>51031.15</v>
      </c>
      <c r="D30" s="815">
        <f t="shared" ref="D30:O30" si="6">SUM(D23:D29)</f>
        <v>58204.312999999995</v>
      </c>
      <c r="E30" s="815">
        <f t="shared" si="6"/>
        <v>67800.107000000004</v>
      </c>
      <c r="F30" s="815">
        <f t="shared" si="6"/>
        <v>80394.13</v>
      </c>
      <c r="G30" s="815">
        <f t="shared" si="6"/>
        <v>91546.762999999992</v>
      </c>
      <c r="H30" s="815">
        <f t="shared" si="6"/>
        <v>91490.727000000014</v>
      </c>
      <c r="I30" s="815">
        <f t="shared" si="6"/>
        <v>134713.29999999999</v>
      </c>
      <c r="J30" s="815">
        <f t="shared" si="6"/>
        <v>165791.30000000005</v>
      </c>
      <c r="K30" s="815">
        <f t="shared" si="6"/>
        <v>199839.59999999998</v>
      </c>
      <c r="L30" s="815">
        <f t="shared" ca="1" si="6"/>
        <v>320285.21232251107</v>
      </c>
      <c r="M30" s="815">
        <f t="shared" ca="1" si="6"/>
        <v>371366.55834060756</v>
      </c>
      <c r="N30" s="815">
        <f t="shared" ca="1" si="6"/>
        <v>397544.48974714766</v>
      </c>
      <c r="O30" s="815">
        <f t="shared" ca="1" si="6"/>
        <v>439591.01027485233</v>
      </c>
      <c r="S30" s="640" t="s">
        <v>1010</v>
      </c>
      <c r="T30" s="663"/>
      <c r="U30" s="663"/>
      <c r="V30" s="663">
        <f>AVERAGE(E61:J61)</f>
        <v>0.185179111678729</v>
      </c>
      <c r="W30" s="663">
        <f ca="1">AVERAGE(J61:O61)</f>
        <v>0.16715750923197784</v>
      </c>
      <c r="X30" s="597"/>
      <c r="Y30" s="597"/>
      <c r="Z30" s="597"/>
      <c r="AA30" s="597"/>
      <c r="AB30" s="664"/>
      <c r="AC30" s="664"/>
      <c r="AD30" s="664"/>
      <c r="AE30" s="667"/>
    </row>
    <row r="31" spans="2:31" ht="15" customHeight="1" x14ac:dyDescent="0.25">
      <c r="B31" s="587" t="s">
        <v>173</v>
      </c>
      <c r="C31" s="590">
        <f>C30-C20</f>
        <v>44848.881000000001</v>
      </c>
      <c r="D31" s="590">
        <f t="shared" ref="D31:O31" si="7">D30-D20</f>
        <v>50848.389999999992</v>
      </c>
      <c r="E31" s="590">
        <f t="shared" si="7"/>
        <v>54680.325000000004</v>
      </c>
      <c r="F31" s="590">
        <f t="shared" si="7"/>
        <v>70342.48000000001</v>
      </c>
      <c r="G31" s="590">
        <f t="shared" si="7"/>
        <v>78805.762999999992</v>
      </c>
      <c r="H31" s="590">
        <f t="shared" si="7"/>
        <v>83325.717000000019</v>
      </c>
      <c r="I31" s="590">
        <f t="shared" si="7"/>
        <v>126116.9</v>
      </c>
      <c r="J31" s="590">
        <f t="shared" si="7"/>
        <v>151475.20000000004</v>
      </c>
      <c r="K31" s="590">
        <f t="shared" si="7"/>
        <v>181025.89999999997</v>
      </c>
      <c r="L31" s="590">
        <f t="shared" ca="1" si="7"/>
        <v>301471.51232251106</v>
      </c>
      <c r="M31" s="590">
        <f t="shared" ca="1" si="7"/>
        <v>352552.85834060755</v>
      </c>
      <c r="N31" s="590">
        <f t="shared" ca="1" si="7"/>
        <v>378730.78974714765</v>
      </c>
      <c r="O31" s="590">
        <f t="shared" ca="1" si="7"/>
        <v>420777.31027485232</v>
      </c>
      <c r="S31" s="668" t="s">
        <v>739</v>
      </c>
      <c r="T31" s="669"/>
      <c r="U31" s="669"/>
      <c r="V31" s="669">
        <f>AVERAGE(E70:J70)</f>
        <v>2.398956674823602</v>
      </c>
      <c r="W31" s="1022">
        <f ca="1">AVERAGE(J70:O70)</f>
        <v>1.5850449351042253</v>
      </c>
      <c r="X31" s="597"/>
      <c r="Y31" s="597"/>
      <c r="Z31" s="597"/>
      <c r="AA31" s="597"/>
      <c r="AB31" s="664" t="s">
        <v>1011</v>
      </c>
      <c r="AC31" s="664" t="s">
        <v>1009</v>
      </c>
      <c r="AD31" s="670">
        <f ca="1">AE24</f>
        <v>486.0953698527926</v>
      </c>
      <c r="AE31" s="667"/>
    </row>
    <row r="32" spans="2:31" ht="15" customHeight="1" x14ac:dyDescent="0.25">
      <c r="B32" s="587" t="s">
        <v>953</v>
      </c>
      <c r="C32" s="590">
        <f>C31-C42-C24</f>
        <v>34954.394999999997</v>
      </c>
      <c r="D32" s="590">
        <f t="shared" ref="D32:O32" si="8">D31-D42-D24</f>
        <v>38913.22099999999</v>
      </c>
      <c r="E32" s="590">
        <f t="shared" si="8"/>
        <v>44864.097000000009</v>
      </c>
      <c r="F32" s="590">
        <f t="shared" si="8"/>
        <v>56443.620000000017</v>
      </c>
      <c r="G32" s="590">
        <f t="shared" si="8"/>
        <v>67626.603000000003</v>
      </c>
      <c r="H32" s="590">
        <f t="shared" si="8"/>
        <v>63504.247000000025</v>
      </c>
      <c r="I32" s="590">
        <f t="shared" si="8"/>
        <v>81695.899999999994</v>
      </c>
      <c r="J32" s="590">
        <f>J31-J42-J24</f>
        <v>104854.30000000005</v>
      </c>
      <c r="K32" s="590">
        <f t="shared" si="8"/>
        <v>125944.39999999997</v>
      </c>
      <c r="L32" s="590">
        <f t="shared" ca="1" si="8"/>
        <v>156519.06963741203</v>
      </c>
      <c r="M32" s="590">
        <f t="shared" ca="1" si="8"/>
        <v>267104.32442876673</v>
      </c>
      <c r="N32" s="590">
        <f t="shared" ca="1" si="8"/>
        <v>315384.12757003022</v>
      </c>
      <c r="O32" s="590">
        <f t="shared" ca="1" si="8"/>
        <v>417036.98443862336</v>
      </c>
      <c r="X32" s="597"/>
      <c r="Y32" s="597"/>
      <c r="Z32" s="597"/>
      <c r="AA32" s="597"/>
      <c r="AB32" s="664" t="s">
        <v>1012</v>
      </c>
      <c r="AC32" s="664" t="s">
        <v>1009</v>
      </c>
      <c r="AD32" s="670">
        <f ca="1">SUM(Consol!P58:R58)</f>
        <v>3.2854402520783967</v>
      </c>
      <c r="AE32" s="667"/>
    </row>
    <row r="33" spans="2:31" ht="15" customHeight="1" x14ac:dyDescent="0.25">
      <c r="B33" s="585" t="s">
        <v>954</v>
      </c>
      <c r="C33" s="591">
        <f>C19-C27</f>
        <v>13515.415000000001</v>
      </c>
      <c r="D33" s="591">
        <f t="shared" ref="D33:O33" si="9">D19-D27</f>
        <v>18983.57</v>
      </c>
      <c r="E33" s="591">
        <f t="shared" si="9"/>
        <v>25541.085999999999</v>
      </c>
      <c r="F33" s="591">
        <f t="shared" si="9"/>
        <v>36809.78</v>
      </c>
      <c r="G33" s="591">
        <f t="shared" si="9"/>
        <v>33704.590000000004</v>
      </c>
      <c r="H33" s="591">
        <f t="shared" si="9"/>
        <v>26120.550000000003</v>
      </c>
      <c r="I33" s="591">
        <f t="shared" si="9"/>
        <v>2904.5999999999985</v>
      </c>
      <c r="J33" s="591">
        <f t="shared" si="9"/>
        <v>21767.599999999995</v>
      </c>
      <c r="K33" s="591">
        <f t="shared" si="9"/>
        <v>40921.5</v>
      </c>
      <c r="L33" s="591">
        <f t="shared" ca="1" si="9"/>
        <v>27033.035131792465</v>
      </c>
      <c r="M33" s="591">
        <f t="shared" ca="1" si="9"/>
        <v>87009.85745355027</v>
      </c>
      <c r="N33" s="591">
        <f t="shared" ca="1" si="9"/>
        <v>129672.32234284186</v>
      </c>
      <c r="O33" s="591">
        <f t="shared" ca="1" si="9"/>
        <v>150244.54532975785</v>
      </c>
      <c r="S33" s="671"/>
      <c r="T33" s="671"/>
      <c r="U33" s="671"/>
      <c r="V33" s="671"/>
      <c r="W33" s="671"/>
      <c r="X33" s="597"/>
      <c r="Y33" s="597"/>
      <c r="Z33" s="597"/>
      <c r="AA33" s="597"/>
      <c r="AB33" s="672" t="s">
        <v>1013</v>
      </c>
      <c r="AC33" s="672" t="s">
        <v>1009</v>
      </c>
      <c r="AD33" s="673">
        <f ca="1">AD31+AD32</f>
        <v>489.38081010487099</v>
      </c>
      <c r="AE33" s="667"/>
    </row>
    <row r="34" spans="2:31" ht="15" customHeight="1" x14ac:dyDescent="0.25">
      <c r="B34" s="594" t="s">
        <v>955</v>
      </c>
      <c r="C34" s="595"/>
      <c r="D34" s="595"/>
      <c r="E34" s="595"/>
      <c r="F34" s="595"/>
      <c r="G34" s="595"/>
      <c r="H34" s="595"/>
      <c r="I34" s="595"/>
      <c r="J34" s="595"/>
      <c r="K34" s="595"/>
      <c r="L34" s="595"/>
      <c r="M34" s="595"/>
      <c r="N34" s="595"/>
      <c r="O34" s="595"/>
      <c r="S34" s="635" t="s">
        <v>16</v>
      </c>
      <c r="T34" s="636"/>
      <c r="U34" s="636"/>
      <c r="V34" s="636" t="str">
        <f>V22</f>
        <v>FY20-FY25</v>
      </c>
      <c r="W34" s="636" t="str">
        <f>W22</f>
        <v>FY25-FY30E</v>
      </c>
      <c r="X34" s="597"/>
      <c r="Y34" s="597"/>
      <c r="Z34" s="597"/>
      <c r="AA34" s="597"/>
      <c r="AB34" s="674" t="s">
        <v>1014</v>
      </c>
      <c r="AC34" s="674" t="s">
        <v>477</v>
      </c>
      <c r="AD34" s="675">
        <f ca="1">(AD33/AD29-1)</f>
        <v>0.40445059579529641</v>
      </c>
      <c r="AE34" s="667"/>
    </row>
    <row r="35" spans="2:31" ht="15" customHeight="1" x14ac:dyDescent="0.25">
      <c r="B35" s="585" t="s">
        <v>956</v>
      </c>
      <c r="C35" s="591">
        <f>Consol!G138</f>
        <v>7018.0429999999997</v>
      </c>
      <c r="D35" s="591">
        <f>Consol!H138</f>
        <v>3578.0529999999994</v>
      </c>
      <c r="E35" s="591">
        <f>Consol!I138</f>
        <v>2950.4050000000011</v>
      </c>
      <c r="F35" s="591">
        <f>Consol!J138</f>
        <v>10562.759999999997</v>
      </c>
      <c r="G35" s="591">
        <f>Consol!K138</f>
        <v>12984.77</v>
      </c>
      <c r="H35" s="591">
        <f>Consol!L138</f>
        <v>19778.839999999997</v>
      </c>
      <c r="I35" s="591">
        <f>Consol!M138</f>
        <v>20507.600000000002</v>
      </c>
      <c r="J35" s="591">
        <f>Consol!N138</f>
        <v>23740.799999999996</v>
      </c>
      <c r="K35" s="591">
        <f>Consol!O138</f>
        <v>23680.700000000004</v>
      </c>
      <c r="L35" s="591">
        <f ca="1">Consol!P138</f>
        <v>30826.000694644612</v>
      </c>
      <c r="M35" s="591">
        <f ca="1">Consol!Q138</f>
        <v>47216.024204597117</v>
      </c>
      <c r="N35" s="591">
        <f ca="1">Consol!R138</f>
        <v>58670.308570379711</v>
      </c>
      <c r="O35" s="591">
        <f ca="1">Consol!S138</f>
        <v>73742.646062812157</v>
      </c>
      <c r="S35" s="640" t="s">
        <v>970</v>
      </c>
      <c r="T35" s="645"/>
      <c r="U35" s="645"/>
      <c r="V35" s="645">
        <f>AVERAGE(E62:J62)</f>
        <v>0.14152918377427429</v>
      </c>
      <c r="W35" s="645">
        <f ca="1">AVERAGE(J62:O62)</f>
        <v>0.1278105260903207</v>
      </c>
      <c r="X35" s="597"/>
      <c r="Y35" s="597"/>
      <c r="Z35" s="597"/>
      <c r="AA35" s="597"/>
      <c r="AB35" s="597"/>
      <c r="AC35" s="597"/>
      <c r="AD35" s="597"/>
      <c r="AE35" s="597"/>
    </row>
    <row r="36" spans="2:31" ht="15" customHeight="1" x14ac:dyDescent="0.25">
      <c r="B36" s="587" t="s">
        <v>957</v>
      </c>
      <c r="C36" s="590">
        <f>Consol!G141</f>
        <v>5999.0079999999998</v>
      </c>
      <c r="D36" s="590">
        <f>Consol!H141</f>
        <v>3280.2129999999993</v>
      </c>
      <c r="E36" s="590">
        <f>Consol!I141</f>
        <v>2587.043000000001</v>
      </c>
      <c r="F36" s="590">
        <f>Consol!J141</f>
        <v>9901.8799999999974</v>
      </c>
      <c r="G36" s="590">
        <f>Consol!K141</f>
        <v>11762.300000000001</v>
      </c>
      <c r="H36" s="590">
        <f>Consol!L141</f>
        <v>17972.269999999997</v>
      </c>
      <c r="I36" s="590">
        <f>Consol!M141</f>
        <v>18032.100000000002</v>
      </c>
      <c r="J36" s="590">
        <f>Consol!N141</f>
        <v>21004.399999999994</v>
      </c>
      <c r="K36" s="590">
        <f>Consol!O141</f>
        <v>20215.000000000004</v>
      </c>
      <c r="L36" s="590">
        <f ca="1">Consol!P141</f>
        <v>26194.516060887494</v>
      </c>
      <c r="M36" s="590">
        <f ca="1">Consol!Q141</f>
        <v>40450.407946958192</v>
      </c>
      <c r="N36" s="590">
        <f ca="1">Consol!R141</f>
        <v>52369.077639106952</v>
      </c>
      <c r="O36" s="590">
        <f ca="1">Consol!S141</f>
        <v>65588.284876996258</v>
      </c>
      <c r="S36" s="640" t="s">
        <v>1015</v>
      </c>
      <c r="T36" s="645"/>
      <c r="U36" s="645"/>
      <c r="V36" s="645">
        <f t="shared" ref="V36:V37" si="10">AVERAGE(E63:J63)</f>
        <v>9.4519018983185724E-2</v>
      </c>
      <c r="W36" s="645">
        <f ca="1">AVERAGE(J63:O63)</f>
        <v>9.1140631764335275E-2</v>
      </c>
      <c r="X36" s="597"/>
      <c r="Y36" s="597"/>
      <c r="Z36" s="597"/>
      <c r="AA36" s="597"/>
      <c r="AB36" s="597"/>
      <c r="AC36" s="597" t="s">
        <v>1634</v>
      </c>
      <c r="AD36" s="597" t="s">
        <v>1635</v>
      </c>
      <c r="AE36" s="597" t="s">
        <v>1636</v>
      </c>
    </row>
    <row r="37" spans="2:31" ht="15" customHeight="1" x14ac:dyDescent="0.25">
      <c r="B37" s="585" t="s">
        <v>958</v>
      </c>
      <c r="C37" s="591">
        <f>Consol!G147+Consol!G151</f>
        <v>-9378.02</v>
      </c>
      <c r="D37" s="591">
        <f>Consol!H147+Consol!H151</f>
        <v>-5518.759</v>
      </c>
      <c r="E37" s="591">
        <f>Consol!I147+Consol!I151</f>
        <v>-6737.866</v>
      </c>
      <c r="F37" s="591">
        <f>Consol!J147+Consol!J151</f>
        <v>-17226.12</v>
      </c>
      <c r="G37" s="591">
        <f>Consol!K147+Consol!K151</f>
        <v>-5090.7700000000004</v>
      </c>
      <c r="H37" s="591">
        <f>Consol!L147+Consol!L151</f>
        <v>-2793.56</v>
      </c>
      <c r="I37" s="591">
        <f>Consol!M147+Consol!M151</f>
        <v>-20711.599999999999</v>
      </c>
      <c r="J37" s="591">
        <f>Consol!N147+Consol!N151</f>
        <v>-30400.100000000002</v>
      </c>
      <c r="K37" s="591">
        <f>Consol!O147+Consol!O151</f>
        <v>-24916.400000000001</v>
      </c>
      <c r="L37" s="591">
        <f>Consol!P147+Consol!P151</f>
        <v>-72388.516586806669</v>
      </c>
      <c r="M37" s="591">
        <f>Consol!Q147+Consol!Q151</f>
        <v>-89062.124855980161</v>
      </c>
      <c r="N37" s="591">
        <f>Consol!R147+Consol!R151</f>
        <v>-81166.63442817732</v>
      </c>
      <c r="O37" s="591">
        <f>Consol!S147+Consol!S151</f>
        <v>-67266.454129035817</v>
      </c>
      <c r="S37" s="668" t="s">
        <v>1016</v>
      </c>
      <c r="T37" s="676"/>
      <c r="U37" s="676"/>
      <c r="V37" s="676">
        <f t="shared" si="10"/>
        <v>0.13397605952684688</v>
      </c>
      <c r="W37" s="676">
        <f ca="1">AVERAGE(J64:O64)</f>
        <v>0.12741381579926261</v>
      </c>
      <c r="X37" s="597"/>
      <c r="Y37" s="597"/>
      <c r="Z37" s="597"/>
      <c r="AA37" s="597"/>
      <c r="AB37" s="597" t="s">
        <v>1628</v>
      </c>
      <c r="AC37" s="597">
        <v>85.61</v>
      </c>
      <c r="AD37" s="597">
        <v>85.61</v>
      </c>
      <c r="AE37" s="597">
        <v>85.61</v>
      </c>
    </row>
    <row r="38" spans="2:31" ht="15" customHeight="1" x14ac:dyDescent="0.25">
      <c r="B38" s="587" t="s">
        <v>162</v>
      </c>
      <c r="C38" s="590">
        <f>C36+C37</f>
        <v>-3379.0120000000006</v>
      </c>
      <c r="D38" s="590">
        <f t="shared" ref="D38:O38" si="11">D36+D37</f>
        <v>-2238.5460000000007</v>
      </c>
      <c r="E38" s="590">
        <f t="shared" si="11"/>
        <v>-4150.8229999999985</v>
      </c>
      <c r="F38" s="590">
        <f t="shared" si="11"/>
        <v>-7324.2400000000016</v>
      </c>
      <c r="G38" s="590">
        <f t="shared" si="11"/>
        <v>6671.5300000000007</v>
      </c>
      <c r="H38" s="590">
        <f t="shared" si="11"/>
        <v>15178.709999999997</v>
      </c>
      <c r="I38" s="590">
        <f t="shared" si="11"/>
        <v>-2679.4999999999964</v>
      </c>
      <c r="J38" s="590">
        <f t="shared" si="11"/>
        <v>-9395.700000000008</v>
      </c>
      <c r="K38" s="590">
        <f t="shared" si="11"/>
        <v>-4701.3999999999978</v>
      </c>
      <c r="L38" s="590">
        <f t="shared" ca="1" si="11"/>
        <v>-46194.000525919175</v>
      </c>
      <c r="M38" s="590">
        <f t="shared" ca="1" si="11"/>
        <v>-48611.716909021969</v>
      </c>
      <c r="N38" s="590">
        <f t="shared" ca="1" si="11"/>
        <v>-28797.556789070368</v>
      </c>
      <c r="O38" s="590">
        <f t="shared" ca="1" si="11"/>
        <v>-1678.1692520395591</v>
      </c>
      <c r="S38" s="677" t="s">
        <v>1017</v>
      </c>
      <c r="T38" s="640"/>
      <c r="U38" s="640"/>
      <c r="V38" s="640"/>
      <c r="W38" s="640"/>
      <c r="X38" s="678" t="s">
        <v>1018</v>
      </c>
      <c r="Y38" s="597"/>
      <c r="Z38" s="597"/>
      <c r="AA38" s="597"/>
      <c r="AB38" s="597" t="s">
        <v>1629</v>
      </c>
      <c r="AC38" s="597">
        <v>2.34</v>
      </c>
      <c r="AD38" s="597">
        <v>4.1500000000000004</v>
      </c>
      <c r="AE38" s="597">
        <v>4.2</v>
      </c>
    </row>
    <row r="39" spans="2:31" ht="15" hidden="1" customHeight="1" x14ac:dyDescent="0.25">
      <c r="B39" s="585" t="s">
        <v>959</v>
      </c>
      <c r="C39" s="589">
        <f>C38+Consol!G165</f>
        <v>-4573.6640000000007</v>
      </c>
      <c r="D39" s="589">
        <f>D38+Consol!H165</f>
        <v>-3460.1040000000007</v>
      </c>
      <c r="E39" s="589">
        <f>E38+Consol!I165</f>
        <v>-6306.891999999998</v>
      </c>
      <c r="F39" s="589">
        <f>F38+Consol!J165</f>
        <v>-9573.6600000000017</v>
      </c>
      <c r="G39" s="589">
        <f>G38+Consol!K165</f>
        <v>3050.8700000000008</v>
      </c>
      <c r="H39" s="589">
        <f>H38+Consol!L165</f>
        <v>12451.799999999997</v>
      </c>
      <c r="I39" s="589">
        <f>I38+Consol!M165</f>
        <v>-5158.399999999996</v>
      </c>
      <c r="J39" s="589">
        <f>J38+Consol!N165</f>
        <v>-12460.400000000009</v>
      </c>
      <c r="K39" s="589">
        <f>K38+Consol!O165</f>
        <v>-7971.0999999999976</v>
      </c>
      <c r="L39" s="589">
        <f ca="1">L38+Consol!P165</f>
        <v>-50977.037977261643</v>
      </c>
      <c r="M39" s="589">
        <f ca="1">M38+Consol!Q165</f>
        <v>-57170.194733887722</v>
      </c>
      <c r="N39" s="589">
        <f ca="1">N38+Consol!R165</f>
        <v>-39729.013844349822</v>
      </c>
      <c r="O39" s="589">
        <f ca="1">O38+Consol!S165</f>
        <v>-17218.394066099838</v>
      </c>
      <c r="S39" s="640" t="s">
        <v>1019</v>
      </c>
      <c r="T39" s="679"/>
      <c r="U39" s="680"/>
      <c r="V39" s="680"/>
      <c r="W39" s="680"/>
      <c r="X39" s="597"/>
      <c r="Y39" s="597"/>
      <c r="Z39" s="597"/>
      <c r="AA39" s="597"/>
      <c r="AB39" s="597" t="s">
        <v>1630</v>
      </c>
      <c r="AC39" s="597">
        <v>3.59</v>
      </c>
      <c r="AD39" s="597">
        <v>2.74</v>
      </c>
      <c r="AE39" s="597">
        <v>2.5</v>
      </c>
    </row>
    <row r="40" spans="2:31" ht="15" customHeight="1" x14ac:dyDescent="0.25">
      <c r="B40" s="587" t="s">
        <v>960</v>
      </c>
      <c r="C40" s="590">
        <f>Consol!G154</f>
        <v>-10983.644</v>
      </c>
      <c r="D40" s="590">
        <f>Consol!H154</f>
        <v>-4948.9009999999998</v>
      </c>
      <c r="E40" s="590">
        <f>Consol!I154</f>
        <v>-3930.8040000000001</v>
      </c>
      <c r="F40" s="590">
        <f>Consol!J154</f>
        <v>-16367.939999999999</v>
      </c>
      <c r="G40" s="590">
        <f>Consol!K154</f>
        <v>-8013.2200000000012</v>
      </c>
      <c r="H40" s="590">
        <f>Consol!L154</f>
        <v>-6207.92</v>
      </c>
      <c r="I40" s="590">
        <f>Consol!M154</f>
        <v>-42046.8</v>
      </c>
      <c r="J40" s="590">
        <f>Consol!N154</f>
        <v>-16968.800000000003</v>
      </c>
      <c r="K40" s="590">
        <f>Consol!O154</f>
        <v>-20621.5</v>
      </c>
      <c r="L40" s="590">
        <f>Consol!P154</f>
        <v>-72388.516586806669</v>
      </c>
      <c r="M40" s="590">
        <f>Consol!Q154</f>
        <v>-89062.124855980161</v>
      </c>
      <c r="N40" s="590">
        <f>Consol!R154</f>
        <v>-81166.63442817732</v>
      </c>
      <c r="O40" s="590">
        <f>Consol!S154</f>
        <v>-67266.454129035817</v>
      </c>
      <c r="S40" s="640" t="s">
        <v>1020</v>
      </c>
      <c r="T40" s="680"/>
      <c r="U40" s="680"/>
      <c r="V40" s="680"/>
      <c r="W40" s="680"/>
      <c r="X40" s="597"/>
      <c r="Y40" s="597"/>
      <c r="Z40" s="597"/>
      <c r="AA40" s="597"/>
      <c r="AB40" s="597" t="s">
        <v>1631</v>
      </c>
      <c r="AC40" s="597">
        <v>6.14</v>
      </c>
      <c r="AD40" s="597">
        <v>5.79</v>
      </c>
      <c r="AE40" s="597">
        <v>6.32</v>
      </c>
    </row>
    <row r="41" spans="2:31" ht="15" customHeight="1" x14ac:dyDescent="0.25">
      <c r="B41" s="585" t="s">
        <v>961</v>
      </c>
      <c r="C41" s="591">
        <f>Consol!G169</f>
        <v>5397.3799999999992</v>
      </c>
      <c r="D41" s="591">
        <f>Consol!H169</f>
        <v>1398.9180000000001</v>
      </c>
      <c r="E41" s="591">
        <f>Consol!I169</f>
        <v>2407.7959999999998</v>
      </c>
      <c r="F41" s="591">
        <f>Consol!J169</f>
        <v>6408.57</v>
      </c>
      <c r="G41" s="591">
        <f>Consol!K169</f>
        <v>25.529999999999745</v>
      </c>
      <c r="H41" s="591">
        <f>Consol!L169</f>
        <v>-10865.62</v>
      </c>
      <c r="I41" s="591">
        <f>Consol!M169</f>
        <v>25038.799999999999</v>
      </c>
      <c r="J41" s="591">
        <f>Consol!N169</f>
        <v>-5213.4000000000005</v>
      </c>
      <c r="K41" s="591">
        <f>Consol!O169</f>
        <v>2271.5000000000023</v>
      </c>
      <c r="L41" s="591">
        <f ca="1">Consol!P169</f>
        <v>99241.856624211505</v>
      </c>
      <c r="M41" s="591">
        <f ca="1">Consol!Q169</f>
        <v>18535.683279783629</v>
      </c>
      <c r="N41" s="591">
        <f ca="1">Consol!R169</f>
        <v>-9958.4493738304045</v>
      </c>
      <c r="O41" s="591">
        <f ca="1">Consol!S169</f>
        <v>-2404.6212178846881</v>
      </c>
      <c r="S41" s="668" t="s">
        <v>1021</v>
      </c>
      <c r="T41" s="681"/>
      <c r="U41" s="681"/>
      <c r="V41" s="681"/>
      <c r="W41" s="681"/>
      <c r="X41" s="597"/>
      <c r="Y41" s="597"/>
      <c r="Z41" s="597"/>
      <c r="AA41" s="597"/>
      <c r="AB41" s="597"/>
      <c r="AC41" s="597"/>
      <c r="AD41" s="597"/>
      <c r="AE41" s="597"/>
    </row>
    <row r="42" spans="2:31" ht="15" customHeight="1" x14ac:dyDescent="0.25">
      <c r="B42" s="587" t="s">
        <v>962</v>
      </c>
      <c r="C42" s="590">
        <f>C27+Consol!G102</f>
        <v>3568.2580000000003</v>
      </c>
      <c r="D42" s="590">
        <f>D27+Consol!H102</f>
        <v>3315.2599999999998</v>
      </c>
      <c r="E42" s="590">
        <f>E27+Consol!I102</f>
        <v>2300.4769999999999</v>
      </c>
      <c r="F42" s="590">
        <f>F27+Consol!J102</f>
        <v>2648.4</v>
      </c>
      <c r="G42" s="590">
        <f>G27+Consol!K102</f>
        <v>10382.349999999999</v>
      </c>
      <c r="H42" s="590">
        <f>H27+Consol!L102</f>
        <v>19361.34</v>
      </c>
      <c r="I42" s="590">
        <f>I27+Consol!M102</f>
        <v>43100.600000000006</v>
      </c>
      <c r="J42" s="590">
        <f>J27+Consol!N102</f>
        <v>26418.5</v>
      </c>
      <c r="K42" s="590">
        <f>K27+Consol!O102</f>
        <v>23197.1</v>
      </c>
      <c r="L42" s="590">
        <f ca="1">L27+Consol!P102</f>
        <v>76244.956098292343</v>
      </c>
      <c r="M42" s="590">
        <f ca="1">M27+Consol!Q102</f>
        <v>46168.922469053992</v>
      </c>
      <c r="N42" s="590">
        <f ca="1">N27+Consol!R102</f>
        <v>7412.9163061532254</v>
      </c>
      <c r="O42" s="590">
        <f ca="1">O27+Consol!S102</f>
        <v>3330.1258362289777</v>
      </c>
      <c r="S42" s="677" t="s">
        <v>1022</v>
      </c>
      <c r="T42" s="682"/>
      <c r="U42" s="682"/>
      <c r="V42" s="682"/>
      <c r="W42" s="682"/>
      <c r="X42" s="678" t="s">
        <v>1018</v>
      </c>
      <c r="Y42" s="597"/>
      <c r="Z42" s="597"/>
      <c r="AA42" s="597"/>
      <c r="AB42" s="597" t="s">
        <v>1632</v>
      </c>
      <c r="AC42" s="930">
        <f>AC37</f>
        <v>85.61</v>
      </c>
      <c r="AD42" s="930">
        <f>AD37</f>
        <v>85.61</v>
      </c>
      <c r="AE42" s="930">
        <f>AE37</f>
        <v>85.61</v>
      </c>
    </row>
    <row r="43" spans="2:31" ht="15" customHeight="1" x14ac:dyDescent="0.25">
      <c r="B43" s="597"/>
      <c r="C43" s="598"/>
      <c r="D43" s="599"/>
      <c r="E43" s="598"/>
      <c r="F43" s="600"/>
      <c r="G43" s="600"/>
      <c r="H43" s="600"/>
      <c r="I43" s="600"/>
      <c r="J43" s="600"/>
      <c r="K43" s="600"/>
      <c r="L43" s="600"/>
      <c r="M43" s="600"/>
      <c r="N43" s="600"/>
      <c r="O43" s="600"/>
      <c r="S43" s="640" t="s">
        <v>1019</v>
      </c>
      <c r="T43" s="680"/>
      <c r="U43" s="680"/>
      <c r="V43" s="680"/>
      <c r="W43" s="680"/>
      <c r="X43" s="597"/>
      <c r="Y43" s="597"/>
      <c r="Z43" s="597"/>
      <c r="AA43" s="597"/>
      <c r="AB43" s="597" t="s">
        <v>1633</v>
      </c>
      <c r="AC43" s="930">
        <f>AC38+AC39</f>
        <v>5.93</v>
      </c>
      <c r="AD43" s="930">
        <f>AD38+AD39</f>
        <v>6.8900000000000006</v>
      </c>
      <c r="AE43" s="930">
        <f>AE38+AE39</f>
        <v>6.7</v>
      </c>
    </row>
    <row r="44" spans="2:31" ht="15" customHeight="1" x14ac:dyDescent="0.25">
      <c r="B44" s="597"/>
      <c r="C44" s="599"/>
      <c r="D44" s="599"/>
      <c r="E44" s="599"/>
      <c r="F44" s="599"/>
      <c r="G44" s="599"/>
      <c r="H44" s="599"/>
      <c r="I44" s="599"/>
      <c r="J44" s="599"/>
      <c r="K44" s="599"/>
      <c r="L44" s="599"/>
      <c r="M44" s="599"/>
      <c r="N44" s="599"/>
      <c r="O44" s="599"/>
      <c r="S44" s="640" t="s">
        <v>1020</v>
      </c>
      <c r="T44" s="680"/>
      <c r="U44" s="680"/>
      <c r="V44" s="680"/>
      <c r="W44" s="680"/>
      <c r="X44" s="597"/>
      <c r="Y44" s="597"/>
      <c r="Z44" s="597"/>
      <c r="AA44" s="597"/>
      <c r="AB44" s="597" t="s">
        <v>1631</v>
      </c>
      <c r="AC44" s="930">
        <f>100-SUM(AC42:AC43)</f>
        <v>8.460000000000008</v>
      </c>
      <c r="AD44" s="930">
        <f>100-SUM(AD42:AD43)</f>
        <v>7.5</v>
      </c>
      <c r="AE44" s="930">
        <f>100-SUM(AE42:AE43)</f>
        <v>7.6899999999999977</v>
      </c>
    </row>
    <row r="45" spans="2:31" ht="15" customHeight="1" x14ac:dyDescent="0.25">
      <c r="B45" s="601"/>
      <c r="C45" s="602"/>
      <c r="D45" s="602"/>
      <c r="E45" s="602"/>
      <c r="F45" s="602"/>
      <c r="G45" s="602"/>
      <c r="H45" s="602"/>
      <c r="I45" s="602"/>
      <c r="J45" s="602"/>
      <c r="K45" s="602"/>
      <c r="L45" s="602"/>
      <c r="M45" s="602"/>
      <c r="N45" s="602"/>
      <c r="O45" s="602"/>
      <c r="S45" s="668" t="s">
        <v>1021</v>
      </c>
      <c r="T45" s="681"/>
      <c r="U45" s="681"/>
      <c r="V45" s="681"/>
      <c r="W45" s="681"/>
      <c r="X45" s="597"/>
      <c r="Y45" s="597"/>
      <c r="Z45" s="597"/>
      <c r="AA45" s="597"/>
      <c r="AB45" s="597"/>
      <c r="AC45" s="597"/>
      <c r="AD45" s="597"/>
      <c r="AE45" s="597"/>
    </row>
    <row r="46" spans="2:31" ht="15" customHeight="1" x14ac:dyDescent="0.25">
      <c r="B46" s="603"/>
      <c r="C46" s="580" t="str">
        <f t="shared" ref="C46:O46" si="12">C3</f>
        <v>FY18</v>
      </c>
      <c r="D46" s="580" t="str">
        <f t="shared" si="12"/>
        <v>FY19</v>
      </c>
      <c r="E46" s="580" t="str">
        <f t="shared" si="12"/>
        <v>FY20</v>
      </c>
      <c r="F46" s="580" t="str">
        <f t="shared" si="12"/>
        <v>FY21</v>
      </c>
      <c r="G46" s="580" t="str">
        <f t="shared" si="12"/>
        <v>FY22</v>
      </c>
      <c r="H46" s="580" t="str">
        <f t="shared" si="12"/>
        <v>FY23</v>
      </c>
      <c r="I46" s="580" t="str">
        <f t="shared" si="12"/>
        <v>FY24</v>
      </c>
      <c r="J46" s="580" t="str">
        <f t="shared" si="12"/>
        <v>FY25</v>
      </c>
      <c r="K46" s="580" t="str">
        <f t="shared" si="12"/>
        <v>FY26</v>
      </c>
      <c r="L46" s="580" t="str">
        <f t="shared" si="12"/>
        <v>FY27E</v>
      </c>
      <c r="M46" s="580" t="str">
        <f t="shared" si="12"/>
        <v>FY28E</v>
      </c>
      <c r="N46" s="580" t="str">
        <f t="shared" si="12"/>
        <v>FY29E</v>
      </c>
      <c r="O46" s="580" t="str">
        <f t="shared" si="12"/>
        <v>FY30E</v>
      </c>
      <c r="S46" s="597"/>
      <c r="T46" s="597"/>
      <c r="U46" s="597"/>
      <c r="V46" s="597"/>
      <c r="W46" s="597"/>
      <c r="X46" s="597"/>
      <c r="Y46" s="597"/>
      <c r="Z46" s="597"/>
      <c r="AA46" s="597"/>
      <c r="AB46" s="597"/>
      <c r="AC46" s="597"/>
      <c r="AD46" s="597"/>
      <c r="AE46" s="597"/>
    </row>
    <row r="47" spans="2:31" ht="15" customHeight="1" x14ac:dyDescent="0.25">
      <c r="B47" s="604" t="s">
        <v>963</v>
      </c>
      <c r="C47" s="605"/>
      <c r="D47" s="605"/>
      <c r="E47" s="605"/>
      <c r="F47" s="605"/>
      <c r="G47" s="605"/>
      <c r="H47" s="605"/>
      <c r="I47" s="605"/>
      <c r="J47" s="605"/>
      <c r="K47" s="605"/>
      <c r="L47" s="605"/>
      <c r="M47" s="605"/>
      <c r="N47" s="605"/>
      <c r="O47" s="605"/>
      <c r="S47" s="597"/>
      <c r="T47" s="597"/>
      <c r="U47" s="597"/>
      <c r="V47" s="597"/>
      <c r="W47" s="597"/>
      <c r="X47" s="597"/>
      <c r="Y47" s="597"/>
      <c r="Z47" s="597"/>
      <c r="AA47" s="597"/>
      <c r="AB47" s="597"/>
      <c r="AC47" s="597"/>
      <c r="AD47" s="597"/>
      <c r="AE47" s="597"/>
    </row>
    <row r="48" spans="2:31" ht="15" customHeight="1" x14ac:dyDescent="0.25">
      <c r="B48" s="606"/>
      <c r="C48" s="591"/>
      <c r="D48" s="591"/>
      <c r="E48" s="591"/>
      <c r="F48" s="591"/>
      <c r="G48" s="591"/>
      <c r="H48" s="591"/>
      <c r="I48" s="591"/>
      <c r="J48" s="591"/>
      <c r="K48" s="591"/>
      <c r="L48" s="591"/>
      <c r="M48" s="591"/>
      <c r="N48" s="591"/>
      <c r="O48" s="591"/>
      <c r="S48" s="633" t="s">
        <v>1023</v>
      </c>
      <c r="T48" s="634"/>
      <c r="U48" s="634"/>
      <c r="V48" s="634"/>
      <c r="W48" s="634"/>
      <c r="X48" s="634"/>
      <c r="Y48" s="634"/>
      <c r="Z48" s="634"/>
      <c r="AA48" s="597"/>
      <c r="AB48" s="597"/>
      <c r="AC48" s="597"/>
      <c r="AD48" s="597"/>
      <c r="AE48" s="597"/>
    </row>
    <row r="49" spans="2:35" ht="15" customHeight="1" x14ac:dyDescent="0.25">
      <c r="B49" s="608"/>
      <c r="C49" s="590"/>
      <c r="D49" s="590"/>
      <c r="E49" s="590"/>
      <c r="F49" s="590"/>
      <c r="G49" s="590"/>
      <c r="H49" s="590"/>
      <c r="I49" s="590"/>
      <c r="J49" s="590"/>
      <c r="K49" s="590"/>
      <c r="L49" s="590"/>
      <c r="M49" s="590"/>
      <c r="N49" s="590"/>
      <c r="O49" s="590"/>
      <c r="S49" s="597"/>
      <c r="T49" s="597"/>
      <c r="U49" s="597"/>
      <c r="V49" s="597"/>
      <c r="W49" s="597"/>
      <c r="X49" s="597"/>
      <c r="Y49" s="597"/>
      <c r="Z49" s="597"/>
      <c r="AA49" s="597"/>
      <c r="AB49" s="597"/>
      <c r="AC49" s="597"/>
      <c r="AD49" s="597"/>
      <c r="AE49" s="597"/>
    </row>
    <row r="50" spans="2:35" ht="15" customHeight="1" x14ac:dyDescent="0.25">
      <c r="B50" s="606"/>
      <c r="C50" s="607"/>
      <c r="D50" s="607"/>
      <c r="E50" s="607"/>
      <c r="F50" s="607"/>
      <c r="G50" s="607"/>
      <c r="H50" s="607"/>
      <c r="I50" s="607"/>
      <c r="J50" s="607"/>
      <c r="K50" s="607"/>
      <c r="L50" s="607"/>
      <c r="M50" s="607"/>
      <c r="N50" s="607"/>
      <c r="O50" s="607"/>
      <c r="S50" s="802" t="s">
        <v>340</v>
      </c>
      <c r="T50" s="934" t="s">
        <v>797</v>
      </c>
      <c r="U50" s="934" t="s">
        <v>1511</v>
      </c>
      <c r="V50" s="934" t="s">
        <v>34</v>
      </c>
      <c r="W50" s="934" t="s">
        <v>1511</v>
      </c>
      <c r="X50" s="934" t="s">
        <v>1512</v>
      </c>
      <c r="Y50" s="934" t="s">
        <v>1024</v>
      </c>
      <c r="Z50" s="934" t="s">
        <v>1511</v>
      </c>
      <c r="AA50" s="934" t="s">
        <v>1025</v>
      </c>
      <c r="AB50" s="934" t="s">
        <v>53</v>
      </c>
      <c r="AC50" s="934" t="s">
        <v>1026</v>
      </c>
      <c r="AD50" s="934" t="s">
        <v>1513</v>
      </c>
      <c r="AE50" s="934" t="s">
        <v>1027</v>
      </c>
    </row>
    <row r="51" spans="2:35" ht="15" customHeight="1" x14ac:dyDescent="0.25">
      <c r="B51" s="610" t="s">
        <v>964</v>
      </c>
      <c r="C51" s="611"/>
      <c r="D51" s="611"/>
      <c r="E51" s="611"/>
      <c r="F51" s="611"/>
      <c r="G51" s="611"/>
      <c r="H51" s="611"/>
      <c r="I51" s="611"/>
      <c r="J51" s="611"/>
      <c r="K51" s="611"/>
      <c r="L51" s="611"/>
      <c r="M51" s="611"/>
      <c r="N51" s="611"/>
      <c r="O51" s="611"/>
      <c r="S51" s="803" t="s">
        <v>24</v>
      </c>
      <c r="T51" s="794">
        <f>E5</f>
        <v>11431.453</v>
      </c>
      <c r="U51" s="795">
        <f>E5/D5-1</f>
        <v>5.8212919442926614E-2</v>
      </c>
      <c r="V51" s="794">
        <f>X51*T51</f>
        <v>6191.9619999999995</v>
      </c>
      <c r="W51" s="795">
        <f>E7/D7-1</f>
        <v>1.1525944933901355E-2</v>
      </c>
      <c r="X51" s="796">
        <f>E57</f>
        <v>0.54166010217598759</v>
      </c>
      <c r="Y51" s="794">
        <f>E14</f>
        <v>1904.2409999999995</v>
      </c>
      <c r="Z51" s="795">
        <f>E14/D14-1</f>
        <v>-0.2860641921024103</v>
      </c>
      <c r="AA51" s="794">
        <f>E16</f>
        <v>0.90678142857142829</v>
      </c>
      <c r="AB51" s="797">
        <f ca="1">Valuation!$C$2/NewFinSumm!AA51</f>
        <v>384.27121357013118</v>
      </c>
      <c r="AC51" s="797">
        <f ca="1">E80</f>
        <v>122.19255915976231</v>
      </c>
      <c r="AD51" s="796">
        <f>E65</f>
        <v>9.9630522905973171E-2</v>
      </c>
      <c r="AE51" s="796">
        <f>E62</f>
        <v>7.0061911585699216E-2</v>
      </c>
      <c r="AI51" s="702"/>
    </row>
    <row r="52" spans="2:35" ht="15" customHeight="1" x14ac:dyDescent="0.25">
      <c r="B52" s="606" t="s">
        <v>797</v>
      </c>
      <c r="C52" s="607"/>
      <c r="D52" s="607">
        <f t="shared" ref="D52:O52" si="13">D5/C5-1</f>
        <v>8.2323541599705896E-2</v>
      </c>
      <c r="E52" s="612">
        <f t="shared" si="13"/>
        <v>5.8212919442926614E-2</v>
      </c>
      <c r="F52" s="612">
        <f t="shared" si="13"/>
        <v>0.40277049645395047</v>
      </c>
      <c r="G52" s="612">
        <f t="shared" si="13"/>
        <v>0.41749851347352651</v>
      </c>
      <c r="H52" s="612">
        <f t="shared" si="13"/>
        <v>0.40548040376254257</v>
      </c>
      <c r="I52" s="612">
        <f t="shared" si="13"/>
        <v>0.17783934565433723</v>
      </c>
      <c r="J52" s="612">
        <f t="shared" si="13"/>
        <v>0.1895484587644074</v>
      </c>
      <c r="K52" s="607">
        <f t="shared" si="13"/>
        <v>0.19778201754189983</v>
      </c>
      <c r="L52" s="607">
        <f t="shared" ca="1" si="13"/>
        <v>0.36036899962136504</v>
      </c>
      <c r="M52" s="607">
        <f t="shared" ca="1" si="13"/>
        <v>0.48998482556740774</v>
      </c>
      <c r="N52" s="607">
        <f t="shared" ca="1" si="13"/>
        <v>0.3283127309821896</v>
      </c>
      <c r="O52" s="607">
        <f t="shared" ca="1" si="13"/>
        <v>0.30619456825828983</v>
      </c>
      <c r="S52" s="804" t="s">
        <v>25</v>
      </c>
      <c r="T52" s="798">
        <f>F5</f>
        <v>16035.705</v>
      </c>
      <c r="U52" s="799">
        <f>T52/T51-1</f>
        <v>0.40277049645395047</v>
      </c>
      <c r="V52" s="798">
        <f t="shared" ref="V52:V58" si="14">X52*T52</f>
        <v>8164.3949999999995</v>
      </c>
      <c r="W52" s="799">
        <f t="shared" ref="W52:W58" si="15">V52/V51-1</f>
        <v>0.31854733604631291</v>
      </c>
      <c r="X52" s="800">
        <f>F57</f>
        <v>0.50913851308688951</v>
      </c>
      <c r="Y52" s="798">
        <f>F14</f>
        <v>2913.8549999999982</v>
      </c>
      <c r="Z52" s="799">
        <f>Y52/Y51-1</f>
        <v>0.53019234435137097</v>
      </c>
      <c r="AA52" s="798">
        <f>F16</f>
        <v>1.3875499999999992</v>
      </c>
      <c r="AB52" s="801">
        <f ca="1">Valuation!$C$2/NewFinSumm!AA52</f>
        <v>251.12608554646692</v>
      </c>
      <c r="AC52" s="801">
        <f ca="1">F80</f>
        <v>94.134933451896941</v>
      </c>
      <c r="AD52" s="800">
        <f>F65</f>
        <v>0.10774786287998174</v>
      </c>
      <c r="AE52" s="800">
        <f>F62</f>
        <v>0.10713915596213013</v>
      </c>
    </row>
    <row r="53" spans="2:35" ht="15" customHeight="1" x14ac:dyDescent="0.25">
      <c r="B53" s="608" t="s">
        <v>34</v>
      </c>
      <c r="C53" s="609"/>
      <c r="D53" s="609">
        <f t="shared" ref="D53:O53" si="16">D7/C7-1</f>
        <v>4.1346764299406757E-2</v>
      </c>
      <c r="E53" s="613">
        <f t="shared" si="16"/>
        <v>1.1525944933901355E-2</v>
      </c>
      <c r="F53" s="613">
        <f t="shared" si="16"/>
        <v>0.31854733604631291</v>
      </c>
      <c r="G53" s="613">
        <f t="shared" si="16"/>
        <v>0.35886468011408024</v>
      </c>
      <c r="H53" s="613">
        <f t="shared" si="16"/>
        <v>0.46037914216912013</v>
      </c>
      <c r="I53" s="613">
        <f t="shared" si="16"/>
        <v>0.21254944483040705</v>
      </c>
      <c r="J53" s="613">
        <f t="shared" si="16"/>
        <v>0.1514944822250277</v>
      </c>
      <c r="K53" s="609">
        <f t="shared" si="16"/>
        <v>0.15098268042330854</v>
      </c>
      <c r="L53" s="609">
        <f t="shared" ca="1" si="16"/>
        <v>0.13417583254021492</v>
      </c>
      <c r="M53" s="609">
        <f t="shared" ca="1" si="16"/>
        <v>0.60643457822943581</v>
      </c>
      <c r="N53" s="609">
        <f t="shared" ca="1" si="16"/>
        <v>0.22190420010953793</v>
      </c>
      <c r="O53" s="609">
        <f t="shared" ca="1" si="16"/>
        <v>0.30259560663085483</v>
      </c>
      <c r="S53" s="804" t="s">
        <v>26</v>
      </c>
      <c r="T53" s="798">
        <f>G5</f>
        <v>22730.587999999996</v>
      </c>
      <c r="U53" s="799">
        <f t="shared" ref="U53:U58" si="17">T53/T52-1</f>
        <v>0.41749851347352651</v>
      </c>
      <c r="V53" s="798">
        <f t="shared" si="14"/>
        <v>11094.307999999995</v>
      </c>
      <c r="W53" s="799">
        <f t="shared" si="15"/>
        <v>0.35886468011408024</v>
      </c>
      <c r="X53" s="800">
        <f>G57</f>
        <v>0.48807835503419433</v>
      </c>
      <c r="Y53" s="798">
        <f>G14</f>
        <v>3279.4579999999951</v>
      </c>
      <c r="Z53" s="799">
        <f t="shared" ref="Z53:Z58" si="18">Y53/Y52-1</f>
        <v>0.12547055361368264</v>
      </c>
      <c r="AA53" s="798">
        <f>G16</f>
        <v>1.5616466666666644</v>
      </c>
      <c r="AB53" s="801">
        <f ca="1">Valuation!$C$2/NewFinSumm!AA53</f>
        <v>223.12985865347292</v>
      </c>
      <c r="AC53" s="801">
        <f ca="1">G80</f>
        <v>68.994802560015486</v>
      </c>
      <c r="AD53" s="800">
        <f>G65</f>
        <v>0.11927532362055952</v>
      </c>
      <c r="AE53" s="800">
        <f>G62</f>
        <v>0.10641914069864664</v>
      </c>
    </row>
    <row r="54" spans="2:35" ht="15" customHeight="1" x14ac:dyDescent="0.25">
      <c r="B54" s="606" t="s">
        <v>940</v>
      </c>
      <c r="C54" s="607"/>
      <c r="D54" s="607">
        <f t="shared" ref="D54:O54" si="19">IF(OR(D15&lt;0,C15&lt;0),"NM",D15/C15-1)</f>
        <v>-5.0173121895405015E-2</v>
      </c>
      <c r="E54" s="612">
        <f t="shared" si="19"/>
        <v>-0.2860641921024103</v>
      </c>
      <c r="F54" s="612">
        <f t="shared" si="19"/>
        <v>0.53019234435137097</v>
      </c>
      <c r="G54" s="612">
        <f t="shared" si="19"/>
        <v>0.12547055361368264</v>
      </c>
      <c r="H54" s="612">
        <f t="shared" si="19"/>
        <v>1.2559752251744078</v>
      </c>
      <c r="I54" s="612">
        <f t="shared" si="19"/>
        <v>0.5623834203614404</v>
      </c>
      <c r="J54" s="612">
        <f t="shared" si="19"/>
        <v>0.300343452344906</v>
      </c>
      <c r="K54" s="607">
        <f t="shared" si="19"/>
        <v>6.6503446257018872E-2</v>
      </c>
      <c r="L54" s="607">
        <f t="shared" ca="1" si="19"/>
        <v>-4.4971041839049208E-3</v>
      </c>
      <c r="M54" s="607">
        <f t="shared" ca="1" si="19"/>
        <v>0.46560405127999638</v>
      </c>
      <c r="N54" s="607">
        <f t="shared" ca="1" si="19"/>
        <v>4.518713406075503E-2</v>
      </c>
      <c r="O54" s="607">
        <f t="shared" ca="1" si="19"/>
        <v>0.14330488882685133</v>
      </c>
      <c r="S54" s="804" t="s">
        <v>27</v>
      </c>
      <c r="T54" s="798">
        <f>H5</f>
        <v>31947.396000000001</v>
      </c>
      <c r="U54" s="799">
        <f t="shared" si="17"/>
        <v>0.40548040376254257</v>
      </c>
      <c r="V54" s="798">
        <f t="shared" si="14"/>
        <v>16201.895999999999</v>
      </c>
      <c r="W54" s="799">
        <f t="shared" si="15"/>
        <v>0.4603791421691199</v>
      </c>
      <c r="X54" s="800">
        <f>H57</f>
        <v>0.50714292958336882</v>
      </c>
      <c r="Y54" s="798">
        <f>H14</f>
        <v>7398.376000000002</v>
      </c>
      <c r="Z54" s="799">
        <f t="shared" si="18"/>
        <v>1.2559752251744078</v>
      </c>
      <c r="AA54" s="798">
        <f>H16</f>
        <v>3.5230361904761915</v>
      </c>
      <c r="AB54" s="801">
        <f ca="1">Valuation!$C$2/NewFinSumm!AA54</f>
        <v>98.906165353045012</v>
      </c>
      <c r="AC54" s="801">
        <f ca="1">H80</f>
        <v>46.588414096720534</v>
      </c>
      <c r="AD54" s="800">
        <f>H65</f>
        <v>0.18744126191510233</v>
      </c>
      <c r="AE54" s="800">
        <f>H62</f>
        <v>0.20362288854855615</v>
      </c>
    </row>
    <row r="55" spans="2:35" ht="15" customHeight="1" x14ac:dyDescent="0.25">
      <c r="B55" s="610" t="s">
        <v>965</v>
      </c>
      <c r="C55" s="614"/>
      <c r="D55" s="614"/>
      <c r="E55" s="614"/>
      <c r="F55" s="614"/>
      <c r="G55" s="614"/>
      <c r="H55" s="614"/>
      <c r="I55" s="614"/>
      <c r="J55" s="614"/>
      <c r="K55" s="614"/>
      <c r="L55" s="614"/>
      <c r="M55" s="614"/>
      <c r="N55" s="614"/>
      <c r="O55" s="614"/>
      <c r="S55" s="804" t="s">
        <v>273</v>
      </c>
      <c r="T55" s="798">
        <f>I5</f>
        <v>37628.899999999994</v>
      </c>
      <c r="U55" s="799">
        <f t="shared" si="17"/>
        <v>0.17783934565433723</v>
      </c>
      <c r="V55" s="798">
        <f t="shared" si="14"/>
        <v>19645.599999999995</v>
      </c>
      <c r="W55" s="799">
        <f t="shared" si="15"/>
        <v>0.21254944483040727</v>
      </c>
      <c r="X55" s="800">
        <f>I57</f>
        <v>0.52208807592036965</v>
      </c>
      <c r="Y55" s="798">
        <f>I14</f>
        <v>11559.099999999995</v>
      </c>
      <c r="Z55" s="799">
        <f t="shared" si="18"/>
        <v>0.5623834203614404</v>
      </c>
      <c r="AA55" s="798">
        <f>I16</f>
        <v>5.5043333333333306</v>
      </c>
      <c r="AB55" s="801">
        <f ca="1">Valuation!$C$2/NewFinSumm!AA55</f>
        <v>63.304669048628384</v>
      </c>
      <c r="AC55" s="801">
        <f ca="1">I80</f>
        <v>37.283218634198001</v>
      </c>
      <c r="AD55" s="800">
        <f>I65</f>
        <v>0.21047912575460398</v>
      </c>
      <c r="AE55" s="800">
        <f>I62</f>
        <v>0.19231535518927931</v>
      </c>
    </row>
    <row r="56" spans="2:35" ht="15" customHeight="1" x14ac:dyDescent="0.25">
      <c r="B56" s="606" t="s">
        <v>966</v>
      </c>
      <c r="C56" s="607"/>
      <c r="D56" s="607"/>
      <c r="E56" s="607"/>
      <c r="F56" s="607"/>
      <c r="G56" s="607"/>
      <c r="H56" s="607"/>
      <c r="I56" s="607"/>
      <c r="J56" s="607"/>
      <c r="K56" s="607"/>
      <c r="L56" s="607"/>
      <c r="M56" s="607"/>
      <c r="N56" s="607"/>
      <c r="O56" s="607"/>
      <c r="S56" s="804" t="s">
        <v>28</v>
      </c>
      <c r="T56" s="798">
        <f>J5</f>
        <v>44761.4</v>
      </c>
      <c r="U56" s="799">
        <f t="shared" si="17"/>
        <v>0.1895484587644074</v>
      </c>
      <c r="V56" s="798">
        <f t="shared" si="14"/>
        <v>22621.800000000003</v>
      </c>
      <c r="W56" s="799">
        <f t="shared" si="15"/>
        <v>0.15149448222502793</v>
      </c>
      <c r="X56" s="800">
        <f>J57</f>
        <v>0.50538633733529337</v>
      </c>
      <c r="Y56" s="798">
        <f>J14</f>
        <v>15030.799999999997</v>
      </c>
      <c r="Z56" s="799">
        <f t="shared" si="18"/>
        <v>0.300343452344906</v>
      </c>
      <c r="AA56" s="798">
        <f>J16</f>
        <v>7.1575238095238083</v>
      </c>
      <c r="AB56" s="801">
        <f ca="1">Valuation!$C$2/NewFinSumm!AA56</f>
        <v>48.683037496340852</v>
      </c>
      <c r="AC56" s="801">
        <f ca="1">J80</f>
        <v>33.238504451458333</v>
      </c>
      <c r="AD56" s="800">
        <f>J65</f>
        <v>0.1839322605925911</v>
      </c>
      <c r="AE56" s="800">
        <f>J62</f>
        <v>0.16961665066133427</v>
      </c>
    </row>
    <row r="57" spans="2:35" ht="15" customHeight="1" x14ac:dyDescent="0.25">
      <c r="B57" s="608" t="s">
        <v>34</v>
      </c>
      <c r="C57" s="609">
        <f t="shared" ref="C57:O57" si="20">C7/C5</f>
        <v>0.58895839027522057</v>
      </c>
      <c r="D57" s="609">
        <f t="shared" si="20"/>
        <v>0.56666042125776739</v>
      </c>
      <c r="E57" s="609">
        <f t="shared" si="20"/>
        <v>0.54166010217598759</v>
      </c>
      <c r="F57" s="609">
        <f t="shared" si="20"/>
        <v>0.50913851308688951</v>
      </c>
      <c r="G57" s="609">
        <f t="shared" si="20"/>
        <v>0.48807835503419433</v>
      </c>
      <c r="H57" s="609">
        <f t="shared" si="20"/>
        <v>0.50714292958336882</v>
      </c>
      <c r="I57" s="609">
        <f t="shared" si="20"/>
        <v>0.52208807592036965</v>
      </c>
      <c r="J57" s="609">
        <f t="shared" si="20"/>
        <v>0.50538633733529337</v>
      </c>
      <c r="K57" s="609">
        <f t="shared" si="20"/>
        <v>0.48564005192634813</v>
      </c>
      <c r="L57" s="609">
        <f t="shared" ca="1" si="20"/>
        <v>0.40489103350763284</v>
      </c>
      <c r="M57" s="609">
        <f t="shared" ca="1" si="20"/>
        <v>0.43653528913894879</v>
      </c>
      <c r="N57" s="609">
        <f t="shared" ca="1" si="20"/>
        <v>0.40156530224663273</v>
      </c>
      <c r="O57" s="609">
        <f t="shared" ca="1" si="20"/>
        <v>0.40045886822155319</v>
      </c>
      <c r="Q57" s="537"/>
      <c r="R57">
        <v>100</v>
      </c>
      <c r="S57" s="804" t="s">
        <v>177</v>
      </c>
      <c r="T57" s="798">
        <f>K5</f>
        <v>53614.400000000001</v>
      </c>
      <c r="U57" s="799">
        <f t="shared" si="17"/>
        <v>0.19778201754189983</v>
      </c>
      <c r="V57" s="798">
        <f t="shared" si="14"/>
        <v>26037.3</v>
      </c>
      <c r="W57" s="799">
        <f t="shared" si="15"/>
        <v>0.15098268042330831</v>
      </c>
      <c r="X57" s="800">
        <f>K57</f>
        <v>0.48564005192634813</v>
      </c>
      <c r="Y57" s="798">
        <f>K14</f>
        <v>15233.099999999999</v>
      </c>
      <c r="Z57" s="799">
        <f t="shared" si="18"/>
        <v>1.3459030790111015E-2</v>
      </c>
      <c r="AA57" s="798">
        <f>K16</f>
        <v>7.6335238095238083</v>
      </c>
      <c r="AB57" s="801">
        <f ca="1">Valuation!$C$2/NewFinSumm!AA57</f>
        <v>45.647332568120575</v>
      </c>
      <c r="AC57" s="801">
        <f ca="1">K80</f>
        <v>28.878370645189786</v>
      </c>
      <c r="AD57" s="800">
        <f>K65</f>
        <v>0.17241084980114704</v>
      </c>
      <c r="AE57" s="800">
        <f>K62</f>
        <v>0.14807819426082897</v>
      </c>
    </row>
    <row r="58" spans="2:35" ht="15" customHeight="1" x14ac:dyDescent="0.25">
      <c r="B58" s="606" t="s">
        <v>940</v>
      </c>
      <c r="C58" s="607">
        <f t="shared" ref="C58:O58" si="21">C15/C5</f>
        <v>0.28135006576537497</v>
      </c>
      <c r="D58" s="607">
        <f t="shared" si="21"/>
        <v>0.24690755060678907</v>
      </c>
      <c r="E58" s="607">
        <f t="shared" si="21"/>
        <v>0.16657908666553584</v>
      </c>
      <c r="F58" s="607">
        <f t="shared" si="21"/>
        <v>0.18171043929780439</v>
      </c>
      <c r="G58" s="607">
        <f t="shared" si="21"/>
        <v>0.14427510630169338</v>
      </c>
      <c r="H58" s="607">
        <f t="shared" si="21"/>
        <v>0.23157993847135466</v>
      </c>
      <c r="I58" s="607">
        <f t="shared" si="21"/>
        <v>0.30718676336539191</v>
      </c>
      <c r="J58" s="607">
        <f t="shared" si="21"/>
        <v>0.33579825474627684</v>
      </c>
      <c r="K58" s="607">
        <f t="shared" si="21"/>
        <v>0.29899430003879551</v>
      </c>
      <c r="L58" s="607">
        <f t="shared" ca="1" si="21"/>
        <v>0.21880070157727269</v>
      </c>
      <c r="M58" s="607">
        <f t="shared" ca="1" si="21"/>
        <v>0.21522044329037959</v>
      </c>
      <c r="N58" s="607">
        <f t="shared" ca="1" si="21"/>
        <v>0.16934689630477781</v>
      </c>
      <c r="O58" s="607">
        <f t="shared" ca="1" si="21"/>
        <v>0.14822840268818238</v>
      </c>
      <c r="Q58" s="537"/>
      <c r="S58" s="804" t="s">
        <v>178</v>
      </c>
      <c r="T58" s="798">
        <f ca="1">L5</f>
        <v>72935.367693299719</v>
      </c>
      <c r="U58" s="799">
        <f t="shared" ca="1" si="17"/>
        <v>0.36036899962136504</v>
      </c>
      <c r="V58" s="798">
        <f t="shared" ca="1" si="14"/>
        <v>29530.876404599338</v>
      </c>
      <c r="W58" s="799">
        <f t="shared" ca="1" si="15"/>
        <v>0.13417583254021492</v>
      </c>
      <c r="X58" s="800">
        <f ca="1">L57</f>
        <v>0.40489103350763284</v>
      </c>
      <c r="Y58" s="798">
        <f ca="1">L14</f>
        <v>15958.309621090328</v>
      </c>
      <c r="Z58" s="799">
        <f t="shared" ca="1" si="18"/>
        <v>4.7607487713619001E-2</v>
      </c>
      <c r="AA58" s="798">
        <f ca="1">L16</f>
        <v>6.8490599232147327</v>
      </c>
      <c r="AB58" s="801">
        <f ca="1">Valuation!$C$2/NewFinSumm!AA58</f>
        <v>50.875595177512849</v>
      </c>
      <c r="AC58" s="801">
        <f ca="1">L80</f>
        <v>26.164018616110656</v>
      </c>
      <c r="AD58" s="800">
        <f ca="1">L65</f>
        <v>0.15631751573354791</v>
      </c>
      <c r="AE58" s="800">
        <f ca="1">L62</f>
        <v>0.10696856730936379</v>
      </c>
    </row>
    <row r="59" spans="2:35" ht="15" customHeight="1" x14ac:dyDescent="0.25">
      <c r="B59" s="610" t="s">
        <v>967</v>
      </c>
      <c r="C59" s="615"/>
      <c r="D59" s="615"/>
      <c r="E59" s="615"/>
      <c r="F59" s="615"/>
      <c r="G59" s="615"/>
      <c r="H59" s="615"/>
      <c r="I59" s="615"/>
      <c r="J59" s="615"/>
      <c r="K59" s="615"/>
      <c r="L59" s="615"/>
      <c r="M59" s="615"/>
      <c r="N59" s="615"/>
      <c r="O59" s="615"/>
      <c r="Q59" s="537"/>
      <c r="S59" s="597"/>
      <c r="T59" s="597"/>
      <c r="U59" s="597"/>
      <c r="V59" s="597"/>
      <c r="W59" s="597"/>
      <c r="X59" s="597"/>
      <c r="Y59" s="597"/>
      <c r="Z59" s="597"/>
      <c r="AA59" s="597"/>
      <c r="AB59" s="597"/>
      <c r="AC59" s="597"/>
      <c r="AD59" s="597"/>
      <c r="AE59" s="597"/>
    </row>
    <row r="60" spans="2:35" ht="15" customHeight="1" x14ac:dyDescent="0.25">
      <c r="B60" s="606" t="s">
        <v>968</v>
      </c>
      <c r="C60" s="612">
        <f t="shared" ref="C60:O60" si="22">C35/C7</f>
        <v>1.1938785265812417</v>
      </c>
      <c r="D60" s="612">
        <f t="shared" si="22"/>
        <v>0.58451480190746974</v>
      </c>
      <c r="E60" s="612">
        <f t="shared" si="22"/>
        <v>0.47648951980002485</v>
      </c>
      <c r="F60" s="612">
        <f t="shared" si="22"/>
        <v>1.2937590599180953</v>
      </c>
      <c r="G60" s="612">
        <f t="shared" si="22"/>
        <v>1.1703992714101688</v>
      </c>
      <c r="H60" s="612">
        <f t="shared" si="22"/>
        <v>1.2207731737075707</v>
      </c>
      <c r="I60" s="612">
        <f t="shared" si="22"/>
        <v>1.0438775094677692</v>
      </c>
      <c r="J60" s="612">
        <f>J35/J7</f>
        <v>1.0494655597697795</v>
      </c>
      <c r="K60" s="612">
        <f t="shared" si="22"/>
        <v>0.90949138351518799</v>
      </c>
      <c r="L60" s="612">
        <f t="shared" ca="1" si="22"/>
        <v>1.0438566154387332</v>
      </c>
      <c r="M60" s="612">
        <f t="shared" ca="1" si="22"/>
        <v>0.99529090421957567</v>
      </c>
      <c r="N60" s="612">
        <f t="shared" ca="1" si="22"/>
        <v>1.0121429049422883</v>
      </c>
      <c r="O60" s="612">
        <f t="shared" ca="1" si="22"/>
        <v>0.97663564441237194</v>
      </c>
      <c r="Q60" s="537"/>
      <c r="S60" s="597"/>
      <c r="T60" s="597"/>
      <c r="U60" s="597"/>
      <c r="V60" s="597"/>
      <c r="W60" s="597"/>
      <c r="X60" s="597"/>
      <c r="Y60" s="597"/>
      <c r="Z60" s="597"/>
      <c r="AA60" s="597"/>
      <c r="AB60" s="597"/>
      <c r="AC60" s="597"/>
      <c r="AD60" s="597"/>
      <c r="AE60" s="597"/>
    </row>
    <row r="61" spans="2:35" ht="15" customHeight="1" x14ac:dyDescent="0.25">
      <c r="B61" s="608" t="s">
        <v>969</v>
      </c>
      <c r="C61" s="788">
        <f t="shared" ref="C61:M61" si="23">C36/C32</f>
        <v>0.17162385445378187</v>
      </c>
      <c r="D61" s="788">
        <f t="shared" si="23"/>
        <v>8.4295591978880396E-2</v>
      </c>
      <c r="E61" s="788">
        <f t="shared" si="23"/>
        <v>5.7663993549229367E-2</v>
      </c>
      <c r="F61" s="788">
        <f t="shared" si="23"/>
        <v>0.17542957025080946</v>
      </c>
      <c r="G61" s="788">
        <f t="shared" si="23"/>
        <v>0.17393007305128133</v>
      </c>
      <c r="H61" s="788">
        <f t="shared" si="23"/>
        <v>0.28300894584262987</v>
      </c>
      <c r="I61" s="788">
        <f>I36/I32</f>
        <v>0.22072221494591532</v>
      </c>
      <c r="J61" s="788">
        <f>J36/J32</f>
        <v>0.20031987243250859</v>
      </c>
      <c r="K61" s="788">
        <f t="shared" si="23"/>
        <v>0.16050733498273848</v>
      </c>
      <c r="L61" s="788">
        <f t="shared" ca="1" si="23"/>
        <v>0.16735670689564552</v>
      </c>
      <c r="M61" s="788">
        <f t="shared" ca="1" si="23"/>
        <v>0.15144048316501815</v>
      </c>
      <c r="N61" s="788">
        <f ca="1">N36/N32</f>
        <v>0.16604855178540504</v>
      </c>
      <c r="O61" s="788">
        <f ca="1">O36/O32</f>
        <v>0.15727210613055134</v>
      </c>
      <c r="Q61" s="537"/>
      <c r="S61" s="597"/>
      <c r="T61" s="597"/>
      <c r="U61" s="597"/>
      <c r="V61" s="597"/>
      <c r="W61" s="597"/>
      <c r="X61" s="597"/>
      <c r="Y61" s="597"/>
      <c r="Z61" s="597"/>
      <c r="AA61" s="597"/>
      <c r="AB61" s="597"/>
      <c r="AC61" s="597"/>
      <c r="AD61" s="597"/>
      <c r="AE61" s="597"/>
    </row>
    <row r="62" spans="2:35" ht="15" customHeight="1" x14ac:dyDescent="0.25">
      <c r="B62" s="606" t="s">
        <v>970</v>
      </c>
      <c r="C62" s="789">
        <f>Consol!G221</f>
        <v>0.21492996154678787</v>
      </c>
      <c r="D62" s="789">
        <f>Consol!H221</f>
        <v>9.6977702949819528E-2</v>
      </c>
      <c r="E62" s="789">
        <f>Consol!I221</f>
        <v>7.0061911585699216E-2</v>
      </c>
      <c r="F62" s="789">
        <f>Consol!J221</f>
        <v>0.10713915596213013</v>
      </c>
      <c r="G62" s="789">
        <f>Consol!K221</f>
        <v>0.10641914069864664</v>
      </c>
      <c r="H62" s="789">
        <f>Consol!L221</f>
        <v>0.20362288854855615</v>
      </c>
      <c r="I62" s="789">
        <f>Consol!M221</f>
        <v>0.19231535518927931</v>
      </c>
      <c r="J62" s="789">
        <f>Consol!N221</f>
        <v>0.16961665066133427</v>
      </c>
      <c r="K62" s="789">
        <f>Consol!O221</f>
        <v>0.14807819426082897</v>
      </c>
      <c r="L62" s="789">
        <f ca="1">Consol!P221</f>
        <v>0.10696856730936379</v>
      </c>
      <c r="M62" s="789">
        <f ca="1">Consol!Q221</f>
        <v>0.11700729871464516</v>
      </c>
      <c r="N62" s="789">
        <f ca="1">Consol!R221</f>
        <v>0.11064445821563842</v>
      </c>
      <c r="O62" s="789">
        <f ca="1">Consol!S221</f>
        <v>0.11454798738011347</v>
      </c>
      <c r="S62" s="597"/>
      <c r="T62" s="597"/>
      <c r="U62" s="597"/>
      <c r="V62" s="597"/>
      <c r="W62" s="597"/>
      <c r="X62" s="597"/>
      <c r="Y62" s="597"/>
      <c r="Z62" s="597"/>
    </row>
    <row r="63" spans="2:35" ht="15" customHeight="1" x14ac:dyDescent="0.25">
      <c r="B63" s="608" t="s">
        <v>971</v>
      </c>
      <c r="C63" s="788">
        <f>Consol!G222</f>
        <v>7.9825280398223161E-2</v>
      </c>
      <c r="D63" s="788">
        <f>Consol!H222</f>
        <v>8.3184228547020858E-2</v>
      </c>
      <c r="E63" s="788">
        <f>Consol!I222</f>
        <v>7.0667832483507428E-2</v>
      </c>
      <c r="F63" s="788">
        <f>Consol!J222</f>
        <v>5.7397405962590922E-2</v>
      </c>
      <c r="G63" s="788">
        <f>Consol!K222</f>
        <v>7.4227294556233336E-2</v>
      </c>
      <c r="H63" s="788">
        <f>Consol!L222</f>
        <v>0.14636346684270354</v>
      </c>
      <c r="I63" s="788">
        <f>Consol!M222</f>
        <v>0.10780053031319661</v>
      </c>
      <c r="J63" s="788">
        <f>Consol!N222</f>
        <v>0.11065758374088255</v>
      </c>
      <c r="K63" s="788">
        <f>Consol!O222</f>
        <v>0.10223813388390543</v>
      </c>
      <c r="L63" s="788">
        <f ca="1">Consol!P222</f>
        <v>6.5187404509055927E-2</v>
      </c>
      <c r="M63" s="788">
        <f ca="1">Consol!Q222</f>
        <v>8.5124082592965736E-2</v>
      </c>
      <c r="N63" s="788">
        <f ca="1">Consol!R222</f>
        <v>8.7864621734563608E-2</v>
      </c>
      <c r="O63" s="788">
        <f ca="1">Consol!S222</f>
        <v>9.5771964124638356E-2</v>
      </c>
      <c r="S63" s="597"/>
      <c r="T63" s="597"/>
      <c r="U63" s="597"/>
      <c r="V63" s="597"/>
      <c r="W63" s="597"/>
      <c r="X63" s="597"/>
      <c r="Y63" s="597"/>
      <c r="Z63" s="597"/>
      <c r="AA63" s="597"/>
      <c r="AB63" s="597"/>
      <c r="AC63" s="597"/>
      <c r="AD63" s="597"/>
      <c r="AE63" s="597"/>
    </row>
    <row r="64" spans="2:35" ht="15" customHeight="1" x14ac:dyDescent="0.25">
      <c r="B64" s="606" t="s">
        <v>972</v>
      </c>
      <c r="C64" s="789">
        <f>(C9+C10)/AVERAGE(C31:C31)</f>
        <v>0.11312899869229731</v>
      </c>
      <c r="D64" s="789">
        <f t="shared" ref="D64:O64" si="24">(D9+D10)/AVERAGE(C31:D31)</f>
        <v>9.6341033591229613E-2</v>
      </c>
      <c r="E64" s="789">
        <f t="shared" si="24"/>
        <v>9.695173489035662E-2</v>
      </c>
      <c r="F64" s="789">
        <f t="shared" si="24"/>
        <v>9.9258291317332048E-2</v>
      </c>
      <c r="G64" s="789">
        <f t="shared" si="24"/>
        <v>0.1133911849031972</v>
      </c>
      <c r="H64" s="789">
        <f t="shared" si="24"/>
        <v>0.17357265843746078</v>
      </c>
      <c r="I64" s="789">
        <f>(I9+I10)/AVERAGE(H31:I31)</f>
        <v>0.17164510506474423</v>
      </c>
      <c r="J64" s="789">
        <f t="shared" si="24"/>
        <v>0.14903738254799034</v>
      </c>
      <c r="K64" s="789">
        <f t="shared" si="24"/>
        <v>0.14048434726982859</v>
      </c>
      <c r="L64" s="789">
        <f t="shared" ca="1" si="24"/>
        <v>0.10708965342507516</v>
      </c>
      <c r="M64" s="789">
        <f t="shared" ca="1" si="24"/>
        <v>0.12021349894375921</v>
      </c>
      <c r="N64" s="789">
        <f t="shared" ca="1" si="24"/>
        <v>0.1160633410103289</v>
      </c>
      <c r="O64" s="789">
        <f t="shared" ca="1" si="24"/>
        <v>0.1315946715985935</v>
      </c>
      <c r="S64" s="683"/>
      <c r="T64" s="1299" t="s">
        <v>177</v>
      </c>
      <c r="U64" s="1300"/>
      <c r="V64" s="1301"/>
      <c r="W64" s="1299" t="s">
        <v>178</v>
      </c>
      <c r="X64" s="1300"/>
      <c r="Y64" s="1301"/>
      <c r="Z64" s="597"/>
      <c r="AA64" s="597"/>
      <c r="AB64" s="597"/>
      <c r="AC64" s="597"/>
      <c r="AD64" s="597"/>
      <c r="AE64" s="597"/>
    </row>
    <row r="65" spans="2:31" ht="15" customHeight="1" x14ac:dyDescent="0.25">
      <c r="B65" s="608" t="s">
        <v>973</v>
      </c>
      <c r="C65" s="788">
        <f>C9/AVERAGE(C32:C32)</f>
        <v>0.12321637951393519</v>
      </c>
      <c r="D65" s="788">
        <f t="shared" ref="D65:O65" si="25">D9/AVERAGE(C32:D32)</f>
        <v>9.737571603772896E-2</v>
      </c>
      <c r="E65" s="788">
        <f t="shared" si="25"/>
        <v>9.9630522905973171E-2</v>
      </c>
      <c r="F65" s="788">
        <f t="shared" si="25"/>
        <v>0.10774786287998174</v>
      </c>
      <c r="G65" s="788">
        <f t="shared" si="25"/>
        <v>0.11927532362055952</v>
      </c>
      <c r="H65" s="788">
        <f t="shared" si="25"/>
        <v>0.18744126191510233</v>
      </c>
      <c r="I65" s="788">
        <f t="shared" si="25"/>
        <v>0.21047912575460398</v>
      </c>
      <c r="J65" s="788">
        <f>J9/AVERAGE(I32:J32)</f>
        <v>0.1839322605925911</v>
      </c>
      <c r="K65" s="788">
        <f>K9/AVERAGE(J32:K32)</f>
        <v>0.17241084980114704</v>
      </c>
      <c r="L65" s="788">
        <f t="shared" ca="1" si="25"/>
        <v>0.15631751573354791</v>
      </c>
      <c r="M65" s="788">
        <f t="shared" ca="1" si="25"/>
        <v>0.16514072415133774</v>
      </c>
      <c r="N65" s="788">
        <f t="shared" ca="1" si="25"/>
        <v>0.13582471004410138</v>
      </c>
      <c r="O65" s="788">
        <f t="shared" ca="1" si="25"/>
        <v>0.13929477681831517</v>
      </c>
      <c r="S65" s="661"/>
      <c r="T65" s="684" t="s">
        <v>1028</v>
      </c>
      <c r="U65" s="684" t="s">
        <v>1029</v>
      </c>
      <c r="V65" s="685" t="s">
        <v>1030</v>
      </c>
      <c r="W65" s="684" t="s">
        <v>1028</v>
      </c>
      <c r="X65" s="684" t="s">
        <v>1029</v>
      </c>
      <c r="Y65" s="685" t="s">
        <v>1030</v>
      </c>
      <c r="Z65" s="597"/>
      <c r="AA65" s="597"/>
      <c r="AB65" s="597"/>
      <c r="AC65" s="597"/>
      <c r="AD65" s="597"/>
      <c r="AE65" s="597"/>
    </row>
    <row r="66" spans="2:31" ht="15" customHeight="1" x14ac:dyDescent="0.25">
      <c r="B66" s="606" t="s">
        <v>974</v>
      </c>
      <c r="C66" s="616">
        <f t="shared" ref="C66:I66" si="26">(C5+C25)/AVERAGE(B22:C22)</f>
        <v>0.46239529486579301</v>
      </c>
      <c r="D66" s="616">
        <f t="shared" si="26"/>
        <v>0.45610745762866622</v>
      </c>
      <c r="E66" s="616">
        <f t="shared" si="26"/>
        <v>0.38979709231302023</v>
      </c>
      <c r="F66" s="616">
        <f t="shared" si="26"/>
        <v>0.65621366209564669</v>
      </c>
      <c r="G66" s="616">
        <f t="shared" si="26"/>
        <v>0.98397780663353918</v>
      </c>
      <c r="H66" s="616">
        <f t="shared" si="26"/>
        <v>1.105849354365124</v>
      </c>
      <c r="I66" s="616">
        <f t="shared" si="26"/>
        <v>1.1328981127216939</v>
      </c>
      <c r="J66" s="616">
        <f t="shared" ref="J66:O66" si="27">(J5+J25)/AVERAGE(I22:J22)</f>
        <v>0.94605176006199831</v>
      </c>
      <c r="K66" s="616">
        <f t="shared" si="27"/>
        <v>0.92364703514227309</v>
      </c>
      <c r="L66" s="616">
        <f t="shared" ca="1" si="27"/>
        <v>0.90074265627115113</v>
      </c>
      <c r="M66" s="616">
        <f t="shared" ca="1" si="27"/>
        <v>0.72523703020031549</v>
      </c>
      <c r="N66" s="616">
        <f t="shared" ca="1" si="27"/>
        <v>0.61689996231867561</v>
      </c>
      <c r="O66" s="616">
        <f t="shared" ca="1" si="27"/>
        <v>0.58088109153510814</v>
      </c>
      <c r="P66" s="790" t="s">
        <v>1500</v>
      </c>
      <c r="S66" s="686" t="s">
        <v>1031</v>
      </c>
      <c r="T66" s="687">
        <v>54885</v>
      </c>
      <c r="U66" s="688">
        <f>T57</f>
        <v>53614.400000000001</v>
      </c>
      <c r="V66" s="689">
        <f>IFERROR((U66/T66-1),"NA")</f>
        <v>-2.3150223193950992E-2</v>
      </c>
      <c r="W66" s="687">
        <v>65610</v>
      </c>
      <c r="X66" s="688">
        <f ca="1">T58</f>
        <v>72935.367693299719</v>
      </c>
      <c r="Y66" s="689">
        <f ca="1">IFERROR((X66/W66-1),"NA")</f>
        <v>0.11165017060356219</v>
      </c>
      <c r="Z66" s="597"/>
      <c r="AA66" s="597"/>
      <c r="AB66" s="597"/>
      <c r="AC66" s="597"/>
      <c r="AD66" s="597"/>
      <c r="AE66" s="597"/>
    </row>
    <row r="67" spans="2:31" ht="15" customHeight="1" x14ac:dyDescent="0.25">
      <c r="B67" s="608" t="s">
        <v>975</v>
      </c>
      <c r="C67" s="617">
        <f>C5/AVERAGE(C30:C30)</f>
        <v>0.19558516709891893</v>
      </c>
      <c r="D67" s="617">
        <f t="shared" ref="D67:O67" si="28">D5/AVERAGE(C30:D30)</f>
        <v>0.19778562205572384</v>
      </c>
      <c r="E67" s="617">
        <f t="shared" si="28"/>
        <v>0.18144526993576893</v>
      </c>
      <c r="F67" s="617">
        <f t="shared" si="28"/>
        <v>0.21641469094375104</v>
      </c>
      <c r="G67" s="617">
        <f t="shared" si="28"/>
        <v>0.26440002262870649</v>
      </c>
      <c r="H67" s="617">
        <f t="shared" si="28"/>
        <v>0.34908035506824314</v>
      </c>
      <c r="I67" s="617">
        <f t="shared" si="28"/>
        <v>0.33269876313917252</v>
      </c>
      <c r="J67" s="617">
        <f t="shared" si="28"/>
        <v>0.29790825165405121</v>
      </c>
      <c r="K67" s="617">
        <f t="shared" si="28"/>
        <v>0.29327061799207887</v>
      </c>
      <c r="L67" s="617">
        <f t="shared" ca="1" si="28"/>
        <v>0.28045332952920182</v>
      </c>
      <c r="M67" s="617">
        <f t="shared" ca="1" si="28"/>
        <v>0.31424076600282957</v>
      </c>
      <c r="N67" s="617">
        <f t="shared" ca="1" si="28"/>
        <v>0.3754691433800818</v>
      </c>
      <c r="O67" s="617">
        <f t="shared" ca="1" si="28"/>
        <v>0.4504664667458691</v>
      </c>
      <c r="S67" s="690" t="s">
        <v>1032</v>
      </c>
      <c r="T67" s="691">
        <v>0.45</v>
      </c>
      <c r="U67" s="692">
        <f>X57</f>
        <v>0.48564005192634813</v>
      </c>
      <c r="V67" s="1017">
        <f>+(U67-T67)*10000</f>
        <v>356.40051926348116</v>
      </c>
      <c r="W67" s="691">
        <v>0.42</v>
      </c>
      <c r="X67" s="692">
        <f ca="1">X58</f>
        <v>0.40489103350763284</v>
      </c>
      <c r="Y67" s="1017">
        <f ca="1">+(X67-W67)*10000</f>
        <v>-151.08966492367148</v>
      </c>
      <c r="Z67" s="597"/>
      <c r="AA67" s="597"/>
      <c r="AB67" s="597"/>
      <c r="AC67" s="597"/>
      <c r="AD67" s="597"/>
      <c r="AE67" s="597"/>
    </row>
    <row r="68" spans="2:31" ht="15" customHeight="1" x14ac:dyDescent="0.25">
      <c r="B68" s="610" t="s">
        <v>976</v>
      </c>
      <c r="C68" s="618"/>
      <c r="D68" s="618"/>
      <c r="E68" s="618"/>
      <c r="F68" s="618"/>
      <c r="G68" s="618"/>
      <c r="H68" s="618"/>
      <c r="I68" s="618"/>
      <c r="J68" s="618"/>
      <c r="K68" s="618"/>
      <c r="L68" s="618"/>
      <c r="M68" s="618"/>
      <c r="N68" s="618"/>
      <c r="O68" s="618"/>
      <c r="S68" s="690" t="s">
        <v>798</v>
      </c>
      <c r="T68" s="694">
        <v>13640</v>
      </c>
      <c r="U68" s="695">
        <f>Y57</f>
        <v>15233.099999999999</v>
      </c>
      <c r="V68" s="693">
        <f>IFERROR((U68/T68-1),"NA")</f>
        <v>0.11679618768328437</v>
      </c>
      <c r="W68" s="694">
        <v>13809</v>
      </c>
      <c r="X68" s="695">
        <f ca="1">Y58</f>
        <v>15958.309621090328</v>
      </c>
      <c r="Y68" s="693">
        <f ca="1">IFERROR((X68/W68-1),"NA")</f>
        <v>0.15564556601421731</v>
      </c>
      <c r="Z68" s="597"/>
      <c r="AA68" s="597"/>
      <c r="AB68" s="597"/>
      <c r="AC68" s="597"/>
      <c r="AD68" s="597"/>
      <c r="AE68" s="597"/>
    </row>
    <row r="69" spans="2:31" ht="15" customHeight="1" x14ac:dyDescent="0.25">
      <c r="B69" s="606" t="s">
        <v>977</v>
      </c>
      <c r="C69" s="616">
        <f t="shared" ref="C69:O69" si="29">C33/C18</f>
        <v>0.48185067045242663</v>
      </c>
      <c r="D69" s="616">
        <f t="shared" si="29"/>
        <v>0.61540692386724594</v>
      </c>
      <c r="E69" s="616">
        <f t="shared" si="29"/>
        <v>0.92832241789139258</v>
      </c>
      <c r="F69" s="616">
        <f t="shared" si="29"/>
        <v>1.1918602034495833</v>
      </c>
      <c r="G69" s="616">
        <f t="shared" si="29"/>
        <v>0.97078871169687198</v>
      </c>
      <c r="H69" s="616">
        <f t="shared" si="29"/>
        <v>0.63882028128533219</v>
      </c>
      <c r="I69" s="616">
        <f t="shared" si="29"/>
        <v>3.5288457566619913E-2</v>
      </c>
      <c r="J69" s="616">
        <f t="shared" si="29"/>
        <v>0.20753382211332191</v>
      </c>
      <c r="K69" s="616">
        <f t="shared" si="29"/>
        <v>0.34997357334551182</v>
      </c>
      <c r="L69" s="616">
        <f t="shared" ca="1" si="29"/>
        <v>0.13638333724394788</v>
      </c>
      <c r="M69" s="616">
        <f t="shared" ca="1" si="29"/>
        <v>0.39659145963195858</v>
      </c>
      <c r="N69" s="616">
        <f t="shared" ca="1" si="29"/>
        <v>0.53657738182318437</v>
      </c>
      <c r="O69" s="616">
        <f t="shared" ca="1" si="29"/>
        <v>0.56224461223170386</v>
      </c>
      <c r="S69" s="690" t="s">
        <v>52</v>
      </c>
      <c r="T69" s="696">
        <v>6.5</v>
      </c>
      <c r="U69" s="697">
        <f>AA57</f>
        <v>7.6335238095238083</v>
      </c>
      <c r="V69" s="698">
        <f>IFERROR((U69/T69-1),"NA")</f>
        <v>0.1743882783882782</v>
      </c>
      <c r="W69" s="696">
        <v>6.6</v>
      </c>
      <c r="X69" s="697">
        <f ca="1">AA58</f>
        <v>6.8490599232147327</v>
      </c>
      <c r="Y69" s="698">
        <f ca="1">IFERROR((X69/W69-1),"NA")</f>
        <v>3.7736352002232243E-2</v>
      </c>
      <c r="Z69" s="597"/>
      <c r="AA69" s="597"/>
      <c r="AB69" s="597"/>
      <c r="AC69" s="597"/>
      <c r="AD69" s="597"/>
      <c r="AE69" s="597"/>
    </row>
    <row r="70" spans="2:31" ht="15" customHeight="1" x14ac:dyDescent="0.25">
      <c r="B70" s="608" t="s">
        <v>978</v>
      </c>
      <c r="C70" s="617">
        <f t="shared" ref="C70:O70" si="30">C33/C7</f>
        <v>2.2991827987280806</v>
      </c>
      <c r="D70" s="617">
        <f t="shared" si="30"/>
        <v>3.1011775560749344</v>
      </c>
      <c r="E70" s="617">
        <f t="shared" si="30"/>
        <v>4.1248777043528371</v>
      </c>
      <c r="F70" s="617">
        <f t="shared" si="30"/>
        <v>4.5085741196990101</v>
      </c>
      <c r="G70" s="617">
        <f t="shared" si="30"/>
        <v>3.0380074178578798</v>
      </c>
      <c r="H70" s="617">
        <f t="shared" si="30"/>
        <v>1.6121909435784554</v>
      </c>
      <c r="I70" s="617">
        <f t="shared" si="30"/>
        <v>0.147849900232113</v>
      </c>
      <c r="J70" s="617">
        <f t="shared" si="30"/>
        <v>0.96223996322131733</v>
      </c>
      <c r="K70" s="617">
        <f t="shared" si="30"/>
        <v>1.5716491341268104</v>
      </c>
      <c r="L70" s="617">
        <f t="shared" ca="1" si="30"/>
        <v>0.91541594504056634</v>
      </c>
      <c r="M70" s="617">
        <f t="shared" ca="1" si="30"/>
        <v>1.8341256206940175</v>
      </c>
      <c r="N70" s="617">
        <f t="shared" ca="1" si="30"/>
        <v>2.2370245567952929</v>
      </c>
      <c r="O70" s="617">
        <f t="shared" ca="1" si="30"/>
        <v>1.9898143907473478</v>
      </c>
      <c r="S70" s="699" t="s">
        <v>1033</v>
      </c>
      <c r="T70" s="700" t="s">
        <v>1034</v>
      </c>
      <c r="U70" s="1297" t="s">
        <v>1035</v>
      </c>
      <c r="V70" s="1298"/>
      <c r="W70" s="700" t="s">
        <v>1034</v>
      </c>
      <c r="X70" s="1297" t="s">
        <v>1035</v>
      </c>
      <c r="Y70" s="1298"/>
      <c r="Z70" s="597"/>
      <c r="AA70" s="597"/>
    </row>
    <row r="71" spans="2:31" ht="15" customHeight="1" x14ac:dyDescent="0.25">
      <c r="B71" s="606" t="s">
        <v>979</v>
      </c>
      <c r="C71" s="619">
        <f t="shared" ref="C71:O71" si="31">C36/C11</f>
        <v>4.6183801894156939</v>
      </c>
      <c r="D71" s="619">
        <f t="shared" si="31"/>
        <v>1.8517996008727728</v>
      </c>
      <c r="E71" s="619">
        <f t="shared" si="31"/>
        <v>0.93240786092901207</v>
      </c>
      <c r="F71" s="619">
        <f t="shared" si="31"/>
        <v>4.3456553891256346</v>
      </c>
      <c r="G71" s="619">
        <f t="shared" si="31"/>
        <v>2.8030703823917715</v>
      </c>
      <c r="H71" s="619">
        <f t="shared" si="31"/>
        <v>3.0150768353241171</v>
      </c>
      <c r="I71" s="619">
        <f t="shared" si="31"/>
        <v>5.4238404620104683</v>
      </c>
      <c r="J71" s="619">
        <f t="shared" si="31"/>
        <v>7.904116805900502</v>
      </c>
      <c r="K71" s="619">
        <f t="shared" si="31"/>
        <v>5.2782056972766922</v>
      </c>
      <c r="L71" s="619">
        <f t="shared" ca="1" si="31"/>
        <v>5.4765442101097106</v>
      </c>
      <c r="M71" s="619">
        <f t="shared" ca="1" si="31"/>
        <v>4.7263554074339957</v>
      </c>
      <c r="N71" s="619">
        <f t="shared" ca="1" si="31"/>
        <v>4.7906767939791521</v>
      </c>
      <c r="O71" s="619">
        <f t="shared" ca="1" si="31"/>
        <v>4.2205492946057097</v>
      </c>
      <c r="U71" s="966">
        <f>U67-T67</f>
        <v>3.5640051926348115E-2</v>
      </c>
    </row>
    <row r="72" spans="2:31" ht="15" customHeight="1" x14ac:dyDescent="0.25">
      <c r="B72" s="608" t="s">
        <v>980</v>
      </c>
      <c r="C72" s="590">
        <f t="shared" ref="C72:O72" si="32">C29/C5*365</f>
        <v>68.91614273450908</v>
      </c>
      <c r="D72" s="590">
        <f t="shared" si="32"/>
        <v>155.12862040089968</v>
      </c>
      <c r="E72" s="590">
        <f t="shared" si="32"/>
        <v>174.8053060271516</v>
      </c>
      <c r="F72" s="590">
        <f t="shared" si="32"/>
        <v>83.26323039741628</v>
      </c>
      <c r="G72" s="590">
        <f t="shared" si="32"/>
        <v>66.151126402889375</v>
      </c>
      <c r="H72" s="590">
        <f t="shared" si="32"/>
        <v>23.186758319833014</v>
      </c>
      <c r="I72" s="590">
        <f t="shared" si="32"/>
        <v>41.934032087039483</v>
      </c>
      <c r="J72" s="590">
        <f t="shared" si="32"/>
        <v>48.393604757670659</v>
      </c>
      <c r="K72" s="590">
        <f t="shared" si="32"/>
        <v>56.561847190307077</v>
      </c>
      <c r="L72" s="590">
        <f t="shared" ca="1" si="32"/>
        <v>53.904836506247833</v>
      </c>
      <c r="M72" s="590">
        <f t="shared" ca="1" si="32"/>
        <v>51.480199878108508</v>
      </c>
      <c r="N72" s="590">
        <f t="shared" ca="1" si="32"/>
        <v>44.257129579608183</v>
      </c>
      <c r="O72" s="590">
        <f t="shared" ca="1" si="32"/>
        <v>40.383850000129804</v>
      </c>
    </row>
    <row r="73" spans="2:31" ht="15" customHeight="1" x14ac:dyDescent="0.25">
      <c r="B73" s="606" t="s">
        <v>168</v>
      </c>
      <c r="C73" s="591">
        <f>Consol!G211</f>
        <v>68.916142734509094</v>
      </c>
      <c r="D73" s="591">
        <f>Consol!H211</f>
        <v>155.12862040089971</v>
      </c>
      <c r="E73" s="591">
        <f>Consol!I211</f>
        <v>174.80530602715157</v>
      </c>
      <c r="F73" s="591">
        <f>Consol!J211</f>
        <v>83.263230397416237</v>
      </c>
      <c r="G73" s="591">
        <f>Consol!K211</f>
        <v>66.151126402889375</v>
      </c>
      <c r="H73" s="591">
        <f>Consol!L211</f>
        <v>23.186758319833018</v>
      </c>
      <c r="I73" s="591">
        <f>Consol!M211</f>
        <v>41.934032087039483</v>
      </c>
      <c r="J73" s="591">
        <f>Consol!N211</f>
        <v>48.393604757670666</v>
      </c>
      <c r="K73" s="591">
        <f>Consol!O211</f>
        <v>56.561847190307077</v>
      </c>
      <c r="L73" s="591">
        <f>Consol!P211</f>
        <v>56.561847190307077</v>
      </c>
      <c r="M73" s="591">
        <f>Consol!Q211</f>
        <v>56.561847190307077</v>
      </c>
      <c r="N73" s="591">
        <f>Consol!R211</f>
        <v>50.561847190307077</v>
      </c>
      <c r="O73" s="591">
        <f>Consol!S211</f>
        <v>47.561847190307077</v>
      </c>
    </row>
    <row r="74" spans="2:31" ht="15" customHeight="1" x14ac:dyDescent="0.25">
      <c r="B74" s="610" t="s">
        <v>981</v>
      </c>
      <c r="C74" s="614"/>
      <c r="D74" s="614"/>
      <c r="E74" s="614"/>
      <c r="F74" s="614"/>
      <c r="G74" s="614"/>
      <c r="H74" s="614"/>
      <c r="I74" s="614"/>
      <c r="J74" s="614"/>
      <c r="K74" s="614"/>
      <c r="L74" s="614"/>
      <c r="M74" s="614"/>
      <c r="N74" s="614"/>
      <c r="O74" s="614"/>
    </row>
    <row r="75" spans="2:31" ht="15" customHeight="1" x14ac:dyDescent="0.25">
      <c r="B75" s="606" t="s">
        <v>982</v>
      </c>
      <c r="C75" s="591">
        <f>Consol!G53</f>
        <v>2100</v>
      </c>
      <c r="D75" s="591">
        <f>Consol!H53</f>
        <v>2100</v>
      </c>
      <c r="E75" s="591">
        <f>Consol!I53</f>
        <v>2100</v>
      </c>
      <c r="F75" s="591">
        <f>Consol!J53</f>
        <v>2100</v>
      </c>
      <c r="G75" s="591">
        <f>Consol!K53</f>
        <v>2100</v>
      </c>
      <c r="H75" s="591">
        <f>Consol!L53</f>
        <v>2100</v>
      </c>
      <c r="I75" s="591">
        <f>Consol!M53</f>
        <v>2100</v>
      </c>
      <c r="J75" s="591">
        <f>Consol!N53</f>
        <v>2100</v>
      </c>
      <c r="K75" s="591">
        <f>Consol!O53</f>
        <v>2100</v>
      </c>
      <c r="L75" s="591">
        <f>Consol!P53</f>
        <v>2330</v>
      </c>
      <c r="M75" s="591">
        <f>Consol!Q53</f>
        <v>2330</v>
      </c>
      <c r="N75" s="591">
        <f>Consol!R53</f>
        <v>2330</v>
      </c>
      <c r="O75" s="591">
        <f>Consol!S53</f>
        <v>2330</v>
      </c>
      <c r="P75" s="628">
        <f ca="1">C88</f>
        <v>348.45</v>
      </c>
    </row>
    <row r="76" spans="2:31" ht="15" customHeight="1" x14ac:dyDescent="0.25">
      <c r="B76" s="608" t="s">
        <v>983</v>
      </c>
      <c r="C76" s="590"/>
      <c r="D76" s="590"/>
      <c r="E76" s="590"/>
      <c r="F76" s="598"/>
      <c r="G76" s="598" t="s">
        <v>155</v>
      </c>
      <c r="H76" s="590"/>
      <c r="I76" s="590">
        <f ca="1">I75*Valuation!$C$2</f>
        <v>731745</v>
      </c>
      <c r="J76" s="590"/>
      <c r="K76" s="590"/>
      <c r="L76" s="590"/>
      <c r="M76" s="590"/>
      <c r="N76" s="590"/>
      <c r="O76" s="590"/>
    </row>
    <row r="77" spans="2:31" ht="15" customHeight="1" x14ac:dyDescent="0.25">
      <c r="B77" s="606" t="s">
        <v>984</v>
      </c>
      <c r="C77" s="616">
        <f ca="1">$P$75/C16</f>
        <v>260.58023522356655</v>
      </c>
      <c r="D77" s="616">
        <f t="shared" ref="D77:O77" ca="1" si="33">$P$75/D16</f>
        <v>274.34497931197882</v>
      </c>
      <c r="E77" s="589">
        <f t="shared" ca="1" si="33"/>
        <v>384.27121357013118</v>
      </c>
      <c r="F77" s="589">
        <f t="shared" ca="1" si="33"/>
        <v>251.12608554646692</v>
      </c>
      <c r="G77" s="589">
        <f t="shared" ca="1" si="33"/>
        <v>223.12985865347292</v>
      </c>
      <c r="H77" s="589">
        <f t="shared" ca="1" si="33"/>
        <v>98.906165353045012</v>
      </c>
      <c r="I77" s="999">
        <f t="shared" ca="1" si="33"/>
        <v>63.304669048628384</v>
      </c>
      <c r="J77" s="999">
        <f t="shared" ca="1" si="33"/>
        <v>48.683037496340852</v>
      </c>
      <c r="K77" s="999">
        <f t="shared" ca="1" si="33"/>
        <v>45.647332568120575</v>
      </c>
      <c r="L77" s="999">
        <f t="shared" ca="1" si="33"/>
        <v>50.875595177512849</v>
      </c>
      <c r="M77" s="589">
        <f t="shared" ca="1" si="33"/>
        <v>34.713055775930926</v>
      </c>
      <c r="N77" s="589">
        <f t="shared" ca="1" si="33"/>
        <v>33.212287680067355</v>
      </c>
      <c r="O77" s="589">
        <f t="shared" ca="1" si="33"/>
        <v>29.049370823688673</v>
      </c>
    </row>
    <row r="78" spans="2:31" ht="15" customHeight="1" x14ac:dyDescent="0.25">
      <c r="B78" s="608" t="s">
        <v>985</v>
      </c>
      <c r="C78" s="617">
        <f t="shared" ref="C78:O78" ca="1" si="34">$I$76/C36</f>
        <v>121.97766697427308</v>
      </c>
      <c r="D78" s="617">
        <f t="shared" ca="1" si="34"/>
        <v>223.07850130464092</v>
      </c>
      <c r="E78" s="617">
        <f t="shared" ca="1" si="34"/>
        <v>282.84995649473154</v>
      </c>
      <c r="F78" s="617">
        <f t="shared" ca="1" si="34"/>
        <v>73.899602903691033</v>
      </c>
      <c r="G78" s="617">
        <f t="shared" ca="1" si="34"/>
        <v>62.211047159144037</v>
      </c>
      <c r="H78" s="617">
        <f t="shared" ca="1" si="34"/>
        <v>40.715224064628458</v>
      </c>
      <c r="I78" s="617">
        <f t="shared" ca="1" si="34"/>
        <v>40.580132097758991</v>
      </c>
      <c r="J78" s="617">
        <f t="shared" ca="1" si="34"/>
        <v>34.837700672240111</v>
      </c>
      <c r="K78" s="617">
        <f t="shared" ca="1" si="34"/>
        <v>36.1981202077665</v>
      </c>
      <c r="L78" s="617">
        <f t="shared" ca="1" si="34"/>
        <v>27.935045575917687</v>
      </c>
      <c r="M78" s="617">
        <f t="shared" ca="1" si="34"/>
        <v>18.089928807628407</v>
      </c>
      <c r="N78" s="617">
        <f t="shared" ca="1" si="34"/>
        <v>13.972844911317756</v>
      </c>
      <c r="O78" s="617">
        <f t="shared" ca="1" si="34"/>
        <v>11.156641790104874</v>
      </c>
      <c r="Q78" s="1013">
        <f ca="1">K80/'[1]New FinSumm'!$Y$81-1</f>
        <v>0.48337005592185145</v>
      </c>
      <c r="S78">
        <v>85.61</v>
      </c>
      <c r="Y78" s="967">
        <f>320/300-1</f>
        <v>6.6666666666666652E-2</v>
      </c>
    </row>
    <row r="79" spans="2:31" ht="15" customHeight="1" x14ac:dyDescent="0.25">
      <c r="B79" s="606" t="s">
        <v>986</v>
      </c>
      <c r="C79" s="591">
        <f t="shared" ref="C79:J79" ca="1" si="35">$I$76+C19-C42</f>
        <v>744976.65299999993</v>
      </c>
      <c r="D79" s="591">
        <f t="shared" ca="1" si="35"/>
        <v>748430.946</v>
      </c>
      <c r="E79" s="591">
        <f t="shared" ca="1" si="35"/>
        <v>756611.68300000008</v>
      </c>
      <c r="F79" s="591">
        <f t="shared" ca="1" si="35"/>
        <v>768554.78</v>
      </c>
      <c r="G79" s="591">
        <f t="shared" ca="1" si="35"/>
        <v>765449.59</v>
      </c>
      <c r="H79" s="591">
        <f t="shared" ca="1" si="35"/>
        <v>754820.64</v>
      </c>
      <c r="I79" s="591">
        <f t="shared" ca="1" si="35"/>
        <v>732451.20000000007</v>
      </c>
      <c r="J79" s="591">
        <f t="shared" ca="1" si="35"/>
        <v>751914.8</v>
      </c>
      <c r="K79" s="591">
        <f ca="1">$I$76+J19-J42</f>
        <v>751914.8</v>
      </c>
      <c r="L79" s="591">
        <f ca="1">$I$76+K19-K42</f>
        <v>772646.40000000002</v>
      </c>
      <c r="M79" s="591">
        <f ca="1">$I$76+L19-L42</f>
        <v>758757.93513179244</v>
      </c>
      <c r="N79" s="591">
        <f ca="1">$I$76+M19-M42</f>
        <v>818734.75745355024</v>
      </c>
      <c r="O79" s="591">
        <f ca="1">$I$76+N19-N42</f>
        <v>861397.22234284191</v>
      </c>
      <c r="S79">
        <f>4.75+2.69</f>
        <v>7.4399999999999995</v>
      </c>
    </row>
    <row r="80" spans="2:31" ht="15" customHeight="1" x14ac:dyDescent="0.25">
      <c r="B80" s="608" t="s">
        <v>987</v>
      </c>
      <c r="C80" s="621">
        <f ca="1">C79/C7</f>
        <v>126.73214296650291</v>
      </c>
      <c r="D80" s="621">
        <f t="shared" ref="D80:J80" ca="1" si="36">D79/D7</f>
        <v>122.2645293802552</v>
      </c>
      <c r="E80" s="621">
        <f t="shared" ca="1" si="36"/>
        <v>122.19255915976231</v>
      </c>
      <c r="F80" s="621">
        <f t="shared" ca="1" si="36"/>
        <v>94.134933451896941</v>
      </c>
      <c r="G80" s="621">
        <f t="shared" ca="1" si="36"/>
        <v>68.994802560015486</v>
      </c>
      <c r="H80" s="621">
        <f t="shared" ca="1" si="36"/>
        <v>46.588414096720534</v>
      </c>
      <c r="I80" s="1000">
        <f t="shared" ca="1" si="36"/>
        <v>37.283218634198001</v>
      </c>
      <c r="J80" s="1000">
        <f t="shared" ca="1" si="36"/>
        <v>33.238504451458333</v>
      </c>
      <c r="K80" s="1000">
        <f ca="1">K79/K7</f>
        <v>28.878370645189786</v>
      </c>
      <c r="L80" s="621">
        <f ca="1">L79/L7</f>
        <v>26.164018616110656</v>
      </c>
      <c r="M80" s="621">
        <f ca="1">M79/M7</f>
        <v>15.994249496076216</v>
      </c>
      <c r="N80" s="621">
        <f ca="1">N79/N7</f>
        <v>14.12429209899574</v>
      </c>
      <c r="O80" s="621">
        <f ca="1">O79/O7</f>
        <v>11.408205105920048</v>
      </c>
      <c r="S80">
        <f>100-S78-S79</f>
        <v>6.9500000000000011</v>
      </c>
    </row>
    <row r="81" spans="2:15" ht="15" customHeight="1" x14ac:dyDescent="0.25">
      <c r="B81" s="606" t="s">
        <v>988</v>
      </c>
      <c r="C81" s="619">
        <f t="shared" ref="C81:M81" ca="1" si="37">C79/C36</f>
        <v>124.18330714011383</v>
      </c>
      <c r="D81" s="619">
        <f t="shared" ca="1" si="37"/>
        <v>228.16534962821018</v>
      </c>
      <c r="E81" s="619">
        <f t="shared" ca="1" si="37"/>
        <v>292.46196642266858</v>
      </c>
      <c r="F81" s="619">
        <f t="shared" ca="1" si="37"/>
        <v>77.617056558956506</v>
      </c>
      <c r="G81" s="619">
        <f t="shared" ca="1" si="37"/>
        <v>65.076523299014639</v>
      </c>
      <c r="H81" s="619">
        <f t="shared" ca="1" si="37"/>
        <v>41.999182073271776</v>
      </c>
      <c r="I81" s="619">
        <f t="shared" ca="1" si="37"/>
        <v>40.619295589532001</v>
      </c>
      <c r="J81" s="619">
        <f t="shared" ca="1" si="37"/>
        <v>35.797966140427732</v>
      </c>
      <c r="K81" s="619">
        <f t="shared" ca="1" si="37"/>
        <v>37.195884244372984</v>
      </c>
      <c r="L81" s="619">
        <f t="shared" ca="1" si="37"/>
        <v>29.496494541225054</v>
      </c>
      <c r="M81" s="619">
        <f t="shared" ca="1" si="37"/>
        <v>18.757732582740239</v>
      </c>
      <c r="N81" s="619">
        <f ca="1">N79/N36</f>
        <v>15.633935031197774</v>
      </c>
      <c r="O81" s="619">
        <f ca="1">O79/O36</f>
        <v>13.133400636383454</v>
      </c>
    </row>
    <row r="82" spans="2:15" ht="15" customHeight="1" x14ac:dyDescent="0.25">
      <c r="B82" s="608" t="s">
        <v>989</v>
      </c>
      <c r="C82" s="622">
        <f t="shared" ref="C82:O82" ca="1" si="38">C38/$I$76</f>
        <v>-4.6177452527861491E-3</v>
      </c>
      <c r="D82" s="622">
        <f t="shared" ca="1" si="38"/>
        <v>-3.0591886517844342E-3</v>
      </c>
      <c r="E82" s="622">
        <f t="shared" ca="1" si="38"/>
        <v>-5.6724992996194006E-3</v>
      </c>
      <c r="F82" s="622">
        <f t="shared" ca="1" si="38"/>
        <v>-1.0009279188788446E-2</v>
      </c>
      <c r="G82" s="622">
        <f t="shared" ca="1" si="38"/>
        <v>9.1172881263281609E-3</v>
      </c>
      <c r="H82" s="622">
        <f ca="1">H38/$I$76</f>
        <v>2.0743168726810566E-2</v>
      </c>
      <c r="I82" s="622">
        <f t="shared" ca="1" si="38"/>
        <v>-3.6617947509036569E-3</v>
      </c>
      <c r="J82" s="622">
        <f t="shared" ca="1" si="38"/>
        <v>-1.2840128733370242E-2</v>
      </c>
      <c r="K82" s="622">
        <f t="shared" ca="1" si="38"/>
        <v>-6.4249157835038128E-3</v>
      </c>
      <c r="L82" s="622">
        <f t="shared" ca="1" si="38"/>
        <v>-6.3128549598451891E-2</v>
      </c>
      <c r="M82" s="622">
        <f t="shared" ca="1" si="38"/>
        <v>-6.6432591830517418E-2</v>
      </c>
      <c r="N82" s="622">
        <f t="shared" ca="1" si="38"/>
        <v>-3.9354634181402497E-2</v>
      </c>
      <c r="O82" s="622">
        <f t="shared" ca="1" si="38"/>
        <v>-2.2933798687241581E-3</v>
      </c>
    </row>
    <row r="83" spans="2:15" ht="15" customHeight="1" x14ac:dyDescent="0.25">
      <c r="B83" s="606" t="s">
        <v>990</v>
      </c>
      <c r="C83" s="619">
        <f t="shared" ref="C83:O83" ca="1" si="39">$I$76/C18</f>
        <v>26.088123735024851</v>
      </c>
      <c r="D83" s="619">
        <f t="shared" ca="1" si="39"/>
        <v>23.721615033696921</v>
      </c>
      <c r="E83" s="619">
        <f t="shared" ca="1" si="39"/>
        <v>26.59617870907827</v>
      </c>
      <c r="F83" s="619">
        <f t="shared" ca="1" si="39"/>
        <v>23.693098534498585</v>
      </c>
      <c r="G83" s="619">
        <f t="shared" ca="1" si="39"/>
        <v>21.076351495171057</v>
      </c>
      <c r="H83" s="619">
        <f t="shared" ca="1" si="39"/>
        <v>17.896007041549101</v>
      </c>
      <c r="I83" s="619">
        <f t="shared" ca="1" si="39"/>
        <v>8.8900889561682508</v>
      </c>
      <c r="J83" s="619">
        <f t="shared" ca="1" si="39"/>
        <v>6.9765080515221145</v>
      </c>
      <c r="K83" s="619">
        <f t="shared" ca="1" si="39"/>
        <v>6.2581140092057126</v>
      </c>
      <c r="L83" s="619">
        <f t="shared" ca="1" si="39"/>
        <v>3.6916988649270994</v>
      </c>
      <c r="M83" s="619">
        <f t="shared" ca="1" si="39"/>
        <v>3.335298161858399</v>
      </c>
      <c r="N83" s="619">
        <f t="shared" ca="1" si="39"/>
        <v>3.0279230692275818</v>
      </c>
      <c r="O83" s="619">
        <f t="shared" ca="1" si="39"/>
        <v>2.738333580593566</v>
      </c>
    </row>
    <row r="84" spans="2:15" ht="15" customHeight="1" x14ac:dyDescent="0.25">
      <c r="B84" s="608" t="s">
        <v>991</v>
      </c>
      <c r="C84" s="620">
        <f t="shared" ref="C84:O84" si="40">C18/C75</f>
        <v>13.356652380952381</v>
      </c>
      <c r="D84" s="620">
        <f t="shared" si="40"/>
        <v>14.689134761904761</v>
      </c>
      <c r="E84" s="620">
        <f t="shared" si="40"/>
        <v>13.10150619047619</v>
      </c>
      <c r="F84" s="620">
        <f t="shared" si="40"/>
        <v>14.706814285714286</v>
      </c>
      <c r="G84" s="620">
        <f t="shared" si="40"/>
        <v>16.532747619047619</v>
      </c>
      <c r="H84" s="620">
        <f t="shared" si="40"/>
        <v>19.470823809523811</v>
      </c>
      <c r="I84" s="620">
        <f t="shared" si="40"/>
        <v>39.195333333333338</v>
      </c>
      <c r="J84" s="620">
        <f t="shared" si="40"/>
        <v>49.946190476190473</v>
      </c>
      <c r="K84" s="620">
        <f t="shared" si="40"/>
        <v>55.679714285714283</v>
      </c>
      <c r="L84" s="620">
        <f t="shared" ca="1" si="40"/>
        <v>85.070223644818114</v>
      </c>
      <c r="M84" s="620">
        <f t="shared" ca="1" si="40"/>
        <v>94.160591595709562</v>
      </c>
      <c r="N84" s="620">
        <f t="shared" ca="1" si="40"/>
        <v>103.71916356143888</v>
      </c>
      <c r="O84" s="620">
        <f t="shared" ca="1" si="40"/>
        <v>114.68787086217404</v>
      </c>
    </row>
    <row r="85" spans="2:15" ht="15" customHeight="1" x14ac:dyDescent="0.25">
      <c r="B85" s="606" t="s">
        <v>992</v>
      </c>
      <c r="C85" s="623">
        <f>Consol!G59</f>
        <v>0</v>
      </c>
      <c r="D85" s="623">
        <f>Consol!H59</f>
        <v>0</v>
      </c>
      <c r="E85" s="623">
        <f>Consol!I59</f>
        <v>0</v>
      </c>
      <c r="F85" s="623">
        <f>Consol!J59</f>
        <v>0</v>
      </c>
      <c r="G85" s="623">
        <f>Consol!K59</f>
        <v>0</v>
      </c>
      <c r="H85" s="623">
        <f>Consol!L59</f>
        <v>0</v>
      </c>
      <c r="I85" s="623">
        <f>Consol!M59</f>
        <v>9.9921274147641306E-2</v>
      </c>
      <c r="J85" s="623">
        <f>Consol!N59</f>
        <v>0.1117704979109562</v>
      </c>
      <c r="K85" s="1040">
        <f>Consol!O59</f>
        <v>0.12407192232703784</v>
      </c>
      <c r="L85" s="1040">
        <f>Consol!P59</f>
        <v>0.12</v>
      </c>
      <c r="M85" s="1040">
        <f>Consol!Q59</f>
        <v>0.12</v>
      </c>
      <c r="N85" s="623">
        <f>Consol!R59</f>
        <v>0.12</v>
      </c>
      <c r="O85" s="623">
        <f>Consol!S59</f>
        <v>0.12</v>
      </c>
    </row>
    <row r="86" spans="2:15" ht="15" customHeight="1" x14ac:dyDescent="0.25">
      <c r="B86" s="624" t="s">
        <v>993</v>
      </c>
      <c r="C86" s="625">
        <f ca="1">Consol!G58/NewFinSumm!$P$75</f>
        <v>0</v>
      </c>
      <c r="D86" s="625">
        <f ca="1">Consol!H58/NewFinSumm!$P$75</f>
        <v>0</v>
      </c>
      <c r="E86" s="625">
        <f ca="1">Consol!I58/NewFinSumm!$P$75</f>
        <v>0</v>
      </c>
      <c r="F86" s="625">
        <f ca="1">Consol!J58/NewFinSumm!$P$75</f>
        <v>0</v>
      </c>
      <c r="G86" s="625">
        <f ca="1">Consol!K58/NewFinSumm!$P$75</f>
        <v>0</v>
      </c>
      <c r="H86" s="625">
        <f ca="1">Consol!L58/NewFinSumm!$P$75</f>
        <v>0</v>
      </c>
      <c r="I86" s="625">
        <f ca="1">Consol!M58/NewFinSumm!$P$75</f>
        <v>1.5784187114363613E-3</v>
      </c>
      <c r="J86" s="625">
        <f ca="1">Consol!N58/NewFinSumm!$P$75</f>
        <v>2.2958817620892524E-3</v>
      </c>
      <c r="K86" s="1069">
        <f ca="1">Consol!O58/NewFinSumm!$P$75</f>
        <v>2.582866982350409E-3</v>
      </c>
      <c r="L86" s="1069">
        <f ca="1">Consol!P58/NewFinSumm!$P$75</f>
        <v>2.358694764774768E-3</v>
      </c>
      <c r="M86" s="1069">
        <f ca="1">Consol!Q58/NewFinSumm!$P$75</f>
        <v>3.4569126029868188E-3</v>
      </c>
      <c r="N86" s="625">
        <f ca="1">Consol!R58/NewFinSumm!$P$75</f>
        <v>3.6131205762142981E-3</v>
      </c>
      <c r="O86" s="625">
        <f ca="1">Consol!S58/NewFinSumm!$P$75</f>
        <v>4.130898418706697E-3</v>
      </c>
    </row>
    <row r="87" spans="2:15" ht="15" customHeight="1" x14ac:dyDescent="0.25"/>
    <row r="88" spans="2:15" ht="15" customHeight="1" x14ac:dyDescent="0.25">
      <c r="B88" t="e" vm="1">
        <v>#VALUE!</v>
      </c>
      <c r="C88" s="1016" cm="1">
        <f t="array" aca="1" ref="C88" ca="1">_FV(B88,"Price")</f>
        <v>348.45</v>
      </c>
    </row>
    <row r="89" spans="2:15" ht="15" customHeight="1" x14ac:dyDescent="0.25">
      <c r="D89" s="1063">
        <f>D57*100</f>
        <v>56.666042125776741</v>
      </c>
      <c r="E89" s="1063">
        <f t="shared" ref="E89:M90" si="41">E57*100</f>
        <v>54.16601021759876</v>
      </c>
      <c r="F89" s="1063">
        <f t="shared" si="41"/>
        <v>50.913851308688947</v>
      </c>
      <c r="G89" s="1063">
        <f t="shared" si="41"/>
        <v>48.807835503419433</v>
      </c>
      <c r="H89" s="1063">
        <f t="shared" si="41"/>
        <v>50.714292958336884</v>
      </c>
      <c r="I89" s="1063">
        <f t="shared" si="41"/>
        <v>52.208807592036962</v>
      </c>
      <c r="J89" s="1063">
        <f t="shared" si="41"/>
        <v>50.538633733529338</v>
      </c>
      <c r="K89" s="1063">
        <f t="shared" si="41"/>
        <v>48.564005192634809</v>
      </c>
      <c r="L89" s="1063">
        <f t="shared" ca="1" si="41"/>
        <v>40.489103350763287</v>
      </c>
      <c r="M89" s="1063">
        <f t="shared" ca="1" si="41"/>
        <v>43.653528913894881</v>
      </c>
    </row>
    <row r="90" spans="2:15" ht="15" customHeight="1" x14ac:dyDescent="0.25">
      <c r="D90" s="1063">
        <f>D58*100</f>
        <v>24.690755060678907</v>
      </c>
      <c r="E90" s="1063">
        <f t="shared" si="41"/>
        <v>16.657908666553585</v>
      </c>
      <c r="F90" s="1063">
        <f t="shared" si="41"/>
        <v>18.171043929780438</v>
      </c>
      <c r="G90" s="1063">
        <f t="shared" si="41"/>
        <v>14.427510630169337</v>
      </c>
      <c r="H90" s="1063">
        <f t="shared" si="41"/>
        <v>23.157993847135465</v>
      </c>
      <c r="I90" s="1063">
        <f t="shared" si="41"/>
        <v>30.71867633653919</v>
      </c>
      <c r="J90" s="1063">
        <f t="shared" si="41"/>
        <v>33.579825474627683</v>
      </c>
      <c r="K90" s="1063">
        <f t="shared" si="41"/>
        <v>29.899430003879552</v>
      </c>
      <c r="L90" s="1063">
        <f t="shared" ca="1" si="41"/>
        <v>21.880070157727268</v>
      </c>
      <c r="M90" s="1063">
        <f t="shared" ca="1" si="41"/>
        <v>21.522044329037961</v>
      </c>
    </row>
    <row r="91" spans="2:15" ht="15" customHeight="1" x14ac:dyDescent="0.25"/>
    <row r="92" spans="2:15" ht="15" customHeight="1" x14ac:dyDescent="0.25"/>
    <row r="93" spans="2:15" ht="15" customHeight="1" x14ac:dyDescent="0.25"/>
    <row r="94" spans="2:15" ht="15" customHeight="1" x14ac:dyDescent="0.25"/>
    <row r="95" spans="2:15" ht="15" customHeight="1" x14ac:dyDescent="0.25"/>
    <row r="96" spans="2:15"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sheetData>
  <mergeCells count="4">
    <mergeCell ref="U70:V70"/>
    <mergeCell ref="X70:Y70"/>
    <mergeCell ref="T64:V64"/>
    <mergeCell ref="W64:Y64"/>
  </mergeCells>
  <pageMargins left="0.7" right="0.7" top="0.75" bottom="0.75" header="0.3" footer="0.3"/>
  <ignoredErrors>
    <ignoredError sqref="V51:V58 Y67 V67"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L251"/>
  <sheetViews>
    <sheetView showGridLines="0" zoomScaleNormal="100" workbookViewId="0">
      <pane xSplit="3" ySplit="3" topLeftCell="D4" activePane="bottomRight" state="frozen"/>
      <selection pane="topRight" activeCell="D1" sqref="D1"/>
      <selection pane="bottomLeft" activeCell="A4" sqref="A4"/>
      <selection pane="bottomRight" activeCell="B233" sqref="B233"/>
    </sheetView>
  </sheetViews>
  <sheetFormatPr defaultColWidth="9.28515625" defaultRowHeight="12.75" x14ac:dyDescent="0.2"/>
  <cols>
    <col min="1" max="1" width="2.7109375" style="128" customWidth="1"/>
    <col min="2" max="2" width="29.28515625" style="128" customWidth="1"/>
    <col min="3" max="3" width="62.140625" style="128" bestFit="1" customWidth="1"/>
    <col min="4" max="4" width="15.28515625" style="159" customWidth="1"/>
    <col min="5" max="6" width="15.28515625" style="128" customWidth="1"/>
    <col min="7" max="7" width="15.28515625" style="146" customWidth="1"/>
    <col min="8" max="8" width="9.28515625" style="128"/>
    <col min="9" max="10" width="15.28515625" style="128" customWidth="1"/>
    <col min="11" max="11" width="8" style="151" customWidth="1"/>
    <col min="12" max="12" width="8" style="271" customWidth="1"/>
    <col min="13" max="13" width="14.7109375" style="271" customWidth="1"/>
    <col min="14" max="14" width="15.28515625" style="137" customWidth="1"/>
    <col min="15" max="15" width="14.7109375" style="151" customWidth="1"/>
    <col min="16" max="16" width="15.28515625" style="146" customWidth="1"/>
    <col min="17" max="19" width="15.28515625" style="137" customWidth="1"/>
    <col min="20" max="20" width="15.28515625" style="280" customWidth="1"/>
    <col min="21" max="21" width="15.28515625" style="128" customWidth="1"/>
    <col min="22" max="22" width="15.28515625" style="280" customWidth="1"/>
    <col min="23" max="31" width="15.28515625" style="137" customWidth="1"/>
    <col min="32" max="16384" width="9.28515625" style="128"/>
  </cols>
  <sheetData>
    <row r="2" spans="1:38" x14ac:dyDescent="0.2">
      <c r="B2" s="129" t="s">
        <v>13</v>
      </c>
      <c r="C2" s="130"/>
      <c r="D2" s="155"/>
      <c r="E2" s="130"/>
      <c r="F2" s="130"/>
      <c r="G2" s="142"/>
      <c r="H2" s="130"/>
      <c r="I2" s="130"/>
      <c r="J2" s="130"/>
      <c r="K2" s="147"/>
      <c r="L2" s="164"/>
      <c r="M2" s="164"/>
      <c r="N2" s="131"/>
      <c r="O2" s="147"/>
      <c r="P2" s="142"/>
      <c r="Q2" s="131"/>
      <c r="R2" s="131"/>
      <c r="S2" s="131"/>
      <c r="T2" s="274"/>
      <c r="U2" s="130"/>
      <c r="V2" s="274"/>
      <c r="W2" s="131"/>
      <c r="X2" s="131"/>
      <c r="Y2" s="131"/>
      <c r="Z2" s="131"/>
      <c r="AA2" s="131"/>
      <c r="AB2" s="131"/>
      <c r="AC2" s="131"/>
      <c r="AD2" s="131"/>
      <c r="AE2" s="131"/>
    </row>
    <row r="3" spans="1:38" s="132" customFormat="1" ht="25.35" customHeight="1" x14ac:dyDescent="0.2">
      <c r="B3" s="133" t="s">
        <v>316</v>
      </c>
      <c r="C3" s="133" t="s">
        <v>234</v>
      </c>
      <c r="D3" s="156" t="s">
        <v>354</v>
      </c>
      <c r="E3" s="133" t="s">
        <v>336</v>
      </c>
      <c r="F3" s="133" t="s">
        <v>722</v>
      </c>
      <c r="G3" s="134" t="s">
        <v>727</v>
      </c>
      <c r="H3" s="133" t="s">
        <v>312</v>
      </c>
      <c r="I3" s="133" t="s">
        <v>238</v>
      </c>
      <c r="J3" s="133" t="s">
        <v>233</v>
      </c>
      <c r="K3" s="148" t="s">
        <v>844</v>
      </c>
      <c r="L3" s="148" t="s">
        <v>366</v>
      </c>
      <c r="M3" s="285" t="s">
        <v>772</v>
      </c>
      <c r="N3" s="135" t="s">
        <v>309</v>
      </c>
      <c r="O3" s="148" t="s">
        <v>310</v>
      </c>
      <c r="P3" s="134" t="s">
        <v>311</v>
      </c>
      <c r="Q3" s="135" t="s">
        <v>352</v>
      </c>
      <c r="R3" s="135" t="s">
        <v>359</v>
      </c>
      <c r="S3" s="135" t="s">
        <v>353</v>
      </c>
      <c r="T3" s="275" t="s">
        <v>235</v>
      </c>
      <c r="U3" s="134" t="s">
        <v>357</v>
      </c>
      <c r="V3" s="275" t="s">
        <v>251</v>
      </c>
      <c r="W3" s="135" t="s">
        <v>236</v>
      </c>
      <c r="X3" s="135" t="s">
        <v>240</v>
      </c>
      <c r="Y3" s="135" t="s">
        <v>415</v>
      </c>
      <c r="Z3" s="135" t="s">
        <v>416</v>
      </c>
      <c r="AA3" s="135" t="s">
        <v>425</v>
      </c>
      <c r="AB3" s="135" t="s">
        <v>258</v>
      </c>
      <c r="AC3" s="135" t="s">
        <v>257</v>
      </c>
      <c r="AD3" s="135" t="s">
        <v>313</v>
      </c>
      <c r="AE3" s="135" t="s">
        <v>1532</v>
      </c>
      <c r="AF3" s="132" t="s">
        <v>498</v>
      </c>
      <c r="AG3" s="136" t="s">
        <v>503</v>
      </c>
    </row>
    <row r="4" spans="1:38" x14ac:dyDescent="0.2">
      <c r="B4" s="130" t="s">
        <v>1</v>
      </c>
      <c r="C4" s="130" t="s">
        <v>218</v>
      </c>
      <c r="D4" s="155">
        <v>1</v>
      </c>
      <c r="E4" s="130" t="s">
        <v>378</v>
      </c>
      <c r="F4" s="259" t="s">
        <v>108</v>
      </c>
      <c r="G4" s="259" t="s">
        <v>108</v>
      </c>
      <c r="H4" s="130" t="s">
        <v>0</v>
      </c>
      <c r="I4" s="130" t="s">
        <v>302</v>
      </c>
      <c r="J4" s="130" t="s">
        <v>252</v>
      </c>
      <c r="K4" s="147">
        <v>34</v>
      </c>
      <c r="L4" s="164">
        <v>3.5</v>
      </c>
      <c r="M4" s="284" t="s">
        <v>757</v>
      </c>
      <c r="N4" s="131" t="s">
        <v>374</v>
      </c>
      <c r="O4" s="164" t="s">
        <v>382</v>
      </c>
      <c r="P4" s="165" t="s">
        <v>382</v>
      </c>
      <c r="Q4" s="131"/>
      <c r="R4" s="131" t="s">
        <v>380</v>
      </c>
      <c r="S4" s="131" t="s">
        <v>381</v>
      </c>
      <c r="T4" s="274">
        <v>2012</v>
      </c>
      <c r="U4" s="142" t="s">
        <v>382</v>
      </c>
      <c r="V4" s="274">
        <v>2044</v>
      </c>
      <c r="W4" s="131" t="s">
        <v>254</v>
      </c>
      <c r="X4" s="131" t="s">
        <v>288</v>
      </c>
      <c r="Y4" s="131">
        <v>5</v>
      </c>
      <c r="Z4" s="131">
        <v>771</v>
      </c>
      <c r="AA4" s="131" t="s">
        <v>382</v>
      </c>
      <c r="AB4" s="131" t="s">
        <v>259</v>
      </c>
      <c r="AC4" s="131" t="s">
        <v>255</v>
      </c>
      <c r="AD4" s="131"/>
      <c r="AE4" s="131">
        <f t="shared" ref="AE4:AE13" si="0">V4-2026</f>
        <v>18</v>
      </c>
      <c r="AF4" s="128" t="s">
        <v>497</v>
      </c>
      <c r="AG4" s="137" t="s">
        <v>506</v>
      </c>
      <c r="AH4" s="128" t="s">
        <v>659</v>
      </c>
    </row>
    <row r="5" spans="1:38" x14ac:dyDescent="0.2">
      <c r="B5" s="130" t="s">
        <v>3</v>
      </c>
      <c r="C5" s="130" t="s">
        <v>217</v>
      </c>
      <c r="D5" s="155">
        <v>1</v>
      </c>
      <c r="E5" s="130" t="s">
        <v>378</v>
      </c>
      <c r="F5" s="259" t="s">
        <v>108</v>
      </c>
      <c r="G5" s="259" t="s">
        <v>108</v>
      </c>
      <c r="H5" s="130" t="s">
        <v>0</v>
      </c>
      <c r="I5" s="130" t="s">
        <v>290</v>
      </c>
      <c r="J5" s="130" t="s">
        <v>252</v>
      </c>
      <c r="K5" s="147">
        <v>55</v>
      </c>
      <c r="L5" s="164">
        <v>17.5</v>
      </c>
      <c r="M5" s="284" t="s">
        <v>773</v>
      </c>
      <c r="N5" s="131" t="s">
        <v>358</v>
      </c>
      <c r="O5" s="147">
        <v>2</v>
      </c>
      <c r="P5" s="142" t="s">
        <v>360</v>
      </c>
      <c r="Q5" s="131" t="s">
        <v>355</v>
      </c>
      <c r="R5" s="131" t="s">
        <v>379</v>
      </c>
      <c r="S5" s="131" t="s">
        <v>356</v>
      </c>
      <c r="T5" s="274">
        <v>2010</v>
      </c>
      <c r="U5" s="130">
        <v>50</v>
      </c>
      <c r="V5" s="274">
        <v>2058</v>
      </c>
      <c r="W5" s="131" t="s">
        <v>254</v>
      </c>
      <c r="X5" s="131" t="s">
        <v>288</v>
      </c>
      <c r="Y5" s="131">
        <v>7</v>
      </c>
      <c r="Z5" s="131">
        <v>2319</v>
      </c>
      <c r="AA5" s="131">
        <f>25.2+6.4</f>
        <v>31.6</v>
      </c>
      <c r="AB5" s="131" t="s">
        <v>259</v>
      </c>
      <c r="AC5" s="131" t="s">
        <v>253</v>
      </c>
      <c r="AD5" s="131"/>
      <c r="AE5" s="131">
        <f t="shared" si="0"/>
        <v>32</v>
      </c>
      <c r="AF5" s="128" t="s">
        <v>499</v>
      </c>
      <c r="AG5" s="128" t="s">
        <v>505</v>
      </c>
      <c r="AJ5" s="128" t="s">
        <v>511</v>
      </c>
    </row>
    <row r="6" spans="1:38" x14ac:dyDescent="0.2">
      <c r="B6" s="130" t="s">
        <v>239</v>
      </c>
      <c r="C6" s="130" t="s">
        <v>219</v>
      </c>
      <c r="D6" s="155">
        <v>0.9</v>
      </c>
      <c r="E6" s="130" t="s">
        <v>383</v>
      </c>
      <c r="F6" s="259"/>
      <c r="G6" s="259"/>
      <c r="H6" s="130" t="s">
        <v>7</v>
      </c>
      <c r="I6" s="130" t="s">
        <v>246</v>
      </c>
      <c r="J6" s="130" t="s">
        <v>214</v>
      </c>
      <c r="K6" s="147">
        <v>11</v>
      </c>
      <c r="L6" s="164">
        <v>14</v>
      </c>
      <c r="M6" s="284" t="s">
        <v>757</v>
      </c>
      <c r="N6" s="131" t="s">
        <v>384</v>
      </c>
      <c r="O6" s="164" t="s">
        <v>382</v>
      </c>
      <c r="P6" s="165" t="s">
        <v>382</v>
      </c>
      <c r="Q6" s="131"/>
      <c r="R6" s="131" t="s">
        <v>241</v>
      </c>
      <c r="S6" s="131" t="s">
        <v>385</v>
      </c>
      <c r="T6" s="274">
        <v>2004</v>
      </c>
      <c r="U6" s="130">
        <v>30</v>
      </c>
      <c r="V6" s="274">
        <v>2029</v>
      </c>
      <c r="W6" s="131" t="s">
        <v>247</v>
      </c>
      <c r="X6" s="131" t="s">
        <v>289</v>
      </c>
      <c r="Y6" s="131">
        <v>2</v>
      </c>
      <c r="Z6" s="131">
        <v>450</v>
      </c>
      <c r="AA6" s="131">
        <v>15.22</v>
      </c>
      <c r="AB6" s="131" t="s">
        <v>314</v>
      </c>
      <c r="AC6" s="131" t="s">
        <v>256</v>
      </c>
      <c r="AD6" s="131"/>
      <c r="AE6" s="131">
        <f t="shared" si="0"/>
        <v>3</v>
      </c>
      <c r="AF6" s="128" t="s">
        <v>497</v>
      </c>
      <c r="AG6" s="128" t="s">
        <v>507</v>
      </c>
      <c r="AH6" s="128" t="s">
        <v>510</v>
      </c>
      <c r="AJ6" s="128" t="s">
        <v>519</v>
      </c>
    </row>
    <row r="7" spans="1:38" x14ac:dyDescent="0.2">
      <c r="B7" s="130" t="s">
        <v>5</v>
      </c>
      <c r="C7" s="130" t="s">
        <v>224</v>
      </c>
      <c r="D7" s="155">
        <v>1</v>
      </c>
      <c r="E7" s="130" t="s">
        <v>383</v>
      </c>
      <c r="F7" s="259"/>
      <c r="G7" s="259"/>
      <c r="H7" s="130" t="s">
        <v>7</v>
      </c>
      <c r="I7" s="130" t="s">
        <v>290</v>
      </c>
      <c r="J7" s="130" t="s">
        <v>264</v>
      </c>
      <c r="K7" s="147">
        <v>8.1</v>
      </c>
      <c r="L7" s="164">
        <v>14</v>
      </c>
      <c r="M7" s="284" t="s">
        <v>757</v>
      </c>
      <c r="N7" s="131" t="s">
        <v>392</v>
      </c>
      <c r="O7" s="164" t="s">
        <v>382</v>
      </c>
      <c r="P7" s="165" t="s">
        <v>382</v>
      </c>
      <c r="Q7" s="131" t="s">
        <v>390</v>
      </c>
      <c r="R7" s="131" t="s">
        <v>391</v>
      </c>
      <c r="S7" s="131" t="s">
        <v>393</v>
      </c>
      <c r="T7" s="274">
        <v>2020</v>
      </c>
      <c r="U7" s="130">
        <v>30</v>
      </c>
      <c r="V7" s="274">
        <v>2047</v>
      </c>
      <c r="W7" s="131" t="s">
        <v>267</v>
      </c>
      <c r="X7" s="131" t="s">
        <v>293</v>
      </c>
      <c r="Y7" s="131">
        <v>1</v>
      </c>
      <c r="Z7" s="131">
        <v>315</v>
      </c>
      <c r="AA7" s="131" t="s">
        <v>426</v>
      </c>
      <c r="AB7" s="131" t="s">
        <v>315</v>
      </c>
      <c r="AC7" s="131" t="s">
        <v>268</v>
      </c>
      <c r="AD7" s="131"/>
      <c r="AE7" s="131">
        <f t="shared" si="0"/>
        <v>21</v>
      </c>
      <c r="AF7" s="128" t="s">
        <v>499</v>
      </c>
      <c r="AG7" s="128" t="s">
        <v>507</v>
      </c>
    </row>
    <row r="8" spans="1:38" x14ac:dyDescent="0.2">
      <c r="B8" s="130" t="s">
        <v>6</v>
      </c>
      <c r="C8" s="130" t="s">
        <v>225</v>
      </c>
      <c r="D8" s="155">
        <v>1</v>
      </c>
      <c r="E8" s="130" t="s">
        <v>378</v>
      </c>
      <c r="F8" s="259" t="s">
        <v>108</v>
      </c>
      <c r="G8" s="259" t="s">
        <v>108</v>
      </c>
      <c r="H8" s="130" t="s">
        <v>7</v>
      </c>
      <c r="I8" s="130" t="s">
        <v>290</v>
      </c>
      <c r="J8" s="130" t="s">
        <v>264</v>
      </c>
      <c r="K8" s="147">
        <f>4.2</f>
        <v>4.2</v>
      </c>
      <c r="L8" s="164">
        <v>14</v>
      </c>
      <c r="M8" s="284" t="s">
        <v>283</v>
      </c>
      <c r="N8" s="131" t="s">
        <v>394</v>
      </c>
      <c r="O8" s="147">
        <f>6.02-K8</f>
        <v>1.8199999999999994</v>
      </c>
      <c r="P8" s="142" t="s">
        <v>370</v>
      </c>
      <c r="Q8" s="131"/>
      <c r="R8" s="131"/>
      <c r="S8" s="131" t="s">
        <v>369</v>
      </c>
      <c r="T8" s="274">
        <v>2022</v>
      </c>
      <c r="U8" s="130">
        <v>30</v>
      </c>
      <c r="V8" s="274">
        <v>2050</v>
      </c>
      <c r="W8" s="131" t="s">
        <v>367</v>
      </c>
      <c r="X8" s="131" t="s">
        <v>368</v>
      </c>
      <c r="Y8" s="131">
        <v>1</v>
      </c>
      <c r="Z8" s="131">
        <v>350</v>
      </c>
      <c r="AA8" s="131" t="s">
        <v>427</v>
      </c>
      <c r="AB8" s="131" t="s">
        <v>315</v>
      </c>
      <c r="AC8" s="131" t="s">
        <v>266</v>
      </c>
      <c r="AD8" s="131"/>
      <c r="AE8" s="131">
        <f t="shared" si="0"/>
        <v>24</v>
      </c>
      <c r="AF8" s="128" t="s">
        <v>500</v>
      </c>
    </row>
    <row r="9" spans="1:38" x14ac:dyDescent="0.2">
      <c r="B9" s="130" t="s">
        <v>8</v>
      </c>
      <c r="C9" s="130" t="s">
        <v>222</v>
      </c>
      <c r="D9" s="155">
        <v>1</v>
      </c>
      <c r="E9" s="130" t="s">
        <v>383</v>
      </c>
      <c r="F9" s="259"/>
      <c r="G9" s="259"/>
      <c r="H9" s="130" t="s">
        <v>7</v>
      </c>
      <c r="I9" s="130" t="s">
        <v>246</v>
      </c>
      <c r="J9" s="130" t="s">
        <v>265</v>
      </c>
      <c r="K9" s="147">
        <v>11</v>
      </c>
      <c r="L9" s="164">
        <v>16</v>
      </c>
      <c r="M9" s="284" t="s">
        <v>757</v>
      </c>
      <c r="N9" s="131" t="s">
        <v>388</v>
      </c>
      <c r="O9" s="164" t="s">
        <v>382</v>
      </c>
      <c r="P9" s="165" t="s">
        <v>382</v>
      </c>
      <c r="Q9" s="131"/>
      <c r="R9" s="131"/>
      <c r="S9" s="131" t="s">
        <v>395</v>
      </c>
      <c r="T9" s="274">
        <v>2020</v>
      </c>
      <c r="U9" s="130">
        <v>30</v>
      </c>
      <c r="V9" s="274">
        <v>2038</v>
      </c>
      <c r="W9" s="131" t="s">
        <v>271</v>
      </c>
      <c r="X9" s="131" t="s">
        <v>294</v>
      </c>
      <c r="Y9" s="131">
        <v>1</v>
      </c>
      <c r="Z9" s="131">
        <v>348</v>
      </c>
      <c r="AA9" s="131" t="s">
        <v>382</v>
      </c>
      <c r="AB9" s="131" t="s">
        <v>270</v>
      </c>
      <c r="AC9" s="131" t="s">
        <v>269</v>
      </c>
      <c r="AD9" s="131"/>
      <c r="AE9" s="131">
        <f t="shared" si="0"/>
        <v>12</v>
      </c>
      <c r="AF9" s="128" t="s">
        <v>508</v>
      </c>
      <c r="AG9" s="128" t="s">
        <v>241</v>
      </c>
    </row>
    <row r="10" spans="1:38" x14ac:dyDescent="0.2">
      <c r="B10" s="130" t="s">
        <v>9</v>
      </c>
      <c r="C10" s="130" t="s">
        <v>223</v>
      </c>
      <c r="D10" s="155">
        <v>1</v>
      </c>
      <c r="E10" s="130" t="s">
        <v>383</v>
      </c>
      <c r="F10" s="259"/>
      <c r="G10" s="259"/>
      <c r="H10" s="130" t="s">
        <v>7</v>
      </c>
      <c r="I10" s="130" t="s">
        <v>290</v>
      </c>
      <c r="J10" s="130" t="s">
        <v>265</v>
      </c>
      <c r="K10" s="147">
        <v>2</v>
      </c>
      <c r="L10" s="164">
        <v>14.5</v>
      </c>
      <c r="M10" s="284" t="s">
        <v>757</v>
      </c>
      <c r="N10" s="131" t="s">
        <v>396</v>
      </c>
      <c r="O10" s="164" t="s">
        <v>382</v>
      </c>
      <c r="P10" s="165" t="s">
        <v>382</v>
      </c>
      <c r="Q10" s="131"/>
      <c r="R10" s="131"/>
      <c r="S10" s="131" t="s">
        <v>395</v>
      </c>
      <c r="T10" s="274">
        <v>2020</v>
      </c>
      <c r="U10" s="130">
        <v>30</v>
      </c>
      <c r="V10" s="274">
        <v>2045</v>
      </c>
      <c r="W10" s="131" t="s">
        <v>271</v>
      </c>
      <c r="X10" s="131" t="s">
        <v>295</v>
      </c>
      <c r="Y10" s="131">
        <v>1</v>
      </c>
      <c r="Z10" s="131">
        <v>270</v>
      </c>
      <c r="AA10" s="131">
        <v>10.66</v>
      </c>
      <c r="AB10" s="131" t="s">
        <v>270</v>
      </c>
      <c r="AC10" s="131" t="s">
        <v>272</v>
      </c>
      <c r="AD10" s="131"/>
      <c r="AE10" s="131">
        <f t="shared" si="0"/>
        <v>19</v>
      </c>
      <c r="AF10" s="128" t="s">
        <v>502</v>
      </c>
    </row>
    <row r="11" spans="1:38" x14ac:dyDescent="0.2">
      <c r="B11" s="130" t="s">
        <v>10</v>
      </c>
      <c r="C11" s="130" t="s">
        <v>220</v>
      </c>
      <c r="D11" s="155">
        <v>0.97399999999999998</v>
      </c>
      <c r="E11" s="130" t="s">
        <v>378</v>
      </c>
      <c r="F11" s="259" t="s">
        <v>108</v>
      </c>
      <c r="G11" s="259" t="s">
        <v>108</v>
      </c>
      <c r="H11" s="130" t="s">
        <v>7</v>
      </c>
      <c r="I11" s="130" t="s">
        <v>290</v>
      </c>
      <c r="J11" s="130" t="s">
        <v>756</v>
      </c>
      <c r="K11" s="147">
        <v>10</v>
      </c>
      <c r="L11" s="164">
        <v>16</v>
      </c>
      <c r="M11" s="284" t="s">
        <v>757</v>
      </c>
      <c r="N11" s="131" t="s">
        <v>386</v>
      </c>
      <c r="O11" s="164" t="s">
        <v>382</v>
      </c>
      <c r="P11" s="165" t="s">
        <v>382</v>
      </c>
      <c r="Q11" s="131"/>
      <c r="R11" s="131"/>
      <c r="S11" s="131" t="s">
        <v>387</v>
      </c>
      <c r="T11" s="274">
        <v>2019</v>
      </c>
      <c r="U11" s="130">
        <v>30</v>
      </c>
      <c r="V11" s="274">
        <v>2045</v>
      </c>
      <c r="W11" s="131" t="s">
        <v>261</v>
      </c>
      <c r="X11" s="131" t="s">
        <v>291</v>
      </c>
      <c r="Y11" s="131">
        <v>1</v>
      </c>
      <c r="Z11" s="131">
        <v>370</v>
      </c>
      <c r="AA11" s="131">
        <v>9</v>
      </c>
      <c r="AB11" s="131" t="s">
        <v>315</v>
      </c>
      <c r="AC11" s="131" t="s">
        <v>262</v>
      </c>
      <c r="AD11" s="131"/>
      <c r="AE11" s="131">
        <f t="shared" si="0"/>
        <v>19</v>
      </c>
      <c r="AF11" s="128" t="s">
        <v>501</v>
      </c>
      <c r="AG11" s="128" t="s">
        <v>509</v>
      </c>
    </row>
    <row r="12" spans="1:38" x14ac:dyDescent="0.2">
      <c r="B12" s="130" t="s">
        <v>11</v>
      </c>
      <c r="C12" s="130" t="s">
        <v>221</v>
      </c>
      <c r="D12" s="155">
        <v>0.97399999999999998</v>
      </c>
      <c r="E12" s="130" t="s">
        <v>378</v>
      </c>
      <c r="F12" s="259" t="s">
        <v>108</v>
      </c>
      <c r="G12" s="259" t="s">
        <v>108</v>
      </c>
      <c r="H12" s="130" t="s">
        <v>7</v>
      </c>
      <c r="I12" s="130" t="s">
        <v>290</v>
      </c>
      <c r="J12" s="130" t="s">
        <v>756</v>
      </c>
      <c r="K12" s="147">
        <v>30</v>
      </c>
      <c r="L12" s="164">
        <v>15</v>
      </c>
      <c r="M12" s="284" t="s">
        <v>757</v>
      </c>
      <c r="N12" s="131" t="s">
        <v>388</v>
      </c>
      <c r="O12" s="164" t="s">
        <v>382</v>
      </c>
      <c r="P12" s="165" t="s">
        <v>382</v>
      </c>
      <c r="Q12" s="131"/>
      <c r="R12" s="131"/>
      <c r="S12" s="131" t="s">
        <v>389</v>
      </c>
      <c r="T12" s="274">
        <v>2021</v>
      </c>
      <c r="U12" s="130">
        <v>30</v>
      </c>
      <c r="V12" s="274">
        <v>2047</v>
      </c>
      <c r="W12" s="131" t="s">
        <v>261</v>
      </c>
      <c r="X12" s="131" t="s">
        <v>292</v>
      </c>
      <c r="Y12" s="131">
        <v>2</v>
      </c>
      <c r="Z12" s="131">
        <v>686</v>
      </c>
      <c r="AA12" s="131">
        <v>23.3</v>
      </c>
      <c r="AB12" s="131" t="s">
        <v>315</v>
      </c>
      <c r="AC12" s="131" t="s">
        <v>263</v>
      </c>
      <c r="AD12" s="131"/>
      <c r="AE12" s="131">
        <f t="shared" si="0"/>
        <v>21</v>
      </c>
      <c r="AF12" s="128" t="s">
        <v>500</v>
      </c>
      <c r="AH12" s="128" t="s">
        <v>504</v>
      </c>
    </row>
    <row r="13" spans="1:38" x14ac:dyDescent="0.2">
      <c r="A13" s="138" t="s">
        <v>301</v>
      </c>
      <c r="B13" s="130" t="s">
        <v>2</v>
      </c>
      <c r="C13" s="130" t="s">
        <v>721</v>
      </c>
      <c r="D13" s="155" t="s">
        <v>732</v>
      </c>
      <c r="E13" s="130" t="s">
        <v>383</v>
      </c>
      <c r="F13" s="130" t="s">
        <v>725</v>
      </c>
      <c r="G13" s="142" t="s">
        <v>728</v>
      </c>
      <c r="H13" s="130" t="s">
        <v>0</v>
      </c>
      <c r="I13" s="130" t="s">
        <v>246</v>
      </c>
      <c r="J13" s="130" t="s">
        <v>252</v>
      </c>
      <c r="K13" s="147">
        <v>8</v>
      </c>
      <c r="L13" s="164"/>
      <c r="M13" s="284" t="s">
        <v>757</v>
      </c>
      <c r="N13" s="131" t="s">
        <v>724</v>
      </c>
      <c r="O13" s="147">
        <v>19</v>
      </c>
      <c r="P13" s="142"/>
      <c r="Q13" s="131" t="s">
        <v>729</v>
      </c>
      <c r="R13" s="131" t="s">
        <v>729</v>
      </c>
      <c r="S13" s="131" t="s">
        <v>730</v>
      </c>
      <c r="T13" s="274">
        <v>1999</v>
      </c>
      <c r="U13" s="130">
        <v>30</v>
      </c>
      <c r="V13" s="274">
        <f>+T13+U13</f>
        <v>2029</v>
      </c>
      <c r="W13" s="131" t="s">
        <v>254</v>
      </c>
      <c r="X13" s="131"/>
      <c r="Y13" s="131"/>
      <c r="Z13" s="131"/>
      <c r="AA13" s="131" t="s">
        <v>108</v>
      </c>
      <c r="AB13" s="131"/>
      <c r="AC13" s="131" t="s">
        <v>731</v>
      </c>
      <c r="AD13" s="131"/>
      <c r="AE13" s="131">
        <f t="shared" si="0"/>
        <v>3</v>
      </c>
      <c r="AF13" s="128" t="s">
        <v>500</v>
      </c>
      <c r="AG13" s="137" t="s">
        <v>514</v>
      </c>
      <c r="AL13" s="128" t="s">
        <v>689</v>
      </c>
    </row>
    <row r="14" spans="1:38" x14ac:dyDescent="0.2">
      <c r="A14" s="138" t="s">
        <v>301</v>
      </c>
      <c r="B14" s="130" t="s">
        <v>12</v>
      </c>
      <c r="C14" s="130" t="s">
        <v>733</v>
      </c>
      <c r="D14" s="155">
        <v>1</v>
      </c>
      <c r="E14" s="130" t="s">
        <v>383</v>
      </c>
      <c r="F14" s="130" t="s">
        <v>734</v>
      </c>
      <c r="G14" s="142" t="s">
        <v>736</v>
      </c>
      <c r="H14" s="130" t="s">
        <v>7</v>
      </c>
      <c r="I14" s="130" t="s">
        <v>1996</v>
      </c>
      <c r="J14" s="130" t="s">
        <v>665</v>
      </c>
      <c r="K14" s="147">
        <v>5</v>
      </c>
      <c r="L14" s="165" t="s">
        <v>108</v>
      </c>
      <c r="M14" s="258" t="s">
        <v>774</v>
      </c>
      <c r="N14" s="131" t="s">
        <v>737</v>
      </c>
      <c r="O14" s="165" t="s">
        <v>108</v>
      </c>
      <c r="P14" s="165" t="s">
        <v>108</v>
      </c>
      <c r="Q14" s="131" t="s">
        <v>665</v>
      </c>
      <c r="R14" s="131" t="s">
        <v>1997</v>
      </c>
      <c r="S14" s="258" t="s">
        <v>665</v>
      </c>
      <c r="T14" s="274">
        <v>2015</v>
      </c>
      <c r="U14" s="165" t="s">
        <v>382</v>
      </c>
      <c r="V14" s="165" t="s">
        <v>382</v>
      </c>
      <c r="W14" s="165" t="s">
        <v>382</v>
      </c>
      <c r="X14" s="131" t="s">
        <v>382</v>
      </c>
      <c r="Y14" s="131" t="s">
        <v>1998</v>
      </c>
      <c r="Z14" s="131" t="s">
        <v>108</v>
      </c>
      <c r="AA14" s="131" t="s">
        <v>108</v>
      </c>
      <c r="AB14" s="131"/>
      <c r="AC14" s="131" t="s">
        <v>108</v>
      </c>
      <c r="AD14" s="131" t="s">
        <v>108</v>
      </c>
      <c r="AE14" s="131" t="s">
        <v>382</v>
      </c>
      <c r="AF14" s="128" t="s">
        <v>500</v>
      </c>
    </row>
    <row r="15" spans="1:38" ht="15" x14ac:dyDescent="0.25">
      <c r="A15" s="283" t="s">
        <v>753</v>
      </c>
      <c r="B15" s="130" t="s">
        <v>554</v>
      </c>
      <c r="C15" s="130" t="s">
        <v>723</v>
      </c>
      <c r="D15" s="155">
        <v>1</v>
      </c>
      <c r="E15" s="130" t="s">
        <v>378</v>
      </c>
      <c r="F15" s="259" t="s">
        <v>108</v>
      </c>
      <c r="G15" s="259" t="s">
        <v>108</v>
      </c>
      <c r="H15" s="130" t="s">
        <v>7</v>
      </c>
      <c r="I15" s="130" t="s">
        <v>290</v>
      </c>
      <c r="J15" s="130" t="s">
        <v>252</v>
      </c>
      <c r="K15" s="147">
        <v>4.5</v>
      </c>
      <c r="L15" s="165" t="s">
        <v>108</v>
      </c>
      <c r="M15" s="258" t="s">
        <v>774</v>
      </c>
      <c r="N15" s="131" t="s">
        <v>556</v>
      </c>
      <c r="O15" s="165" t="s">
        <v>108</v>
      </c>
      <c r="P15" s="165" t="s">
        <v>108</v>
      </c>
      <c r="Q15" s="131" t="s">
        <v>1999</v>
      </c>
      <c r="R15" s="131" t="s">
        <v>2000</v>
      </c>
      <c r="S15" s="131" t="s">
        <v>2001</v>
      </c>
      <c r="T15" s="274">
        <v>2026</v>
      </c>
      <c r="U15" s="165">
        <v>30</v>
      </c>
      <c r="V15" s="274">
        <f>+T15+U15</f>
        <v>2056</v>
      </c>
      <c r="W15" s="131" t="s">
        <v>755</v>
      </c>
      <c r="X15" s="258" t="s">
        <v>108</v>
      </c>
      <c r="Y15" s="131">
        <v>2</v>
      </c>
      <c r="Z15" s="131">
        <v>600</v>
      </c>
      <c r="AA15" s="131" t="s">
        <v>108</v>
      </c>
      <c r="AB15" s="131" t="s">
        <v>108</v>
      </c>
      <c r="AC15" s="131" t="s">
        <v>747</v>
      </c>
      <c r="AD15" s="131">
        <v>1000</v>
      </c>
      <c r="AE15" s="131">
        <f>V15-2026</f>
        <v>30</v>
      </c>
      <c r="AF15" s="128" t="s">
        <v>500</v>
      </c>
    </row>
    <row r="16" spans="1:38" x14ac:dyDescent="0.2">
      <c r="B16" s="130" t="s">
        <v>719</v>
      </c>
      <c r="C16" s="130"/>
      <c r="D16" s="155"/>
      <c r="E16" s="130"/>
      <c r="F16" s="130"/>
      <c r="G16" s="142"/>
      <c r="H16" s="130"/>
      <c r="I16" s="130"/>
      <c r="J16" s="130"/>
      <c r="K16" s="147">
        <v>0</v>
      </c>
      <c r="L16" s="164"/>
      <c r="M16" s="164"/>
      <c r="N16" s="131"/>
      <c r="O16" s="165" t="s">
        <v>108</v>
      </c>
      <c r="P16" s="165" t="s">
        <v>108</v>
      </c>
      <c r="Q16" s="131"/>
      <c r="R16" s="131"/>
      <c r="S16" s="131"/>
      <c r="T16" s="274"/>
      <c r="U16" s="130"/>
      <c r="V16" s="274"/>
      <c r="W16" s="131"/>
      <c r="X16" s="131"/>
      <c r="Y16" s="131"/>
      <c r="Z16" s="131"/>
      <c r="AA16" s="131"/>
      <c r="AB16" s="131"/>
      <c r="AC16" s="131"/>
      <c r="AD16" s="131"/>
      <c r="AE16" s="131"/>
    </row>
    <row r="17" spans="1:33" x14ac:dyDescent="0.2">
      <c r="B17" s="130"/>
      <c r="C17" s="130"/>
      <c r="D17" s="155"/>
      <c r="E17" s="130"/>
      <c r="F17" s="130"/>
      <c r="G17" s="142"/>
      <c r="H17" s="130"/>
      <c r="I17" s="130"/>
      <c r="J17" s="130"/>
      <c r="K17" s="149">
        <f>SUM(K4:K16)</f>
        <v>182.8</v>
      </c>
      <c r="L17" s="543"/>
      <c r="M17" s="267"/>
      <c r="N17" s="139"/>
      <c r="O17" s="149"/>
      <c r="P17" s="273"/>
      <c r="Q17" s="139"/>
      <c r="R17" s="139"/>
      <c r="S17" s="139"/>
      <c r="T17" s="276"/>
      <c r="U17" s="129"/>
      <c r="V17" s="276"/>
      <c r="W17" s="139"/>
      <c r="X17" s="139"/>
      <c r="Y17" s="139"/>
      <c r="Z17" s="139"/>
      <c r="AA17" s="139"/>
      <c r="AB17" s="131"/>
      <c r="AC17" s="139"/>
      <c r="AD17" s="131"/>
      <c r="AE17" s="131"/>
    </row>
    <row r="18" spans="1:33" s="140" customFormat="1" x14ac:dyDescent="0.2">
      <c r="D18" s="157"/>
      <c r="G18" s="249"/>
      <c r="K18" s="260"/>
      <c r="L18" s="268"/>
      <c r="M18" s="268">
        <v>113.4</v>
      </c>
      <c r="N18" s="261">
        <v>51.6</v>
      </c>
      <c r="O18" s="538">
        <f>M18/$K$17</f>
        <v>0.62035010940919033</v>
      </c>
      <c r="P18" s="538">
        <f>N18/$K$17</f>
        <v>0.28227571115973743</v>
      </c>
      <c r="Q18" s="261"/>
      <c r="R18" s="261"/>
      <c r="S18" s="261"/>
      <c r="T18" s="277"/>
      <c r="U18" s="262"/>
      <c r="V18" s="277"/>
      <c r="W18" s="261"/>
      <c r="X18" s="261"/>
      <c r="Y18" s="261"/>
      <c r="Z18" s="261"/>
      <c r="AA18" s="261"/>
      <c r="AB18" s="141"/>
      <c r="AC18" s="261"/>
      <c r="AD18" s="141"/>
      <c r="AE18" s="141"/>
    </row>
    <row r="19" spans="1:33" x14ac:dyDescent="0.2">
      <c r="B19" s="263" t="s">
        <v>248</v>
      </c>
      <c r="C19" s="246"/>
      <c r="D19" s="264"/>
      <c r="E19" s="246"/>
      <c r="F19" s="246"/>
      <c r="G19" s="247"/>
      <c r="H19" s="246"/>
      <c r="I19" s="246"/>
      <c r="J19" s="246"/>
      <c r="K19" s="265"/>
      <c r="L19" s="269"/>
      <c r="M19" s="269"/>
      <c r="N19" s="266"/>
      <c r="O19" s="265"/>
      <c r="P19" s="247"/>
      <c r="Q19" s="266"/>
      <c r="R19" s="266"/>
      <c r="S19" s="266"/>
      <c r="T19" s="278"/>
      <c r="U19" s="246"/>
      <c r="V19" s="278"/>
      <c r="W19" s="266" t="s">
        <v>524</v>
      </c>
      <c r="X19" s="266"/>
      <c r="Y19" s="266"/>
      <c r="Z19" s="266"/>
      <c r="AA19" s="266"/>
      <c r="AB19" s="266"/>
      <c r="AC19" s="266"/>
      <c r="AD19" s="266"/>
      <c r="AE19" s="266"/>
    </row>
    <row r="20" spans="1:33" x14ac:dyDescent="0.2">
      <c r="B20" s="130" t="s">
        <v>249</v>
      </c>
      <c r="C20" s="130" t="s">
        <v>421</v>
      </c>
      <c r="D20" s="155"/>
      <c r="E20" s="130"/>
      <c r="F20" s="130"/>
      <c r="G20" s="142"/>
      <c r="H20" s="130"/>
      <c r="I20" s="130"/>
      <c r="J20" s="130" t="s">
        <v>735</v>
      </c>
      <c r="K20" s="149"/>
      <c r="L20" s="267"/>
      <c r="M20" s="267"/>
      <c r="N20" s="139"/>
      <c r="O20" s="149"/>
      <c r="P20" s="273"/>
      <c r="Q20" s="139"/>
      <c r="R20" s="139"/>
      <c r="S20" s="139"/>
      <c r="T20" s="276"/>
      <c r="U20" s="129"/>
      <c r="V20" s="274">
        <v>2027</v>
      </c>
      <c r="W20" s="139"/>
      <c r="X20" s="139"/>
      <c r="Y20" s="139"/>
      <c r="Z20" s="139"/>
      <c r="AA20" s="139"/>
      <c r="AB20" s="131" t="s">
        <v>296</v>
      </c>
      <c r="AC20" s="139"/>
      <c r="AD20" s="131"/>
      <c r="AE20" s="131"/>
    </row>
    <row r="21" spans="1:33" x14ac:dyDescent="0.2">
      <c r="B21" s="130" t="s">
        <v>250</v>
      </c>
      <c r="C21" s="130" t="s">
        <v>421</v>
      </c>
      <c r="D21" s="155"/>
      <c r="E21" s="130"/>
      <c r="F21" s="130"/>
      <c r="G21" s="142"/>
      <c r="H21" s="130"/>
      <c r="I21" s="130"/>
      <c r="J21" s="130" t="s">
        <v>735</v>
      </c>
      <c r="K21" s="149"/>
      <c r="L21" s="267"/>
      <c r="M21" s="267"/>
      <c r="N21" s="139"/>
      <c r="O21" s="149"/>
      <c r="P21" s="273"/>
      <c r="Q21" s="139"/>
      <c r="R21" s="139"/>
      <c r="S21" s="139"/>
      <c r="T21" s="276"/>
      <c r="U21" s="129"/>
      <c r="V21" s="274">
        <v>2028</v>
      </c>
      <c r="W21" s="139"/>
      <c r="X21" s="139"/>
      <c r="Y21" s="139"/>
      <c r="Z21" s="139"/>
      <c r="AA21" s="139"/>
      <c r="AB21" s="131" t="s">
        <v>297</v>
      </c>
      <c r="AC21" s="139"/>
      <c r="AD21" s="131"/>
      <c r="AE21" s="131"/>
    </row>
    <row r="22" spans="1:33" x14ac:dyDescent="0.2">
      <c r="B22" s="130"/>
      <c r="C22" s="130"/>
      <c r="D22" s="155"/>
      <c r="E22" s="130"/>
      <c r="F22" s="130"/>
      <c r="G22" s="142"/>
      <c r="H22" s="130"/>
      <c r="I22" s="130"/>
      <c r="J22" s="130"/>
      <c r="K22" s="149"/>
      <c r="L22" s="267"/>
      <c r="M22" s="267"/>
      <c r="N22" s="139"/>
      <c r="O22" s="149"/>
      <c r="P22" s="273"/>
      <c r="Q22" s="139"/>
      <c r="R22" s="139"/>
      <c r="S22" s="139"/>
      <c r="T22" s="276"/>
      <c r="U22" s="129"/>
      <c r="V22" s="276"/>
      <c r="W22" s="139"/>
      <c r="X22" s="139"/>
      <c r="Y22" s="139"/>
      <c r="Z22" s="139"/>
      <c r="AA22" s="139"/>
      <c r="AB22" s="131"/>
      <c r="AC22" s="139"/>
      <c r="AD22" s="131"/>
      <c r="AE22" s="131"/>
    </row>
    <row r="23" spans="1:33" s="140" customFormat="1" x14ac:dyDescent="0.2">
      <c r="D23" s="157"/>
      <c r="G23" s="249"/>
      <c r="K23" s="150"/>
      <c r="L23" s="270"/>
      <c r="M23" s="270"/>
      <c r="N23" s="141"/>
      <c r="O23" s="150"/>
      <c r="P23" s="249"/>
      <c r="Q23" s="141"/>
      <c r="R23" s="141"/>
      <c r="S23" s="141"/>
      <c r="T23" s="279"/>
      <c r="V23" s="279"/>
      <c r="W23" s="141"/>
      <c r="X23" s="141"/>
      <c r="Y23" s="141"/>
      <c r="Z23" s="141"/>
      <c r="AA23" s="141"/>
      <c r="AB23" s="141"/>
      <c r="AC23" s="141"/>
      <c r="AD23" s="141"/>
      <c r="AE23" s="141"/>
    </row>
    <row r="24" spans="1:33" x14ac:dyDescent="0.2">
      <c r="B24" s="129" t="s">
        <v>14</v>
      </c>
      <c r="C24" s="130"/>
      <c r="D24" s="155"/>
      <c r="E24" s="130"/>
      <c r="F24" s="130"/>
      <c r="G24" s="142"/>
      <c r="H24" s="130"/>
      <c r="I24" s="130"/>
      <c r="J24" s="130"/>
      <c r="K24" s="147"/>
      <c r="L24" s="164"/>
      <c r="M24" s="164"/>
      <c r="N24" s="131"/>
      <c r="O24" s="147"/>
      <c r="P24" s="142"/>
      <c r="Q24" s="131"/>
      <c r="R24" s="131"/>
      <c r="S24" s="131"/>
      <c r="T24" s="274"/>
      <c r="U24" s="130"/>
      <c r="V24" s="274"/>
      <c r="W24" s="131"/>
      <c r="X24" s="131"/>
      <c r="Y24" s="131"/>
      <c r="Z24" s="131"/>
      <c r="AA24" s="131"/>
      <c r="AB24" s="131"/>
      <c r="AC24" s="131"/>
      <c r="AD24" s="131"/>
      <c r="AE24" s="131"/>
    </row>
    <row r="25" spans="1:33" s="132" customFormat="1" ht="25.35" customHeight="1" x14ac:dyDescent="0.2">
      <c r="B25" s="133" t="s">
        <v>316</v>
      </c>
      <c r="C25" s="133" t="s">
        <v>234</v>
      </c>
      <c r="D25" s="156" t="s">
        <v>354</v>
      </c>
      <c r="E25" s="133" t="s">
        <v>336</v>
      </c>
      <c r="F25" s="133" t="s">
        <v>722</v>
      </c>
      <c r="G25" s="134" t="s">
        <v>727</v>
      </c>
      <c r="H25" s="133" t="s">
        <v>312</v>
      </c>
      <c r="I25" s="133" t="s">
        <v>238</v>
      </c>
      <c r="J25" s="133" t="s">
        <v>233</v>
      </c>
      <c r="K25" s="148" t="s">
        <v>844</v>
      </c>
      <c r="L25" s="148" t="s">
        <v>366</v>
      </c>
      <c r="M25" s="285" t="s">
        <v>772</v>
      </c>
      <c r="N25" s="135" t="s">
        <v>309</v>
      </c>
      <c r="O25" s="148" t="s">
        <v>310</v>
      </c>
      <c r="P25" s="134" t="s">
        <v>311</v>
      </c>
      <c r="Q25" s="135" t="s">
        <v>352</v>
      </c>
      <c r="R25" s="135" t="s">
        <v>359</v>
      </c>
      <c r="S25" s="135" t="s">
        <v>353</v>
      </c>
      <c r="T25" s="275" t="s">
        <v>235</v>
      </c>
      <c r="U25" s="134" t="s">
        <v>357</v>
      </c>
      <c r="V25" s="275" t="s">
        <v>251</v>
      </c>
      <c r="W25" s="135" t="s">
        <v>236</v>
      </c>
      <c r="X25" s="135" t="s">
        <v>240</v>
      </c>
      <c r="Y25" s="135" t="s">
        <v>415</v>
      </c>
      <c r="Z25" s="135" t="s">
        <v>416</v>
      </c>
      <c r="AA25" s="135" t="s">
        <v>425</v>
      </c>
      <c r="AB25" s="135" t="s">
        <v>258</v>
      </c>
      <c r="AC25" s="135" t="s">
        <v>257</v>
      </c>
      <c r="AD25" s="135" t="s">
        <v>313</v>
      </c>
      <c r="AE25" s="135"/>
      <c r="AF25" s="132" t="s">
        <v>498</v>
      </c>
      <c r="AG25" s="136" t="s">
        <v>503</v>
      </c>
    </row>
    <row r="26" spans="1:33" x14ac:dyDescent="0.2">
      <c r="A26" s="132"/>
      <c r="B26" s="130" t="s">
        <v>15</v>
      </c>
      <c r="C26" s="130" t="s">
        <v>1973</v>
      </c>
      <c r="D26" s="155">
        <v>1</v>
      </c>
      <c r="E26" s="259" t="s">
        <v>378</v>
      </c>
      <c r="F26" s="259" t="s">
        <v>108</v>
      </c>
      <c r="G26" s="259" t="s">
        <v>108</v>
      </c>
      <c r="H26" s="130" t="s">
        <v>0</v>
      </c>
      <c r="I26" s="130" t="s">
        <v>290</v>
      </c>
      <c r="J26" s="130" t="s">
        <v>264</v>
      </c>
      <c r="K26" s="147">
        <v>30</v>
      </c>
      <c r="L26" s="165" t="s">
        <v>108</v>
      </c>
      <c r="M26" s="284" t="s">
        <v>773</v>
      </c>
      <c r="N26" s="131" t="s">
        <v>742</v>
      </c>
      <c r="O26" s="164" t="s">
        <v>741</v>
      </c>
      <c r="P26" s="165" t="s">
        <v>108</v>
      </c>
      <c r="Q26" s="131" t="s">
        <v>740</v>
      </c>
      <c r="R26" s="131"/>
      <c r="S26" s="131" t="s">
        <v>744</v>
      </c>
      <c r="T26" s="1274">
        <v>47178</v>
      </c>
      <c r="U26" s="130">
        <v>30</v>
      </c>
      <c r="V26" s="1274">
        <v>56189</v>
      </c>
      <c r="W26" s="131" t="s">
        <v>298</v>
      </c>
      <c r="X26" s="258" t="s">
        <v>108</v>
      </c>
      <c r="Y26" s="258" t="s">
        <v>108</v>
      </c>
      <c r="Z26" s="258" t="s">
        <v>108</v>
      </c>
      <c r="AA26" s="258" t="s">
        <v>108</v>
      </c>
      <c r="AB26" s="258" t="s">
        <v>108</v>
      </c>
      <c r="AC26" s="131" t="s">
        <v>743</v>
      </c>
      <c r="AD26" s="143">
        <v>41190</v>
      </c>
      <c r="AE26" s="131"/>
      <c r="AG26" s="128" t="s">
        <v>512</v>
      </c>
    </row>
    <row r="27" spans="1:33" x14ac:dyDescent="0.2">
      <c r="A27" s="132"/>
      <c r="B27" s="130" t="s">
        <v>553</v>
      </c>
      <c r="C27" s="130" t="s">
        <v>1972</v>
      </c>
      <c r="D27" s="155">
        <v>1</v>
      </c>
      <c r="E27" s="130" t="s">
        <v>378</v>
      </c>
      <c r="F27" s="259" t="s">
        <v>108</v>
      </c>
      <c r="G27" s="259" t="s">
        <v>108</v>
      </c>
      <c r="H27" s="130" t="s">
        <v>7</v>
      </c>
      <c r="I27" s="130" t="s">
        <v>290</v>
      </c>
      <c r="J27" s="130" t="s">
        <v>265</v>
      </c>
      <c r="K27" s="147">
        <v>6.96</v>
      </c>
      <c r="L27" s="164">
        <v>14.2</v>
      </c>
      <c r="M27" s="284" t="s">
        <v>757</v>
      </c>
      <c r="N27" s="131" t="s">
        <v>750</v>
      </c>
      <c r="O27" s="165" t="s">
        <v>108</v>
      </c>
      <c r="P27" s="165" t="s">
        <v>108</v>
      </c>
      <c r="Q27" s="131" t="s">
        <v>2002</v>
      </c>
      <c r="R27" s="130" t="s">
        <v>2003</v>
      </c>
      <c r="S27" s="130" t="s">
        <v>2004</v>
      </c>
      <c r="T27" s="1274">
        <v>46447</v>
      </c>
      <c r="U27" s="130">
        <v>30</v>
      </c>
      <c r="V27" s="1274">
        <v>56431</v>
      </c>
      <c r="W27" s="131" t="s">
        <v>754</v>
      </c>
      <c r="X27" s="131" t="s">
        <v>746</v>
      </c>
      <c r="Y27" s="258" t="s">
        <v>748</v>
      </c>
      <c r="Z27" s="131"/>
      <c r="AA27" s="131"/>
      <c r="AB27" s="143" t="s">
        <v>752</v>
      </c>
      <c r="AC27" s="131" t="s">
        <v>751</v>
      </c>
      <c r="AD27" s="143">
        <v>6000</v>
      </c>
      <c r="AE27" s="194" t="s">
        <v>749</v>
      </c>
      <c r="AF27" s="128" t="s">
        <v>500</v>
      </c>
      <c r="AG27" s="128" t="s">
        <v>513</v>
      </c>
    </row>
    <row r="28" spans="1:33" x14ac:dyDescent="0.2">
      <c r="A28" s="132"/>
      <c r="B28" s="130" t="s">
        <v>558</v>
      </c>
      <c r="C28" s="130" t="s">
        <v>418</v>
      </c>
      <c r="D28" s="155">
        <v>1</v>
      </c>
      <c r="E28" s="130" t="s">
        <v>378</v>
      </c>
      <c r="F28" s="259" t="s">
        <v>108</v>
      </c>
      <c r="G28" s="259" t="s">
        <v>108</v>
      </c>
      <c r="H28" s="130" t="s">
        <v>0</v>
      </c>
      <c r="I28" s="130" t="s">
        <v>290</v>
      </c>
      <c r="J28" s="130" t="s">
        <v>756</v>
      </c>
      <c r="K28" s="147">
        <v>30</v>
      </c>
      <c r="L28" s="165" t="s">
        <v>108</v>
      </c>
      <c r="M28" s="284" t="s">
        <v>757</v>
      </c>
      <c r="N28" s="131" t="s">
        <v>759</v>
      </c>
      <c r="O28" s="147">
        <v>22</v>
      </c>
      <c r="P28" s="165" t="s">
        <v>108</v>
      </c>
      <c r="Q28" s="131" t="s">
        <v>2005</v>
      </c>
      <c r="R28" s="131" t="s">
        <v>241</v>
      </c>
      <c r="S28" s="130" t="s">
        <v>2006</v>
      </c>
      <c r="T28" s="282" t="s">
        <v>900</v>
      </c>
      <c r="U28" s="130">
        <v>30</v>
      </c>
      <c r="V28" s="1274">
        <v>56795</v>
      </c>
      <c r="W28" s="131" t="s">
        <v>758</v>
      </c>
      <c r="X28" s="258" t="s">
        <v>108</v>
      </c>
      <c r="Y28" s="258" t="s">
        <v>108</v>
      </c>
      <c r="Z28" s="258" t="s">
        <v>108</v>
      </c>
      <c r="AA28" s="258" t="s">
        <v>108</v>
      </c>
      <c r="AB28" s="258" t="s">
        <v>108</v>
      </c>
      <c r="AC28" s="131" t="s">
        <v>731</v>
      </c>
      <c r="AD28" s="143">
        <v>30000</v>
      </c>
      <c r="AE28" s="131"/>
    </row>
    <row r="29" spans="1:33" x14ac:dyDescent="0.2">
      <c r="A29" s="132"/>
      <c r="B29" s="130" t="s">
        <v>560</v>
      </c>
      <c r="C29" s="130" t="s">
        <v>217</v>
      </c>
      <c r="D29" s="155">
        <v>1</v>
      </c>
      <c r="E29" s="130" t="s">
        <v>378</v>
      </c>
      <c r="F29" s="259" t="s">
        <v>108</v>
      </c>
      <c r="G29" s="259" t="s">
        <v>108</v>
      </c>
      <c r="H29" s="130" t="s">
        <v>0</v>
      </c>
      <c r="I29" s="130" t="s">
        <v>290</v>
      </c>
      <c r="J29" s="130" t="s">
        <v>252</v>
      </c>
      <c r="K29" s="147">
        <v>15</v>
      </c>
      <c r="L29" s="165" t="s">
        <v>108</v>
      </c>
      <c r="M29" s="284" t="s">
        <v>773</v>
      </c>
      <c r="N29" s="131" t="s">
        <v>757</v>
      </c>
      <c r="O29" s="165" t="s">
        <v>108</v>
      </c>
      <c r="P29" s="165" t="s">
        <v>108</v>
      </c>
      <c r="Q29" s="130" t="s">
        <v>2007</v>
      </c>
      <c r="R29" s="130" t="s">
        <v>2008</v>
      </c>
      <c r="S29" s="130" t="s">
        <v>2009</v>
      </c>
      <c r="T29" s="1274">
        <v>46447</v>
      </c>
      <c r="U29" s="130">
        <v>34</v>
      </c>
      <c r="V29" s="1274">
        <v>57891</v>
      </c>
      <c r="W29" s="131" t="s">
        <v>254</v>
      </c>
      <c r="X29" s="258" t="s">
        <v>108</v>
      </c>
      <c r="Y29" s="258" t="s">
        <v>108</v>
      </c>
      <c r="Z29" s="258" t="s">
        <v>108</v>
      </c>
      <c r="AA29" s="258" t="s">
        <v>108</v>
      </c>
      <c r="AB29" s="258" t="s">
        <v>108</v>
      </c>
      <c r="AC29" s="258" t="s">
        <v>108</v>
      </c>
      <c r="AD29" s="143">
        <f>K29/(K29+K30)*23590</f>
        <v>9829.1666666666679</v>
      </c>
      <c r="AE29" s="131"/>
    </row>
    <row r="30" spans="1:33" x14ac:dyDescent="0.2">
      <c r="A30" s="132"/>
      <c r="B30" s="130" t="s">
        <v>561</v>
      </c>
      <c r="C30" s="130" t="s">
        <v>218</v>
      </c>
      <c r="D30" s="155">
        <v>1</v>
      </c>
      <c r="E30" s="130" t="s">
        <v>378</v>
      </c>
      <c r="F30" s="259" t="s">
        <v>108</v>
      </c>
      <c r="G30" s="259" t="s">
        <v>108</v>
      </c>
      <c r="H30" s="130" t="s">
        <v>0</v>
      </c>
      <c r="I30" s="130" t="s">
        <v>302</v>
      </c>
      <c r="J30" s="130" t="s">
        <v>252</v>
      </c>
      <c r="K30" s="147">
        <v>21</v>
      </c>
      <c r="L30" s="165" t="s">
        <v>108</v>
      </c>
      <c r="M30" s="284" t="s">
        <v>757</v>
      </c>
      <c r="N30" s="131" t="s">
        <v>757</v>
      </c>
      <c r="O30" s="165" t="s">
        <v>108</v>
      </c>
      <c r="P30" s="165" t="s">
        <v>108</v>
      </c>
      <c r="Q30" s="130" t="s">
        <v>2010</v>
      </c>
      <c r="R30" s="130" t="s">
        <v>2011</v>
      </c>
      <c r="S30" s="130" t="s">
        <v>2012</v>
      </c>
      <c r="T30" s="1274">
        <v>46447</v>
      </c>
      <c r="U30" s="165" t="s">
        <v>108</v>
      </c>
      <c r="V30" s="165" t="s">
        <v>108</v>
      </c>
      <c r="W30" s="131" t="s">
        <v>254</v>
      </c>
      <c r="X30" s="258" t="s">
        <v>108</v>
      </c>
      <c r="Y30" s="258">
        <v>3</v>
      </c>
      <c r="Z30" s="258" t="s">
        <v>108</v>
      </c>
      <c r="AA30" s="258" t="s">
        <v>108</v>
      </c>
      <c r="AB30" s="258" t="s">
        <v>108</v>
      </c>
      <c r="AC30" s="258" t="s">
        <v>108</v>
      </c>
      <c r="AD30" s="143">
        <f>23590-AD29</f>
        <v>13760.833333333332</v>
      </c>
      <c r="AE30" s="131"/>
    </row>
    <row r="31" spans="1:33" x14ac:dyDescent="0.2">
      <c r="A31" s="132"/>
      <c r="B31" s="130" t="s">
        <v>760</v>
      </c>
      <c r="C31" s="130" t="s">
        <v>719</v>
      </c>
      <c r="D31" s="155">
        <v>1</v>
      </c>
      <c r="E31" s="130" t="s">
        <v>378</v>
      </c>
      <c r="F31" s="259" t="s">
        <v>108</v>
      </c>
      <c r="G31" s="259" t="s">
        <v>108</v>
      </c>
      <c r="H31" s="130" t="s">
        <v>663</v>
      </c>
      <c r="I31" s="259" t="s">
        <v>767</v>
      </c>
      <c r="J31" s="130" t="s">
        <v>756</v>
      </c>
      <c r="K31" s="147">
        <v>30</v>
      </c>
      <c r="L31" s="165" t="s">
        <v>108</v>
      </c>
      <c r="M31" s="284" t="s">
        <v>773</v>
      </c>
      <c r="N31" s="131" t="s">
        <v>279</v>
      </c>
      <c r="O31" s="165" t="s">
        <v>108</v>
      </c>
      <c r="P31" s="165" t="s">
        <v>108</v>
      </c>
      <c r="Q31" s="165" t="s">
        <v>108</v>
      </c>
      <c r="R31" s="165" t="s">
        <v>241</v>
      </c>
      <c r="S31" s="165" t="s">
        <v>763</v>
      </c>
      <c r="T31" s="1274">
        <v>46478</v>
      </c>
      <c r="U31" s="165">
        <v>20</v>
      </c>
      <c r="V31" s="1274">
        <v>53783</v>
      </c>
      <c r="W31" s="165" t="s">
        <v>108</v>
      </c>
      <c r="X31" s="258" t="s">
        <v>2013</v>
      </c>
      <c r="Y31" s="165" t="s">
        <v>108</v>
      </c>
      <c r="Z31" s="165" t="s">
        <v>765</v>
      </c>
      <c r="AA31" s="165" t="s">
        <v>108</v>
      </c>
      <c r="AB31" s="259" t="s">
        <v>764</v>
      </c>
      <c r="AC31" s="258" t="s">
        <v>108</v>
      </c>
      <c r="AD31" s="143">
        <v>40000</v>
      </c>
      <c r="AE31" s="131"/>
      <c r="AF31" s="128" t="s">
        <v>241</v>
      </c>
    </row>
    <row r="32" spans="1:33" ht="15" x14ac:dyDescent="0.25">
      <c r="A32" s="283" t="s">
        <v>768</v>
      </c>
      <c r="B32" s="130" t="s">
        <v>766</v>
      </c>
      <c r="C32" s="130" t="s">
        <v>1974</v>
      </c>
      <c r="D32" s="155">
        <v>1</v>
      </c>
      <c r="E32" s="130" t="s">
        <v>378</v>
      </c>
      <c r="F32" s="259" t="s">
        <v>108</v>
      </c>
      <c r="G32" s="259" t="s">
        <v>108</v>
      </c>
      <c r="H32" s="130" t="s">
        <v>0</v>
      </c>
      <c r="I32" s="130" t="s">
        <v>290</v>
      </c>
      <c r="J32" s="130" t="s">
        <v>252</v>
      </c>
      <c r="K32" s="147">
        <v>33</v>
      </c>
      <c r="L32" s="165" t="s">
        <v>108</v>
      </c>
      <c r="M32" s="258" t="s">
        <v>283</v>
      </c>
      <c r="N32" s="131" t="s">
        <v>283</v>
      </c>
      <c r="O32" s="165" t="s">
        <v>108</v>
      </c>
      <c r="P32" s="165" t="s">
        <v>108</v>
      </c>
      <c r="Q32" s="130" t="s">
        <v>769</v>
      </c>
      <c r="R32" s="130" t="s">
        <v>2014</v>
      </c>
      <c r="S32" s="130" t="s">
        <v>2015</v>
      </c>
      <c r="T32" s="274"/>
      <c r="U32" s="130"/>
      <c r="V32" s="274"/>
      <c r="W32" s="131" t="s">
        <v>254</v>
      </c>
      <c r="X32" s="165" t="s">
        <v>108</v>
      </c>
      <c r="Y32" s="165" t="s">
        <v>108</v>
      </c>
      <c r="Z32" s="258" t="s">
        <v>108</v>
      </c>
      <c r="AA32" s="258" t="s">
        <v>108</v>
      </c>
      <c r="AB32" s="258" t="s">
        <v>108</v>
      </c>
      <c r="AC32" s="258" t="s">
        <v>108</v>
      </c>
      <c r="AD32" s="143">
        <v>42590</v>
      </c>
      <c r="AE32" s="131"/>
    </row>
    <row r="33" spans="1:33" x14ac:dyDescent="0.2">
      <c r="A33" s="132"/>
      <c r="B33" s="130" t="s">
        <v>1866</v>
      </c>
      <c r="C33" s="130" t="s">
        <v>719</v>
      </c>
      <c r="D33" s="155">
        <v>1</v>
      </c>
      <c r="E33" s="130" t="s">
        <v>378</v>
      </c>
      <c r="F33" s="259" t="s">
        <v>108</v>
      </c>
      <c r="G33" s="259" t="s">
        <v>108</v>
      </c>
      <c r="H33" s="130" t="s">
        <v>0</v>
      </c>
      <c r="I33" s="130" t="s">
        <v>290</v>
      </c>
      <c r="J33" s="130" t="s">
        <v>665</v>
      </c>
      <c r="K33" s="147">
        <v>27</v>
      </c>
      <c r="L33" s="165" t="s">
        <v>108</v>
      </c>
      <c r="M33" s="284" t="s">
        <v>757</v>
      </c>
      <c r="N33" s="165" t="s">
        <v>770</v>
      </c>
      <c r="O33" s="165" t="s">
        <v>108</v>
      </c>
      <c r="P33" s="165" t="s">
        <v>108</v>
      </c>
      <c r="Q33" s="165" t="s">
        <v>108</v>
      </c>
      <c r="R33" s="165" t="s">
        <v>108</v>
      </c>
      <c r="S33" s="165" t="s">
        <v>108</v>
      </c>
      <c r="T33" s="165" t="s">
        <v>108</v>
      </c>
      <c r="U33" s="165" t="s">
        <v>108</v>
      </c>
      <c r="V33" s="165" t="s">
        <v>108</v>
      </c>
      <c r="W33" s="165" t="s">
        <v>108</v>
      </c>
      <c r="X33" s="165" t="s">
        <v>108</v>
      </c>
      <c r="Y33" s="165" t="s">
        <v>108</v>
      </c>
      <c r="Z33" s="165" t="s">
        <v>108</v>
      </c>
      <c r="AA33" s="165" t="s">
        <v>108</v>
      </c>
      <c r="AB33" s="165" t="s">
        <v>108</v>
      </c>
      <c r="AC33" s="165" t="s">
        <v>108</v>
      </c>
      <c r="AD33" s="143">
        <f>300*84</f>
        <v>25200</v>
      </c>
      <c r="AE33" s="131"/>
    </row>
    <row r="34" spans="1:33" x14ac:dyDescent="0.2">
      <c r="A34" s="132"/>
      <c r="B34" s="130" t="s">
        <v>855</v>
      </c>
      <c r="C34" s="130" t="str">
        <f>C6</f>
        <v>South West Port Limited</v>
      </c>
      <c r="D34" s="155"/>
      <c r="E34" s="130" t="s">
        <v>378</v>
      </c>
      <c r="F34" s="259" t="s">
        <v>108</v>
      </c>
      <c r="G34" s="259" t="s">
        <v>108</v>
      </c>
      <c r="H34" s="130" t="s">
        <v>0</v>
      </c>
      <c r="I34" s="130"/>
      <c r="J34" s="130" t="s">
        <v>214</v>
      </c>
      <c r="K34" s="147">
        <f>6.5-Assumptions!K116</f>
        <v>4</v>
      </c>
      <c r="L34" s="164"/>
      <c r="M34" s="284" t="s">
        <v>757</v>
      </c>
      <c r="N34" s="165" t="s">
        <v>108</v>
      </c>
      <c r="O34" s="165" t="s">
        <v>108</v>
      </c>
      <c r="P34" s="165" t="s">
        <v>108</v>
      </c>
      <c r="Q34" s="165" t="s">
        <v>108</v>
      </c>
      <c r="R34" s="165" t="s">
        <v>108</v>
      </c>
      <c r="S34" s="165" t="s">
        <v>108</v>
      </c>
      <c r="T34" s="165" t="s">
        <v>108</v>
      </c>
      <c r="U34" s="165" t="s">
        <v>108</v>
      </c>
      <c r="V34" s="165" t="s">
        <v>108</v>
      </c>
      <c r="W34" s="165" t="s">
        <v>108</v>
      </c>
      <c r="X34" s="165" t="s">
        <v>108</v>
      </c>
      <c r="Y34" s="165" t="s">
        <v>108</v>
      </c>
      <c r="Z34" s="165" t="s">
        <v>108</v>
      </c>
      <c r="AA34" s="165" t="s">
        <v>108</v>
      </c>
      <c r="AB34" s="165" t="s">
        <v>108</v>
      </c>
      <c r="AC34" s="165" t="s">
        <v>108</v>
      </c>
      <c r="AD34" s="143"/>
      <c r="AE34" s="131"/>
    </row>
    <row r="35" spans="1:33" x14ac:dyDescent="0.2">
      <c r="A35" s="132"/>
      <c r="B35" s="130" t="s">
        <v>856</v>
      </c>
      <c r="C35" s="130" t="str">
        <f>C29</f>
        <v>JSW Jaigarh Port Ltd</v>
      </c>
      <c r="D35" s="155">
        <v>1</v>
      </c>
      <c r="E35" s="130" t="s">
        <v>378</v>
      </c>
      <c r="F35" s="259" t="s">
        <v>108</v>
      </c>
      <c r="G35" s="259" t="s">
        <v>108</v>
      </c>
      <c r="H35" s="130" t="s">
        <v>0</v>
      </c>
      <c r="I35" s="130"/>
      <c r="J35" s="130" t="s">
        <v>252</v>
      </c>
      <c r="K35" s="147">
        <v>2</v>
      </c>
      <c r="L35" s="164"/>
      <c r="M35" s="284" t="s">
        <v>774</v>
      </c>
      <c r="N35" s="165" t="s">
        <v>108</v>
      </c>
      <c r="O35" s="165" t="s">
        <v>108</v>
      </c>
      <c r="P35" s="165" t="s">
        <v>108</v>
      </c>
      <c r="Q35" s="165" t="s">
        <v>108</v>
      </c>
      <c r="R35" s="165" t="s">
        <v>108</v>
      </c>
      <c r="S35" s="165" t="s">
        <v>108</v>
      </c>
      <c r="T35" s="165" t="s">
        <v>108</v>
      </c>
      <c r="U35" s="165" t="s">
        <v>108</v>
      </c>
      <c r="V35" s="165" t="s">
        <v>108</v>
      </c>
      <c r="W35" s="165" t="s">
        <v>108</v>
      </c>
      <c r="X35" s="165" t="s">
        <v>108</v>
      </c>
      <c r="Y35" s="165" t="s">
        <v>108</v>
      </c>
      <c r="Z35" s="165" t="s">
        <v>108</v>
      </c>
      <c r="AA35" s="165" t="s">
        <v>108</v>
      </c>
      <c r="AB35" s="165" t="s">
        <v>108</v>
      </c>
      <c r="AC35" s="165" t="s">
        <v>108</v>
      </c>
      <c r="AD35" s="143"/>
      <c r="AE35" s="131"/>
    </row>
    <row r="36" spans="1:33" x14ac:dyDescent="0.2">
      <c r="A36" s="132"/>
      <c r="B36" s="130" t="s">
        <v>857</v>
      </c>
      <c r="C36" s="130" t="str">
        <f>C8</f>
        <v>JSW Mangalore Container Terminal Pvt Ltd</v>
      </c>
      <c r="D36" s="155">
        <v>1</v>
      </c>
      <c r="E36" s="130" t="s">
        <v>378</v>
      </c>
      <c r="F36" s="259" t="s">
        <v>108</v>
      </c>
      <c r="G36" s="259" t="s">
        <v>108</v>
      </c>
      <c r="H36" s="130" t="s">
        <v>0</v>
      </c>
      <c r="I36" s="130"/>
      <c r="J36" s="130" t="s">
        <v>264</v>
      </c>
      <c r="K36" s="147">
        <v>1.82</v>
      </c>
      <c r="L36" s="164"/>
      <c r="M36" s="284" t="s">
        <v>283</v>
      </c>
      <c r="N36" s="165" t="s">
        <v>108</v>
      </c>
      <c r="O36" s="165" t="s">
        <v>108</v>
      </c>
      <c r="P36" s="165" t="s">
        <v>108</v>
      </c>
      <c r="Q36" s="165" t="s">
        <v>108</v>
      </c>
      <c r="R36" s="165" t="s">
        <v>108</v>
      </c>
      <c r="S36" s="165" t="s">
        <v>108</v>
      </c>
      <c r="T36" s="165" t="s">
        <v>108</v>
      </c>
      <c r="U36" s="165" t="s">
        <v>108</v>
      </c>
      <c r="V36" s="165" t="s">
        <v>108</v>
      </c>
      <c r="W36" s="165" t="s">
        <v>108</v>
      </c>
      <c r="X36" s="165" t="s">
        <v>108</v>
      </c>
      <c r="Y36" s="165" t="s">
        <v>108</v>
      </c>
      <c r="Z36" s="165" t="s">
        <v>108</v>
      </c>
      <c r="AA36" s="165" t="s">
        <v>108</v>
      </c>
      <c r="AB36" s="165" t="s">
        <v>108</v>
      </c>
      <c r="AC36" s="165" t="s">
        <v>108</v>
      </c>
      <c r="AD36" s="143"/>
      <c r="AE36" s="131"/>
    </row>
    <row r="37" spans="1:33" x14ac:dyDescent="0.2">
      <c r="A37" s="132"/>
      <c r="B37" s="130" t="s">
        <v>1767</v>
      </c>
      <c r="C37" s="130" t="s">
        <v>719</v>
      </c>
      <c r="D37" s="155">
        <v>1</v>
      </c>
      <c r="E37" s="130" t="s">
        <v>378</v>
      </c>
      <c r="F37" s="259" t="s">
        <v>108</v>
      </c>
      <c r="G37" s="259" t="s">
        <v>108</v>
      </c>
      <c r="H37" s="130" t="s">
        <v>7</v>
      </c>
      <c r="I37" s="130"/>
      <c r="J37" s="130" t="s">
        <v>1937</v>
      </c>
      <c r="K37" s="147">
        <v>7</v>
      </c>
      <c r="L37" s="164"/>
      <c r="M37" s="284" t="s">
        <v>283</v>
      </c>
      <c r="N37" s="284" t="s">
        <v>283</v>
      </c>
      <c r="O37" s="147"/>
      <c r="P37" s="142"/>
      <c r="Q37" s="131" t="s">
        <v>2017</v>
      </c>
      <c r="R37" s="131" t="s">
        <v>2018</v>
      </c>
      <c r="S37" s="131" t="s">
        <v>2019</v>
      </c>
      <c r="T37" s="1274">
        <v>46631</v>
      </c>
      <c r="U37" s="130">
        <v>30</v>
      </c>
      <c r="V37" s="1274">
        <v>56887</v>
      </c>
      <c r="W37" s="131" t="s">
        <v>2020</v>
      </c>
      <c r="X37" s="165" t="s">
        <v>108</v>
      </c>
      <c r="Y37" s="142">
        <v>2</v>
      </c>
      <c r="Z37" s="165" t="s">
        <v>108</v>
      </c>
      <c r="AA37" s="165" t="s">
        <v>108</v>
      </c>
      <c r="AB37" s="165" t="s">
        <v>108</v>
      </c>
      <c r="AC37" s="131" t="s">
        <v>2027</v>
      </c>
      <c r="AD37" s="143">
        <v>7400</v>
      </c>
      <c r="AE37" s="131"/>
    </row>
    <row r="38" spans="1:33" x14ac:dyDescent="0.2">
      <c r="A38" s="132"/>
      <c r="B38" s="130" t="s">
        <v>2026</v>
      </c>
      <c r="C38" s="130" t="s">
        <v>719</v>
      </c>
      <c r="D38" s="155">
        <v>1</v>
      </c>
      <c r="E38" s="130" t="s">
        <v>378</v>
      </c>
      <c r="F38" s="259" t="s">
        <v>108</v>
      </c>
      <c r="G38" s="259" t="s">
        <v>108</v>
      </c>
      <c r="H38" s="130" t="s">
        <v>7</v>
      </c>
      <c r="I38" s="130"/>
      <c r="J38" s="130" t="s">
        <v>1937</v>
      </c>
      <c r="K38" s="147">
        <f>C239</f>
        <v>12</v>
      </c>
      <c r="L38" s="164"/>
      <c r="M38" s="284" t="s">
        <v>283</v>
      </c>
      <c r="N38" s="284" t="s">
        <v>283</v>
      </c>
      <c r="O38" s="147"/>
      <c r="P38" s="142"/>
      <c r="Q38" s="131" t="s">
        <v>2017</v>
      </c>
      <c r="R38" s="131" t="s">
        <v>2018</v>
      </c>
      <c r="S38" s="131" t="s">
        <v>2019</v>
      </c>
      <c r="T38" s="1285">
        <v>47149</v>
      </c>
      <c r="U38" s="130">
        <v>30</v>
      </c>
      <c r="V38" s="1285">
        <v>58106</v>
      </c>
      <c r="W38" s="131" t="s">
        <v>2020</v>
      </c>
      <c r="X38" s="165" t="s">
        <v>108</v>
      </c>
      <c r="Y38" s="142">
        <f>5+2</f>
        <v>7</v>
      </c>
      <c r="Z38" s="165" t="s">
        <v>108</v>
      </c>
      <c r="AA38" s="165" t="s">
        <v>108</v>
      </c>
      <c r="AB38" s="165" t="s">
        <v>108</v>
      </c>
      <c r="AC38" s="131" t="s">
        <v>2028</v>
      </c>
      <c r="AD38" s="143">
        <v>8322.5</v>
      </c>
      <c r="AE38" s="131"/>
    </row>
    <row r="39" spans="1:33" x14ac:dyDescent="0.2">
      <c r="B39" s="130"/>
      <c r="C39" s="130"/>
      <c r="D39" s="155"/>
      <c r="E39" s="130"/>
      <c r="F39" s="259"/>
      <c r="G39" s="259"/>
      <c r="H39" s="130"/>
      <c r="I39" s="130"/>
      <c r="J39" s="130"/>
      <c r="K39" s="149">
        <f>SUM(K26:K38)</f>
        <v>219.78</v>
      </c>
      <c r="L39" s="267"/>
      <c r="M39" s="267"/>
      <c r="N39" s="139"/>
      <c r="O39" s="149"/>
      <c r="P39" s="273"/>
      <c r="Q39" s="139"/>
      <c r="R39" s="139"/>
      <c r="S39" s="139"/>
      <c r="T39" s="276"/>
      <c r="U39" s="129"/>
      <c r="V39" s="276"/>
      <c r="W39" s="139"/>
      <c r="X39" s="139"/>
      <c r="Y39" s="139"/>
      <c r="Z39" s="139"/>
      <c r="AA39" s="139"/>
      <c r="AB39" s="131"/>
      <c r="AC39" s="139"/>
      <c r="AD39" s="131"/>
      <c r="AE39" s="131"/>
    </row>
    <row r="40" spans="1:33" x14ac:dyDescent="0.2">
      <c r="AF40" s="137"/>
    </row>
    <row r="41" spans="1:33" x14ac:dyDescent="0.2">
      <c r="B41" s="129" t="s">
        <v>726</v>
      </c>
      <c r="C41" s="130"/>
      <c r="D41" s="155"/>
      <c r="E41" s="130"/>
      <c r="F41" s="130"/>
      <c r="G41" s="142"/>
      <c r="H41" s="130"/>
      <c r="I41" s="130"/>
      <c r="J41" s="130"/>
      <c r="K41" s="147"/>
      <c r="L41" s="164"/>
      <c r="M41" s="164"/>
      <c r="N41" s="131"/>
      <c r="O41" s="147"/>
      <c r="P41" s="142"/>
      <c r="Q41" s="131"/>
      <c r="R41" s="131"/>
      <c r="S41" s="131"/>
      <c r="T41" s="274"/>
      <c r="U41" s="130"/>
      <c r="V41" s="274"/>
      <c r="W41" s="131"/>
      <c r="X41" s="131"/>
      <c r="Y41" s="131"/>
      <c r="Z41" s="131"/>
      <c r="AA41" s="131"/>
      <c r="AB41" s="131"/>
      <c r="AC41" s="131"/>
      <c r="AD41" s="131"/>
      <c r="AE41" s="131"/>
    </row>
    <row r="42" spans="1:33" s="132" customFormat="1" ht="25.35" customHeight="1" x14ac:dyDescent="0.2">
      <c r="B42" s="133"/>
      <c r="C42" s="133"/>
      <c r="D42" s="156"/>
      <c r="E42" s="133"/>
      <c r="F42" s="133"/>
      <c r="G42" s="134"/>
      <c r="H42" s="133"/>
      <c r="I42" s="133"/>
      <c r="J42" s="133"/>
      <c r="K42" s="148"/>
      <c r="L42" s="148"/>
      <c r="M42" s="148"/>
      <c r="N42" s="135"/>
      <c r="O42" s="148"/>
      <c r="P42" s="134"/>
      <c r="Q42" s="135"/>
      <c r="R42" s="135"/>
      <c r="S42" s="135"/>
      <c r="T42" s="275"/>
      <c r="U42" s="134"/>
      <c r="V42" s="275"/>
      <c r="W42" s="135"/>
      <c r="X42" s="135"/>
      <c r="Y42" s="135"/>
      <c r="Z42" s="135"/>
      <c r="AA42" s="135"/>
      <c r="AB42" s="135"/>
      <c r="AC42" s="135"/>
      <c r="AD42" s="135"/>
      <c r="AE42" s="135"/>
      <c r="AG42" s="136"/>
    </row>
    <row r="43" spans="1:33" x14ac:dyDescent="0.2">
      <c r="A43" s="132"/>
      <c r="B43" s="130"/>
      <c r="C43" s="130"/>
      <c r="D43" s="155"/>
      <c r="E43" s="130"/>
      <c r="F43" s="130"/>
      <c r="G43" s="142"/>
      <c r="H43" s="130"/>
      <c r="I43" s="130"/>
      <c r="J43" s="130"/>
      <c r="K43" s="147"/>
      <c r="L43" s="164"/>
      <c r="M43" s="164"/>
      <c r="N43" s="131"/>
      <c r="O43" s="147"/>
      <c r="P43" s="142"/>
      <c r="Q43" s="131"/>
      <c r="R43" s="131"/>
      <c r="S43" s="131"/>
      <c r="T43" s="274"/>
      <c r="U43" s="130"/>
      <c r="V43" s="282"/>
      <c r="W43" s="131"/>
      <c r="X43" s="131"/>
      <c r="Y43" s="131"/>
      <c r="Z43" s="131"/>
      <c r="AA43" s="131"/>
      <c r="AB43" s="143"/>
      <c r="AC43" s="131"/>
      <c r="AD43" s="143"/>
      <c r="AE43" s="131"/>
    </row>
    <row r="44" spans="1:33" x14ac:dyDescent="0.2">
      <c r="A44" s="132"/>
      <c r="B44" s="130"/>
      <c r="C44" s="130"/>
      <c r="D44" s="155"/>
      <c r="E44" s="130"/>
      <c r="F44" s="130"/>
      <c r="G44" s="142"/>
      <c r="H44" s="130"/>
      <c r="I44" s="130"/>
      <c r="J44" s="130"/>
      <c r="K44" s="147"/>
      <c r="L44" s="164"/>
      <c r="M44" s="164"/>
      <c r="N44" s="131"/>
      <c r="O44" s="147"/>
      <c r="P44" s="142"/>
      <c r="Q44" s="131"/>
      <c r="R44" s="131"/>
      <c r="S44" s="131"/>
      <c r="T44" s="274"/>
      <c r="U44" s="130"/>
      <c r="V44" s="282"/>
      <c r="W44" s="131"/>
      <c r="X44" s="131"/>
      <c r="Y44" s="131"/>
      <c r="Z44" s="131"/>
      <c r="AA44" s="131"/>
      <c r="AB44" s="143"/>
      <c r="AC44" s="131"/>
      <c r="AD44" s="143"/>
      <c r="AE44" s="131"/>
    </row>
    <row r="45" spans="1:33" x14ac:dyDescent="0.2">
      <c r="A45" s="132"/>
      <c r="B45" s="130"/>
      <c r="C45" s="130"/>
      <c r="D45" s="155"/>
      <c r="E45" s="130"/>
      <c r="F45" s="130"/>
      <c r="G45" s="142"/>
      <c r="H45" s="130"/>
      <c r="I45" s="130"/>
      <c r="J45" s="130"/>
      <c r="K45" s="147"/>
      <c r="L45" s="164"/>
      <c r="M45" s="164"/>
      <c r="N45" s="131"/>
      <c r="O45" s="147"/>
      <c r="P45" s="142"/>
      <c r="Q45" s="131"/>
      <c r="R45" s="131"/>
      <c r="S45" s="131"/>
      <c r="T45" s="274"/>
      <c r="U45" s="130"/>
      <c r="V45" s="282"/>
      <c r="W45" s="131"/>
      <c r="X45" s="131"/>
      <c r="Y45" s="131"/>
      <c r="Z45" s="131"/>
      <c r="AA45" s="131"/>
      <c r="AB45" s="143"/>
      <c r="AC45" s="131"/>
      <c r="AD45" s="143"/>
      <c r="AE45" s="131"/>
    </row>
    <row r="46" spans="1:33" x14ac:dyDescent="0.2">
      <c r="AF46" s="137"/>
    </row>
    <row r="47" spans="1:33" x14ac:dyDescent="0.2">
      <c r="AF47" s="137"/>
    </row>
    <row r="48" spans="1:33" x14ac:dyDescent="0.2">
      <c r="B48" s="246"/>
      <c r="C48" s="248" t="s">
        <v>566</v>
      </c>
      <c r="E48" s="124">
        <f>Consol!L3</f>
        <v>0.15246338074001398</v>
      </c>
      <c r="F48" s="128" t="s">
        <v>794</v>
      </c>
      <c r="AF48" s="137"/>
    </row>
    <row r="49" spans="2:32" x14ac:dyDescent="0.2">
      <c r="B49" s="129" t="s">
        <v>718</v>
      </c>
      <c r="C49" s="130"/>
      <c r="E49" s="124">
        <f>32886.7/Consol!L78</f>
        <v>0.77495382564923321</v>
      </c>
      <c r="F49" s="128" t="s">
        <v>795</v>
      </c>
      <c r="AF49" s="137"/>
    </row>
    <row r="50" spans="2:32" x14ac:dyDescent="0.2">
      <c r="B50" s="245" t="s">
        <v>0</v>
      </c>
      <c r="C50" s="130">
        <f>SUMIF($H$4:$H$16,"Port",$K$4:$K$16)</f>
        <v>97</v>
      </c>
      <c r="E50" s="374">
        <v>4.9500000000000002E-2</v>
      </c>
      <c r="AF50" s="137"/>
    </row>
    <row r="51" spans="2:32" x14ac:dyDescent="0.2">
      <c r="B51" s="245" t="s">
        <v>7</v>
      </c>
      <c r="C51" s="130">
        <f>SUMIF($H$4:$H$16,"Terminal",$K$4:$K$16)</f>
        <v>85.8</v>
      </c>
      <c r="E51" s="128">
        <v>400</v>
      </c>
      <c r="AF51" s="137"/>
    </row>
    <row r="52" spans="2:32" x14ac:dyDescent="0.2">
      <c r="B52" s="245" t="s">
        <v>663</v>
      </c>
      <c r="C52" s="130">
        <f>SUMIF($H$4:$H$16,"Slurry Pipeline",$K$4:$K$16)</f>
        <v>0</v>
      </c>
      <c r="E52" s="128">
        <f>E51*83</f>
        <v>33200</v>
      </c>
      <c r="AF52" s="137"/>
    </row>
    <row r="53" spans="2:32" x14ac:dyDescent="0.2">
      <c r="B53" s="245" t="s">
        <v>551</v>
      </c>
      <c r="C53" s="129">
        <f>SUM(C50:C52)</f>
        <v>182.8</v>
      </c>
      <c r="E53" s="128">
        <f>+E50*E52</f>
        <v>1643.4</v>
      </c>
      <c r="AF53" s="137"/>
    </row>
    <row r="54" spans="2:32" x14ac:dyDescent="0.2">
      <c r="B54" s="129" t="s">
        <v>854</v>
      </c>
      <c r="C54" s="130"/>
      <c r="E54" s="128" t="s">
        <v>796</v>
      </c>
      <c r="AF54" s="137"/>
    </row>
    <row r="55" spans="2:32" x14ac:dyDescent="0.2">
      <c r="B55" s="245" t="s">
        <v>0</v>
      </c>
      <c r="C55" s="130">
        <f>SUMIF($H$26:$H$37,"Port",$K$26:$K$37)</f>
        <v>163.82</v>
      </c>
      <c r="AF55" s="137"/>
    </row>
    <row r="56" spans="2:32" x14ac:dyDescent="0.2">
      <c r="B56" s="245" t="s">
        <v>7</v>
      </c>
      <c r="C56" s="130">
        <f>SUMIF($H$26:$H$37,"Terminal",$K$26:$K$37)</f>
        <v>13.96</v>
      </c>
      <c r="AF56" s="137"/>
    </row>
    <row r="57" spans="2:32" x14ac:dyDescent="0.2">
      <c r="B57" s="245" t="s">
        <v>663</v>
      </c>
      <c r="C57" s="130">
        <f>SUMIF($H$26:$H$37,"Slurry Pipeline",$K$26:$K$37)</f>
        <v>30</v>
      </c>
      <c r="E57" s="451" t="s">
        <v>604</v>
      </c>
      <c r="F57" s="452" t="s">
        <v>4</v>
      </c>
      <c r="AF57" s="137"/>
    </row>
    <row r="58" spans="2:32" x14ac:dyDescent="0.2">
      <c r="B58" s="245" t="s">
        <v>551</v>
      </c>
      <c r="C58" s="129">
        <f>SUM(C55:C57)</f>
        <v>207.78</v>
      </c>
      <c r="E58" s="448" t="s">
        <v>718</v>
      </c>
      <c r="F58" s="446"/>
      <c r="AF58" s="137"/>
    </row>
    <row r="59" spans="2:32" x14ac:dyDescent="0.2">
      <c r="B59" s="129" t="s">
        <v>720</v>
      </c>
      <c r="C59" s="129"/>
      <c r="E59" s="449" t="s">
        <v>0</v>
      </c>
      <c r="F59" s="446">
        <v>97</v>
      </c>
      <c r="AF59" s="137"/>
    </row>
    <row r="60" spans="2:32" x14ac:dyDescent="0.2">
      <c r="B60" s="245" t="s">
        <v>0</v>
      </c>
      <c r="C60" s="130">
        <f>+C50+C55</f>
        <v>260.82</v>
      </c>
      <c r="E60" s="449" t="s">
        <v>7</v>
      </c>
      <c r="F60" s="446">
        <v>79.900000000000006</v>
      </c>
      <c r="AF60" s="137"/>
    </row>
    <row r="61" spans="2:32" x14ac:dyDescent="0.2">
      <c r="B61" s="245" t="s">
        <v>7</v>
      </c>
      <c r="C61" s="130">
        <f>+C51+C56</f>
        <v>99.759999999999991</v>
      </c>
      <c r="E61" s="449" t="s">
        <v>663</v>
      </c>
      <c r="F61" s="446">
        <v>0</v>
      </c>
      <c r="AF61" s="137"/>
    </row>
    <row r="62" spans="2:32" x14ac:dyDescent="0.2">
      <c r="B62" s="245" t="s">
        <v>663</v>
      </c>
      <c r="C62" s="130">
        <f>+C52+C57</f>
        <v>30</v>
      </c>
      <c r="E62" s="450" t="s">
        <v>551</v>
      </c>
      <c r="F62" s="447">
        <v>176.9</v>
      </c>
      <c r="AF62" s="137"/>
    </row>
    <row r="63" spans="2:32" s="144" customFormat="1" x14ac:dyDescent="0.2">
      <c r="B63" s="139" t="s">
        <v>551</v>
      </c>
      <c r="C63" s="129">
        <f>SUM(C60:C62)</f>
        <v>390.58</v>
      </c>
      <c r="D63" s="158"/>
      <c r="E63" s="448" t="s">
        <v>854</v>
      </c>
      <c r="F63" s="447"/>
      <c r="G63" s="145"/>
      <c r="K63" s="152"/>
      <c r="L63" s="272"/>
      <c r="M63" s="272"/>
      <c r="N63" s="153"/>
      <c r="O63" s="152"/>
      <c r="P63" s="145"/>
      <c r="Q63" s="153"/>
      <c r="R63" s="153"/>
      <c r="S63" s="153"/>
      <c r="T63" s="281"/>
      <c r="V63" s="281"/>
      <c r="W63" s="153"/>
      <c r="X63" s="153"/>
      <c r="Y63" s="153"/>
      <c r="Z63" s="153"/>
      <c r="AA63" s="153"/>
      <c r="AB63" s="153"/>
      <c r="AC63" s="153"/>
      <c r="AD63" s="153"/>
      <c r="AE63" s="153"/>
      <c r="AF63" s="153"/>
    </row>
    <row r="64" spans="2:32" x14ac:dyDescent="0.2">
      <c r="E64" s="449" t="s">
        <v>0</v>
      </c>
      <c r="F64" s="446">
        <v>163.82</v>
      </c>
      <c r="AF64" s="137"/>
    </row>
    <row r="65" spans="2:32" x14ac:dyDescent="0.2">
      <c r="B65" s="263" t="s">
        <v>720</v>
      </c>
      <c r="C65" s="248" t="s">
        <v>566</v>
      </c>
      <c r="E65" s="449" t="s">
        <v>7</v>
      </c>
      <c r="F65" s="446">
        <v>18.46</v>
      </c>
      <c r="AF65" s="137"/>
    </row>
    <row r="66" spans="2:32" x14ac:dyDescent="0.2">
      <c r="B66" s="245" t="s">
        <v>252</v>
      </c>
      <c r="C66" s="130">
        <f t="shared" ref="C66:C71" si="1">SUMIF($J$4:$J$36,$B66,$K$4:$K$36)</f>
        <v>172.5</v>
      </c>
      <c r="D66" s="159" t="s">
        <v>858</v>
      </c>
      <c r="E66" s="449" t="s">
        <v>663</v>
      </c>
      <c r="F66" s="446">
        <v>30</v>
      </c>
      <c r="AF66" s="137"/>
    </row>
    <row r="67" spans="2:32" x14ac:dyDescent="0.2">
      <c r="B67" s="245" t="s">
        <v>756</v>
      </c>
      <c r="C67" s="130">
        <f t="shared" si="1"/>
        <v>100</v>
      </c>
      <c r="D67" s="159" t="s">
        <v>859</v>
      </c>
      <c r="E67" s="450" t="s">
        <v>551</v>
      </c>
      <c r="F67" s="447">
        <v>212.28</v>
      </c>
      <c r="AF67" s="137"/>
    </row>
    <row r="68" spans="2:32" x14ac:dyDescent="0.2">
      <c r="B68" s="245" t="s">
        <v>264</v>
      </c>
      <c r="C68" s="130">
        <f t="shared" si="1"/>
        <v>44.12</v>
      </c>
      <c r="D68" s="159" t="s">
        <v>858</v>
      </c>
      <c r="E68" s="448" t="s">
        <v>720</v>
      </c>
      <c r="F68" s="446"/>
      <c r="AF68" s="137"/>
    </row>
    <row r="69" spans="2:32" x14ac:dyDescent="0.2">
      <c r="B69" s="245" t="s">
        <v>265</v>
      </c>
      <c r="C69" s="130">
        <f t="shared" si="1"/>
        <v>19.96</v>
      </c>
      <c r="D69" s="159" t="s">
        <v>859</v>
      </c>
      <c r="E69" s="449" t="s">
        <v>0</v>
      </c>
      <c r="F69" s="446">
        <v>260.82</v>
      </c>
      <c r="AF69" s="137"/>
    </row>
    <row r="70" spans="2:32" x14ac:dyDescent="0.2">
      <c r="B70" s="245" t="s">
        <v>665</v>
      </c>
      <c r="C70" s="130">
        <f t="shared" si="1"/>
        <v>32</v>
      </c>
      <c r="E70" s="449" t="s">
        <v>7</v>
      </c>
      <c r="F70" s="446">
        <v>98.360000000000014</v>
      </c>
      <c r="AF70" s="137"/>
    </row>
    <row r="71" spans="2:32" x14ac:dyDescent="0.2">
      <c r="B71" s="245" t="s">
        <v>214</v>
      </c>
      <c r="C71" s="130">
        <f t="shared" si="1"/>
        <v>15</v>
      </c>
      <c r="D71" s="159" t="s">
        <v>858</v>
      </c>
      <c r="E71" s="449" t="s">
        <v>663</v>
      </c>
      <c r="F71" s="446">
        <v>30</v>
      </c>
      <c r="AF71" s="137"/>
    </row>
    <row r="72" spans="2:32" x14ac:dyDescent="0.2">
      <c r="B72" s="139" t="s">
        <v>551</v>
      </c>
      <c r="C72" s="129">
        <f>SUM(C66:C71)</f>
        <v>383.58</v>
      </c>
      <c r="E72" s="450" t="s">
        <v>551</v>
      </c>
      <c r="F72" s="447">
        <v>389.18</v>
      </c>
      <c r="AF72" s="137"/>
    </row>
    <row r="73" spans="2:32" x14ac:dyDescent="0.2">
      <c r="AF73" s="137"/>
    </row>
    <row r="74" spans="2:32" x14ac:dyDescent="0.2">
      <c r="B74" s="263" t="s">
        <v>604</v>
      </c>
      <c r="C74" s="248" t="s">
        <v>566</v>
      </c>
      <c r="E74" s="451" t="s">
        <v>604</v>
      </c>
      <c r="F74" s="452" t="s">
        <v>4</v>
      </c>
      <c r="AF74" s="137"/>
    </row>
    <row r="75" spans="2:32" x14ac:dyDescent="0.2">
      <c r="B75" s="129" t="s">
        <v>718</v>
      </c>
      <c r="C75" s="130"/>
      <c r="E75" s="448" t="s">
        <v>718</v>
      </c>
      <c r="F75" s="446"/>
      <c r="AF75" s="137"/>
    </row>
    <row r="76" spans="2:32" x14ac:dyDescent="0.2">
      <c r="B76" s="245" t="s">
        <v>757</v>
      </c>
      <c r="C76" s="130">
        <f>SUMIF($M$4:$M$16,$B76,$K$4:$K$16)</f>
        <v>114.1</v>
      </c>
      <c r="E76" s="449" t="s">
        <v>757</v>
      </c>
      <c r="F76" s="446">
        <v>112.7</v>
      </c>
      <c r="G76" s="453"/>
      <c r="AF76" s="137"/>
    </row>
    <row r="77" spans="2:32" x14ac:dyDescent="0.2">
      <c r="B77" s="245" t="s">
        <v>773</v>
      </c>
      <c r="C77" s="130">
        <f>SUMIF($M$4:$M$16,$B77,$K$4:$K$16)</f>
        <v>55</v>
      </c>
      <c r="E77" s="449" t="s">
        <v>773</v>
      </c>
      <c r="F77" s="446">
        <v>55</v>
      </c>
      <c r="G77" s="453"/>
      <c r="AF77" s="137"/>
    </row>
    <row r="78" spans="2:32" x14ac:dyDescent="0.2">
      <c r="B78" s="245" t="s">
        <v>774</v>
      </c>
      <c r="C78" s="130">
        <f>SUMIF($M$4:$M$16,$B78,$K$4:$K$16)</f>
        <v>9.5</v>
      </c>
      <c r="E78" s="449" t="s">
        <v>774</v>
      </c>
      <c r="F78" s="446">
        <v>5</v>
      </c>
      <c r="AF78" s="137"/>
    </row>
    <row r="79" spans="2:32" x14ac:dyDescent="0.2">
      <c r="B79" s="245" t="s">
        <v>283</v>
      </c>
      <c r="C79" s="130">
        <f>SUMIF($M$4:$M$16,$B79,$K$4:$K$16)</f>
        <v>4.2</v>
      </c>
      <c r="E79" s="449" t="s">
        <v>283</v>
      </c>
      <c r="F79" s="446">
        <v>4.2</v>
      </c>
      <c r="AF79" s="137"/>
    </row>
    <row r="80" spans="2:32" x14ac:dyDescent="0.2">
      <c r="B80" s="245" t="s">
        <v>551</v>
      </c>
      <c r="C80" s="129">
        <f>SUM(C76:C79)</f>
        <v>182.79999999999998</v>
      </c>
      <c r="E80" s="450" t="s">
        <v>551</v>
      </c>
      <c r="F80" s="447">
        <v>176.89999999999998</v>
      </c>
      <c r="AF80" s="137"/>
    </row>
    <row r="81" spans="2:32" x14ac:dyDescent="0.2">
      <c r="B81" s="129" t="s">
        <v>14</v>
      </c>
      <c r="C81" s="130"/>
      <c r="E81" s="448" t="s">
        <v>854</v>
      </c>
      <c r="F81" s="446"/>
      <c r="AF81" s="137"/>
    </row>
    <row r="82" spans="2:32" x14ac:dyDescent="0.2">
      <c r="B82" s="245" t="s">
        <v>757</v>
      </c>
      <c r="C82" s="130">
        <f>SUMIF($M$26:$M$37,$B82,$K$26:$K$37)</f>
        <v>88.960000000000008</v>
      </c>
      <c r="E82" s="449" t="s">
        <v>757</v>
      </c>
      <c r="F82" s="446">
        <v>82.960000000000008</v>
      </c>
      <c r="AF82" s="137"/>
    </row>
    <row r="83" spans="2:32" x14ac:dyDescent="0.2">
      <c r="B83" s="245" t="s">
        <v>773</v>
      </c>
      <c r="C83" s="130">
        <f>SUMIF($M$26:$M$37,$B83,$K$26:$K$37)</f>
        <v>75</v>
      </c>
      <c r="E83" s="449" t="s">
        <v>773</v>
      </c>
      <c r="F83" s="446">
        <v>81</v>
      </c>
      <c r="AF83" s="137"/>
    </row>
    <row r="84" spans="2:32" x14ac:dyDescent="0.2">
      <c r="B84" s="245" t="s">
        <v>774</v>
      </c>
      <c r="C84" s="130">
        <f>SUMIF($M$26:$M$37,$B84,$K$26:$K$37)</f>
        <v>2</v>
      </c>
      <c r="E84" s="449" t="s">
        <v>774</v>
      </c>
      <c r="F84" s="446">
        <v>6.5</v>
      </c>
      <c r="AF84" s="137"/>
    </row>
    <row r="85" spans="2:32" x14ac:dyDescent="0.2">
      <c r="B85" s="245" t="s">
        <v>283</v>
      </c>
      <c r="C85" s="130">
        <f>SUMIF($M$26:$M$37,$B85,$K$26:$K$37)</f>
        <v>41.82</v>
      </c>
      <c r="E85" s="449" t="s">
        <v>283</v>
      </c>
      <c r="F85" s="446">
        <v>41.82</v>
      </c>
      <c r="AF85" s="137"/>
    </row>
    <row r="86" spans="2:32" x14ac:dyDescent="0.2">
      <c r="B86" s="245" t="s">
        <v>551</v>
      </c>
      <c r="C86" s="129">
        <f>SUM(C82:C85)</f>
        <v>207.78</v>
      </c>
      <c r="E86" s="450" t="s">
        <v>551</v>
      </c>
      <c r="F86" s="447">
        <v>212.28</v>
      </c>
      <c r="AF86" s="137"/>
    </row>
    <row r="87" spans="2:32" x14ac:dyDescent="0.2">
      <c r="B87" s="129" t="s">
        <v>720</v>
      </c>
      <c r="C87" s="129"/>
      <c r="E87" s="448" t="s">
        <v>720</v>
      </c>
      <c r="F87" s="446"/>
      <c r="AF87" s="137"/>
    </row>
    <row r="88" spans="2:32" x14ac:dyDescent="0.2">
      <c r="B88" s="245" t="s">
        <v>757</v>
      </c>
      <c r="C88" s="130">
        <f>+C76+C82</f>
        <v>203.06</v>
      </c>
      <c r="E88" s="449" t="s">
        <v>757</v>
      </c>
      <c r="F88" s="446">
        <v>195.66000000000003</v>
      </c>
      <c r="AF88" s="137"/>
    </row>
    <row r="89" spans="2:32" x14ac:dyDescent="0.2">
      <c r="B89" s="245" t="s">
        <v>773</v>
      </c>
      <c r="C89" s="130">
        <f>+C77+C83</f>
        <v>130</v>
      </c>
      <c r="E89" s="449" t="s">
        <v>773</v>
      </c>
      <c r="F89" s="446">
        <v>136</v>
      </c>
      <c r="AF89" s="137"/>
    </row>
    <row r="90" spans="2:32" x14ac:dyDescent="0.2">
      <c r="B90" s="245" t="s">
        <v>774</v>
      </c>
      <c r="C90" s="130">
        <f>+C78+C84</f>
        <v>11.5</v>
      </c>
      <c r="E90" s="449" t="s">
        <v>774</v>
      </c>
      <c r="F90" s="446">
        <v>11.5</v>
      </c>
      <c r="AF90" s="137"/>
    </row>
    <row r="91" spans="2:32" x14ac:dyDescent="0.2">
      <c r="B91" s="245" t="s">
        <v>283</v>
      </c>
      <c r="C91" s="130">
        <f>+C79+C85</f>
        <v>46.02</v>
      </c>
      <c r="E91" s="449" t="s">
        <v>283</v>
      </c>
      <c r="F91" s="446">
        <v>46.02</v>
      </c>
      <c r="AF91" s="137"/>
    </row>
    <row r="92" spans="2:32" s="144" customFormat="1" x14ac:dyDescent="0.2">
      <c r="B92" s="438" t="s">
        <v>551</v>
      </c>
      <c r="C92" s="129">
        <f>SUM(C88:C91)</f>
        <v>390.58</v>
      </c>
      <c r="D92" s="158"/>
      <c r="E92" s="450" t="s">
        <v>551</v>
      </c>
      <c r="F92" s="447">
        <v>389.18</v>
      </c>
      <c r="G92" s="145"/>
      <c r="K92" s="152"/>
      <c r="L92" s="272"/>
      <c r="M92" s="272"/>
      <c r="N92" s="153"/>
      <c r="O92" s="152"/>
      <c r="P92" s="145"/>
      <c r="Q92" s="153"/>
      <c r="R92" s="153"/>
      <c r="S92" s="153"/>
      <c r="T92" s="281"/>
      <c r="V92" s="281"/>
      <c r="W92" s="153"/>
      <c r="X92" s="153"/>
      <c r="Y92" s="153"/>
      <c r="Z92" s="153"/>
      <c r="AA92" s="153"/>
      <c r="AB92" s="153"/>
      <c r="AC92" s="153"/>
      <c r="AD92" s="153"/>
      <c r="AE92" s="153"/>
      <c r="AF92" s="153"/>
    </row>
    <row r="93" spans="2:32" x14ac:dyDescent="0.2">
      <c r="AF93" s="137"/>
    </row>
    <row r="94" spans="2:32" x14ac:dyDescent="0.2">
      <c r="B94" s="246"/>
      <c r="C94" s="248" t="s">
        <v>566</v>
      </c>
      <c r="AF94" s="137"/>
    </row>
    <row r="95" spans="2:32" x14ac:dyDescent="0.2">
      <c r="B95" s="129" t="s">
        <v>771</v>
      </c>
      <c r="C95" s="130"/>
      <c r="AF95" s="137"/>
    </row>
    <row r="96" spans="2:32" x14ac:dyDescent="0.2">
      <c r="B96" s="245" t="s">
        <v>767</v>
      </c>
      <c r="C96" s="130"/>
      <c r="AF96" s="137"/>
    </row>
    <row r="97" spans="2:32" x14ac:dyDescent="0.2">
      <c r="B97" s="245" t="s">
        <v>745</v>
      </c>
      <c r="C97" s="130"/>
      <c r="AF97" s="137"/>
    </row>
    <row r="98" spans="2:32" x14ac:dyDescent="0.2">
      <c r="B98" s="245" t="s">
        <v>551</v>
      </c>
      <c r="C98" s="130">
        <f>SUM(C95:C97)</f>
        <v>0</v>
      </c>
      <c r="AF98" s="137"/>
    </row>
    <row r="99" spans="2:32" x14ac:dyDescent="0.2">
      <c r="B99" s="129" t="s">
        <v>14</v>
      </c>
      <c r="C99" s="130"/>
      <c r="AF99" s="137"/>
    </row>
    <row r="100" spans="2:32" x14ac:dyDescent="0.2">
      <c r="B100" s="245" t="s">
        <v>767</v>
      </c>
      <c r="C100" s="130"/>
      <c r="AF100" s="137"/>
    </row>
    <row r="101" spans="2:32" x14ac:dyDescent="0.2">
      <c r="B101" s="245" t="s">
        <v>745</v>
      </c>
      <c r="C101" s="130"/>
      <c r="AF101" s="137"/>
    </row>
    <row r="102" spans="2:32" x14ac:dyDescent="0.2">
      <c r="B102" s="245" t="s">
        <v>551</v>
      </c>
      <c r="C102" s="130">
        <f>SUM(C100:C101)</f>
        <v>0</v>
      </c>
      <c r="AF102" s="137"/>
    </row>
    <row r="103" spans="2:32" x14ac:dyDescent="0.2">
      <c r="B103" s="129" t="s">
        <v>720</v>
      </c>
      <c r="C103" s="129"/>
      <c r="AF103" s="137"/>
    </row>
    <row r="104" spans="2:32" x14ac:dyDescent="0.2">
      <c r="B104" s="245" t="s">
        <v>767</v>
      </c>
      <c r="C104" s="130">
        <f>+C96+C100</f>
        <v>0</v>
      </c>
      <c r="AF104" s="137"/>
    </row>
    <row r="105" spans="2:32" x14ac:dyDescent="0.2">
      <c r="B105" s="245" t="s">
        <v>745</v>
      </c>
      <c r="C105" s="130">
        <f>+C97+C101</f>
        <v>0</v>
      </c>
      <c r="AF105" s="137"/>
    </row>
    <row r="106" spans="2:32" x14ac:dyDescent="0.2">
      <c r="B106" s="139" t="s">
        <v>551</v>
      </c>
      <c r="C106" s="129"/>
      <c r="AF106" s="137"/>
    </row>
    <row r="107" spans="2:32" s="140" customFormat="1" x14ac:dyDescent="0.2">
      <c r="B107" s="261"/>
      <c r="C107" s="262"/>
      <c r="D107" s="157"/>
      <c r="G107" s="249"/>
      <c r="K107" s="150"/>
      <c r="L107" s="270"/>
      <c r="M107" s="270"/>
      <c r="N107" s="141"/>
      <c r="O107" s="150"/>
      <c r="P107" s="249"/>
      <c r="Q107" s="141"/>
      <c r="R107" s="141"/>
      <c r="S107" s="141"/>
      <c r="T107" s="279"/>
      <c r="V107" s="279"/>
      <c r="W107" s="141"/>
      <c r="X107" s="141"/>
      <c r="Y107" s="141"/>
      <c r="Z107" s="141"/>
      <c r="AA107" s="141"/>
      <c r="AB107" s="141"/>
      <c r="AC107" s="141"/>
      <c r="AD107" s="141"/>
      <c r="AE107" s="141"/>
      <c r="AF107" s="141"/>
    </row>
    <row r="108" spans="2:32" x14ac:dyDescent="0.2">
      <c r="B108" s="144" t="s">
        <v>317</v>
      </c>
      <c r="C108" s="145" t="s">
        <v>328</v>
      </c>
      <c r="D108" s="158"/>
      <c r="E108" s="145"/>
      <c r="F108" s="145"/>
      <c r="G108" s="145"/>
      <c r="J108" s="144" t="s">
        <v>329</v>
      </c>
    </row>
    <row r="109" spans="2:32" x14ac:dyDescent="0.2">
      <c r="B109" s="128" t="s">
        <v>319</v>
      </c>
      <c r="C109" s="146">
        <v>1864707450</v>
      </c>
      <c r="E109" s="146"/>
      <c r="F109" s="146"/>
      <c r="H109" s="124">
        <f>C109/C111</f>
        <v>0.88795526598766583</v>
      </c>
      <c r="J109" s="128" t="s">
        <v>330</v>
      </c>
      <c r="K109" s="151" t="s">
        <v>333</v>
      </c>
    </row>
    <row r="110" spans="2:32" x14ac:dyDescent="0.2">
      <c r="B110" s="128" t="s">
        <v>318</v>
      </c>
      <c r="C110" s="128">
        <v>235294117</v>
      </c>
      <c r="H110" s="124">
        <f>C110/C111</f>
        <v>0.1120447340123342</v>
      </c>
      <c r="J110" s="128" t="s">
        <v>331</v>
      </c>
      <c r="K110" s="151" t="s">
        <v>334</v>
      </c>
      <c r="AC110" s="137" t="s">
        <v>3</v>
      </c>
      <c r="AD110" s="137">
        <v>9500</v>
      </c>
      <c r="AE110" s="137" t="s">
        <v>715</v>
      </c>
    </row>
    <row r="111" spans="2:32" x14ac:dyDescent="0.2">
      <c r="B111" s="144" t="s">
        <v>320</v>
      </c>
      <c r="C111" s="144">
        <f>SUM(C109:C110)</f>
        <v>2100001567</v>
      </c>
      <c r="D111" s="158"/>
      <c r="E111" s="144"/>
      <c r="F111" s="144"/>
      <c r="G111" s="145"/>
      <c r="H111" s="125">
        <f>C111/C111</f>
        <v>1</v>
      </c>
      <c r="J111" s="128" t="s">
        <v>332</v>
      </c>
      <c r="K111" s="151" t="s">
        <v>335</v>
      </c>
      <c r="O111" s="151" t="s">
        <v>515</v>
      </c>
      <c r="AC111" s="137" t="s">
        <v>714</v>
      </c>
      <c r="AD111" s="137">
        <f>18400-AD110</f>
        <v>8900</v>
      </c>
      <c r="AE111" s="137" t="s">
        <v>716</v>
      </c>
    </row>
    <row r="112" spans="2:32" x14ac:dyDescent="0.2">
      <c r="B112" s="128" t="s">
        <v>321</v>
      </c>
      <c r="C112" s="124">
        <f>1-C109/C111</f>
        <v>0.11204473401233417</v>
      </c>
      <c r="E112" s="124"/>
      <c r="F112" s="124"/>
      <c r="G112" s="250"/>
      <c r="O112" s="151" t="s">
        <v>516</v>
      </c>
      <c r="P112" s="146" t="s">
        <v>518</v>
      </c>
    </row>
    <row r="113" spans="1:31" x14ac:dyDescent="0.2">
      <c r="O113" s="151" t="s">
        <v>517</v>
      </c>
    </row>
    <row r="114" spans="1:31" x14ac:dyDescent="0.2">
      <c r="B114" s="144" t="s">
        <v>322</v>
      </c>
      <c r="C114" s="145" t="s">
        <v>328</v>
      </c>
      <c r="D114" s="158"/>
      <c r="E114" s="145"/>
      <c r="F114" s="145"/>
      <c r="G114" s="145"/>
    </row>
    <row r="115" spans="1:31" x14ac:dyDescent="0.2">
      <c r="B115" s="128" t="s">
        <v>325</v>
      </c>
      <c r="C115" s="128">
        <v>105882352</v>
      </c>
      <c r="H115" s="124">
        <f t="shared" ref="H115:H120" si="2">C115/$C$120</f>
        <v>0.4499999972375</v>
      </c>
    </row>
    <row r="116" spans="1:31" ht="15" x14ac:dyDescent="0.25">
      <c r="B116" s="128" t="s">
        <v>326</v>
      </c>
      <c r="C116" s="128">
        <v>3529412</v>
      </c>
      <c r="H116" s="124">
        <f t="shared" si="2"/>
        <v>1.5000001041250002E-2</v>
      </c>
      <c r="K116" s="192" t="s">
        <v>494</v>
      </c>
    </row>
    <row r="117" spans="1:31" x14ac:dyDescent="0.2">
      <c r="B117" s="128" t="s">
        <v>327</v>
      </c>
      <c r="C117" s="128">
        <v>67058825</v>
      </c>
      <c r="H117" s="124">
        <f t="shared" si="2"/>
        <v>0.28500000703375</v>
      </c>
      <c r="K117" s="151" t="s">
        <v>495</v>
      </c>
    </row>
    <row r="118" spans="1:31" x14ac:dyDescent="0.2">
      <c r="B118" s="128" t="s">
        <v>323</v>
      </c>
      <c r="C118" s="128">
        <v>35294117</v>
      </c>
      <c r="H118" s="124">
        <f t="shared" si="2"/>
        <v>0.1499999976625</v>
      </c>
    </row>
    <row r="119" spans="1:31" x14ac:dyDescent="0.2">
      <c r="B119" s="128" t="s">
        <v>324</v>
      </c>
      <c r="C119" s="128">
        <v>23529411</v>
      </c>
      <c r="H119" s="124">
        <f t="shared" si="2"/>
        <v>9.9999997024999995E-2</v>
      </c>
    </row>
    <row r="120" spans="1:31" x14ac:dyDescent="0.2">
      <c r="C120" s="144">
        <f>SUM(C115:C119)</f>
        <v>235294117</v>
      </c>
      <c r="D120" s="158"/>
      <c r="E120" s="144"/>
      <c r="F120" s="144"/>
      <c r="G120" s="145"/>
      <c r="H120" s="125">
        <f t="shared" si="2"/>
        <v>1</v>
      </c>
    </row>
    <row r="122" spans="1:31" x14ac:dyDescent="0.2">
      <c r="C122" s="145" t="s">
        <v>340</v>
      </c>
      <c r="D122" s="158"/>
    </row>
    <row r="123" spans="1:31" x14ac:dyDescent="0.2">
      <c r="B123" s="128" t="s">
        <v>337</v>
      </c>
      <c r="C123" s="128">
        <v>28000</v>
      </c>
    </row>
    <row r="124" spans="1:31" x14ac:dyDescent="0.2">
      <c r="B124" s="128" t="s">
        <v>338</v>
      </c>
      <c r="C124" s="128">
        <v>738.67</v>
      </c>
    </row>
    <row r="125" spans="1:31" s="144" customFormat="1" x14ac:dyDescent="0.2">
      <c r="B125" s="144" t="s">
        <v>339</v>
      </c>
      <c r="C125" s="144">
        <f>SUM(C123:C124)</f>
        <v>28738.67</v>
      </c>
      <c r="D125" s="158"/>
      <c r="G125" s="145"/>
      <c r="K125" s="152"/>
      <c r="L125" s="272"/>
      <c r="M125" s="272"/>
      <c r="N125" s="153"/>
      <c r="O125" s="152"/>
      <c r="P125" s="145"/>
      <c r="Q125" s="153"/>
      <c r="R125" s="153"/>
      <c r="S125" s="153"/>
      <c r="T125" s="281"/>
      <c r="V125" s="281"/>
      <c r="W125" s="153"/>
      <c r="X125" s="153"/>
      <c r="Y125" s="153"/>
      <c r="Z125" s="153"/>
      <c r="AA125" s="153"/>
      <c r="AB125" s="153"/>
      <c r="AC125" s="153"/>
      <c r="AD125" s="153"/>
      <c r="AE125" s="153"/>
    </row>
    <row r="126" spans="1:31" x14ac:dyDescent="0.2">
      <c r="E126" s="145" t="s">
        <v>273</v>
      </c>
      <c r="F126" s="145"/>
      <c r="G126" s="145"/>
      <c r="H126" s="145" t="s">
        <v>347</v>
      </c>
      <c r="I126" s="145" t="s">
        <v>348</v>
      </c>
    </row>
    <row r="127" spans="1:31" x14ac:dyDescent="0.2">
      <c r="A127" s="138" t="s">
        <v>349</v>
      </c>
      <c r="B127" s="128" t="s">
        <v>351</v>
      </c>
      <c r="C127" s="128">
        <v>8800</v>
      </c>
      <c r="E127" s="128">
        <f>C127</f>
        <v>8800</v>
      </c>
    </row>
    <row r="128" spans="1:31" x14ac:dyDescent="0.2">
      <c r="B128" s="128" t="s">
        <v>344</v>
      </c>
    </row>
    <row r="129" spans="2:31" x14ac:dyDescent="0.2">
      <c r="B129" s="154" t="s">
        <v>341</v>
      </c>
      <c r="C129" s="128">
        <v>8657.51</v>
      </c>
      <c r="E129" s="128">
        <v>1720</v>
      </c>
      <c r="H129" s="128">
        <v>4350.21</v>
      </c>
      <c r="I129" s="128">
        <v>2587.3000000000002</v>
      </c>
    </row>
    <row r="130" spans="2:31" x14ac:dyDescent="0.2">
      <c r="B130" s="154" t="s">
        <v>342</v>
      </c>
      <c r="C130" s="128">
        <v>594</v>
      </c>
      <c r="E130" s="128">
        <v>122.14</v>
      </c>
      <c r="H130" s="128">
        <v>305.35000000000002</v>
      </c>
      <c r="I130" s="128">
        <v>166.51</v>
      </c>
    </row>
    <row r="131" spans="2:31" x14ac:dyDescent="0.2">
      <c r="B131" s="154" t="s">
        <v>343</v>
      </c>
      <c r="C131" s="128">
        <v>1038.8399999999999</v>
      </c>
      <c r="E131" s="128">
        <v>155.83000000000001</v>
      </c>
      <c r="H131" s="128">
        <v>883.01</v>
      </c>
    </row>
    <row r="132" spans="2:31" x14ac:dyDescent="0.2">
      <c r="B132" s="128" t="s">
        <v>345</v>
      </c>
      <c r="C132" s="128">
        <v>1510.49</v>
      </c>
      <c r="E132" s="128">
        <v>615.12</v>
      </c>
      <c r="H132" s="128">
        <v>895.37</v>
      </c>
    </row>
    <row r="133" spans="2:31" x14ac:dyDescent="0.2">
      <c r="B133" s="128" t="s">
        <v>346</v>
      </c>
      <c r="C133" s="128">
        <v>6660.49</v>
      </c>
      <c r="E133" s="128">
        <v>1665.12</v>
      </c>
      <c r="H133" s="128">
        <v>3330.25</v>
      </c>
      <c r="I133" s="128">
        <v>1665.12</v>
      </c>
    </row>
    <row r="134" spans="2:31" x14ac:dyDescent="0.2">
      <c r="B134" s="144" t="s">
        <v>339</v>
      </c>
      <c r="C134" s="144">
        <f>SUM(C127:C133)</f>
        <v>27261.33</v>
      </c>
      <c r="D134" s="158"/>
      <c r="E134" s="144">
        <f>SUM(E127:E133)</f>
        <v>13078.21</v>
      </c>
      <c r="F134" s="144"/>
      <c r="G134" s="145"/>
      <c r="H134" s="144">
        <f>SUM(H127:H133)</f>
        <v>9764.19</v>
      </c>
      <c r="I134" s="144">
        <f>SUM(I127:I133)</f>
        <v>4418.93</v>
      </c>
      <c r="AA134" s="194"/>
      <c r="AB134" s="194"/>
      <c r="AC134" s="194"/>
      <c r="AD134" s="194"/>
    </row>
    <row r="136" spans="2:31" x14ac:dyDescent="0.2">
      <c r="B136" s="144" t="s">
        <v>350</v>
      </c>
    </row>
    <row r="137" spans="2:31" x14ac:dyDescent="0.2">
      <c r="B137" s="154" t="s">
        <v>361</v>
      </c>
      <c r="C137" s="128">
        <v>2424.6</v>
      </c>
    </row>
    <row r="138" spans="2:31" x14ac:dyDescent="0.2">
      <c r="B138" s="154" t="s">
        <v>362</v>
      </c>
      <c r="C138" s="128">
        <v>4928.84</v>
      </c>
    </row>
    <row r="139" spans="2:31" x14ac:dyDescent="0.2">
      <c r="B139" s="154" t="s">
        <v>363</v>
      </c>
      <c r="C139" s="128">
        <v>518.20000000000005</v>
      </c>
    </row>
    <row r="140" spans="2:31" x14ac:dyDescent="0.2">
      <c r="B140" s="154" t="s">
        <v>364</v>
      </c>
      <c r="C140" s="128">
        <v>41.73</v>
      </c>
    </row>
    <row r="141" spans="2:31" x14ac:dyDescent="0.2">
      <c r="B141" s="154" t="s">
        <v>365</v>
      </c>
      <c r="C141" s="128">
        <v>766.23</v>
      </c>
    </row>
    <row r="142" spans="2:31" s="144" customFormat="1" x14ac:dyDescent="0.2">
      <c r="B142" s="144" t="s">
        <v>344</v>
      </c>
      <c r="C142" s="144">
        <f>SUM(C137:C141)</f>
        <v>8679.6</v>
      </c>
      <c r="D142" s="158"/>
      <c r="G142" s="145"/>
      <c r="K142" s="152"/>
      <c r="L142" s="272"/>
      <c r="M142" s="272"/>
      <c r="N142" s="153"/>
      <c r="O142" s="152"/>
      <c r="P142" s="145"/>
      <c r="Q142" s="153"/>
      <c r="R142" s="153"/>
      <c r="S142" s="153"/>
      <c r="T142" s="281"/>
      <c r="V142" s="281"/>
      <c r="W142" s="153"/>
      <c r="X142" s="153"/>
      <c r="Y142" s="153"/>
      <c r="Z142" s="153"/>
      <c r="AA142" s="153"/>
      <c r="AB142" s="153"/>
      <c r="AC142" s="153"/>
      <c r="AD142" s="153"/>
      <c r="AE142" s="153"/>
    </row>
    <row r="143" spans="2:31" s="144" customFormat="1" x14ac:dyDescent="0.2">
      <c r="B143" s="154" t="s">
        <v>361</v>
      </c>
      <c r="C143" s="128">
        <v>703.32</v>
      </c>
      <c r="D143" s="158"/>
      <c r="G143" s="145"/>
      <c r="K143" s="152"/>
      <c r="L143" s="272"/>
      <c r="M143" s="272"/>
      <c r="N143" s="153"/>
      <c r="O143" s="152"/>
      <c r="P143" s="145"/>
      <c r="Q143" s="153"/>
      <c r="R143" s="153"/>
      <c r="S143" s="153"/>
      <c r="T143" s="281"/>
      <c r="V143" s="281"/>
      <c r="W143" s="153"/>
      <c r="X143" s="153"/>
      <c r="Y143" s="153"/>
      <c r="Z143" s="153"/>
      <c r="AA143" s="153"/>
      <c r="AB143" s="153"/>
      <c r="AC143" s="153"/>
      <c r="AD143" s="153"/>
      <c r="AE143" s="153"/>
    </row>
    <row r="144" spans="2:31" s="144" customFormat="1" x14ac:dyDescent="0.2">
      <c r="B144" s="154" t="s">
        <v>371</v>
      </c>
      <c r="C144" s="128">
        <v>687.06</v>
      </c>
      <c r="D144" s="158"/>
      <c r="G144" s="145"/>
      <c r="K144" s="152"/>
      <c r="L144" s="272"/>
      <c r="M144" s="272"/>
      <c r="N144" s="153"/>
      <c r="O144" s="152"/>
      <c r="P144" s="145"/>
      <c r="Q144" s="153"/>
      <c r="R144" s="153"/>
      <c r="S144" s="153"/>
      <c r="T144" s="281"/>
      <c r="V144" s="281"/>
      <c r="W144" s="153"/>
      <c r="X144" s="153"/>
      <c r="Y144" s="153"/>
      <c r="Z144" s="153"/>
      <c r="AA144" s="153"/>
      <c r="AB144" s="153"/>
      <c r="AC144" s="153"/>
      <c r="AD144" s="153"/>
      <c r="AE144" s="153"/>
    </row>
    <row r="145" spans="2:31" s="144" customFormat="1" x14ac:dyDescent="0.2">
      <c r="B145" s="154" t="s">
        <v>372</v>
      </c>
      <c r="C145" s="128">
        <v>66.42</v>
      </c>
      <c r="D145" s="158"/>
      <c r="G145" s="145"/>
      <c r="K145" s="152"/>
      <c r="L145" s="272"/>
      <c r="M145" s="272"/>
      <c r="N145" s="153"/>
      <c r="O145" s="152"/>
      <c r="P145" s="145"/>
      <c r="Q145" s="153"/>
      <c r="R145" s="153"/>
      <c r="S145" s="153"/>
      <c r="T145" s="281"/>
      <c r="V145" s="281"/>
      <c r="W145" s="153"/>
      <c r="X145" s="153"/>
      <c r="Y145" s="153"/>
      <c r="Z145" s="153"/>
      <c r="AA145" s="153"/>
      <c r="AB145" s="153"/>
      <c r="AC145" s="153"/>
      <c r="AD145" s="153"/>
      <c r="AE145" s="153"/>
    </row>
    <row r="146" spans="2:31" s="144" customFormat="1" x14ac:dyDescent="0.2">
      <c r="B146" s="154" t="s">
        <v>373</v>
      </c>
      <c r="C146" s="128">
        <v>35.909999999999997</v>
      </c>
      <c r="D146" s="158"/>
      <c r="G146" s="145"/>
      <c r="K146" s="152"/>
      <c r="L146" s="272"/>
      <c r="M146" s="272"/>
      <c r="N146" s="153"/>
      <c r="O146" s="152"/>
      <c r="P146" s="145"/>
      <c r="Q146" s="153"/>
      <c r="R146" s="153"/>
      <c r="S146" s="153"/>
      <c r="T146" s="281"/>
      <c r="V146" s="281"/>
      <c r="W146" s="153"/>
      <c r="X146" s="153"/>
      <c r="Y146" s="153"/>
      <c r="Z146" s="153"/>
      <c r="AA146" s="153"/>
      <c r="AB146" s="153"/>
      <c r="AC146" s="153"/>
      <c r="AD146" s="153"/>
      <c r="AE146" s="153"/>
    </row>
    <row r="147" spans="2:31" s="144" customFormat="1" x14ac:dyDescent="0.2">
      <c r="B147" s="154" t="s">
        <v>365</v>
      </c>
      <c r="C147" s="128">
        <v>72.72</v>
      </c>
      <c r="D147" s="158"/>
      <c r="G147" s="145"/>
      <c r="K147" s="152"/>
      <c r="L147" s="272"/>
      <c r="M147" s="272"/>
      <c r="N147" s="153"/>
      <c r="O147" s="152"/>
      <c r="P147" s="145"/>
      <c r="Q147" s="153"/>
      <c r="R147" s="153"/>
      <c r="S147" s="153"/>
      <c r="T147" s="281"/>
      <c r="V147" s="281"/>
      <c r="W147" s="153"/>
      <c r="X147" s="153"/>
      <c r="Y147" s="153"/>
      <c r="Z147" s="153"/>
      <c r="AA147" s="153"/>
      <c r="AB147" s="153"/>
      <c r="AC147" s="153"/>
      <c r="AD147" s="153"/>
      <c r="AE147" s="153"/>
    </row>
    <row r="148" spans="2:31" s="144" customFormat="1" x14ac:dyDescent="0.2">
      <c r="B148" s="144" t="s">
        <v>345</v>
      </c>
      <c r="C148" s="144">
        <f>SUM(C143:C147)</f>
        <v>1565.4300000000003</v>
      </c>
      <c r="D148" s="158"/>
      <c r="G148" s="145"/>
      <c r="K148" s="152"/>
      <c r="L148" s="272"/>
      <c r="M148" s="272"/>
      <c r="N148" s="153"/>
      <c r="O148" s="152"/>
      <c r="P148" s="145"/>
      <c r="Q148" s="153"/>
      <c r="R148" s="153"/>
      <c r="S148" s="153"/>
      <c r="T148" s="281"/>
      <c r="V148" s="281"/>
      <c r="W148" s="153"/>
      <c r="X148" s="153"/>
      <c r="Y148" s="153"/>
      <c r="Z148" s="153"/>
      <c r="AA148" s="153"/>
      <c r="AB148" s="153"/>
      <c r="AC148" s="153"/>
      <c r="AD148" s="153"/>
      <c r="AE148" s="153"/>
    </row>
    <row r="151" spans="2:31" x14ac:dyDescent="0.2">
      <c r="B151" s="144" t="s">
        <v>397</v>
      </c>
    </row>
    <row r="152" spans="2:31" x14ac:dyDescent="0.2">
      <c r="B152" s="170">
        <v>2002</v>
      </c>
      <c r="C152" s="169" t="s">
        <v>413</v>
      </c>
      <c r="D152" s="168"/>
      <c r="E152" s="167"/>
      <c r="F152" s="167"/>
      <c r="G152" s="251"/>
      <c r="H152" s="171"/>
    </row>
    <row r="153" spans="2:31" x14ac:dyDescent="0.2">
      <c r="B153" s="170">
        <v>2004</v>
      </c>
      <c r="C153" s="169" t="s">
        <v>414</v>
      </c>
      <c r="D153" s="168"/>
      <c r="E153" s="167"/>
      <c r="F153" s="167"/>
      <c r="G153" s="251"/>
      <c r="H153" s="171"/>
    </row>
    <row r="154" spans="2:31" x14ac:dyDescent="0.2">
      <c r="B154" s="170">
        <v>2008</v>
      </c>
      <c r="C154" s="169" t="s">
        <v>404</v>
      </c>
      <c r="D154" s="168"/>
      <c r="E154" s="167"/>
      <c r="F154" s="167"/>
      <c r="G154" s="251"/>
      <c r="H154" s="171"/>
    </row>
    <row r="155" spans="2:31" x14ac:dyDescent="0.2">
      <c r="B155" s="170">
        <v>2010</v>
      </c>
      <c r="C155" s="169" t="s">
        <v>399</v>
      </c>
      <c r="D155" s="168"/>
      <c r="E155" s="167"/>
      <c r="F155" s="167"/>
      <c r="G155" s="251"/>
      <c r="H155" s="171"/>
    </row>
    <row r="156" spans="2:31" x14ac:dyDescent="0.2">
      <c r="B156" s="170">
        <v>2012</v>
      </c>
      <c r="C156" s="169" t="s">
        <v>398</v>
      </c>
      <c r="D156" s="168"/>
      <c r="E156" s="167"/>
      <c r="F156" s="167"/>
      <c r="G156" s="251"/>
      <c r="H156" s="171"/>
    </row>
    <row r="157" spans="2:31" x14ac:dyDescent="0.2">
      <c r="B157" s="170">
        <v>2015</v>
      </c>
      <c r="C157" s="169" t="s">
        <v>400</v>
      </c>
      <c r="D157" s="168"/>
      <c r="E157" s="167"/>
      <c r="F157" s="167"/>
      <c r="G157" s="251"/>
      <c r="H157" s="171"/>
    </row>
    <row r="158" spans="2:31" x14ac:dyDescent="0.2">
      <c r="B158" s="1302">
        <v>2016</v>
      </c>
      <c r="C158" s="169" t="s">
        <v>401</v>
      </c>
      <c r="D158" s="168"/>
      <c r="E158" s="167"/>
      <c r="F158" s="167"/>
      <c r="G158" s="251"/>
      <c r="H158" s="171"/>
    </row>
    <row r="159" spans="2:31" x14ac:dyDescent="0.2">
      <c r="B159" s="1303"/>
      <c r="C159" s="169" t="s">
        <v>405</v>
      </c>
      <c r="D159" s="168"/>
      <c r="E159" s="167"/>
      <c r="F159" s="167"/>
      <c r="G159" s="251"/>
      <c r="H159" s="171"/>
    </row>
    <row r="160" spans="2:31" x14ac:dyDescent="0.2">
      <c r="B160" s="170">
        <v>2019</v>
      </c>
      <c r="C160" s="169" t="s">
        <v>402</v>
      </c>
      <c r="D160" s="168"/>
      <c r="E160" s="167"/>
      <c r="F160" s="167"/>
      <c r="G160" s="251"/>
      <c r="H160" s="171"/>
    </row>
    <row r="161" spans="2:8" x14ac:dyDescent="0.2">
      <c r="B161" s="1302">
        <v>2020</v>
      </c>
      <c r="C161" s="169" t="s">
        <v>403</v>
      </c>
      <c r="D161" s="168"/>
      <c r="E161" s="167"/>
      <c r="F161" s="167"/>
      <c r="G161" s="251"/>
      <c r="H161" s="171"/>
    </row>
    <row r="162" spans="2:8" x14ac:dyDescent="0.2">
      <c r="B162" s="1303"/>
      <c r="C162" s="169" t="s">
        <v>406</v>
      </c>
      <c r="D162" s="168"/>
      <c r="E162" s="167"/>
      <c r="F162" s="167"/>
      <c r="G162" s="251"/>
      <c r="H162" s="171"/>
    </row>
    <row r="163" spans="2:8" x14ac:dyDescent="0.2">
      <c r="B163" s="1303"/>
      <c r="C163" s="169" t="s">
        <v>407</v>
      </c>
      <c r="D163" s="168"/>
      <c r="E163" s="167"/>
      <c r="F163" s="167"/>
      <c r="G163" s="251"/>
      <c r="H163" s="171"/>
    </row>
    <row r="164" spans="2:8" x14ac:dyDescent="0.2">
      <c r="B164" s="170">
        <v>2021</v>
      </c>
      <c r="C164" s="169" t="s">
        <v>408</v>
      </c>
      <c r="D164" s="168"/>
      <c r="E164" s="167"/>
      <c r="F164" s="167"/>
      <c r="G164" s="251"/>
      <c r="H164" s="171"/>
    </row>
    <row r="165" spans="2:8" x14ac:dyDescent="0.2">
      <c r="B165" s="1302">
        <v>2022</v>
      </c>
      <c r="C165" s="169" t="s">
        <v>409</v>
      </c>
      <c r="D165" s="168"/>
      <c r="E165" s="167"/>
      <c r="F165" s="167"/>
      <c r="G165" s="251"/>
      <c r="H165" s="171"/>
    </row>
    <row r="166" spans="2:8" x14ac:dyDescent="0.2">
      <c r="B166" s="1302"/>
      <c r="C166" s="169" t="s">
        <v>410</v>
      </c>
      <c r="D166" s="168"/>
      <c r="E166" s="167"/>
      <c r="F166" s="167"/>
      <c r="G166" s="251"/>
      <c r="H166" s="171"/>
    </row>
    <row r="167" spans="2:8" x14ac:dyDescent="0.2">
      <c r="B167" s="170">
        <v>2023</v>
      </c>
      <c r="C167" s="169" t="s">
        <v>850</v>
      </c>
      <c r="D167" s="168"/>
      <c r="E167" s="167"/>
      <c r="F167" s="167"/>
      <c r="G167" s="251"/>
      <c r="H167" s="171"/>
    </row>
    <row r="168" spans="2:8" x14ac:dyDescent="0.2">
      <c r="B168" s="170">
        <v>2024</v>
      </c>
      <c r="C168" s="169" t="s">
        <v>851</v>
      </c>
      <c r="D168" s="168"/>
      <c r="E168" s="167"/>
      <c r="F168" s="167"/>
      <c r="G168" s="251"/>
      <c r="H168" s="171"/>
    </row>
    <row r="169" spans="2:8" x14ac:dyDescent="0.2">
      <c r="B169" s="443"/>
    </row>
    <row r="170" spans="2:8" x14ac:dyDescent="0.2">
      <c r="B170" s="443"/>
    </row>
    <row r="171" spans="2:8" x14ac:dyDescent="0.2">
      <c r="B171" s="443"/>
    </row>
    <row r="173" spans="2:8" x14ac:dyDescent="0.2">
      <c r="B173" s="144" t="s">
        <v>422</v>
      </c>
    </row>
    <row r="174" spans="2:8" x14ac:dyDescent="0.2">
      <c r="B174" s="166"/>
      <c r="C174" s="166"/>
    </row>
    <row r="175" spans="2:8" x14ac:dyDescent="0.2">
      <c r="B175" s="172" t="s">
        <v>217</v>
      </c>
      <c r="C175" s="173"/>
    </row>
    <row r="176" spans="2:8" x14ac:dyDescent="0.2">
      <c r="B176" s="179" t="s">
        <v>212</v>
      </c>
      <c r="C176" s="180">
        <v>1</v>
      </c>
      <c r="D176" s="159" t="s">
        <v>852</v>
      </c>
      <c r="E176" s="128" t="s">
        <v>853</v>
      </c>
    </row>
    <row r="177" spans="2:5" x14ac:dyDescent="0.2">
      <c r="B177" s="174"/>
      <c r="C177" s="175"/>
    </row>
    <row r="178" spans="2:5" x14ac:dyDescent="0.2">
      <c r="B178" s="172" t="s">
        <v>375</v>
      </c>
      <c r="C178" s="173"/>
    </row>
    <row r="179" spans="2:5" x14ac:dyDescent="0.2">
      <c r="B179" s="177" t="s">
        <v>212</v>
      </c>
      <c r="C179" s="178">
        <v>0.74</v>
      </c>
      <c r="E179" s="128" t="s">
        <v>853</v>
      </c>
    </row>
    <row r="180" spans="2:5" x14ac:dyDescent="0.2">
      <c r="B180" s="177" t="s">
        <v>217</v>
      </c>
      <c r="C180" s="178">
        <v>9.7799999999999998E-2</v>
      </c>
    </row>
    <row r="181" spans="2:5" x14ac:dyDescent="0.2">
      <c r="B181" s="177" t="s">
        <v>308</v>
      </c>
      <c r="C181" s="178">
        <v>6.2199999999999998E-2</v>
      </c>
    </row>
    <row r="182" spans="2:5" x14ac:dyDescent="0.2">
      <c r="B182" s="179" t="s">
        <v>417</v>
      </c>
      <c r="C182" s="180">
        <v>0.1</v>
      </c>
    </row>
    <row r="183" spans="2:5" x14ac:dyDescent="0.2">
      <c r="B183" s="174"/>
      <c r="C183" s="175"/>
    </row>
    <row r="184" spans="2:5" x14ac:dyDescent="0.2">
      <c r="B184" s="172" t="s">
        <v>308</v>
      </c>
      <c r="C184" s="173"/>
    </row>
    <row r="185" spans="2:5" x14ac:dyDescent="0.2">
      <c r="B185" s="179" t="s">
        <v>212</v>
      </c>
      <c r="C185" s="180">
        <v>1</v>
      </c>
      <c r="E185" s="128" t="s">
        <v>853</v>
      </c>
    </row>
    <row r="186" spans="2:5" x14ac:dyDescent="0.2">
      <c r="B186" s="174"/>
      <c r="C186" s="175"/>
    </row>
    <row r="187" spans="2:5" x14ac:dyDescent="0.2">
      <c r="B187" s="172" t="s">
        <v>225</v>
      </c>
      <c r="C187" s="173"/>
    </row>
    <row r="188" spans="2:5" x14ac:dyDescent="0.2">
      <c r="B188" s="179" t="s">
        <v>212</v>
      </c>
      <c r="C188" s="180">
        <v>1</v>
      </c>
      <c r="E188" s="128" t="s">
        <v>853</v>
      </c>
    </row>
    <row r="189" spans="2:5" x14ac:dyDescent="0.2">
      <c r="B189" s="174"/>
      <c r="C189" s="175"/>
    </row>
    <row r="190" spans="2:5" x14ac:dyDescent="0.2">
      <c r="B190" s="172" t="s">
        <v>418</v>
      </c>
      <c r="C190" s="173"/>
    </row>
    <row r="191" spans="2:5" x14ac:dyDescent="0.2">
      <c r="B191" s="179" t="s">
        <v>212</v>
      </c>
      <c r="C191" s="180">
        <v>1</v>
      </c>
    </row>
    <row r="192" spans="2:5" x14ac:dyDescent="0.2">
      <c r="B192" s="174"/>
      <c r="C192" s="175"/>
    </row>
    <row r="193" spans="2:5" x14ac:dyDescent="0.2">
      <c r="B193" s="172" t="s">
        <v>419</v>
      </c>
      <c r="C193" s="173"/>
    </row>
    <row r="194" spans="2:5" x14ac:dyDescent="0.2">
      <c r="B194" s="177" t="s">
        <v>212</v>
      </c>
      <c r="C194" s="178">
        <v>0.74</v>
      </c>
      <c r="E194" s="128" t="s">
        <v>853</v>
      </c>
    </row>
    <row r="195" spans="2:5" x14ac:dyDescent="0.2">
      <c r="B195" s="179" t="s">
        <v>375</v>
      </c>
      <c r="C195" s="180">
        <v>0.26</v>
      </c>
    </row>
    <row r="196" spans="2:5" x14ac:dyDescent="0.2">
      <c r="B196" s="174"/>
      <c r="C196" s="175"/>
    </row>
    <row r="197" spans="2:5" x14ac:dyDescent="0.2">
      <c r="B197" s="172" t="s">
        <v>220</v>
      </c>
      <c r="C197" s="173"/>
    </row>
    <row r="198" spans="2:5" x14ac:dyDescent="0.2">
      <c r="B198" s="177" t="s">
        <v>212</v>
      </c>
      <c r="C198" s="178">
        <v>0.74</v>
      </c>
      <c r="E198" s="128" t="s">
        <v>853</v>
      </c>
    </row>
    <row r="199" spans="2:5" x14ac:dyDescent="0.2">
      <c r="B199" s="179" t="s">
        <v>375</v>
      </c>
      <c r="C199" s="180">
        <v>0.26</v>
      </c>
    </row>
    <row r="200" spans="2:5" x14ac:dyDescent="0.2">
      <c r="B200" s="174"/>
      <c r="C200" s="175"/>
    </row>
    <row r="201" spans="2:5" x14ac:dyDescent="0.2">
      <c r="B201" s="172" t="s">
        <v>420</v>
      </c>
      <c r="C201" s="173"/>
    </row>
    <row r="202" spans="2:5" x14ac:dyDescent="0.2">
      <c r="B202" s="179" t="s">
        <v>212</v>
      </c>
      <c r="C202" s="180">
        <v>1</v>
      </c>
      <c r="E202" s="128" t="s">
        <v>853</v>
      </c>
    </row>
    <row r="203" spans="2:5" x14ac:dyDescent="0.2">
      <c r="B203" s="177"/>
      <c r="C203" s="178"/>
    </row>
    <row r="204" spans="2:5" x14ac:dyDescent="0.2">
      <c r="B204" s="176" t="s">
        <v>421</v>
      </c>
      <c r="C204" s="175"/>
    </row>
    <row r="205" spans="2:5" x14ac:dyDescent="0.2">
      <c r="B205" s="179" t="s">
        <v>212</v>
      </c>
      <c r="C205" s="180">
        <v>1</v>
      </c>
      <c r="E205" s="128" t="s">
        <v>853</v>
      </c>
    </row>
    <row r="207" spans="2:5" x14ac:dyDescent="0.2">
      <c r="B207" s="144" t="s">
        <v>423</v>
      </c>
    </row>
    <row r="208" spans="2:5" x14ac:dyDescent="0.2">
      <c r="B208" s="183"/>
      <c r="C208" s="166"/>
    </row>
    <row r="209" spans="2:3" x14ac:dyDescent="0.2">
      <c r="B209" s="172" t="s">
        <v>224</v>
      </c>
      <c r="C209" s="173"/>
    </row>
    <row r="210" spans="2:3" x14ac:dyDescent="0.2">
      <c r="B210" s="177" t="s">
        <v>420</v>
      </c>
      <c r="C210" s="178">
        <v>0.74</v>
      </c>
    </row>
    <row r="211" spans="2:3" x14ac:dyDescent="0.2">
      <c r="B211" s="179" t="s">
        <v>222</v>
      </c>
      <c r="C211" s="180">
        <v>0.26</v>
      </c>
    </row>
    <row r="212" spans="2:3" x14ac:dyDescent="0.2">
      <c r="B212" s="181"/>
      <c r="C212" s="182"/>
    </row>
    <row r="213" spans="2:3" x14ac:dyDescent="0.2">
      <c r="B213" s="172" t="s">
        <v>222</v>
      </c>
      <c r="C213" s="173"/>
    </row>
    <row r="214" spans="2:3" x14ac:dyDescent="0.2">
      <c r="B214" s="179" t="s">
        <v>420</v>
      </c>
      <c r="C214" s="180">
        <v>1</v>
      </c>
    </row>
    <row r="215" spans="2:3" x14ac:dyDescent="0.2">
      <c r="B215" s="174"/>
      <c r="C215" s="175"/>
    </row>
    <row r="216" spans="2:3" x14ac:dyDescent="0.2">
      <c r="B216" s="172" t="s">
        <v>223</v>
      </c>
      <c r="C216" s="173"/>
    </row>
    <row r="217" spans="2:3" x14ac:dyDescent="0.2">
      <c r="B217" s="177" t="s">
        <v>420</v>
      </c>
      <c r="C217" s="178">
        <v>0.9</v>
      </c>
    </row>
    <row r="218" spans="2:3" x14ac:dyDescent="0.2">
      <c r="B218" s="179" t="s">
        <v>424</v>
      </c>
      <c r="C218" s="180">
        <v>0.1</v>
      </c>
    </row>
    <row r="219" spans="2:3" x14ac:dyDescent="0.2">
      <c r="B219" s="174"/>
      <c r="C219" s="175"/>
    </row>
    <row r="220" spans="2:3" x14ac:dyDescent="0.2">
      <c r="B220" s="172" t="s">
        <v>492</v>
      </c>
      <c r="C220" s="173"/>
    </row>
    <row r="221" spans="2:3" x14ac:dyDescent="0.2">
      <c r="B221" s="177"/>
      <c r="C221" s="178"/>
    </row>
    <row r="222" spans="2:3" x14ac:dyDescent="0.2">
      <c r="B222" s="179"/>
      <c r="C222" s="180"/>
    </row>
    <row r="224" spans="2:3" x14ac:dyDescent="0.2">
      <c r="B224" s="144" t="s">
        <v>1757</v>
      </c>
    </row>
    <row r="225" spans="2:4" x14ac:dyDescent="0.2">
      <c r="B225" s="128" t="s">
        <v>1760</v>
      </c>
      <c r="C225" s="128">
        <v>7400</v>
      </c>
      <c r="D225" s="159" t="s">
        <v>1766</v>
      </c>
    </row>
    <row r="226" spans="2:4" x14ac:dyDescent="0.2">
      <c r="B226" s="128" t="s">
        <v>1758</v>
      </c>
      <c r="C226" s="128">
        <v>4678</v>
      </c>
    </row>
    <row r="227" spans="2:4" x14ac:dyDescent="0.2">
      <c r="B227" s="128" t="s">
        <v>1759</v>
      </c>
      <c r="C227" s="128">
        <v>4020</v>
      </c>
    </row>
    <row r="228" spans="2:4" x14ac:dyDescent="0.2">
      <c r="B228" s="128" t="s">
        <v>1754</v>
      </c>
      <c r="C228" s="1011">
        <f>C226/C227-1</f>
        <v>0.16368159203980093</v>
      </c>
    </row>
    <row r="229" spans="2:4" x14ac:dyDescent="0.2">
      <c r="B229" s="128" t="s">
        <v>1755</v>
      </c>
      <c r="C229" s="453" t="s">
        <v>1756</v>
      </c>
    </row>
    <row r="230" spans="2:4" x14ac:dyDescent="0.2">
      <c r="B230" s="128" t="s">
        <v>1753</v>
      </c>
      <c r="C230" s="128">
        <v>500000</v>
      </c>
    </row>
    <row r="231" spans="2:4" x14ac:dyDescent="0.2">
      <c r="B231" s="128" t="s">
        <v>7</v>
      </c>
      <c r="C231" s="146" t="s">
        <v>283</v>
      </c>
    </row>
    <row r="233" spans="2:4" x14ac:dyDescent="0.2">
      <c r="B233" s="144" t="s">
        <v>2043</v>
      </c>
    </row>
    <row r="234" spans="2:4" x14ac:dyDescent="0.2">
      <c r="B234" s="128" t="s">
        <v>1760</v>
      </c>
      <c r="C234" s="128">
        <v>8322.5</v>
      </c>
    </row>
    <row r="235" spans="2:4" x14ac:dyDescent="0.2">
      <c r="B235" s="128" t="s">
        <v>1758</v>
      </c>
      <c r="C235" s="128">
        <v>3701</v>
      </c>
    </row>
    <row r="236" spans="2:4" x14ac:dyDescent="0.2">
      <c r="B236" s="128" t="s">
        <v>2029</v>
      </c>
      <c r="C236" s="128">
        <v>2700</v>
      </c>
    </row>
    <row r="237" spans="2:4" x14ac:dyDescent="0.2">
      <c r="B237" s="128" t="s">
        <v>1754</v>
      </c>
      <c r="C237" s="1011">
        <f>C235/C236-1</f>
        <v>0.37074074074074082</v>
      </c>
    </row>
    <row r="238" spans="2:4" x14ac:dyDescent="0.2">
      <c r="B238" s="128" t="s">
        <v>1755</v>
      </c>
      <c r="C238" s="453" t="s">
        <v>1756</v>
      </c>
    </row>
    <row r="239" spans="2:4" x14ac:dyDescent="0.2">
      <c r="B239" s="128" t="s">
        <v>2044</v>
      </c>
      <c r="C239" s="1284">
        <v>12</v>
      </c>
    </row>
    <row r="240" spans="2:4" x14ac:dyDescent="0.2">
      <c r="C240" s="453"/>
    </row>
    <row r="241" spans="2:4" ht="15" x14ac:dyDescent="0.25">
      <c r="B241" s="144" t="s">
        <v>2037</v>
      </c>
      <c r="C241" s="453"/>
      <c r="D241" s="1283" t="s">
        <v>2042</v>
      </c>
    </row>
    <row r="242" spans="2:4" x14ac:dyDescent="0.2">
      <c r="B242" s="128" t="s">
        <v>2030</v>
      </c>
      <c r="C242" s="128">
        <v>407400</v>
      </c>
    </row>
    <row r="243" spans="2:4" x14ac:dyDescent="0.2">
      <c r="B243" s="128" t="s">
        <v>2031</v>
      </c>
      <c r="C243" s="146" t="s">
        <v>2032</v>
      </c>
    </row>
    <row r="244" spans="2:4" x14ac:dyDescent="0.2">
      <c r="C244" s="146"/>
    </row>
    <row r="245" spans="2:4" x14ac:dyDescent="0.2">
      <c r="B245" s="144" t="s">
        <v>2036</v>
      </c>
      <c r="C245" s="146"/>
    </row>
    <row r="246" spans="2:4" x14ac:dyDescent="0.2">
      <c r="B246" s="128" t="s">
        <v>2033</v>
      </c>
      <c r="C246" s="128">
        <v>522830</v>
      </c>
      <c r="D246" s="1282" t="s">
        <v>2041</v>
      </c>
    </row>
    <row r="247" spans="2:4" x14ac:dyDescent="0.2">
      <c r="B247" s="128" t="s">
        <v>2034</v>
      </c>
      <c r="C247" s="146" t="s">
        <v>2035</v>
      </c>
    </row>
    <row r="249" spans="2:4" x14ac:dyDescent="0.2">
      <c r="B249" s="144" t="s">
        <v>2040</v>
      </c>
    </row>
    <row r="250" spans="2:4" x14ac:dyDescent="0.2">
      <c r="B250" s="128" t="s">
        <v>2038</v>
      </c>
      <c r="C250" s="128">
        <v>6013</v>
      </c>
    </row>
    <row r="251" spans="2:4" x14ac:dyDescent="0.2">
      <c r="B251" s="128" t="s">
        <v>2039</v>
      </c>
      <c r="C251" s="128">
        <v>3851</v>
      </c>
    </row>
  </sheetData>
  <mergeCells count="3">
    <mergeCell ref="B165:B166"/>
    <mergeCell ref="B161:B163"/>
    <mergeCell ref="B158:B159"/>
  </mergeCells>
  <hyperlinks>
    <hyperlink ref="K116" r:id="rId1" xr:uid="{C48C1CB9-7523-44C8-964A-95229D4C3D8B}"/>
    <hyperlink ref="A32" r:id="rId2" xr:uid="{4B9128F4-CDBF-4404-B15E-2B1964E8A890}"/>
    <hyperlink ref="A15" r:id="rId3" xr:uid="{918CDEB0-6271-48E6-9A0A-1E72E5BFE3C9}"/>
    <hyperlink ref="D241" r:id="rId4" xr:uid="{68A2A055-3C72-4095-9A15-C712D84A9482}"/>
  </hyperlinks>
  <pageMargins left="0.7" right="0.7" top="0.75" bottom="0.75" header="0.3" footer="0.3"/>
  <pageSetup paperSize="9" orientation="portrait" verticalDpi="0" r:id="rId5"/>
  <drawing r:id="rId6"/>
  <legacyDrawing r:id="rId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868F0-1AD1-4451-8BB8-CF6A451D7ADE}">
  <dimension ref="A1:GD1679"/>
  <sheetViews>
    <sheetView showGridLines="0" zoomScaleNormal="100" workbookViewId="0">
      <pane xSplit="2" ySplit="2" topLeftCell="C250" activePane="bottomRight" state="frozen"/>
      <selection pane="topRight" activeCell="C1" sqref="C1"/>
      <selection pane="bottomLeft" activeCell="A3" sqref="A3"/>
      <selection pane="bottomRight" activeCell="N281" sqref="N281"/>
    </sheetView>
  </sheetViews>
  <sheetFormatPr defaultColWidth="9.28515625" defaultRowHeight="12.6" customHeight="1" x14ac:dyDescent="0.2"/>
  <cols>
    <col min="1" max="1" width="2.7109375" style="37" customWidth="1"/>
    <col min="2" max="2" width="35.28515625" style="37" customWidth="1"/>
    <col min="3" max="3" width="9" style="203" customWidth="1"/>
    <col min="4" max="9" width="8.7109375" style="39" customWidth="1"/>
    <col min="10" max="10" width="8.28515625" style="39" customWidth="1"/>
    <col min="11" max="16" width="8.7109375" style="39" customWidth="1"/>
    <col min="17" max="18" width="9.28515625" style="37"/>
    <col min="19" max="19" width="9.28515625" style="37" customWidth="1"/>
    <col min="20" max="20" width="9.28515625" style="37"/>
    <col min="21" max="21" width="32.28515625" style="37" bestFit="1" customWidth="1"/>
    <col min="22" max="22" width="9.28515625" style="37"/>
    <col min="23" max="23" width="21.28515625" style="37" bestFit="1" customWidth="1"/>
    <col min="24" max="24" width="9.28515625" style="37" customWidth="1"/>
    <col min="25" max="25" width="8.28515625" style="37" customWidth="1"/>
    <col min="26" max="26" width="7.7109375" style="37" customWidth="1"/>
    <col min="27" max="27" width="10" style="37" customWidth="1"/>
    <col min="28" max="28" width="7.7109375" style="37" customWidth="1"/>
    <col min="29" max="29" width="9.5703125" style="37" customWidth="1"/>
    <col min="30" max="39" width="9.28515625" style="37"/>
    <col min="40" max="40" width="2.7109375" style="37" customWidth="1"/>
    <col min="41" max="51" width="9.28515625" style="37"/>
    <col min="52" max="52" width="2.7109375" style="37" customWidth="1"/>
    <col min="53" max="66" width="9.28515625" style="37"/>
    <col min="67" max="67" width="2.7109375" style="37" customWidth="1"/>
    <col min="68" max="78" width="9.28515625" style="37"/>
    <col min="79" max="79" width="2.7109375" style="37" customWidth="1"/>
    <col min="80" max="90" width="9.28515625" style="37"/>
    <col min="91" max="91" width="7.28515625" style="37" customWidth="1"/>
    <col min="92" max="102" width="9.28515625" style="37"/>
    <col min="103" max="103" width="2.7109375" style="37" customWidth="1"/>
    <col min="104" max="114" width="9.28515625" style="37"/>
    <col min="115" max="115" width="2.7109375" style="37" customWidth="1"/>
    <col min="116" max="126" width="9.28515625" style="37"/>
    <col min="127" max="127" width="2.7109375" style="37" customWidth="1"/>
    <col min="128" max="138" width="9.28515625" style="37"/>
    <col min="139" max="139" width="2.7109375" style="37" customWidth="1"/>
    <col min="140" max="150" width="9.28515625" style="37"/>
    <col min="151" max="151" width="2.7109375" style="37" customWidth="1"/>
    <col min="152" max="162" width="9.28515625" style="37"/>
    <col min="163" max="163" width="2.7109375" style="37" customWidth="1"/>
    <col min="164" max="174" width="9.28515625" style="37"/>
    <col min="175" max="175" width="2.7109375" style="37" customWidth="1"/>
    <col min="176" max="16384" width="9.28515625" style="37"/>
  </cols>
  <sheetData>
    <row r="1" spans="1:31" ht="12.6" customHeight="1" x14ac:dyDescent="0.2">
      <c r="B1" s="38"/>
      <c r="C1" s="45"/>
      <c r="D1" s="292"/>
      <c r="E1" s="292"/>
      <c r="F1" s="292"/>
      <c r="S1" s="544" t="s">
        <v>599</v>
      </c>
    </row>
    <row r="2" spans="1:31" ht="12" x14ac:dyDescent="0.2">
      <c r="B2" s="50" t="s">
        <v>277</v>
      </c>
      <c r="C2" s="50" t="s">
        <v>0</v>
      </c>
      <c r="D2" s="163" t="s">
        <v>22</v>
      </c>
      <c r="E2" s="163" t="s">
        <v>23</v>
      </c>
      <c r="F2" s="163" t="s">
        <v>24</v>
      </c>
      <c r="G2" s="51" t="s">
        <v>25</v>
      </c>
      <c r="H2" s="51" t="s">
        <v>26</v>
      </c>
      <c r="I2" s="51" t="s">
        <v>27</v>
      </c>
      <c r="J2" s="51" t="s">
        <v>273</v>
      </c>
      <c r="K2" s="51" t="s">
        <v>347</v>
      </c>
      <c r="L2" s="51" t="s">
        <v>348</v>
      </c>
      <c r="M2" s="54" t="s">
        <v>178</v>
      </c>
      <c r="N2" s="54" t="s">
        <v>179</v>
      </c>
      <c r="O2" s="54" t="s">
        <v>231</v>
      </c>
      <c r="P2" s="54" t="s">
        <v>232</v>
      </c>
      <c r="S2" s="54" t="s">
        <v>1923</v>
      </c>
      <c r="T2" s="54" t="s">
        <v>1922</v>
      </c>
    </row>
    <row r="3" spans="1:31" ht="12" customHeight="1" x14ac:dyDescent="0.2">
      <c r="B3" s="56" t="s">
        <v>213</v>
      </c>
      <c r="C3" s="61"/>
      <c r="D3" s="288">
        <v>0</v>
      </c>
      <c r="E3" s="288">
        <v>4.1899999999999995</v>
      </c>
      <c r="F3" s="288">
        <v>3.1759322649999988</v>
      </c>
      <c r="G3" s="288">
        <v>3.59</v>
      </c>
      <c r="H3" s="288">
        <v>3.0277205999999999</v>
      </c>
      <c r="I3" s="288">
        <v>2.7</v>
      </c>
      <c r="J3" s="57">
        <v>2.65</v>
      </c>
      <c r="K3" s="57">
        <v>2.4</v>
      </c>
      <c r="L3" s="57">
        <v>2.99</v>
      </c>
      <c r="M3" s="303">
        <f t="shared" ref="M3:P3" si="0">M943</f>
        <v>2.9900000000000007</v>
      </c>
      <c r="N3" s="303">
        <f t="shared" si="0"/>
        <v>3.0498000000000007</v>
      </c>
      <c r="O3" s="303">
        <f t="shared" si="0"/>
        <v>3.110796000000001</v>
      </c>
      <c r="P3" s="303">
        <f t="shared" si="0"/>
        <v>3.1730119200000009</v>
      </c>
      <c r="R3" s="444">
        <f>N3-M3</f>
        <v>5.9800000000000075E-2</v>
      </c>
      <c r="S3" s="545">
        <f t="shared" ref="S3:S15" si="1">IF(ISERROR((N3/L3)^(1/6)-1)," ",(N3/L3)^(1/2)-1)</f>
        <v>9.9504938362078299E-3</v>
      </c>
      <c r="T3" s="545">
        <f t="shared" ref="T3:T15" si="2">IF(ISERROR((P3/L3)^(1/6)-1)," ",(P3/L3)^(1/4)-1)</f>
        <v>1.4962809029440249E-2</v>
      </c>
      <c r="X3" s="39" t="str">
        <f>E2</f>
        <v>FY19</v>
      </c>
      <c r="Y3" s="39" t="str">
        <f t="shared" ref="Y3:AC3" si="3">F2</f>
        <v>FY20</v>
      </c>
      <c r="Z3" s="39" t="str">
        <f t="shared" si="3"/>
        <v>FY21</v>
      </c>
      <c r="AA3" s="39" t="str">
        <f t="shared" si="3"/>
        <v>FY22</v>
      </c>
      <c r="AB3" s="39" t="str">
        <f t="shared" si="3"/>
        <v>FY23</v>
      </c>
      <c r="AC3" s="39" t="str">
        <f t="shared" si="3"/>
        <v>FY24</v>
      </c>
      <c r="AD3" s="39"/>
      <c r="AE3" s="39"/>
    </row>
    <row r="4" spans="1:31" ht="12.6" customHeight="1" x14ac:dyDescent="0.2">
      <c r="B4" s="56" t="s">
        <v>3</v>
      </c>
      <c r="C4" s="61"/>
      <c r="D4" s="288">
        <v>9.5350000000000001</v>
      </c>
      <c r="E4" s="288">
        <v>13.05</v>
      </c>
      <c r="F4" s="288">
        <v>10.370318747000001</v>
      </c>
      <c r="G4" s="288">
        <v>9.2379999999999995</v>
      </c>
      <c r="H4" s="288">
        <v>14.019483999999999</v>
      </c>
      <c r="I4" s="288">
        <v>20.237000000000002</v>
      </c>
      <c r="J4" s="57">
        <v>21.51</v>
      </c>
      <c r="K4" s="57">
        <v>19.899999999999999</v>
      </c>
      <c r="L4" s="57">
        <v>20.27</v>
      </c>
      <c r="M4" s="303">
        <f t="shared" ref="M4:P4" si="4">M468</f>
        <v>21.0808</v>
      </c>
      <c r="N4" s="303">
        <f t="shared" si="4"/>
        <v>26.303367999999999</v>
      </c>
      <c r="O4" s="303">
        <f t="shared" si="4"/>
        <v>28.933704799999997</v>
      </c>
      <c r="P4" s="303">
        <f t="shared" si="4"/>
        <v>30.380390040000002</v>
      </c>
      <c r="Q4" s="240" t="s">
        <v>520</v>
      </c>
      <c r="R4" s="1280">
        <f t="shared" ref="R4:R27" si="5">N4-M4</f>
        <v>5.222567999999999</v>
      </c>
      <c r="S4" s="545">
        <f t="shared" si="1"/>
        <v>0.13914446991370588</v>
      </c>
      <c r="T4" s="545">
        <f t="shared" si="2"/>
        <v>0.10645791321818576</v>
      </c>
      <c r="W4" s="37" t="s">
        <v>1748</v>
      </c>
      <c r="X4" s="38">
        <f>E7+E8+E9+E10</f>
        <v>0</v>
      </c>
      <c r="Y4" s="38">
        <f t="shared" ref="Y4:AC4" si="6">F7+F8+F9+F10</f>
        <v>1.0129999999999999</v>
      </c>
      <c r="Z4" s="38">
        <f t="shared" si="6"/>
        <v>11.96</v>
      </c>
      <c r="AA4" s="38">
        <f t="shared" si="6"/>
        <v>16.98944108901</v>
      </c>
      <c r="AB4" s="38">
        <f t="shared" si="6"/>
        <v>32.148000000000003</v>
      </c>
      <c r="AC4" s="38">
        <f t="shared" si="6"/>
        <v>39.910000000000004</v>
      </c>
      <c r="AD4" s="38"/>
      <c r="AE4" s="38"/>
    </row>
    <row r="5" spans="1:31" s="38" customFormat="1" ht="12" customHeight="1" x14ac:dyDescent="0.2">
      <c r="A5" s="37"/>
      <c r="B5" s="56" t="s">
        <v>790</v>
      </c>
      <c r="C5" s="61"/>
      <c r="D5" s="288">
        <v>11.66</v>
      </c>
      <c r="E5" s="288">
        <v>12.88</v>
      </c>
      <c r="F5" s="288">
        <v>12.840225999999999</v>
      </c>
      <c r="G5" s="288">
        <v>12.9</v>
      </c>
      <c r="H5" s="288">
        <v>17.209493327000001</v>
      </c>
      <c r="I5" s="288">
        <v>24.029999999999998</v>
      </c>
      <c r="J5" s="57">
        <v>25.14</v>
      </c>
      <c r="K5" s="57">
        <v>23.1</v>
      </c>
      <c r="L5" s="57">
        <v>24.53</v>
      </c>
      <c r="M5" s="303">
        <f t="shared" ref="M5:P5" si="7">M551</f>
        <v>25.479959999999998</v>
      </c>
      <c r="N5" s="303">
        <f t="shared" si="7"/>
        <v>31.648199999999999</v>
      </c>
      <c r="O5" s="303">
        <f t="shared" si="7"/>
        <v>34.732320000000009</v>
      </c>
      <c r="P5" s="303">
        <f t="shared" si="7"/>
        <v>35.750079600000007</v>
      </c>
      <c r="Q5" s="240" t="s">
        <v>521</v>
      </c>
      <c r="R5" s="1280">
        <f t="shared" si="5"/>
        <v>6.1682400000000008</v>
      </c>
      <c r="S5" s="545">
        <f t="shared" si="1"/>
        <v>0.13586242513702218</v>
      </c>
      <c r="T5" s="545">
        <f t="shared" si="2"/>
        <v>9.8739824900116568E-2</v>
      </c>
      <c r="W5" s="37" t="s">
        <v>1749</v>
      </c>
      <c r="X5" s="37">
        <f>E4+E5+E6+E11+E12+E13</f>
        <v>31.18</v>
      </c>
      <c r="Y5" s="37">
        <f t="shared" ref="Y5:AC5" si="8">F4+F5+F6+F11+F12+F13</f>
        <v>29.821523747000001</v>
      </c>
      <c r="Z5" s="37">
        <f t="shared" si="8"/>
        <v>29.987999999999996</v>
      </c>
      <c r="AA5" s="37">
        <f t="shared" si="8"/>
        <v>41.945487526999997</v>
      </c>
      <c r="AB5" s="37">
        <f t="shared" si="8"/>
        <v>57.962997683220749</v>
      </c>
      <c r="AC5" s="37">
        <f t="shared" si="8"/>
        <v>62.478162444518254</v>
      </c>
      <c r="AD5" s="37"/>
      <c r="AE5" s="37"/>
    </row>
    <row r="6" spans="1:31" ht="12.6" customHeight="1" x14ac:dyDescent="0.2">
      <c r="B6" s="56" t="s">
        <v>214</v>
      </c>
      <c r="C6" s="61"/>
      <c r="D6" s="288">
        <v>10.899999999999999</v>
      </c>
      <c r="E6" s="288">
        <v>5.25</v>
      </c>
      <c r="F6" s="288">
        <v>6.6109790000000004</v>
      </c>
      <c r="G6" s="288">
        <v>6.83</v>
      </c>
      <c r="H6" s="288">
        <v>6.9256087389999994</v>
      </c>
      <c r="I6" s="288">
        <v>7.0679999999999996</v>
      </c>
      <c r="J6" s="57">
        <v>7.1559999999999997</v>
      </c>
      <c r="K6" s="57">
        <v>6.4</v>
      </c>
      <c r="L6" s="57">
        <v>8.5500000000000007</v>
      </c>
      <c r="M6" s="303">
        <f t="shared" ref="M6:P6" ca="1" si="9">M600</f>
        <v>9.3918000000000017</v>
      </c>
      <c r="N6" s="303">
        <f t="shared" ca="1" si="9"/>
        <v>10.80057</v>
      </c>
      <c r="O6" s="303">
        <f t="shared" ca="1" si="9"/>
        <v>11.273464950000001</v>
      </c>
      <c r="P6" s="303">
        <f t="shared" ca="1" si="9"/>
        <v>11.767319305500001</v>
      </c>
      <c r="R6" s="444">
        <f t="shared" ca="1" si="5"/>
        <v>1.4087699999999987</v>
      </c>
      <c r="S6" s="545">
        <f t="shared" ca="1" si="1"/>
        <v>0.123932632057415</v>
      </c>
      <c r="T6" s="545">
        <f t="shared" ca="1" si="2"/>
        <v>8.3123193860800582E-2</v>
      </c>
      <c r="X6" s="37">
        <f>SUM(X5:X5)</f>
        <v>31.18</v>
      </c>
      <c r="Y6" s="37">
        <f t="shared" ref="Y6:AC6" si="10">SUM(Y5:Y5)</f>
        <v>29.821523747000001</v>
      </c>
      <c r="Z6" s="37">
        <f t="shared" si="10"/>
        <v>29.987999999999996</v>
      </c>
      <c r="AA6" s="37">
        <f t="shared" si="10"/>
        <v>41.945487526999997</v>
      </c>
      <c r="AB6" s="37">
        <f t="shared" si="10"/>
        <v>57.962997683220749</v>
      </c>
      <c r="AC6" s="37">
        <f t="shared" si="10"/>
        <v>62.478162444518254</v>
      </c>
    </row>
    <row r="7" spans="1:31" ht="12" customHeight="1" x14ac:dyDescent="0.2">
      <c r="B7" s="56" t="s">
        <v>10</v>
      </c>
      <c r="C7" s="61"/>
      <c r="D7" s="288">
        <v>0</v>
      </c>
      <c r="E7" s="288">
        <v>0</v>
      </c>
      <c r="F7" s="288">
        <v>1.0129999999999999</v>
      </c>
      <c r="G7" s="288">
        <v>8.43</v>
      </c>
      <c r="H7" s="288">
        <v>7.5161150000000001</v>
      </c>
      <c r="I7" s="288">
        <v>9.52</v>
      </c>
      <c r="J7" s="57">
        <v>12.37</v>
      </c>
      <c r="K7" s="57">
        <v>11.4</v>
      </c>
      <c r="L7" s="57">
        <v>7.26</v>
      </c>
      <c r="M7" s="303">
        <f t="shared" ref="M7:P7" ca="1" si="11">M649</f>
        <v>9.4380000000000006</v>
      </c>
      <c r="N7" s="303">
        <f t="shared" ca="1" si="11"/>
        <v>9.5323799999999999</v>
      </c>
      <c r="O7" s="303">
        <f t="shared" ca="1" si="11"/>
        <v>9.6277038000000008</v>
      </c>
      <c r="P7" s="303">
        <f t="shared" ca="1" si="11"/>
        <v>9.723980838000001</v>
      </c>
      <c r="R7" s="444">
        <f t="shared" ca="1" si="5"/>
        <v>9.4379999999999242E-2</v>
      </c>
      <c r="S7" s="545">
        <f t="shared" ca="1" si="1"/>
        <v>0.14586212085049732</v>
      </c>
      <c r="T7" s="545">
        <f t="shared" ca="1" si="2"/>
        <v>7.5788428111681405E-2</v>
      </c>
      <c r="X7" s="352">
        <f>+X4/X$6</f>
        <v>0</v>
      </c>
      <c r="Y7" s="352">
        <f t="shared" ref="Y7:AC7" si="12">+Y4/Y$6</f>
        <v>3.3968753863621949E-2</v>
      </c>
      <c r="Z7" s="352">
        <f t="shared" si="12"/>
        <v>0.39882619714552497</v>
      </c>
      <c r="AA7" s="352">
        <f t="shared" si="12"/>
        <v>0.40503620510010818</v>
      </c>
      <c r="AB7" s="352">
        <f t="shared" si="12"/>
        <v>0.55462969972145304</v>
      </c>
      <c r="AC7" s="352">
        <f t="shared" si="12"/>
        <v>0.63878319141413309</v>
      </c>
      <c r="AD7" s="352"/>
      <c r="AE7" s="352"/>
    </row>
    <row r="8" spans="1:31" ht="12.6" customHeight="1" x14ac:dyDescent="0.2">
      <c r="B8" s="56" t="s">
        <v>568</v>
      </c>
      <c r="C8" s="61"/>
      <c r="D8" s="288">
        <v>0</v>
      </c>
      <c r="E8" s="288">
        <v>0</v>
      </c>
      <c r="F8" s="288">
        <v>0</v>
      </c>
      <c r="G8" s="288">
        <v>0</v>
      </c>
      <c r="H8" s="288">
        <v>0.28067500000000001</v>
      </c>
      <c r="I8" s="288">
        <v>12.034000000000001</v>
      </c>
      <c r="J8" s="57">
        <v>16.77</v>
      </c>
      <c r="K8" s="57">
        <v>18.899999999999999</v>
      </c>
      <c r="L8" s="57">
        <v>19.010000000000002</v>
      </c>
      <c r="M8" s="303">
        <f t="shared" ref="M8:P8" si="13">M698</f>
        <v>19.390200000000004</v>
      </c>
      <c r="N8" s="303">
        <f t="shared" si="13"/>
        <v>20.553612000000005</v>
      </c>
      <c r="O8" s="303">
        <f t="shared" si="13"/>
        <v>21.786828720000006</v>
      </c>
      <c r="P8" s="303">
        <f t="shared" si="13"/>
        <v>23.094038443200009</v>
      </c>
      <c r="R8" s="444">
        <f t="shared" si="5"/>
        <v>1.163412000000001</v>
      </c>
      <c r="S8" s="545">
        <f t="shared" si="1"/>
        <v>3.9807674524476644E-2</v>
      </c>
      <c r="T8" s="545">
        <f t="shared" si="2"/>
        <v>4.9855292407456231E-2</v>
      </c>
      <c r="X8" s="352">
        <f>+X5/X$6</f>
        <v>1</v>
      </c>
      <c r="Y8" s="352">
        <f t="shared" ref="Y8:AC8" si="14">+Y5/Y$6</f>
        <v>1</v>
      </c>
      <c r="Z8" s="352">
        <f t="shared" si="14"/>
        <v>1</v>
      </c>
      <c r="AA8" s="352">
        <f t="shared" si="14"/>
        <v>1</v>
      </c>
      <c r="AB8" s="352">
        <f t="shared" si="14"/>
        <v>1</v>
      </c>
      <c r="AC8" s="352">
        <f t="shared" si="14"/>
        <v>1</v>
      </c>
      <c r="AD8" s="352"/>
      <c r="AE8" s="352"/>
    </row>
    <row r="9" spans="1:31" ht="14.1" customHeight="1" x14ac:dyDescent="0.2">
      <c r="B9" s="56" t="s">
        <v>8</v>
      </c>
      <c r="C9" s="61"/>
      <c r="D9" s="288">
        <v>0</v>
      </c>
      <c r="E9" s="288">
        <v>0</v>
      </c>
      <c r="F9" s="288">
        <v>0</v>
      </c>
      <c r="G9" s="288">
        <v>3.14</v>
      </c>
      <c r="H9" s="288">
        <v>8.0324159999999996</v>
      </c>
      <c r="I9" s="288">
        <v>8.7040000000000006</v>
      </c>
      <c r="J9" s="57">
        <v>9.31</v>
      </c>
      <c r="K9" s="57">
        <v>10.199999999999999</v>
      </c>
      <c r="L9" s="57">
        <v>10.38</v>
      </c>
      <c r="M9" s="303">
        <f t="shared" ref="M9:P9" ca="1" si="15">M747</f>
        <v>10.4838</v>
      </c>
      <c r="N9" s="303">
        <f t="shared" ca="1" si="15"/>
        <v>10.588638000000001</v>
      </c>
      <c r="O9" s="303">
        <f t="shared" ca="1" si="15"/>
        <v>10.694524380000001</v>
      </c>
      <c r="P9" s="303">
        <f t="shared" ca="1" si="15"/>
        <v>10.801469623800001</v>
      </c>
      <c r="R9" s="444">
        <f t="shared" ca="1" si="5"/>
        <v>0.10483800000000087</v>
      </c>
      <c r="S9" s="545">
        <f t="shared" ca="1" si="1"/>
        <v>1.0000000000000009E-2</v>
      </c>
      <c r="T9" s="545">
        <f t="shared" ca="1" si="2"/>
        <v>1.0000000000000009E-2</v>
      </c>
    </row>
    <row r="10" spans="1:31" ht="12.6" customHeight="1" x14ac:dyDescent="0.2">
      <c r="B10" s="56" t="s">
        <v>9</v>
      </c>
      <c r="C10" s="61"/>
      <c r="D10" s="288">
        <v>0</v>
      </c>
      <c r="E10" s="288">
        <v>0</v>
      </c>
      <c r="F10" s="288">
        <v>0</v>
      </c>
      <c r="G10" s="288">
        <v>0.39</v>
      </c>
      <c r="H10" s="288">
        <v>1.1602350890099999</v>
      </c>
      <c r="I10" s="288">
        <v>1.89</v>
      </c>
      <c r="J10" s="57">
        <v>1.46</v>
      </c>
      <c r="K10" s="57">
        <v>2.1</v>
      </c>
      <c r="L10" s="57">
        <v>1.65</v>
      </c>
      <c r="M10" s="303">
        <f t="shared" ref="M10:P10" si="16">M796</f>
        <v>1.7293500000000004</v>
      </c>
      <c r="N10" s="303">
        <f t="shared" si="16"/>
        <v>1.8158175000000005</v>
      </c>
      <c r="O10" s="303">
        <f t="shared" si="16"/>
        <v>1.9066083750000007</v>
      </c>
      <c r="P10" s="303">
        <f t="shared" si="16"/>
        <v>2.0019387937500008</v>
      </c>
      <c r="R10" s="444">
        <f t="shared" si="5"/>
        <v>8.6467500000000141E-2</v>
      </c>
      <c r="S10" s="545">
        <f t="shared" si="1"/>
        <v>4.9045020266268002E-2</v>
      </c>
      <c r="T10" s="545">
        <f t="shared" si="2"/>
        <v>4.9522401513937053E-2</v>
      </c>
    </row>
    <row r="11" spans="1:31" ht="12.6" customHeight="1" x14ac:dyDescent="0.2">
      <c r="B11" s="56" t="s">
        <v>215</v>
      </c>
      <c r="C11" s="61"/>
      <c r="D11" s="288">
        <v>0</v>
      </c>
      <c r="E11" s="288">
        <v>0</v>
      </c>
      <c r="F11" s="288">
        <v>0</v>
      </c>
      <c r="G11" s="288">
        <v>1.02</v>
      </c>
      <c r="H11" s="288">
        <v>3.7909014610000002</v>
      </c>
      <c r="I11" s="288">
        <v>4.4539999999999997</v>
      </c>
      <c r="J11" s="57">
        <v>4.7699999999999996</v>
      </c>
      <c r="K11" s="57">
        <v>6.3</v>
      </c>
      <c r="L11" s="57">
        <v>6.27</v>
      </c>
      <c r="M11" s="303">
        <f t="shared" ref="M11:P11" ca="1" si="17">M845</f>
        <v>6.5834999999999999</v>
      </c>
      <c r="N11" s="303">
        <f t="shared" ca="1" si="17"/>
        <v>6.9126750000000001</v>
      </c>
      <c r="O11" s="303">
        <f t="shared" ca="1" si="17"/>
        <v>7.2583087500000003</v>
      </c>
      <c r="P11" s="303">
        <f t="shared" ca="1" si="17"/>
        <v>7.6212241875000011</v>
      </c>
      <c r="R11" s="444">
        <f t="shared" ca="1" si="5"/>
        <v>0.32917500000000022</v>
      </c>
      <c r="S11" s="545">
        <f t="shared" ca="1" si="1"/>
        <v>5.0000000000000044E-2</v>
      </c>
      <c r="T11" s="545">
        <f t="shared" ca="1" si="2"/>
        <v>5.0000000000000044E-2</v>
      </c>
    </row>
    <row r="12" spans="1:31" s="38" customFormat="1" ht="12.6" customHeight="1" x14ac:dyDescent="0.2">
      <c r="A12" s="37"/>
      <c r="B12" s="56" t="s">
        <v>216</v>
      </c>
      <c r="C12" s="61"/>
      <c r="D12" s="288">
        <v>0</v>
      </c>
      <c r="E12" s="288">
        <v>0</v>
      </c>
      <c r="F12" s="288">
        <v>0</v>
      </c>
      <c r="G12" s="288">
        <v>0</v>
      </c>
      <c r="H12" s="288">
        <v>0</v>
      </c>
      <c r="I12" s="288">
        <v>2.1739976832207537</v>
      </c>
      <c r="J12" s="57">
        <v>2.5821624445182496</v>
      </c>
      <c r="K12" s="57">
        <v>2.4</v>
      </c>
      <c r="L12" s="57">
        <v>2.4900000000000002</v>
      </c>
      <c r="M12" s="303">
        <f t="shared" ref="M12:P12" si="18">M894</f>
        <v>3.1175000000000002</v>
      </c>
      <c r="N12" s="303">
        <f t="shared" si="18"/>
        <v>3.4292500000000006</v>
      </c>
      <c r="O12" s="303">
        <f t="shared" si="18"/>
        <v>3.6350050000000009</v>
      </c>
      <c r="P12" s="303">
        <f t="shared" si="18"/>
        <v>3.8531053000000011</v>
      </c>
      <c r="R12" s="444">
        <f t="shared" si="5"/>
        <v>0.31175000000000042</v>
      </c>
      <c r="S12" s="545">
        <f t="shared" si="1"/>
        <v>0.17354541256031752</v>
      </c>
      <c r="T12" s="545">
        <f t="shared" si="2"/>
        <v>0.11532871267350431</v>
      </c>
      <c r="W12" s="37"/>
    </row>
    <row r="13" spans="1:31" s="38" customFormat="1" ht="12.6" customHeight="1" x14ac:dyDescent="0.2">
      <c r="A13" s="37"/>
      <c r="B13" s="56" t="s">
        <v>2</v>
      </c>
      <c r="C13" s="61"/>
      <c r="D13" s="288"/>
      <c r="E13" s="288"/>
      <c r="F13" s="288"/>
      <c r="G13" s="288"/>
      <c r="H13" s="288"/>
      <c r="I13" s="288"/>
      <c r="J13" s="288">
        <v>1.32</v>
      </c>
      <c r="K13" s="288">
        <v>5.5</v>
      </c>
      <c r="L13" s="288">
        <v>5.34</v>
      </c>
      <c r="M13" s="303">
        <f t="shared" ref="M13:P13" si="19">M991</f>
        <v>6.1387</v>
      </c>
      <c r="N13" s="303">
        <f t="shared" si="19"/>
        <v>6.2614739999999998</v>
      </c>
      <c r="O13" s="303">
        <f t="shared" si="19"/>
        <v>6.5745477000000001</v>
      </c>
      <c r="P13" s="303">
        <f t="shared" si="19"/>
        <v>6.9032750850000006</v>
      </c>
      <c r="Q13" s="560"/>
      <c r="R13" s="444">
        <f t="shared" si="5"/>
        <v>0.12277399999999972</v>
      </c>
      <c r="S13" s="545">
        <f t="shared" si="1"/>
        <v>8.2848407745656383E-2</v>
      </c>
      <c r="T13" s="545">
        <f t="shared" si="2"/>
        <v>6.6297720213702505E-2</v>
      </c>
      <c r="W13" s="37"/>
    </row>
    <row r="14" spans="1:31" s="38" customFormat="1" ht="12.6" customHeight="1" x14ac:dyDescent="0.2">
      <c r="A14" s="37"/>
      <c r="B14" s="56" t="s">
        <v>791</v>
      </c>
      <c r="C14" s="61"/>
      <c r="D14" s="288"/>
      <c r="E14" s="288"/>
      <c r="F14" s="288"/>
      <c r="G14" s="288"/>
      <c r="H14" s="288"/>
      <c r="I14" s="288"/>
      <c r="J14" s="288">
        <v>2</v>
      </c>
      <c r="K14" s="288">
        <v>7.3</v>
      </c>
      <c r="L14" s="288">
        <v>5.71</v>
      </c>
      <c r="M14" s="303">
        <f t="shared" ref="M14:P14" si="20">M1041</f>
        <v>2.855</v>
      </c>
      <c r="N14" s="303">
        <f t="shared" si="20"/>
        <v>4.9962499999999999</v>
      </c>
      <c r="O14" s="303">
        <f t="shared" si="20"/>
        <v>5.9954999999999998</v>
      </c>
      <c r="P14" s="303">
        <f t="shared" si="20"/>
        <v>6.2353199999999998</v>
      </c>
      <c r="Q14" s="560"/>
      <c r="R14" s="444">
        <f t="shared" si="5"/>
        <v>2.1412499999999999</v>
      </c>
      <c r="S14" s="545">
        <f t="shared" si="1"/>
        <v>-6.4585653306514668E-2</v>
      </c>
      <c r="T14" s="545">
        <f t="shared" si="2"/>
        <v>2.2246564293101567E-2</v>
      </c>
      <c r="W14" s="37"/>
    </row>
    <row r="15" spans="1:31" s="38" customFormat="1" ht="12.6" customHeight="1" x14ac:dyDescent="0.2">
      <c r="A15" s="37"/>
      <c r="B15" s="56" t="s">
        <v>553</v>
      </c>
      <c r="C15" s="61"/>
      <c r="D15" s="288"/>
      <c r="E15" s="288"/>
      <c r="F15" s="288"/>
      <c r="G15" s="288"/>
      <c r="H15" s="288"/>
      <c r="I15" s="288"/>
      <c r="J15" s="288"/>
      <c r="K15" s="288">
        <v>0.9</v>
      </c>
      <c r="L15" s="288">
        <v>4.99</v>
      </c>
      <c r="M15" s="303">
        <f t="shared" ref="M15:P15" ca="1" si="21">M1090</f>
        <v>5.25</v>
      </c>
      <c r="N15" s="303">
        <f t="shared" ca="1" si="21"/>
        <v>5.25</v>
      </c>
      <c r="O15" s="303">
        <f t="shared" ca="1" si="21"/>
        <v>5.25</v>
      </c>
      <c r="P15" s="303">
        <f t="shared" ca="1" si="21"/>
        <v>5.25</v>
      </c>
      <c r="R15" s="444">
        <f t="shared" ca="1" si="5"/>
        <v>0</v>
      </c>
      <c r="S15" s="545">
        <f t="shared" ca="1" si="1"/>
        <v>2.5721311281399428E-2</v>
      </c>
      <c r="T15" s="545">
        <f t="shared" ca="1" si="2"/>
        <v>1.2779004166950214E-2</v>
      </c>
    </row>
    <row r="16" spans="1:31" s="38" customFormat="1" ht="12.6" customHeight="1" x14ac:dyDescent="0.2">
      <c r="A16" s="37"/>
      <c r="B16" s="189" t="s">
        <v>788</v>
      </c>
      <c r="C16" s="286"/>
      <c r="D16" s="288"/>
      <c r="E16" s="288"/>
      <c r="F16" s="288"/>
      <c r="G16" s="288"/>
      <c r="H16" s="288"/>
      <c r="I16" s="288"/>
      <c r="J16" s="288"/>
      <c r="K16" s="288">
        <v>0.2</v>
      </c>
      <c r="L16" s="288">
        <v>1.3</v>
      </c>
      <c r="M16" s="303">
        <f>M1139</f>
        <v>2.9250000000000003</v>
      </c>
      <c r="N16" s="303">
        <f>N1139</f>
        <v>3.15</v>
      </c>
      <c r="O16" s="303">
        <f>O1139</f>
        <v>3.375</v>
      </c>
      <c r="P16" s="303">
        <f>P1139</f>
        <v>3.375</v>
      </c>
      <c r="R16" s="444">
        <f t="shared" si="5"/>
        <v>0.22499999999999964</v>
      </c>
      <c r="S16" s="545">
        <f>IF(ISERROR((N16/L16)^(1/6)-1)," ",(N16/L16)^(1/2)-1)</f>
        <v>0.55662356498831245</v>
      </c>
      <c r="T16" s="545">
        <f>IF(ISERROR((P16/L16)^(1/6)-1)," ",(P16/L16)^(1/4)-1)</f>
        <v>0.26935356248317355</v>
      </c>
    </row>
    <row r="17" spans="1:31" s="38" customFormat="1" ht="12.6" customHeight="1" x14ac:dyDescent="0.2">
      <c r="A17" s="37"/>
      <c r="B17" s="189" t="s">
        <v>789</v>
      </c>
      <c r="C17" s="286"/>
      <c r="D17" s="288"/>
      <c r="E17" s="288"/>
      <c r="F17" s="288"/>
      <c r="G17" s="288"/>
      <c r="H17" s="288"/>
      <c r="I17" s="288"/>
      <c r="J17" s="288"/>
      <c r="K17" s="288"/>
      <c r="L17" s="288"/>
      <c r="M17" s="303">
        <f t="shared" ref="M17:P17" si="22">M1188</f>
        <v>0</v>
      </c>
      <c r="N17" s="303">
        <f t="shared" si="22"/>
        <v>0</v>
      </c>
      <c r="O17" s="303">
        <f t="shared" si="22"/>
        <v>1.5</v>
      </c>
      <c r="P17" s="303">
        <f t="shared" si="22"/>
        <v>9</v>
      </c>
      <c r="Q17" s="1001">
        <f ca="1">+P17/P27</f>
        <v>3.7912271764766484E-2</v>
      </c>
      <c r="R17" s="444">
        <f t="shared" si="5"/>
        <v>0</v>
      </c>
      <c r="S17" s="545" t="str">
        <f t="shared" ref="S17:S26" si="23">IF(ISERROR((N17/L17)^(1/6)-1)," ",(N17/L17)^(1/2)-1)</f>
        <v xml:space="preserve"> </v>
      </c>
      <c r="T17" s="545" t="str">
        <f t="shared" ref="T17:T26" si="24">IF(ISERROR((P17/L17)^(1/6)-1)," ",(P17/L17)^(1/4)-1)</f>
        <v xml:space="preserve"> </v>
      </c>
    </row>
    <row r="18" spans="1:31" s="38" customFormat="1" ht="12.6" customHeight="1" x14ac:dyDescent="0.2">
      <c r="A18" s="37"/>
      <c r="B18" s="189" t="s">
        <v>558</v>
      </c>
      <c r="C18" s="286"/>
      <c r="D18" s="288"/>
      <c r="E18" s="288"/>
      <c r="F18" s="288"/>
      <c r="G18" s="288"/>
      <c r="H18" s="288"/>
      <c r="I18" s="288"/>
      <c r="J18" s="288"/>
      <c r="K18" s="288"/>
      <c r="L18" s="288"/>
      <c r="M18" s="303">
        <f t="shared" ref="M18:P18" si="25">M1237</f>
        <v>0</v>
      </c>
      <c r="N18" s="303">
        <f t="shared" si="25"/>
        <v>10.050000000000001</v>
      </c>
      <c r="O18" s="303">
        <f t="shared" si="25"/>
        <v>16.5</v>
      </c>
      <c r="P18" s="303">
        <f t="shared" si="25"/>
        <v>21</v>
      </c>
      <c r="R18" s="1280">
        <f t="shared" si="5"/>
        <v>10.050000000000001</v>
      </c>
      <c r="S18" s="545" t="str">
        <f t="shared" si="23"/>
        <v xml:space="preserve"> </v>
      </c>
      <c r="T18" s="545" t="str">
        <f t="shared" si="24"/>
        <v xml:space="preserve"> </v>
      </c>
    </row>
    <row r="19" spans="1:31" s="38" customFormat="1" ht="12.6" customHeight="1" x14ac:dyDescent="0.2">
      <c r="A19" s="37"/>
      <c r="B19" s="189" t="s">
        <v>760</v>
      </c>
      <c r="C19" s="286"/>
      <c r="D19" s="288"/>
      <c r="E19" s="288"/>
      <c r="F19" s="288"/>
      <c r="G19" s="288"/>
      <c r="H19" s="288"/>
      <c r="I19" s="288"/>
      <c r="J19" s="288"/>
      <c r="K19" s="288"/>
      <c r="L19" s="288"/>
      <c r="M19" s="303">
        <f t="shared" ref="M19:P19" si="26">M1286</f>
        <v>0</v>
      </c>
      <c r="N19" s="303">
        <f t="shared" si="26"/>
        <v>12</v>
      </c>
      <c r="O19" s="303">
        <f t="shared" si="26"/>
        <v>18</v>
      </c>
      <c r="P19" s="303">
        <f t="shared" si="26"/>
        <v>18</v>
      </c>
      <c r="R19" s="1280">
        <f t="shared" si="5"/>
        <v>12</v>
      </c>
      <c r="S19" s="545" t="str">
        <f t="shared" si="23"/>
        <v xml:space="preserve"> </v>
      </c>
      <c r="T19" s="545" t="str">
        <f t="shared" si="24"/>
        <v xml:space="preserve"> </v>
      </c>
    </row>
    <row r="20" spans="1:31" s="38" customFormat="1" ht="12.6" customHeight="1" x14ac:dyDescent="0.2">
      <c r="A20" s="37"/>
      <c r="B20" s="189" t="s">
        <v>761</v>
      </c>
      <c r="C20" s="286"/>
      <c r="D20" s="288"/>
      <c r="E20" s="288"/>
      <c r="F20" s="288"/>
      <c r="G20" s="288"/>
      <c r="H20" s="288"/>
      <c r="I20" s="288"/>
      <c r="J20" s="288"/>
      <c r="K20" s="288"/>
      <c r="L20" s="288"/>
      <c r="M20" s="303">
        <f t="shared" ref="M20:P20" si="27">M1335</f>
        <v>0</v>
      </c>
      <c r="N20" s="303">
        <f t="shared" si="27"/>
        <v>0</v>
      </c>
      <c r="O20" s="303">
        <f t="shared" si="27"/>
        <v>0</v>
      </c>
      <c r="P20" s="303">
        <f t="shared" si="27"/>
        <v>0</v>
      </c>
      <c r="R20" s="444">
        <f t="shared" si="5"/>
        <v>0</v>
      </c>
      <c r="S20" s="545" t="str">
        <f t="shared" si="23"/>
        <v xml:space="preserve"> </v>
      </c>
      <c r="T20" s="545" t="str">
        <f t="shared" si="24"/>
        <v xml:space="preserve"> </v>
      </c>
      <c r="W20" s="1204" t="s">
        <v>1545</v>
      </c>
      <c r="X20" s="1205" t="s">
        <v>27</v>
      </c>
      <c r="Y20" s="1205" t="s">
        <v>273</v>
      </c>
      <c r="Z20" s="1205" t="s">
        <v>347</v>
      </c>
      <c r="AA20" s="1205" t="s">
        <v>348</v>
      </c>
      <c r="AB20" s="1205" t="s">
        <v>178</v>
      </c>
      <c r="AC20" s="1205" t="s">
        <v>179</v>
      </c>
      <c r="AD20" s="1206" t="s">
        <v>599</v>
      </c>
    </row>
    <row r="21" spans="1:31" s="38" customFormat="1" ht="12.6" customHeight="1" x14ac:dyDescent="0.2">
      <c r="A21" s="37"/>
      <c r="B21" s="189" t="s">
        <v>664</v>
      </c>
      <c r="C21" s="286"/>
      <c r="D21" s="288"/>
      <c r="E21" s="288"/>
      <c r="F21" s="288"/>
      <c r="G21" s="288"/>
      <c r="H21" s="288"/>
      <c r="I21" s="288"/>
      <c r="J21" s="288"/>
      <c r="K21" s="288"/>
      <c r="L21" s="288"/>
      <c r="M21" s="303">
        <f t="shared" ref="M21:P21" si="28">M1384</f>
        <v>0</v>
      </c>
      <c r="N21" s="303">
        <f t="shared" si="28"/>
        <v>0</v>
      </c>
      <c r="O21" s="303">
        <f t="shared" si="28"/>
        <v>0</v>
      </c>
      <c r="P21" s="303">
        <f t="shared" si="28"/>
        <v>8.25</v>
      </c>
      <c r="Q21" s="1001">
        <f ca="1">+P21/P27</f>
        <v>3.475291578436928E-2</v>
      </c>
      <c r="R21" s="444">
        <f t="shared" si="5"/>
        <v>0</v>
      </c>
      <c r="S21" s="545" t="str">
        <f t="shared" si="23"/>
        <v xml:space="preserve"> </v>
      </c>
      <c r="T21" s="545" t="str">
        <f t="shared" si="24"/>
        <v xml:space="preserve"> </v>
      </c>
      <c r="W21" s="1207" t="s">
        <v>1664</v>
      </c>
      <c r="X21" s="951"/>
      <c r="Y21" s="951"/>
      <c r="Z21" s="951"/>
      <c r="AA21" s="951"/>
      <c r="AB21" s="951"/>
      <c r="AC21" s="951"/>
      <c r="AD21" s="1208" t="s">
        <v>1923</v>
      </c>
    </row>
    <row r="22" spans="1:31" s="38" customFormat="1" ht="12.6" customHeight="1" x14ac:dyDescent="0.2">
      <c r="A22" s="37"/>
      <c r="B22" s="189" t="s">
        <v>1866</v>
      </c>
      <c r="C22" s="286"/>
      <c r="D22" s="288"/>
      <c r="E22" s="288"/>
      <c r="F22" s="288"/>
      <c r="G22" s="288"/>
      <c r="H22" s="288"/>
      <c r="I22" s="288"/>
      <c r="J22" s="288"/>
      <c r="K22" s="288"/>
      <c r="L22" s="288"/>
      <c r="M22" s="303">
        <f>M1423</f>
        <v>0</v>
      </c>
      <c r="N22" s="303">
        <f>N1423</f>
        <v>0</v>
      </c>
      <c r="O22" s="303">
        <f>O1423</f>
        <v>0</v>
      </c>
      <c r="P22" s="303">
        <f>P1432</f>
        <v>10.8</v>
      </c>
      <c r="Q22" s="1001">
        <f ca="1">+P22/P27</f>
        <v>4.5494726117719785E-2</v>
      </c>
      <c r="R22" s="444">
        <f t="shared" si="5"/>
        <v>0</v>
      </c>
      <c r="S22" s="545" t="str">
        <f t="shared" si="23"/>
        <v xml:space="preserve"> </v>
      </c>
      <c r="T22" s="545" t="str">
        <f t="shared" si="24"/>
        <v xml:space="preserve"> </v>
      </c>
      <c r="W22" s="1209" t="str">
        <f>B3</f>
        <v>Standalone</v>
      </c>
      <c r="X22" s="954">
        <f t="shared" ref="X22:Z22" si="29">I3</f>
        <v>2.7</v>
      </c>
      <c r="Y22" s="954">
        <f t="shared" si="29"/>
        <v>2.65</v>
      </c>
      <c r="Z22" s="954">
        <f t="shared" si="29"/>
        <v>2.4</v>
      </c>
      <c r="AA22" s="954">
        <f t="shared" ref="AA22:AA35" si="30">L3</f>
        <v>2.99</v>
      </c>
      <c r="AB22" s="954">
        <f t="shared" ref="AB22:AB34" si="31">M3</f>
        <v>2.9900000000000007</v>
      </c>
      <c r="AC22" s="954">
        <f t="shared" ref="AC22:AC34" si="32">N3</f>
        <v>3.0498000000000007</v>
      </c>
      <c r="AD22" s="1210">
        <f>IFERROR((AC22/AA22)^(0.5)-1, "NM")</f>
        <v>9.9504938362078299E-3</v>
      </c>
    </row>
    <row r="23" spans="1:31" s="38" customFormat="1" ht="12.6" customHeight="1" x14ac:dyDescent="0.2">
      <c r="A23" s="37"/>
      <c r="B23" s="189" t="s">
        <v>1767</v>
      </c>
      <c r="C23" s="286"/>
      <c r="D23" s="288"/>
      <c r="E23" s="288"/>
      <c r="F23" s="288"/>
      <c r="G23" s="288"/>
      <c r="H23" s="288"/>
      <c r="I23" s="288"/>
      <c r="J23" s="288"/>
      <c r="K23" s="288"/>
      <c r="L23" s="288"/>
      <c r="M23" s="303">
        <f t="shared" ref="M23:P23" si="33">M1481</f>
        <v>1.1024999999999998</v>
      </c>
      <c r="N23" s="303">
        <f t="shared" si="33"/>
        <v>2.2049999999999996</v>
      </c>
      <c r="O23" s="303">
        <f t="shared" si="33"/>
        <v>3.78</v>
      </c>
      <c r="P23" s="303">
        <f t="shared" si="33"/>
        <v>4.4099999999999993</v>
      </c>
      <c r="R23" s="444">
        <f t="shared" si="5"/>
        <v>1.1024999999999998</v>
      </c>
      <c r="S23" s="545" t="str">
        <f t="shared" si="23"/>
        <v xml:space="preserve"> </v>
      </c>
      <c r="T23" s="545" t="str">
        <f t="shared" si="24"/>
        <v xml:space="preserve"> </v>
      </c>
      <c r="W23" s="1209" t="str">
        <f t="shared" ref="W23:W35" si="34">B4</f>
        <v>Jaigarh</v>
      </c>
      <c r="X23" s="954">
        <f t="shared" ref="X23:X35" si="35">I4</f>
        <v>20.237000000000002</v>
      </c>
      <c r="Y23" s="954">
        <f t="shared" ref="Y23:Y35" si="36">J4</f>
        <v>21.51</v>
      </c>
      <c r="Z23" s="954">
        <f t="shared" ref="Z23:Z35" si="37">K4</f>
        <v>19.899999999999999</v>
      </c>
      <c r="AA23" s="954">
        <f t="shared" si="30"/>
        <v>20.27</v>
      </c>
      <c r="AB23" s="954">
        <f t="shared" si="31"/>
        <v>21.0808</v>
      </c>
      <c r="AC23" s="954">
        <f t="shared" si="32"/>
        <v>26.303367999999999</v>
      </c>
      <c r="AD23" s="1210">
        <f t="shared" ref="AD23:AD38" si="38">IFERROR((AC23/AA23)^(0.5)-1, "NM")</f>
        <v>0.13914446991370588</v>
      </c>
    </row>
    <row r="24" spans="1:31" s="38" customFormat="1" ht="12.6" customHeight="1" x14ac:dyDescent="0.2">
      <c r="A24" s="37"/>
      <c r="B24" s="189" t="s">
        <v>2045</v>
      </c>
      <c r="C24" s="286"/>
      <c r="D24" s="288"/>
      <c r="E24" s="288"/>
      <c r="F24" s="288"/>
      <c r="G24" s="288"/>
      <c r="H24" s="288"/>
      <c r="I24" s="288"/>
      <c r="J24" s="288"/>
      <c r="K24" s="288"/>
      <c r="L24" s="288"/>
      <c r="M24" s="303">
        <f ca="1">M1530</f>
        <v>0</v>
      </c>
      <c r="N24" s="303">
        <f ca="1">N1530</f>
        <v>0</v>
      </c>
      <c r="O24" s="303">
        <f>O1530</f>
        <v>3</v>
      </c>
      <c r="P24" s="303">
        <f>P1530</f>
        <v>6</v>
      </c>
      <c r="R24" s="444">
        <f t="shared" ca="1" si="5"/>
        <v>0</v>
      </c>
      <c r="S24" s="545" t="str">
        <f ca="1">IF(ISERROR((N24/L24)^(1/6)-1)," ",(N24/L24)^(1/2)-1)</f>
        <v xml:space="preserve"> </v>
      </c>
      <c r="T24" s="545" t="str">
        <f>IF(ISERROR((P24/L24)^(1/6)-1)," ",(P24/L24)^(1/4)-1)</f>
        <v xml:space="preserve"> </v>
      </c>
      <c r="W24" s="1209" t="str">
        <f t="shared" si="34"/>
        <v>Dharmatar</v>
      </c>
      <c r="X24" s="954">
        <f t="shared" si="35"/>
        <v>24.029999999999998</v>
      </c>
      <c r="Y24" s="954">
        <f t="shared" si="36"/>
        <v>25.14</v>
      </c>
      <c r="Z24" s="954">
        <f t="shared" si="37"/>
        <v>23.1</v>
      </c>
      <c r="AA24" s="954">
        <f t="shared" si="30"/>
        <v>24.53</v>
      </c>
      <c r="AB24" s="954">
        <f t="shared" si="31"/>
        <v>25.479959999999998</v>
      </c>
      <c r="AC24" s="954">
        <f t="shared" si="32"/>
        <v>31.648199999999999</v>
      </c>
      <c r="AD24" s="1210">
        <f t="shared" si="38"/>
        <v>0.13586242513702218</v>
      </c>
    </row>
    <row r="25" spans="1:31" s="38" customFormat="1" ht="12.6" customHeight="1" x14ac:dyDescent="0.2">
      <c r="A25" s="37"/>
      <c r="B25" s="189" t="s">
        <v>472</v>
      </c>
      <c r="C25" s="286"/>
      <c r="D25" s="288"/>
      <c r="E25" s="288"/>
      <c r="F25" s="288"/>
      <c r="G25" s="288"/>
      <c r="H25" s="288"/>
      <c r="I25" s="288"/>
      <c r="J25" s="288"/>
      <c r="K25" s="288"/>
      <c r="L25" s="288"/>
      <c r="M25" s="303">
        <v>0</v>
      </c>
      <c r="N25" s="303">
        <v>0</v>
      </c>
      <c r="O25" s="303">
        <v>0</v>
      </c>
      <c r="P25" s="303">
        <v>0</v>
      </c>
      <c r="R25" s="444">
        <f t="shared" si="5"/>
        <v>0</v>
      </c>
      <c r="S25" s="545" t="str">
        <f t="shared" si="23"/>
        <v xml:space="preserve"> </v>
      </c>
      <c r="T25" s="545" t="str">
        <f t="shared" si="24"/>
        <v xml:space="preserve"> </v>
      </c>
      <c r="W25" s="1209" t="str">
        <f t="shared" si="34"/>
        <v>Goa</v>
      </c>
      <c r="X25" s="954">
        <f t="shared" si="35"/>
        <v>7.0679999999999996</v>
      </c>
      <c r="Y25" s="954">
        <f t="shared" si="36"/>
        <v>7.1559999999999997</v>
      </c>
      <c r="Z25" s="954">
        <f t="shared" si="37"/>
        <v>6.4</v>
      </c>
      <c r="AA25" s="954">
        <f t="shared" si="30"/>
        <v>8.5500000000000007</v>
      </c>
      <c r="AB25" s="954">
        <f t="shared" ca="1" si="31"/>
        <v>9.3918000000000017</v>
      </c>
      <c r="AC25" s="954">
        <f t="shared" ca="1" si="32"/>
        <v>10.80057</v>
      </c>
      <c r="AD25" s="1210">
        <f t="shared" ca="1" si="38"/>
        <v>0.123932632057415</v>
      </c>
    </row>
    <row r="26" spans="1:31" s="77" customFormat="1" ht="12.6" customHeight="1" x14ac:dyDescent="0.2">
      <c r="A26" s="37"/>
      <c r="B26" s="189" t="s">
        <v>472</v>
      </c>
      <c r="C26" s="286"/>
      <c r="D26" s="288"/>
      <c r="E26" s="288"/>
      <c r="F26" s="288"/>
      <c r="G26" s="288"/>
      <c r="H26" s="288"/>
      <c r="I26" s="288"/>
      <c r="J26" s="288"/>
      <c r="K26" s="288"/>
      <c r="L26" s="288"/>
      <c r="M26" s="303"/>
      <c r="N26" s="303"/>
      <c r="O26" s="303"/>
      <c r="P26" s="303"/>
      <c r="R26" s="444">
        <f t="shared" si="5"/>
        <v>0</v>
      </c>
      <c r="S26" s="545" t="str">
        <f t="shared" si="23"/>
        <v xml:space="preserve"> </v>
      </c>
      <c r="T26" s="545" t="str">
        <f t="shared" si="24"/>
        <v xml:space="preserve"> </v>
      </c>
      <c r="W26" s="1209" t="str">
        <f t="shared" si="34"/>
        <v>Paradip Iron Ore</v>
      </c>
      <c r="X26" s="954">
        <f t="shared" si="35"/>
        <v>9.52</v>
      </c>
      <c r="Y26" s="954">
        <f t="shared" si="36"/>
        <v>12.37</v>
      </c>
      <c r="Z26" s="954">
        <f t="shared" si="37"/>
        <v>11.4</v>
      </c>
      <c r="AA26" s="954">
        <f t="shared" si="30"/>
        <v>7.26</v>
      </c>
      <c r="AB26" s="954">
        <f t="shared" ca="1" si="31"/>
        <v>9.4380000000000006</v>
      </c>
      <c r="AC26" s="954">
        <f t="shared" ca="1" si="32"/>
        <v>9.5323799999999999</v>
      </c>
      <c r="AD26" s="1210">
        <f t="shared" ca="1" si="38"/>
        <v>0.14586212085049732</v>
      </c>
      <c r="AE26" s="38"/>
    </row>
    <row r="27" spans="1:31" ht="12.6" customHeight="1" x14ac:dyDescent="0.2">
      <c r="B27" s="95" t="s">
        <v>226</v>
      </c>
      <c r="C27" s="61"/>
      <c r="D27" s="63">
        <f t="shared" ref="D27:I27" si="39">SUM(D3:D26)</f>
        <v>32.094999999999999</v>
      </c>
      <c r="E27" s="63">
        <f t="shared" ref="E27" si="40">SUM(E3:E26)</f>
        <v>35.370000000000005</v>
      </c>
      <c r="F27" s="63">
        <f t="shared" si="39"/>
        <v>34.010456011999999</v>
      </c>
      <c r="G27" s="979">
        <f t="shared" si="39"/>
        <v>45.538000000000004</v>
      </c>
      <c r="H27" s="63">
        <f t="shared" si="39"/>
        <v>61.962649216009993</v>
      </c>
      <c r="I27" s="63">
        <f t="shared" si="39"/>
        <v>92.810997683220748</v>
      </c>
      <c r="J27" s="63">
        <f t="shared" ref="J27:K27" si="41">SUM(J3:J26)</f>
        <v>107.03816244451822</v>
      </c>
      <c r="K27" s="63">
        <f t="shared" si="41"/>
        <v>117</v>
      </c>
      <c r="L27" s="63">
        <f t="shared" ref="L27" si="42">SUM(L3:L26)</f>
        <v>120.73999999999998</v>
      </c>
      <c r="M27" s="64">
        <f ca="1">SUM(M3:M26)</f>
        <v>127.95611000000002</v>
      </c>
      <c r="N27" s="64">
        <f ca="1">SUM(N3:N26)</f>
        <v>168.54703450000002</v>
      </c>
      <c r="O27" s="64">
        <f ca="1">SUM(O3:O26)</f>
        <v>196.93431247500004</v>
      </c>
      <c r="P27" s="64">
        <f ca="1">SUM(P3:P26)</f>
        <v>237.39015313675003</v>
      </c>
      <c r="Q27" s="539">
        <f>(L27/J27)^(1/2)-1</f>
        <v>6.2077634237978296E-2</v>
      </c>
      <c r="R27" s="444">
        <f t="shared" ca="1" si="5"/>
        <v>40.5909245</v>
      </c>
      <c r="S27" s="336">
        <f ca="1">IF(ISERROR((N27/L27)^(1/2)-1)," ",(N27/L27)^(1/2)-1)</f>
        <v>0.18150339013105321</v>
      </c>
      <c r="T27" s="336">
        <f ca="1">IF(ISERROR((P27/L27)^(1/4)-1)," ",(P27/L27)^(1/4)-1)</f>
        <v>0.1841395379327686</v>
      </c>
      <c r="U27" s="352">
        <f ca="1">(N27/L27)^(1/2)-1</f>
        <v>0.18150339013105321</v>
      </c>
      <c r="V27" s="352">
        <f ca="1">(P27/L27)^(1/4)-1</f>
        <v>0.1841395379327686</v>
      </c>
      <c r="W27" s="1209" t="str">
        <f t="shared" si="34"/>
        <v>Paradip Coal</v>
      </c>
      <c r="X27" s="954">
        <f t="shared" si="35"/>
        <v>12.034000000000001</v>
      </c>
      <c r="Y27" s="954">
        <f t="shared" si="36"/>
        <v>16.77</v>
      </c>
      <c r="Z27" s="954">
        <f t="shared" si="37"/>
        <v>18.899999999999999</v>
      </c>
      <c r="AA27" s="954">
        <f t="shared" si="30"/>
        <v>19.010000000000002</v>
      </c>
      <c r="AB27" s="954">
        <f t="shared" si="31"/>
        <v>19.390200000000004</v>
      </c>
      <c r="AC27" s="954">
        <f t="shared" si="32"/>
        <v>20.553612000000005</v>
      </c>
      <c r="AD27" s="1210">
        <f t="shared" si="38"/>
        <v>3.9807674524476644E-2</v>
      </c>
      <c r="AE27" s="38"/>
    </row>
    <row r="28" spans="1:31" ht="12.6" customHeight="1" x14ac:dyDescent="0.2">
      <c r="B28" s="95"/>
      <c r="C28" s="61"/>
      <c r="D28" s="57"/>
      <c r="E28" s="57"/>
      <c r="F28" s="57">
        <f>Consol!I16/Assumptions!F27</f>
        <v>336.11584025708476</v>
      </c>
      <c r="G28" s="63"/>
      <c r="H28" s="63"/>
      <c r="I28" s="63"/>
      <c r="J28" s="57"/>
      <c r="K28" s="57"/>
      <c r="L28" s="57"/>
      <c r="M28" s="64"/>
      <c r="N28" s="64"/>
      <c r="O28" s="64"/>
      <c r="P28" s="64"/>
      <c r="Q28" s="352"/>
      <c r="S28" s="904"/>
      <c r="T28" s="64"/>
      <c r="U28" s="352"/>
      <c r="W28" s="1209" t="str">
        <f t="shared" si="34"/>
        <v>Ennore Coal</v>
      </c>
      <c r="X28" s="954">
        <f t="shared" si="35"/>
        <v>8.7040000000000006</v>
      </c>
      <c r="Y28" s="954">
        <f t="shared" si="36"/>
        <v>9.31</v>
      </c>
      <c r="Z28" s="954">
        <f t="shared" si="37"/>
        <v>10.199999999999999</v>
      </c>
      <c r="AA28" s="954">
        <f t="shared" si="30"/>
        <v>10.38</v>
      </c>
      <c r="AB28" s="954">
        <f t="shared" ca="1" si="31"/>
        <v>10.4838</v>
      </c>
      <c r="AC28" s="954">
        <f t="shared" ca="1" si="32"/>
        <v>10.588638000000001</v>
      </c>
      <c r="AD28" s="1210">
        <f t="shared" ca="1" si="38"/>
        <v>1.0000000000000009E-2</v>
      </c>
      <c r="AE28" s="38"/>
    </row>
    <row r="29" spans="1:31" ht="12.6" customHeight="1" x14ac:dyDescent="0.2">
      <c r="B29" s="95" t="s">
        <v>274</v>
      </c>
      <c r="C29" s="61"/>
      <c r="D29" s="57"/>
      <c r="E29" s="57"/>
      <c r="F29" s="57"/>
      <c r="G29" s="63"/>
      <c r="H29" s="63"/>
      <c r="I29" s="63"/>
      <c r="J29" s="57"/>
      <c r="K29" s="57"/>
      <c r="L29" s="57"/>
      <c r="M29" s="64"/>
      <c r="N29" s="64"/>
      <c r="O29" s="64"/>
      <c r="P29" s="64"/>
      <c r="Q29" s="539"/>
      <c r="R29" s="539"/>
      <c r="S29" s="64"/>
      <c r="T29" s="64"/>
      <c r="W29" s="1209" t="str">
        <f t="shared" si="34"/>
        <v>Ennore Bulk</v>
      </c>
      <c r="X29" s="954">
        <f t="shared" si="35"/>
        <v>1.89</v>
      </c>
      <c r="Y29" s="954">
        <f t="shared" si="36"/>
        <v>1.46</v>
      </c>
      <c r="Z29" s="954">
        <f t="shared" si="37"/>
        <v>2.1</v>
      </c>
      <c r="AA29" s="954">
        <f t="shared" si="30"/>
        <v>1.65</v>
      </c>
      <c r="AB29" s="954">
        <f t="shared" si="31"/>
        <v>1.7293500000000004</v>
      </c>
      <c r="AC29" s="954">
        <f t="shared" si="32"/>
        <v>1.8158175000000005</v>
      </c>
      <c r="AD29" s="1210">
        <f t="shared" si="38"/>
        <v>4.9045020266268002E-2</v>
      </c>
      <c r="AE29" s="38"/>
    </row>
    <row r="30" spans="1:31" ht="12.6" customHeight="1" x14ac:dyDescent="0.2">
      <c r="B30" s="56" t="s">
        <v>275</v>
      </c>
      <c r="C30" s="61"/>
      <c r="D30" s="57"/>
      <c r="E30" s="57"/>
      <c r="F30" s="57"/>
      <c r="G30" s="57">
        <v>13.17</v>
      </c>
      <c r="H30" s="57">
        <v>13.78</v>
      </c>
      <c r="I30" s="57">
        <v>11.78</v>
      </c>
      <c r="J30" s="57"/>
      <c r="K30" s="57"/>
      <c r="L30" s="57"/>
      <c r="M30" s="64"/>
      <c r="N30" s="64"/>
      <c r="O30" s="64"/>
      <c r="P30" s="64"/>
      <c r="S30" s="64"/>
      <c r="T30" s="64"/>
      <c r="W30" s="1209" t="str">
        <f t="shared" si="34"/>
        <v>Mangalore Coal</v>
      </c>
      <c r="X30" s="954">
        <f t="shared" si="35"/>
        <v>4.4539999999999997</v>
      </c>
      <c r="Y30" s="954">
        <f t="shared" si="36"/>
        <v>4.7699999999999996</v>
      </c>
      <c r="Z30" s="954">
        <f t="shared" si="37"/>
        <v>6.3</v>
      </c>
      <c r="AA30" s="954">
        <f t="shared" si="30"/>
        <v>6.27</v>
      </c>
      <c r="AB30" s="954">
        <f t="shared" ca="1" si="31"/>
        <v>6.5834999999999999</v>
      </c>
      <c r="AC30" s="954">
        <f t="shared" ca="1" si="32"/>
        <v>6.9126750000000001</v>
      </c>
      <c r="AD30" s="1210">
        <f t="shared" ca="1" si="38"/>
        <v>5.0000000000000044E-2</v>
      </c>
      <c r="AE30" s="38"/>
    </row>
    <row r="31" spans="1:31" ht="12.6" customHeight="1" x14ac:dyDescent="0.2">
      <c r="B31" s="56" t="s">
        <v>276</v>
      </c>
      <c r="C31" s="61"/>
      <c r="D31" s="57"/>
      <c r="E31" s="57"/>
      <c r="F31" s="57"/>
      <c r="G31" s="288">
        <v>0</v>
      </c>
      <c r="H31" s="288">
        <v>0</v>
      </c>
      <c r="I31" s="288">
        <v>0</v>
      </c>
      <c r="J31" s="57"/>
      <c r="K31" s="57"/>
      <c r="L31" s="57"/>
      <c r="M31" s="64"/>
      <c r="N31" s="64"/>
      <c r="O31" s="64"/>
      <c r="P31" s="64"/>
      <c r="S31" s="64"/>
      <c r="T31" s="64"/>
      <c r="W31" s="1209" t="str">
        <f t="shared" si="34"/>
        <v>Mangalore Container</v>
      </c>
      <c r="X31" s="954">
        <f t="shared" si="35"/>
        <v>2.1739976832207537</v>
      </c>
      <c r="Y31" s="954">
        <f t="shared" si="36"/>
        <v>2.5821624445182496</v>
      </c>
      <c r="Z31" s="954">
        <f t="shared" si="37"/>
        <v>2.4</v>
      </c>
      <c r="AA31" s="954">
        <f t="shared" si="30"/>
        <v>2.4900000000000002</v>
      </c>
      <c r="AB31" s="954">
        <f t="shared" si="31"/>
        <v>3.1175000000000002</v>
      </c>
      <c r="AC31" s="954">
        <f t="shared" si="32"/>
        <v>3.4292500000000006</v>
      </c>
      <c r="AD31" s="1210">
        <f t="shared" si="38"/>
        <v>0.17354541256031752</v>
      </c>
      <c r="AE31" s="38"/>
    </row>
    <row r="32" spans="1:31" ht="12.6" customHeight="1" x14ac:dyDescent="0.2">
      <c r="B32" s="57"/>
      <c r="C32" s="61"/>
      <c r="D32" s="57"/>
      <c r="E32" s="57"/>
      <c r="F32" s="57"/>
      <c r="G32" s="57"/>
      <c r="H32" s="57"/>
      <c r="I32" s="57"/>
      <c r="J32" s="57"/>
      <c r="K32" s="57"/>
      <c r="L32" s="57"/>
      <c r="M32" s="68"/>
      <c r="N32" s="68"/>
      <c r="O32" s="68"/>
      <c r="P32" s="68"/>
      <c r="S32" s="68"/>
      <c r="T32" s="68"/>
      <c r="W32" s="1209" t="str">
        <f t="shared" si="34"/>
        <v>PNP Port</v>
      </c>
      <c r="X32" s="954">
        <f t="shared" si="35"/>
        <v>0</v>
      </c>
      <c r="Y32" s="954">
        <f t="shared" si="36"/>
        <v>1.32</v>
      </c>
      <c r="Z32" s="954">
        <f t="shared" si="37"/>
        <v>5.5</v>
      </c>
      <c r="AA32" s="954">
        <f t="shared" si="30"/>
        <v>5.34</v>
      </c>
      <c r="AB32" s="954">
        <f t="shared" si="31"/>
        <v>6.1387</v>
      </c>
      <c r="AC32" s="954">
        <f t="shared" si="32"/>
        <v>6.2614739999999998</v>
      </c>
      <c r="AD32" s="1210">
        <f t="shared" si="38"/>
        <v>8.2848407745656383E-2</v>
      </c>
      <c r="AE32" s="38"/>
    </row>
    <row r="33" spans="2:31" ht="12.6" customHeight="1" x14ac:dyDescent="0.2">
      <c r="B33" s="111" t="s">
        <v>285</v>
      </c>
      <c r="C33" s="105"/>
      <c r="D33" s="85"/>
      <c r="E33" s="85"/>
      <c r="F33" s="85"/>
      <c r="G33" s="85"/>
      <c r="H33" s="85"/>
      <c r="I33" s="85"/>
      <c r="J33" s="85"/>
      <c r="K33" s="85"/>
      <c r="L33" s="85"/>
      <c r="M33" s="110"/>
      <c r="N33" s="110"/>
      <c r="O33" s="110"/>
      <c r="P33" s="110"/>
      <c r="S33" s="110"/>
      <c r="T33" s="110"/>
      <c r="W33" s="1209" t="str">
        <f t="shared" si="34"/>
        <v>Fujairah Liquid Storage</v>
      </c>
      <c r="X33" s="954">
        <f t="shared" si="35"/>
        <v>0</v>
      </c>
      <c r="Y33" s="954">
        <f t="shared" si="36"/>
        <v>2</v>
      </c>
      <c r="Z33" s="954">
        <f t="shared" si="37"/>
        <v>7.3</v>
      </c>
      <c r="AA33" s="954">
        <f t="shared" si="30"/>
        <v>5.71</v>
      </c>
      <c r="AB33" s="954">
        <f t="shared" si="31"/>
        <v>2.855</v>
      </c>
      <c r="AC33" s="954">
        <f t="shared" si="32"/>
        <v>4.9962499999999999</v>
      </c>
      <c r="AD33" s="1210">
        <f t="shared" si="38"/>
        <v>-6.4585653306514668E-2</v>
      </c>
      <c r="AE33" s="38"/>
    </row>
    <row r="34" spans="2:31" ht="12.6" customHeight="1" x14ac:dyDescent="0.2">
      <c r="B34" s="322" t="s">
        <v>213</v>
      </c>
      <c r="C34" s="323"/>
      <c r="D34" s="83"/>
      <c r="E34" s="113" t="str">
        <f>IFERROR(E3/D3-1,"--")</f>
        <v>--</v>
      </c>
      <c r="F34" s="113">
        <f t="shared" ref="F34:P34" si="43">IFERROR(F3/E3-1,"--")</f>
        <v>-0.24202093914081169</v>
      </c>
      <c r="G34" s="113">
        <f t="shared" si="43"/>
        <v>0.13037675254072245</v>
      </c>
      <c r="H34" s="113">
        <f t="shared" si="43"/>
        <v>-0.15662378830083568</v>
      </c>
      <c r="I34" s="113">
        <f t="shared" si="43"/>
        <v>-0.1082400403788909</v>
      </c>
      <c r="J34" s="113">
        <f t="shared" si="43"/>
        <v>-1.8518518518518601E-2</v>
      </c>
      <c r="K34" s="113">
        <f t="shared" ref="K34:L58" si="44">IFERROR(K3/J3-1,"--")</f>
        <v>-9.4339622641509413E-2</v>
      </c>
      <c r="L34" s="113">
        <f t="shared" si="44"/>
        <v>0.24583333333333357</v>
      </c>
      <c r="M34" s="197">
        <f t="shared" si="43"/>
        <v>2.2204460492503131E-16</v>
      </c>
      <c r="N34" s="197">
        <f t="shared" si="43"/>
        <v>2.0000000000000018E-2</v>
      </c>
      <c r="O34" s="197">
        <f t="shared" si="43"/>
        <v>2.0000000000000018E-2</v>
      </c>
      <c r="P34" s="197">
        <f t="shared" si="43"/>
        <v>2.0000000000000018E-2</v>
      </c>
      <c r="S34" s="197"/>
      <c r="T34" s="197"/>
      <c r="W34" s="1209" t="str">
        <f t="shared" si="34"/>
        <v>Tuticorin Dry Bulk</v>
      </c>
      <c r="X34" s="954">
        <f t="shared" si="35"/>
        <v>0</v>
      </c>
      <c r="Y34" s="954">
        <f t="shared" si="36"/>
        <v>0</v>
      </c>
      <c r="Z34" s="954">
        <f t="shared" si="37"/>
        <v>0.9</v>
      </c>
      <c r="AA34" s="954">
        <f t="shared" si="30"/>
        <v>4.99</v>
      </c>
      <c r="AB34" s="954">
        <f t="shared" ca="1" si="31"/>
        <v>5.25</v>
      </c>
      <c r="AC34" s="954">
        <f t="shared" ca="1" si="32"/>
        <v>5.25</v>
      </c>
      <c r="AD34" s="1210">
        <f t="shared" ca="1" si="38"/>
        <v>2.5721311281399428E-2</v>
      </c>
      <c r="AE34" s="38"/>
    </row>
    <row r="35" spans="2:31" ht="12.6" customHeight="1" x14ac:dyDescent="0.2">
      <c r="B35" s="322" t="s">
        <v>3</v>
      </c>
      <c r="C35" s="323"/>
      <c r="D35" s="83"/>
      <c r="E35" s="113">
        <f t="shared" ref="E35:E58" si="45">IFERROR(E4/D4-1,"--")</f>
        <v>0.36864184583114845</v>
      </c>
      <c r="F35" s="113">
        <f t="shared" ref="F35:P35" si="46">IFERROR(F4/E4-1,"--")</f>
        <v>-0.20533955961685824</v>
      </c>
      <c r="G35" s="113">
        <f t="shared" si="46"/>
        <v>-0.10918842271145868</v>
      </c>
      <c r="H35" s="113">
        <f t="shared" si="46"/>
        <v>0.51758865555314992</v>
      </c>
      <c r="I35" s="113">
        <f t="shared" si="46"/>
        <v>0.44349107285261025</v>
      </c>
      <c r="J35" s="113">
        <f t="shared" si="46"/>
        <v>6.2904580718485814E-2</v>
      </c>
      <c r="K35" s="113">
        <f t="shared" si="44"/>
        <v>-7.4848907484890925E-2</v>
      </c>
      <c r="L35" s="113">
        <f t="shared" si="44"/>
        <v>1.8592964824120761E-2</v>
      </c>
      <c r="M35" s="197">
        <f t="shared" si="46"/>
        <v>4.0000000000000036E-2</v>
      </c>
      <c r="N35" s="197">
        <f t="shared" si="46"/>
        <v>0.24774050320670948</v>
      </c>
      <c r="O35" s="197">
        <f t="shared" si="46"/>
        <v>9.9999999999999867E-2</v>
      </c>
      <c r="P35" s="197">
        <f t="shared" si="46"/>
        <v>5.0000000000000044E-2</v>
      </c>
      <c r="S35" s="197"/>
      <c r="T35" s="197"/>
      <c r="W35" s="1209" t="str">
        <f t="shared" si="34"/>
        <v>JNPT Liquid</v>
      </c>
      <c r="X35" s="954">
        <f t="shared" si="35"/>
        <v>0</v>
      </c>
      <c r="Y35" s="954">
        <f t="shared" si="36"/>
        <v>0</v>
      </c>
      <c r="Z35" s="954">
        <f t="shared" si="37"/>
        <v>0.2</v>
      </c>
      <c r="AA35" s="954">
        <f t="shared" si="30"/>
        <v>1.3</v>
      </c>
      <c r="AB35" s="954">
        <f>M16</f>
        <v>2.9250000000000003</v>
      </c>
      <c r="AC35" s="954">
        <f>N16</f>
        <v>3.15</v>
      </c>
      <c r="AD35" s="1210">
        <f>IFERROR((AC35/AA35)^(0.5)-1, "NM")</f>
        <v>0.55662356498831245</v>
      </c>
      <c r="AE35" s="38"/>
    </row>
    <row r="36" spans="2:31" ht="12.6" customHeight="1" x14ac:dyDescent="0.2">
      <c r="B36" s="322" t="s">
        <v>790</v>
      </c>
      <c r="C36" s="323"/>
      <c r="D36" s="83"/>
      <c r="E36" s="113">
        <f t="shared" si="45"/>
        <v>0.10463121783876517</v>
      </c>
      <c r="F36" s="113">
        <f t="shared" ref="F36:P36" si="47">IFERROR(F5/E5-1,"--")</f>
        <v>-3.0880434782609711E-3</v>
      </c>
      <c r="G36" s="113">
        <f t="shared" si="47"/>
        <v>4.6552140125883934E-3</v>
      </c>
      <c r="H36" s="113">
        <f t="shared" si="47"/>
        <v>0.33406925015503885</v>
      </c>
      <c r="I36" s="113">
        <f t="shared" si="47"/>
        <v>0.39632234043167869</v>
      </c>
      <c r="J36" s="113">
        <f t="shared" si="47"/>
        <v>4.6192259675405856E-2</v>
      </c>
      <c r="K36" s="113">
        <f t="shared" si="44"/>
        <v>-8.1145584725537012E-2</v>
      </c>
      <c r="L36" s="113">
        <f t="shared" si="44"/>
        <v>6.1904761904761907E-2</v>
      </c>
      <c r="M36" s="197">
        <f t="shared" si="47"/>
        <v>3.8726457399103076E-2</v>
      </c>
      <c r="N36" s="197">
        <f t="shared" si="47"/>
        <v>0.24208201268761798</v>
      </c>
      <c r="O36" s="197">
        <f t="shared" si="47"/>
        <v>9.7450091948357631E-2</v>
      </c>
      <c r="P36" s="197">
        <f t="shared" si="47"/>
        <v>2.9302954711922347E-2</v>
      </c>
      <c r="S36" s="197"/>
      <c r="T36" s="197"/>
      <c r="W36" s="1209" t="str">
        <f t="shared" ref="W36:W37" si="48">B18</f>
        <v>Jatadhar</v>
      </c>
      <c r="X36" s="954">
        <f t="shared" ref="X36:Z37" si="49">I18</f>
        <v>0</v>
      </c>
      <c r="Y36" s="954">
        <f t="shared" si="49"/>
        <v>0</v>
      </c>
      <c r="Z36" s="954">
        <f t="shared" si="49"/>
        <v>0</v>
      </c>
      <c r="AA36" s="954">
        <f t="shared" ref="AA36:AA37" si="50">L18</f>
        <v>0</v>
      </c>
      <c r="AB36" s="954">
        <f t="shared" ref="AB36:AB37" si="51">M18</f>
        <v>0</v>
      </c>
      <c r="AC36" s="954">
        <f t="shared" ref="AC36:AC37" si="52">N18</f>
        <v>10.050000000000001</v>
      </c>
      <c r="AD36" s="1210" t="str">
        <f t="shared" si="38"/>
        <v>NM</v>
      </c>
    </row>
    <row r="37" spans="2:31" ht="12.6" customHeight="1" x14ac:dyDescent="0.2">
      <c r="B37" s="322" t="s">
        <v>214</v>
      </c>
      <c r="C37" s="323"/>
      <c r="D37" s="83"/>
      <c r="E37" s="113">
        <f t="shared" si="45"/>
        <v>-0.5183486238532109</v>
      </c>
      <c r="F37" s="113">
        <f t="shared" ref="F37:P37" si="53">IFERROR(F6/E6-1,"--")</f>
        <v>0.25923409523809537</v>
      </c>
      <c r="G37" s="113">
        <f t="shared" si="53"/>
        <v>3.3129888931729967E-2</v>
      </c>
      <c r="H37" s="113">
        <f t="shared" si="53"/>
        <v>1.3998351244509433E-2</v>
      </c>
      <c r="I37" s="113">
        <f t="shared" si="53"/>
        <v>2.0560107618866175E-2</v>
      </c>
      <c r="J37" s="113">
        <f t="shared" si="53"/>
        <v>1.2450481041313077E-2</v>
      </c>
      <c r="K37" s="113">
        <f t="shared" si="44"/>
        <v>-0.1056456120737842</v>
      </c>
      <c r="L37" s="113">
        <f t="shared" si="44"/>
        <v>0.3359375</v>
      </c>
      <c r="M37" s="197">
        <f t="shared" ca="1" si="53"/>
        <v>9.8456140350877241E-2</v>
      </c>
      <c r="N37" s="197">
        <f t="shared" ca="1" si="53"/>
        <v>0.14999999999999991</v>
      </c>
      <c r="O37" s="197">
        <f t="shared" ca="1" si="53"/>
        <v>4.378425860857349E-2</v>
      </c>
      <c r="P37" s="197">
        <f t="shared" ca="1" si="53"/>
        <v>4.3806793890817097E-2</v>
      </c>
      <c r="S37" s="197"/>
      <c r="T37" s="197"/>
      <c r="W37" s="1209" t="str">
        <f t="shared" si="48"/>
        <v>Slurry Pipeline Phase I</v>
      </c>
      <c r="X37" s="954">
        <f t="shared" si="49"/>
        <v>0</v>
      </c>
      <c r="Y37" s="954">
        <f t="shared" si="49"/>
        <v>0</v>
      </c>
      <c r="Z37" s="954">
        <f t="shared" si="49"/>
        <v>0</v>
      </c>
      <c r="AA37" s="954">
        <f t="shared" si="50"/>
        <v>0</v>
      </c>
      <c r="AB37" s="954">
        <f t="shared" si="51"/>
        <v>0</v>
      </c>
      <c r="AC37" s="954">
        <f t="shared" si="52"/>
        <v>12</v>
      </c>
      <c r="AD37" s="1210" t="str">
        <f t="shared" si="38"/>
        <v>NM</v>
      </c>
    </row>
    <row r="38" spans="2:31" ht="12.6" customHeight="1" x14ac:dyDescent="0.2">
      <c r="B38" s="322" t="s">
        <v>10</v>
      </c>
      <c r="C38" s="323"/>
      <c r="D38" s="83"/>
      <c r="E38" s="113" t="str">
        <f t="shared" si="45"/>
        <v>--</v>
      </c>
      <c r="F38" s="113" t="str">
        <f t="shared" ref="F38:P38" si="54">IFERROR(F7/E7-1,"--")</f>
        <v>--</v>
      </c>
      <c r="G38" s="113">
        <f t="shared" si="54"/>
        <v>7.3218163869693988</v>
      </c>
      <c r="H38" s="113">
        <f t="shared" si="54"/>
        <v>-0.10840865954922885</v>
      </c>
      <c r="I38" s="113">
        <f t="shared" si="54"/>
        <v>0.26661180676453178</v>
      </c>
      <c r="J38" s="113">
        <f t="shared" si="54"/>
        <v>0.29936974789915971</v>
      </c>
      <c r="K38" s="113">
        <f t="shared" si="44"/>
        <v>-7.8415521422796952E-2</v>
      </c>
      <c r="L38" s="113">
        <f t="shared" si="44"/>
        <v>-0.36315789473684212</v>
      </c>
      <c r="M38" s="197">
        <f t="shared" ca="1" si="54"/>
        <v>0.30000000000000004</v>
      </c>
      <c r="N38" s="197">
        <f t="shared" ca="1" si="54"/>
        <v>1.0000000000000009E-2</v>
      </c>
      <c r="O38" s="197">
        <f t="shared" ca="1" si="54"/>
        <v>1.0000000000000009E-2</v>
      </c>
      <c r="P38" s="197">
        <f t="shared" ca="1" si="54"/>
        <v>1.0000000000000009E-2</v>
      </c>
      <c r="S38" s="197"/>
      <c r="T38" s="197"/>
      <c r="W38" s="1209" t="str">
        <f>B23</f>
        <v>Kolkata Container Terminal</v>
      </c>
      <c r="X38" s="954">
        <f t="shared" ref="X38:Z38" si="55">I23</f>
        <v>0</v>
      </c>
      <c r="Y38" s="954">
        <f t="shared" si="55"/>
        <v>0</v>
      </c>
      <c r="Z38" s="954">
        <f t="shared" si="55"/>
        <v>0</v>
      </c>
      <c r="AA38" s="954">
        <f t="shared" ref="AA38" si="56">L23</f>
        <v>0</v>
      </c>
      <c r="AB38" s="954">
        <f t="shared" ref="AB38" si="57">M23</f>
        <v>1.1024999999999998</v>
      </c>
      <c r="AC38" s="954">
        <f t="shared" ref="AC38" si="58">N23</f>
        <v>2.2049999999999996</v>
      </c>
      <c r="AD38" s="1210" t="str">
        <f t="shared" si="38"/>
        <v>NM</v>
      </c>
    </row>
    <row r="39" spans="2:31" ht="12.6" customHeight="1" x14ac:dyDescent="0.2">
      <c r="B39" s="322" t="s">
        <v>568</v>
      </c>
      <c r="C39" s="323"/>
      <c r="D39" s="83"/>
      <c r="E39" s="113" t="str">
        <f t="shared" si="45"/>
        <v>--</v>
      </c>
      <c r="F39" s="113" t="str">
        <f t="shared" ref="F39:P39" si="59">IFERROR(F8/E8-1,"--")</f>
        <v>--</v>
      </c>
      <c r="G39" s="113" t="str">
        <f t="shared" si="59"/>
        <v>--</v>
      </c>
      <c r="H39" s="113" t="str">
        <f t="shared" si="59"/>
        <v>--</v>
      </c>
      <c r="I39" s="113">
        <f t="shared" si="59"/>
        <v>41.875211543600251</v>
      </c>
      <c r="J39" s="113">
        <f t="shared" si="59"/>
        <v>0.39355160378926368</v>
      </c>
      <c r="K39" s="113">
        <f t="shared" si="44"/>
        <v>0.12701252236135963</v>
      </c>
      <c r="L39" s="113">
        <f t="shared" si="44"/>
        <v>5.8201058201059475E-3</v>
      </c>
      <c r="M39" s="197">
        <f t="shared" si="59"/>
        <v>2.0000000000000018E-2</v>
      </c>
      <c r="N39" s="197">
        <f t="shared" si="59"/>
        <v>6.0000000000000053E-2</v>
      </c>
      <c r="O39" s="197">
        <f t="shared" si="59"/>
        <v>6.0000000000000053E-2</v>
      </c>
      <c r="P39" s="197">
        <f t="shared" si="59"/>
        <v>6.0000000000000053E-2</v>
      </c>
      <c r="S39" s="197"/>
      <c r="T39" s="197"/>
      <c r="W39" s="1211" t="s">
        <v>551</v>
      </c>
      <c r="X39" s="955">
        <f>SUM(X22:X38)</f>
        <v>92.810997683220748</v>
      </c>
      <c r="Y39" s="955">
        <f t="shared" ref="Y39:Z39" si="60">SUM(Y22:Y38)</f>
        <v>107.03816244451822</v>
      </c>
      <c r="Z39" s="955">
        <f t="shared" si="60"/>
        <v>117</v>
      </c>
      <c r="AA39" s="955">
        <f t="shared" ref="AA39" si="61">SUM(AA22:AA38)</f>
        <v>120.73999999999998</v>
      </c>
      <c r="AB39" s="955">
        <f ca="1">SUM(AB22:AB38)</f>
        <v>127.95611000000002</v>
      </c>
      <c r="AC39" s="955">
        <f ca="1">SUM(AC22:AC38)</f>
        <v>168.54703450000002</v>
      </c>
      <c r="AD39" s="1212">
        <f ca="1">IFERROR((AC39/AA39)^(0.5)-1, "NM")</f>
        <v>0.18150339013105321</v>
      </c>
    </row>
    <row r="40" spans="2:31" ht="12.6" customHeight="1" x14ac:dyDescent="0.2">
      <c r="B40" s="322" t="s">
        <v>8</v>
      </c>
      <c r="C40" s="323"/>
      <c r="D40" s="83"/>
      <c r="E40" s="113" t="str">
        <f t="shared" si="45"/>
        <v>--</v>
      </c>
      <c r="F40" s="113" t="str">
        <f t="shared" ref="F40:P40" si="62">IFERROR(F9/E9-1,"--")</f>
        <v>--</v>
      </c>
      <c r="G40" s="113" t="str">
        <f t="shared" si="62"/>
        <v>--</v>
      </c>
      <c r="H40" s="113">
        <f t="shared" si="62"/>
        <v>1.5580942675159233</v>
      </c>
      <c r="I40" s="113">
        <f t="shared" si="62"/>
        <v>8.3609215458960495E-2</v>
      </c>
      <c r="J40" s="113">
        <f t="shared" si="62"/>
        <v>6.9623161764705843E-2</v>
      </c>
      <c r="K40" s="113">
        <f t="shared" si="44"/>
        <v>9.559613319011806E-2</v>
      </c>
      <c r="L40" s="113">
        <f t="shared" si="44"/>
        <v>1.7647058823529571E-2</v>
      </c>
      <c r="M40" s="197">
        <f t="shared" ca="1" si="62"/>
        <v>1.0000000000000009E-2</v>
      </c>
      <c r="N40" s="197">
        <f t="shared" ca="1" si="62"/>
        <v>1.0000000000000009E-2</v>
      </c>
      <c r="O40" s="197">
        <f t="shared" ca="1" si="62"/>
        <v>1.0000000000000009E-2</v>
      </c>
      <c r="P40" s="197">
        <f t="shared" ca="1" si="62"/>
        <v>1.0000000000000009E-2</v>
      </c>
      <c r="S40" s="197"/>
      <c r="T40" s="197"/>
      <c r="W40" s="1213"/>
      <c r="AD40" s="1214"/>
    </row>
    <row r="41" spans="2:31" ht="12.6" customHeight="1" x14ac:dyDescent="0.2">
      <c r="B41" s="322" t="s">
        <v>9</v>
      </c>
      <c r="C41" s="323"/>
      <c r="D41" s="83"/>
      <c r="E41" s="113" t="str">
        <f t="shared" si="45"/>
        <v>--</v>
      </c>
      <c r="F41" s="113" t="str">
        <f t="shared" ref="F41:P41" si="63">IFERROR(F10/E10-1,"--")</f>
        <v>--</v>
      </c>
      <c r="G41" s="113" t="str">
        <f t="shared" si="63"/>
        <v>--</v>
      </c>
      <c r="H41" s="113">
        <f t="shared" si="63"/>
        <v>1.9749617666923074</v>
      </c>
      <c r="I41" s="113">
        <f t="shared" si="63"/>
        <v>0.62898021090940315</v>
      </c>
      <c r="J41" s="113">
        <f t="shared" si="63"/>
        <v>-0.22751322751322745</v>
      </c>
      <c r="K41" s="113">
        <f t="shared" si="44"/>
        <v>0.43835616438356184</v>
      </c>
      <c r="L41" s="113">
        <f t="shared" si="44"/>
        <v>-0.21428571428571441</v>
      </c>
      <c r="M41" s="197">
        <f t="shared" si="63"/>
        <v>4.8090909090909406E-2</v>
      </c>
      <c r="N41" s="197">
        <f t="shared" si="63"/>
        <v>5.0000000000000044E-2</v>
      </c>
      <c r="O41" s="197">
        <f t="shared" si="63"/>
        <v>5.0000000000000044E-2</v>
      </c>
      <c r="P41" s="197">
        <f t="shared" si="63"/>
        <v>5.0000000000000044E-2</v>
      </c>
      <c r="S41" s="197"/>
      <c r="T41" s="197"/>
      <c r="W41" s="1215" t="s">
        <v>1790</v>
      </c>
      <c r="X41" s="954"/>
      <c r="Y41" s="962"/>
      <c r="Z41" s="962"/>
      <c r="AA41" s="962"/>
      <c r="AB41" s="962"/>
      <c r="AC41" s="962"/>
      <c r="AD41" s="1216"/>
    </row>
    <row r="42" spans="2:31" ht="12.6" customHeight="1" x14ac:dyDescent="0.2">
      <c r="B42" s="322" t="s">
        <v>215</v>
      </c>
      <c r="C42" s="323"/>
      <c r="D42" s="83"/>
      <c r="E42" s="113" t="str">
        <f t="shared" si="45"/>
        <v>--</v>
      </c>
      <c r="F42" s="113" t="str">
        <f t="shared" ref="F42:P42" si="64">IFERROR(F11/E11-1,"--")</f>
        <v>--</v>
      </c>
      <c r="G42" s="113" t="str">
        <f t="shared" si="64"/>
        <v>--</v>
      </c>
      <c r="H42" s="113">
        <f t="shared" si="64"/>
        <v>2.7165700598039217</v>
      </c>
      <c r="I42" s="113">
        <f t="shared" si="64"/>
        <v>0.17491843188798706</v>
      </c>
      <c r="J42" s="113">
        <f t="shared" si="64"/>
        <v>7.0947462954647378E-2</v>
      </c>
      <c r="K42" s="113">
        <f t="shared" si="44"/>
        <v>0.32075471698113223</v>
      </c>
      <c r="L42" s="113">
        <f t="shared" si="44"/>
        <v>-4.761904761904856E-3</v>
      </c>
      <c r="M42" s="197">
        <f t="shared" ca="1" si="64"/>
        <v>5.0000000000000044E-2</v>
      </c>
      <c r="N42" s="197">
        <f t="shared" ca="1" si="64"/>
        <v>5.0000000000000044E-2</v>
      </c>
      <c r="O42" s="197">
        <f t="shared" ca="1" si="64"/>
        <v>5.0000000000000044E-2</v>
      </c>
      <c r="P42" s="197">
        <f t="shared" ca="1" si="64"/>
        <v>5.0000000000000044E-2</v>
      </c>
      <c r="S42" s="197"/>
      <c r="T42" s="197"/>
      <c r="W42" s="1215" t="str">
        <f t="shared" ref="W42:W55" si="65">W22</f>
        <v>Standalone</v>
      </c>
      <c r="X42" s="954"/>
      <c r="Y42" s="962">
        <f t="shared" ref="Y42:AC53" si="66">IF(ISERROR(Y22/X22-1), "-", (Y22/X22-1))</f>
        <v>-1.8518518518518601E-2</v>
      </c>
      <c r="Z42" s="962">
        <f t="shared" si="66"/>
        <v>-9.4339622641509413E-2</v>
      </c>
      <c r="AA42" s="962">
        <f t="shared" si="66"/>
        <v>0.24583333333333357</v>
      </c>
      <c r="AB42" s="962">
        <f t="shared" si="66"/>
        <v>2.2204460492503131E-16</v>
      </c>
      <c r="AC42" s="962">
        <f t="shared" si="66"/>
        <v>2.0000000000000018E-2</v>
      </c>
      <c r="AD42" s="1216"/>
    </row>
    <row r="43" spans="2:31" ht="12.6" customHeight="1" x14ac:dyDescent="0.2">
      <c r="B43" s="322" t="s">
        <v>216</v>
      </c>
      <c r="C43" s="323"/>
      <c r="D43" s="83"/>
      <c r="E43" s="113" t="str">
        <f t="shared" si="45"/>
        <v>--</v>
      </c>
      <c r="F43" s="113" t="str">
        <f t="shared" ref="F43:P43" si="67">IFERROR(F12/E12-1,"--")</f>
        <v>--</v>
      </c>
      <c r="G43" s="113" t="str">
        <f t="shared" si="67"/>
        <v>--</v>
      </c>
      <c r="H43" s="113" t="str">
        <f t="shared" si="67"/>
        <v>--</v>
      </c>
      <c r="I43" s="113" t="str">
        <f t="shared" si="67"/>
        <v>--</v>
      </c>
      <c r="J43" s="113">
        <f t="shared" si="67"/>
        <v>0.1877484803446543</v>
      </c>
      <c r="K43" s="113">
        <f t="shared" si="44"/>
        <v>-7.0546469647937093E-2</v>
      </c>
      <c r="L43" s="113">
        <f t="shared" si="44"/>
        <v>3.7500000000000089E-2</v>
      </c>
      <c r="M43" s="197">
        <f t="shared" si="67"/>
        <v>0.25200803212851408</v>
      </c>
      <c r="N43" s="197">
        <f t="shared" si="67"/>
        <v>0.10000000000000009</v>
      </c>
      <c r="O43" s="197">
        <f t="shared" si="67"/>
        <v>6.0000000000000053E-2</v>
      </c>
      <c r="P43" s="197">
        <f t="shared" si="67"/>
        <v>6.0000000000000053E-2</v>
      </c>
      <c r="S43" s="197"/>
      <c r="T43" s="197"/>
      <c r="W43" s="1215" t="str">
        <f t="shared" si="65"/>
        <v>Jaigarh</v>
      </c>
      <c r="X43" s="954"/>
      <c r="Y43" s="962">
        <f t="shared" si="66"/>
        <v>6.2904580718485814E-2</v>
      </c>
      <c r="Z43" s="962">
        <f t="shared" si="66"/>
        <v>-7.4848907484890925E-2</v>
      </c>
      <c r="AA43" s="962">
        <f t="shared" si="66"/>
        <v>1.8592964824120761E-2</v>
      </c>
      <c r="AB43" s="962">
        <f t="shared" si="66"/>
        <v>4.0000000000000036E-2</v>
      </c>
      <c r="AC43" s="962">
        <f t="shared" si="66"/>
        <v>0.24774050320670948</v>
      </c>
      <c r="AD43" s="1216"/>
    </row>
    <row r="44" spans="2:31" ht="12.6" customHeight="1" x14ac:dyDescent="0.2">
      <c r="B44" s="322" t="s">
        <v>2</v>
      </c>
      <c r="C44" s="323"/>
      <c r="D44" s="83"/>
      <c r="E44" s="113" t="str">
        <f t="shared" si="45"/>
        <v>--</v>
      </c>
      <c r="F44" s="113" t="str">
        <f t="shared" ref="F44:P44" si="68">IFERROR(F13/E13-1,"--")</f>
        <v>--</v>
      </c>
      <c r="G44" s="113" t="str">
        <f t="shared" si="68"/>
        <v>--</v>
      </c>
      <c r="H44" s="113" t="str">
        <f t="shared" si="68"/>
        <v>--</v>
      </c>
      <c r="I44" s="113" t="str">
        <f t="shared" si="68"/>
        <v>--</v>
      </c>
      <c r="J44" s="113" t="str">
        <f t="shared" si="68"/>
        <v>--</v>
      </c>
      <c r="K44" s="113">
        <f t="shared" si="44"/>
        <v>3.1666666666666661</v>
      </c>
      <c r="L44" s="113">
        <f t="shared" si="44"/>
        <v>-2.9090909090909167E-2</v>
      </c>
      <c r="M44" s="197">
        <f>IFERROR(M13/L13-1,"--")</f>
        <v>0.14956928838951322</v>
      </c>
      <c r="N44" s="197">
        <f t="shared" si="68"/>
        <v>2.0000000000000018E-2</v>
      </c>
      <c r="O44" s="197">
        <f t="shared" si="68"/>
        <v>5.0000000000000044E-2</v>
      </c>
      <c r="P44" s="197">
        <f t="shared" si="68"/>
        <v>5.0000000000000044E-2</v>
      </c>
      <c r="S44" s="197"/>
      <c r="T44" s="197"/>
      <c r="W44" s="1215" t="str">
        <f t="shared" si="65"/>
        <v>Dharmatar</v>
      </c>
      <c r="X44" s="954"/>
      <c r="Y44" s="962">
        <f t="shared" si="66"/>
        <v>4.6192259675405856E-2</v>
      </c>
      <c r="Z44" s="962">
        <f t="shared" si="66"/>
        <v>-8.1145584725537012E-2</v>
      </c>
      <c r="AA44" s="962">
        <f t="shared" si="66"/>
        <v>6.1904761904761907E-2</v>
      </c>
      <c r="AB44" s="962">
        <f t="shared" si="66"/>
        <v>3.8726457399103076E-2</v>
      </c>
      <c r="AC44" s="962">
        <f t="shared" si="66"/>
        <v>0.24208201268761798</v>
      </c>
      <c r="AD44" s="1216"/>
    </row>
    <row r="45" spans="2:31" ht="12.6" customHeight="1" x14ac:dyDescent="0.2">
      <c r="B45" s="322" t="s">
        <v>791</v>
      </c>
      <c r="C45" s="323"/>
      <c r="D45" s="83"/>
      <c r="E45" s="113" t="str">
        <f t="shared" si="45"/>
        <v>--</v>
      </c>
      <c r="F45" s="113" t="str">
        <f t="shared" ref="F45:P45" si="69">IFERROR(F14/E14-1,"--")</f>
        <v>--</v>
      </c>
      <c r="G45" s="113" t="str">
        <f t="shared" si="69"/>
        <v>--</v>
      </c>
      <c r="H45" s="113" t="str">
        <f t="shared" si="69"/>
        <v>--</v>
      </c>
      <c r="I45" s="113" t="str">
        <f t="shared" si="69"/>
        <v>--</v>
      </c>
      <c r="J45" s="113" t="str">
        <f t="shared" si="69"/>
        <v>--</v>
      </c>
      <c r="K45" s="113">
        <f t="shared" si="44"/>
        <v>2.65</v>
      </c>
      <c r="L45" s="113">
        <f t="shared" si="44"/>
        <v>-0.21780821917808213</v>
      </c>
      <c r="M45" s="197">
        <f>IFERROR(M14/L14-1,"--")</f>
        <v>-0.5</v>
      </c>
      <c r="N45" s="197">
        <f t="shared" si="69"/>
        <v>0.75</v>
      </c>
      <c r="O45" s="197">
        <f t="shared" si="69"/>
        <v>0.19999999999999996</v>
      </c>
      <c r="P45" s="197">
        <f t="shared" si="69"/>
        <v>4.0000000000000036E-2</v>
      </c>
      <c r="S45" s="197"/>
      <c r="T45" s="197"/>
      <c r="W45" s="1215" t="str">
        <f t="shared" si="65"/>
        <v>Goa</v>
      </c>
      <c r="X45" s="954"/>
      <c r="Y45" s="962">
        <f t="shared" si="66"/>
        <v>1.2450481041313077E-2</v>
      </c>
      <c r="Z45" s="962">
        <f t="shared" si="66"/>
        <v>-0.1056456120737842</v>
      </c>
      <c r="AA45" s="962">
        <f t="shared" si="66"/>
        <v>0.3359375</v>
      </c>
      <c r="AB45" s="962">
        <f t="shared" ca="1" si="66"/>
        <v>9.8456140350877241E-2</v>
      </c>
      <c r="AC45" s="962">
        <f t="shared" ca="1" si="66"/>
        <v>0.14999999999999991</v>
      </c>
      <c r="AD45" s="1216"/>
    </row>
    <row r="46" spans="2:31" ht="12.6" customHeight="1" x14ac:dyDescent="0.2">
      <c r="B46" s="322" t="s">
        <v>553</v>
      </c>
      <c r="C46" s="323"/>
      <c r="D46" s="83"/>
      <c r="E46" s="113" t="str">
        <f t="shared" si="45"/>
        <v>--</v>
      </c>
      <c r="F46" s="113" t="str">
        <f t="shared" ref="F46:P46" si="70">IFERROR(F15/E15-1,"--")</f>
        <v>--</v>
      </c>
      <c r="G46" s="113" t="str">
        <f t="shared" si="70"/>
        <v>--</v>
      </c>
      <c r="H46" s="113" t="str">
        <f t="shared" si="70"/>
        <v>--</v>
      </c>
      <c r="I46" s="113" t="str">
        <f t="shared" si="70"/>
        <v>--</v>
      </c>
      <c r="J46" s="113" t="str">
        <f t="shared" si="70"/>
        <v>--</v>
      </c>
      <c r="K46" s="113" t="str">
        <f t="shared" si="44"/>
        <v>--</v>
      </c>
      <c r="L46" s="113">
        <f t="shared" si="44"/>
        <v>4.5444444444444443</v>
      </c>
      <c r="M46" s="197">
        <f ca="1">IFERROR(M15/L15-1,"--")</f>
        <v>5.2104208416833719E-2</v>
      </c>
      <c r="N46" s="197">
        <f t="shared" ca="1" si="70"/>
        <v>0</v>
      </c>
      <c r="O46" s="197">
        <f t="shared" ca="1" si="70"/>
        <v>0</v>
      </c>
      <c r="P46" s="197">
        <f t="shared" ca="1" si="70"/>
        <v>0</v>
      </c>
      <c r="S46" s="197"/>
      <c r="T46" s="197"/>
      <c r="W46" s="1215" t="str">
        <f t="shared" si="65"/>
        <v>Paradip Iron Ore</v>
      </c>
      <c r="X46" s="954"/>
      <c r="Y46" s="962">
        <f t="shared" si="66"/>
        <v>0.29936974789915971</v>
      </c>
      <c r="Z46" s="962">
        <f t="shared" si="66"/>
        <v>-7.8415521422796952E-2</v>
      </c>
      <c r="AA46" s="962">
        <f t="shared" si="66"/>
        <v>-0.36315789473684212</v>
      </c>
      <c r="AB46" s="962">
        <f t="shared" ca="1" si="66"/>
        <v>0.30000000000000004</v>
      </c>
      <c r="AC46" s="962">
        <f t="shared" ca="1" si="66"/>
        <v>1.0000000000000009E-2</v>
      </c>
      <c r="AD46" s="1216"/>
    </row>
    <row r="47" spans="2:31" ht="12.6" customHeight="1" x14ac:dyDescent="0.2">
      <c r="B47" s="322" t="s">
        <v>788</v>
      </c>
      <c r="C47" s="323"/>
      <c r="D47" s="83"/>
      <c r="E47" s="113" t="str">
        <f t="shared" si="45"/>
        <v>--</v>
      </c>
      <c r="F47" s="113" t="str">
        <f t="shared" ref="F47:J47" si="71">IFERROR(F16/E16-1,"--")</f>
        <v>--</v>
      </c>
      <c r="G47" s="113" t="str">
        <f t="shared" si="71"/>
        <v>--</v>
      </c>
      <c r="H47" s="113" t="str">
        <f t="shared" si="71"/>
        <v>--</v>
      </c>
      <c r="I47" s="113" t="str">
        <f t="shared" si="71"/>
        <v>--</v>
      </c>
      <c r="J47" s="113" t="str">
        <f t="shared" si="71"/>
        <v>--</v>
      </c>
      <c r="K47" s="113" t="str">
        <f t="shared" si="44"/>
        <v>--</v>
      </c>
      <c r="L47" s="113">
        <f t="shared" si="44"/>
        <v>5.5</v>
      </c>
      <c r="M47" s="197">
        <f>IFERROR(M16/L16-1,"--")</f>
        <v>1.25</v>
      </c>
      <c r="N47" s="197">
        <f>IFERROR(N16/M16-1,"--")</f>
        <v>7.6923076923076872E-2</v>
      </c>
      <c r="O47" s="197">
        <f>IFERROR(O16/N16-1,"--")</f>
        <v>7.1428571428571397E-2</v>
      </c>
      <c r="P47" s="197">
        <f>IFERROR(P16/O16-1,"--")</f>
        <v>0</v>
      </c>
      <c r="S47" s="197"/>
      <c r="T47" s="197"/>
      <c r="W47" s="1215" t="str">
        <f t="shared" si="65"/>
        <v>Paradip Coal</v>
      </c>
      <c r="X47" s="954"/>
      <c r="Y47" s="962">
        <f t="shared" si="66"/>
        <v>0.39355160378926368</v>
      </c>
      <c r="Z47" s="962">
        <f t="shared" si="66"/>
        <v>0.12701252236135963</v>
      </c>
      <c r="AA47" s="962">
        <f t="shared" si="66"/>
        <v>5.8201058201059475E-3</v>
      </c>
      <c r="AB47" s="962">
        <f t="shared" si="66"/>
        <v>2.0000000000000018E-2</v>
      </c>
      <c r="AC47" s="962">
        <f t="shared" si="66"/>
        <v>6.0000000000000053E-2</v>
      </c>
      <c r="AD47" s="1216"/>
    </row>
    <row r="48" spans="2:31" ht="12.6" customHeight="1" x14ac:dyDescent="0.2">
      <c r="B48" s="322" t="s">
        <v>789</v>
      </c>
      <c r="C48" s="323"/>
      <c r="D48" s="83"/>
      <c r="E48" s="113" t="str">
        <f t="shared" si="45"/>
        <v>--</v>
      </c>
      <c r="F48" s="113" t="str">
        <f t="shared" ref="F48:P48" si="72">IFERROR(F17/E17-1,"--")</f>
        <v>--</v>
      </c>
      <c r="G48" s="113" t="str">
        <f t="shared" si="72"/>
        <v>--</v>
      </c>
      <c r="H48" s="113" t="str">
        <f t="shared" si="72"/>
        <v>--</v>
      </c>
      <c r="I48" s="113" t="str">
        <f t="shared" si="72"/>
        <v>--</v>
      </c>
      <c r="J48" s="113" t="str">
        <f t="shared" si="72"/>
        <v>--</v>
      </c>
      <c r="K48" s="113" t="str">
        <f t="shared" si="44"/>
        <v>--</v>
      </c>
      <c r="L48" s="113" t="str">
        <f t="shared" si="44"/>
        <v>--</v>
      </c>
      <c r="M48" s="197" t="str">
        <f t="shared" si="72"/>
        <v>--</v>
      </c>
      <c r="N48" s="197" t="str">
        <f t="shared" si="72"/>
        <v>--</v>
      </c>
      <c r="O48" s="197" t="str">
        <f t="shared" si="72"/>
        <v>--</v>
      </c>
      <c r="P48" s="197">
        <f t="shared" si="72"/>
        <v>5</v>
      </c>
      <c r="S48" s="197"/>
      <c r="T48" s="197"/>
      <c r="W48" s="1215" t="str">
        <f t="shared" si="65"/>
        <v>Ennore Coal</v>
      </c>
      <c r="X48" s="954"/>
      <c r="Y48" s="962">
        <f t="shared" si="66"/>
        <v>6.9623161764705843E-2</v>
      </c>
      <c r="Z48" s="962">
        <f t="shared" si="66"/>
        <v>9.559613319011806E-2</v>
      </c>
      <c r="AA48" s="962">
        <f t="shared" si="66"/>
        <v>1.7647058823529571E-2</v>
      </c>
      <c r="AB48" s="962">
        <f t="shared" ca="1" si="66"/>
        <v>1.0000000000000009E-2</v>
      </c>
      <c r="AC48" s="962">
        <f t="shared" ca="1" si="66"/>
        <v>1.0000000000000009E-2</v>
      </c>
      <c r="AD48" s="1216"/>
    </row>
    <row r="49" spans="2:30" ht="12.6" customHeight="1" x14ac:dyDescent="0.2">
      <c r="B49" s="322" t="s">
        <v>558</v>
      </c>
      <c r="C49" s="323"/>
      <c r="D49" s="83"/>
      <c r="E49" s="113" t="str">
        <f t="shared" si="45"/>
        <v>--</v>
      </c>
      <c r="F49" s="113" t="str">
        <f t="shared" ref="F49:P49" si="73">IFERROR(F18/E18-1,"--")</f>
        <v>--</v>
      </c>
      <c r="G49" s="113" t="str">
        <f t="shared" si="73"/>
        <v>--</v>
      </c>
      <c r="H49" s="113" t="str">
        <f t="shared" si="73"/>
        <v>--</v>
      </c>
      <c r="I49" s="113" t="str">
        <f t="shared" si="73"/>
        <v>--</v>
      </c>
      <c r="J49" s="113" t="str">
        <f t="shared" si="73"/>
        <v>--</v>
      </c>
      <c r="K49" s="113" t="str">
        <f t="shared" si="44"/>
        <v>--</v>
      </c>
      <c r="L49" s="113" t="str">
        <f t="shared" si="44"/>
        <v>--</v>
      </c>
      <c r="M49" s="197" t="str">
        <f t="shared" si="73"/>
        <v>--</v>
      </c>
      <c r="N49" s="197" t="str">
        <f t="shared" si="73"/>
        <v>--</v>
      </c>
      <c r="O49" s="197">
        <f t="shared" si="73"/>
        <v>0.64179104477611926</v>
      </c>
      <c r="P49" s="197">
        <f t="shared" si="73"/>
        <v>0.27272727272727271</v>
      </c>
      <c r="S49" s="197"/>
      <c r="T49" s="197"/>
      <c r="W49" s="1215" t="str">
        <f t="shared" si="65"/>
        <v>Ennore Bulk</v>
      </c>
      <c r="X49" s="954"/>
      <c r="Y49" s="962">
        <f t="shared" si="66"/>
        <v>-0.22751322751322745</v>
      </c>
      <c r="Z49" s="962">
        <f t="shared" si="66"/>
        <v>0.43835616438356184</v>
      </c>
      <c r="AA49" s="962">
        <f t="shared" si="66"/>
        <v>-0.21428571428571441</v>
      </c>
      <c r="AB49" s="962">
        <f t="shared" si="66"/>
        <v>4.8090909090909406E-2</v>
      </c>
      <c r="AC49" s="962">
        <f t="shared" si="66"/>
        <v>5.0000000000000044E-2</v>
      </c>
      <c r="AD49" s="1216"/>
    </row>
    <row r="50" spans="2:30" ht="12.6" customHeight="1" x14ac:dyDescent="0.2">
      <c r="B50" s="322" t="s">
        <v>760</v>
      </c>
      <c r="C50" s="323"/>
      <c r="D50" s="83"/>
      <c r="E50" s="113" t="str">
        <f t="shared" si="45"/>
        <v>--</v>
      </c>
      <c r="F50" s="113" t="str">
        <f t="shared" ref="F50:P50" si="74">IFERROR(F19/E19-1,"--")</f>
        <v>--</v>
      </c>
      <c r="G50" s="113" t="str">
        <f t="shared" si="74"/>
        <v>--</v>
      </c>
      <c r="H50" s="113" t="str">
        <f t="shared" si="74"/>
        <v>--</v>
      </c>
      <c r="I50" s="113" t="str">
        <f t="shared" si="74"/>
        <v>--</v>
      </c>
      <c r="J50" s="113" t="str">
        <f t="shared" si="74"/>
        <v>--</v>
      </c>
      <c r="K50" s="113" t="str">
        <f t="shared" si="44"/>
        <v>--</v>
      </c>
      <c r="L50" s="113" t="str">
        <f t="shared" si="44"/>
        <v>--</v>
      </c>
      <c r="M50" s="197" t="str">
        <f t="shared" si="74"/>
        <v>--</v>
      </c>
      <c r="N50" s="197" t="str">
        <f t="shared" si="74"/>
        <v>--</v>
      </c>
      <c r="O50" s="197">
        <f t="shared" si="74"/>
        <v>0.5</v>
      </c>
      <c r="P50" s="197">
        <f t="shared" si="74"/>
        <v>0</v>
      </c>
      <c r="S50" s="197"/>
      <c r="T50" s="197"/>
      <c r="W50" s="1215" t="str">
        <f t="shared" si="65"/>
        <v>Mangalore Coal</v>
      </c>
      <c r="X50" s="954"/>
      <c r="Y50" s="962">
        <f t="shared" si="66"/>
        <v>7.0947462954647378E-2</v>
      </c>
      <c r="Z50" s="962">
        <f t="shared" si="66"/>
        <v>0.32075471698113223</v>
      </c>
      <c r="AA50" s="962">
        <f t="shared" si="66"/>
        <v>-4.761904761904856E-3</v>
      </c>
      <c r="AB50" s="962">
        <f t="shared" ca="1" si="66"/>
        <v>5.0000000000000044E-2</v>
      </c>
      <c r="AC50" s="962">
        <f t="shared" ca="1" si="66"/>
        <v>5.0000000000000044E-2</v>
      </c>
      <c r="AD50" s="1216"/>
    </row>
    <row r="51" spans="2:30" ht="12.6" customHeight="1" x14ac:dyDescent="0.2">
      <c r="B51" s="322" t="s">
        <v>761</v>
      </c>
      <c r="C51" s="323"/>
      <c r="D51" s="83"/>
      <c r="E51" s="113" t="str">
        <f t="shared" si="45"/>
        <v>--</v>
      </c>
      <c r="F51" s="113" t="str">
        <f t="shared" ref="F51:P51" si="75">IFERROR(F20/E20-1,"--")</f>
        <v>--</v>
      </c>
      <c r="G51" s="113" t="str">
        <f t="shared" si="75"/>
        <v>--</v>
      </c>
      <c r="H51" s="113" t="str">
        <f t="shared" si="75"/>
        <v>--</v>
      </c>
      <c r="I51" s="113" t="str">
        <f t="shared" si="75"/>
        <v>--</v>
      </c>
      <c r="J51" s="113" t="str">
        <f t="shared" si="75"/>
        <v>--</v>
      </c>
      <c r="K51" s="113" t="str">
        <f t="shared" si="44"/>
        <v>--</v>
      </c>
      <c r="L51" s="113" t="str">
        <f t="shared" si="44"/>
        <v>--</v>
      </c>
      <c r="M51" s="197" t="str">
        <f t="shared" si="75"/>
        <v>--</v>
      </c>
      <c r="N51" s="197" t="str">
        <f t="shared" si="75"/>
        <v>--</v>
      </c>
      <c r="O51" s="197" t="str">
        <f t="shared" si="75"/>
        <v>--</v>
      </c>
      <c r="P51" s="197" t="str">
        <f t="shared" si="75"/>
        <v>--</v>
      </c>
      <c r="S51" s="197"/>
      <c r="T51" s="197"/>
      <c r="W51" s="1215" t="str">
        <f t="shared" si="65"/>
        <v>Mangalore Container</v>
      </c>
      <c r="X51" s="954"/>
      <c r="Y51" s="962">
        <f t="shared" si="66"/>
        <v>0.1877484803446543</v>
      </c>
      <c r="Z51" s="962">
        <f t="shared" si="66"/>
        <v>-7.0546469647937093E-2</v>
      </c>
      <c r="AA51" s="962">
        <f t="shared" si="66"/>
        <v>3.7500000000000089E-2</v>
      </c>
      <c r="AB51" s="962">
        <f t="shared" si="66"/>
        <v>0.25200803212851408</v>
      </c>
      <c r="AC51" s="962">
        <f t="shared" si="66"/>
        <v>0.10000000000000009</v>
      </c>
      <c r="AD51" s="1216"/>
    </row>
    <row r="52" spans="2:30" ht="12.6" customHeight="1" x14ac:dyDescent="0.2">
      <c r="B52" s="322" t="s">
        <v>664</v>
      </c>
      <c r="C52" s="323"/>
      <c r="D52" s="83"/>
      <c r="E52" s="113" t="str">
        <f t="shared" si="45"/>
        <v>--</v>
      </c>
      <c r="F52" s="113" t="str">
        <f t="shared" ref="F52:P52" si="76">IFERROR(F21/E21-1,"--")</f>
        <v>--</v>
      </c>
      <c r="G52" s="113" t="str">
        <f t="shared" si="76"/>
        <v>--</v>
      </c>
      <c r="H52" s="113" t="str">
        <f t="shared" si="76"/>
        <v>--</v>
      </c>
      <c r="I52" s="113" t="str">
        <f t="shared" si="76"/>
        <v>--</v>
      </c>
      <c r="J52" s="113" t="str">
        <f t="shared" si="76"/>
        <v>--</v>
      </c>
      <c r="K52" s="113" t="str">
        <f t="shared" si="44"/>
        <v>--</v>
      </c>
      <c r="L52" s="113" t="str">
        <f t="shared" si="44"/>
        <v>--</v>
      </c>
      <c r="M52" s="197" t="str">
        <f t="shared" si="76"/>
        <v>--</v>
      </c>
      <c r="N52" s="197" t="str">
        <f t="shared" si="76"/>
        <v>--</v>
      </c>
      <c r="O52" s="197" t="str">
        <f t="shared" si="76"/>
        <v>--</v>
      </c>
      <c r="P52" s="197" t="str">
        <f t="shared" si="76"/>
        <v>--</v>
      </c>
      <c r="S52" s="197"/>
      <c r="T52" s="197"/>
      <c r="W52" s="1215" t="str">
        <f t="shared" si="65"/>
        <v>PNP Port</v>
      </c>
      <c r="X52" s="954"/>
      <c r="Y52" s="962" t="str">
        <f t="shared" si="66"/>
        <v>-</v>
      </c>
      <c r="Z52" s="962">
        <f t="shared" si="66"/>
        <v>3.1666666666666661</v>
      </c>
      <c r="AA52" s="962">
        <f t="shared" si="66"/>
        <v>-2.9090909090909167E-2</v>
      </c>
      <c r="AB52" s="962">
        <f t="shared" si="66"/>
        <v>0.14956928838951322</v>
      </c>
      <c r="AC52" s="962">
        <f t="shared" si="66"/>
        <v>2.0000000000000018E-2</v>
      </c>
      <c r="AD52" s="1216"/>
    </row>
    <row r="53" spans="2:30" ht="12.6" customHeight="1" x14ac:dyDescent="0.2">
      <c r="B53" s="322" t="s">
        <v>1866</v>
      </c>
      <c r="C53" s="323"/>
      <c r="D53" s="83"/>
      <c r="E53" s="113" t="str">
        <f t="shared" si="45"/>
        <v>--</v>
      </c>
      <c r="F53" s="113" t="str">
        <f t="shared" ref="F53:P53" si="77">IFERROR(F22/E22-1,"--")</f>
        <v>--</v>
      </c>
      <c r="G53" s="113" t="str">
        <f t="shared" si="77"/>
        <v>--</v>
      </c>
      <c r="H53" s="113" t="str">
        <f t="shared" si="77"/>
        <v>--</v>
      </c>
      <c r="I53" s="113" t="str">
        <f t="shared" si="77"/>
        <v>--</v>
      </c>
      <c r="J53" s="113" t="str">
        <f t="shared" si="77"/>
        <v>--</v>
      </c>
      <c r="K53" s="113" t="str">
        <f t="shared" si="44"/>
        <v>--</v>
      </c>
      <c r="L53" s="113" t="str">
        <f t="shared" si="44"/>
        <v>--</v>
      </c>
      <c r="M53" s="197" t="str">
        <f t="shared" si="77"/>
        <v>--</v>
      </c>
      <c r="N53" s="197" t="str">
        <f t="shared" si="77"/>
        <v>--</v>
      </c>
      <c r="O53" s="197" t="str">
        <f t="shared" si="77"/>
        <v>--</v>
      </c>
      <c r="P53" s="197" t="str">
        <f t="shared" si="77"/>
        <v>--</v>
      </c>
      <c r="S53" s="197"/>
      <c r="T53" s="197"/>
      <c r="W53" s="1215" t="str">
        <f t="shared" si="65"/>
        <v>Fujairah Liquid Storage</v>
      </c>
      <c r="X53" s="954"/>
      <c r="Y53" s="962" t="str">
        <f t="shared" si="66"/>
        <v>-</v>
      </c>
      <c r="Z53" s="962">
        <f t="shared" si="66"/>
        <v>2.65</v>
      </c>
      <c r="AA53" s="962">
        <f t="shared" si="66"/>
        <v>-0.21780821917808213</v>
      </c>
      <c r="AB53" s="962">
        <f t="shared" si="66"/>
        <v>-0.5</v>
      </c>
      <c r="AC53" s="962">
        <f t="shared" si="66"/>
        <v>0.75</v>
      </c>
      <c r="AD53" s="1216"/>
    </row>
    <row r="54" spans="2:30" ht="12.6" customHeight="1" x14ac:dyDescent="0.2">
      <c r="B54" s="322" t="s">
        <v>1767</v>
      </c>
      <c r="C54" s="323"/>
      <c r="D54" s="83"/>
      <c r="E54" s="113" t="str">
        <f t="shared" si="45"/>
        <v>--</v>
      </c>
      <c r="F54" s="113" t="str">
        <f t="shared" ref="F54:P54" si="78">IFERROR(F23/E23-1,"--")</f>
        <v>--</v>
      </c>
      <c r="G54" s="113" t="str">
        <f t="shared" si="78"/>
        <v>--</v>
      </c>
      <c r="H54" s="113" t="str">
        <f t="shared" si="78"/>
        <v>--</v>
      </c>
      <c r="I54" s="113" t="str">
        <f t="shared" si="78"/>
        <v>--</v>
      </c>
      <c r="J54" s="113" t="str">
        <f t="shared" si="78"/>
        <v>--</v>
      </c>
      <c r="K54" s="113" t="str">
        <f t="shared" si="44"/>
        <v>--</v>
      </c>
      <c r="L54" s="113" t="str">
        <f t="shared" si="44"/>
        <v>--</v>
      </c>
      <c r="M54" s="197" t="str">
        <f t="shared" si="78"/>
        <v>--</v>
      </c>
      <c r="N54" s="197">
        <f t="shared" si="78"/>
        <v>1</v>
      </c>
      <c r="O54" s="197">
        <f t="shared" si="78"/>
        <v>0.71428571428571441</v>
      </c>
      <c r="P54" s="197">
        <f t="shared" si="78"/>
        <v>0.16666666666666652</v>
      </c>
      <c r="S54" s="197"/>
      <c r="T54" s="197"/>
      <c r="W54" s="1215" t="str">
        <f t="shared" si="65"/>
        <v>Tuticorin Dry Bulk</v>
      </c>
      <c r="X54" s="954"/>
      <c r="Y54" s="962" t="str">
        <f>IF(ISERROR(Y34/X34-1), "-", (Y34/X34-1))</f>
        <v>-</v>
      </c>
      <c r="Z54" s="962" t="str">
        <f>IF(ISERROR(Z34/Y34-1), "-", (Z34/Y34-1))</f>
        <v>-</v>
      </c>
      <c r="AA54" s="962" t="s">
        <v>1597</v>
      </c>
      <c r="AB54" s="962">
        <f ca="1">IF(ISERROR(AB34/AA34-1), "-", (AB34/AA34-1))</f>
        <v>5.2104208416833719E-2</v>
      </c>
      <c r="AC54" s="962">
        <f ca="1">IF(ISERROR(AC34/AB34-1), "-", (AC34/AB34-1))</f>
        <v>0</v>
      </c>
      <c r="AD54" s="1216"/>
    </row>
    <row r="55" spans="2:30" ht="12.6" customHeight="1" x14ac:dyDescent="0.2">
      <c r="B55" s="322" t="s">
        <v>2045</v>
      </c>
      <c r="C55" s="323"/>
      <c r="D55" s="83"/>
      <c r="E55" s="113" t="str">
        <f t="shared" si="45"/>
        <v>--</v>
      </c>
      <c r="F55" s="113" t="str">
        <f t="shared" ref="F55:J55" si="79">IFERROR(F24/E24-1,"--")</f>
        <v>--</v>
      </c>
      <c r="G55" s="113" t="str">
        <f t="shared" si="79"/>
        <v>--</v>
      </c>
      <c r="H55" s="113" t="str">
        <f t="shared" si="79"/>
        <v>--</v>
      </c>
      <c r="I55" s="113" t="str">
        <f t="shared" si="79"/>
        <v>--</v>
      </c>
      <c r="J55" s="113" t="str">
        <f t="shared" si="79"/>
        <v>--</v>
      </c>
      <c r="K55" s="113" t="str">
        <f t="shared" si="44"/>
        <v>--</v>
      </c>
      <c r="L55" s="113" t="str">
        <f t="shared" si="44"/>
        <v>--</v>
      </c>
      <c r="M55" s="197" t="str">
        <f ca="1">IFERROR(M24/L24-1,"--")</f>
        <v>--</v>
      </c>
      <c r="N55" s="197" t="str">
        <f ca="1">IFERROR(N24/M24-1,"--")</f>
        <v>--</v>
      </c>
      <c r="O55" s="197" t="str">
        <f ca="1">IFERROR(O24/N24-1,"--")</f>
        <v>--</v>
      </c>
      <c r="P55" s="197">
        <f>IFERROR(P24/O24-1,"--")</f>
        <v>1</v>
      </c>
      <c r="S55" s="197"/>
      <c r="T55" s="197"/>
      <c r="W55" s="1215" t="str">
        <f t="shared" si="65"/>
        <v>JNPT Liquid</v>
      </c>
      <c r="X55" s="954"/>
      <c r="Y55" s="962" t="str">
        <f>IF(ISERROR(Y35/X35-1), "-", (Y35/X35-1))</f>
        <v>-</v>
      </c>
      <c r="Z55" s="962" t="str">
        <f>IF(ISERROR(Z35/Y35-1), "-", (Z35/Y35-1))</f>
        <v>-</v>
      </c>
      <c r="AA55" s="962" t="s">
        <v>1597</v>
      </c>
      <c r="AB55" s="962">
        <f>IF(ISERROR(AB35/AA35-1), "-", (AB35/AA35-1))</f>
        <v>1.25</v>
      </c>
      <c r="AC55" s="962">
        <f>IF(ISERROR(AC35/AB35-1), "-", (AC35/AB35-1))</f>
        <v>7.6923076923076872E-2</v>
      </c>
      <c r="AD55" s="1216"/>
    </row>
    <row r="56" spans="2:30" ht="12.6" customHeight="1" x14ac:dyDescent="0.2">
      <c r="B56" s="322" t="s">
        <v>472</v>
      </c>
      <c r="C56" s="323"/>
      <c r="D56" s="83"/>
      <c r="E56" s="113" t="str">
        <f t="shared" si="45"/>
        <v>--</v>
      </c>
      <c r="F56" s="113" t="str">
        <f t="shared" ref="F56:P56" si="80">IFERROR(F25/E25-1,"--")</f>
        <v>--</v>
      </c>
      <c r="G56" s="113" t="str">
        <f t="shared" si="80"/>
        <v>--</v>
      </c>
      <c r="H56" s="113" t="str">
        <f t="shared" si="80"/>
        <v>--</v>
      </c>
      <c r="I56" s="113" t="str">
        <f t="shared" si="80"/>
        <v>--</v>
      </c>
      <c r="J56" s="113" t="str">
        <f t="shared" si="80"/>
        <v>--</v>
      </c>
      <c r="K56" s="113" t="str">
        <f t="shared" si="44"/>
        <v>--</v>
      </c>
      <c r="L56" s="113" t="str">
        <f t="shared" si="44"/>
        <v>--</v>
      </c>
      <c r="M56" s="197" t="str">
        <f t="shared" si="80"/>
        <v>--</v>
      </c>
      <c r="N56" s="197" t="str">
        <f t="shared" si="80"/>
        <v>--</v>
      </c>
      <c r="O56" s="197" t="str">
        <f t="shared" si="80"/>
        <v>--</v>
      </c>
      <c r="P56" s="197" t="str">
        <f t="shared" si="80"/>
        <v>--</v>
      </c>
      <c r="S56" s="197"/>
      <c r="T56" s="197"/>
      <c r="W56" s="1215" t="str">
        <f t="shared" ref="W56:W58" si="81">W36</f>
        <v>Jatadhar</v>
      </c>
      <c r="X56" s="954"/>
      <c r="Y56" s="962" t="str">
        <f t="shared" ref="Y56:Z56" si="82">IF(ISERROR(Y36/X36-1), "-", (Y36/X36-1))</f>
        <v>-</v>
      </c>
      <c r="Z56" s="962" t="str">
        <f t="shared" si="82"/>
        <v>-</v>
      </c>
      <c r="AA56" s="962" t="str">
        <f t="shared" ref="AA56" si="83">IF(ISERROR(AA36/Z36-1), "-", (AA36/Z36-1))</f>
        <v>-</v>
      </c>
      <c r="AB56" s="962" t="str">
        <f t="shared" ref="AB56:AC56" si="84">IF(ISERROR(AB36/AA36-1), "-", (AB36/AA36-1))</f>
        <v>-</v>
      </c>
      <c r="AC56" s="962" t="str">
        <f t="shared" si="84"/>
        <v>-</v>
      </c>
      <c r="AD56" s="1216"/>
    </row>
    <row r="57" spans="2:30" ht="12.6" customHeight="1" x14ac:dyDescent="0.2">
      <c r="B57" s="322" t="s">
        <v>472</v>
      </c>
      <c r="C57" s="323"/>
      <c r="D57" s="83"/>
      <c r="E57" s="113" t="str">
        <f t="shared" si="45"/>
        <v>--</v>
      </c>
      <c r="F57" s="113" t="str">
        <f t="shared" ref="F57:P58" si="85">IFERROR(F26/E26-1,"--")</f>
        <v>--</v>
      </c>
      <c r="G57" s="113" t="str">
        <f t="shared" si="85"/>
        <v>--</v>
      </c>
      <c r="H57" s="113" t="str">
        <f t="shared" si="85"/>
        <v>--</v>
      </c>
      <c r="I57" s="113" t="str">
        <f t="shared" si="85"/>
        <v>--</v>
      </c>
      <c r="J57" s="113" t="str">
        <f t="shared" si="85"/>
        <v>--</v>
      </c>
      <c r="K57" s="113" t="str">
        <f t="shared" si="44"/>
        <v>--</v>
      </c>
      <c r="L57" s="113" t="str">
        <f t="shared" si="44"/>
        <v>--</v>
      </c>
      <c r="M57" s="197" t="str">
        <f t="shared" si="85"/>
        <v>--</v>
      </c>
      <c r="N57" s="197" t="str">
        <f t="shared" si="85"/>
        <v>--</v>
      </c>
      <c r="O57" s="197" t="str">
        <f t="shared" si="85"/>
        <v>--</v>
      </c>
      <c r="P57" s="197" t="str">
        <f t="shared" si="85"/>
        <v>--</v>
      </c>
      <c r="S57" s="197"/>
      <c r="T57" s="197"/>
      <c r="W57" s="1215" t="str">
        <f t="shared" si="81"/>
        <v>Slurry Pipeline Phase I</v>
      </c>
      <c r="X57" s="954"/>
      <c r="Y57" s="962" t="str">
        <f t="shared" ref="Y57:Z57" si="86">IF(ISERROR(Y37/X37-1), "-", (Y37/X37-1))</f>
        <v>-</v>
      </c>
      <c r="Z57" s="962" t="str">
        <f t="shared" si="86"/>
        <v>-</v>
      </c>
      <c r="AA57" s="962" t="str">
        <f t="shared" ref="AA57" si="87">IF(ISERROR(AA37/Z37-1), "-", (AA37/Z37-1))</f>
        <v>-</v>
      </c>
      <c r="AB57" s="962" t="str">
        <f t="shared" ref="AB57:AC57" si="88">IF(ISERROR(AB37/AA37-1), "-", (AB37/AA37-1))</f>
        <v>-</v>
      </c>
      <c r="AC57" s="962" t="str">
        <f t="shared" si="88"/>
        <v>-</v>
      </c>
      <c r="AD57" s="1216"/>
    </row>
    <row r="58" spans="2:30" ht="12.6" customHeight="1" x14ac:dyDescent="0.2">
      <c r="B58" s="325" t="s">
        <v>226</v>
      </c>
      <c r="C58" s="323"/>
      <c r="D58" s="83"/>
      <c r="E58" s="114">
        <f t="shared" si="45"/>
        <v>0.10204081632653073</v>
      </c>
      <c r="F58" s="114">
        <f t="shared" si="85"/>
        <v>-3.8437771783997876E-2</v>
      </c>
      <c r="G58" s="114">
        <f t="shared" si="85"/>
        <v>0.33894117691138015</v>
      </c>
      <c r="H58" s="114">
        <f t="shared" si="85"/>
        <v>0.36068007413610581</v>
      </c>
      <c r="I58" s="114">
        <f t="shared" si="85"/>
        <v>0.49785393067474137</v>
      </c>
      <c r="J58" s="114">
        <f t="shared" si="85"/>
        <v>0.15329179856310926</v>
      </c>
      <c r="K58" s="114">
        <f t="shared" si="44"/>
        <v>9.3068092052172258E-2</v>
      </c>
      <c r="L58" s="114">
        <f t="shared" si="44"/>
        <v>3.1965811965811719E-2</v>
      </c>
      <c r="M58" s="204">
        <f ca="1">IFERROR(M27/L27-1,"--")</f>
        <v>5.9765694881564135E-2</v>
      </c>
      <c r="N58" s="204">
        <f ca="1">IFERROR(N27/M27-1,"--")</f>
        <v>0.31722537126206785</v>
      </c>
      <c r="O58" s="333">
        <f ca="1">IFERROR(O27/N27-1,"--")</f>
        <v>0.16842347929295665</v>
      </c>
      <c r="P58" s="333">
        <f ca="1">IFERROR(P27/O27-1,"--")</f>
        <v>0.20542809505014858</v>
      </c>
      <c r="S58" s="204"/>
      <c r="T58" s="204"/>
      <c r="W58" s="1215" t="str">
        <f t="shared" si="81"/>
        <v>Kolkata Container Terminal</v>
      </c>
      <c r="X58" s="954"/>
      <c r="Y58" s="962" t="str">
        <f t="shared" ref="Y58:Z58" si="89">IF(ISERROR(Y38/X38-1), "-", (Y38/X38-1))</f>
        <v>-</v>
      </c>
      <c r="Z58" s="962" t="str">
        <f t="shared" si="89"/>
        <v>-</v>
      </c>
      <c r="AA58" s="962" t="str">
        <f t="shared" ref="AA58" si="90">IF(ISERROR(AA38/Z38-1), "-", (AA38/Z38-1))</f>
        <v>-</v>
      </c>
      <c r="AB58" s="962" t="str">
        <f t="shared" ref="AB58:AC58" si="91">IF(ISERROR(AB38/AA38-1), "-", (AB38/AA38-1))</f>
        <v>-</v>
      </c>
      <c r="AC58" s="962">
        <f t="shared" si="91"/>
        <v>1</v>
      </c>
      <c r="AD58" s="1216"/>
    </row>
    <row r="59" spans="2:30" ht="12.6" customHeight="1" x14ac:dyDescent="0.2">
      <c r="B59" s="325"/>
      <c r="C59" s="323"/>
      <c r="D59" s="83"/>
      <c r="E59" s="83"/>
      <c r="F59" s="83"/>
      <c r="G59" s="83"/>
      <c r="H59" s="114"/>
      <c r="I59" s="114"/>
      <c r="J59" s="114"/>
      <c r="K59" s="114"/>
      <c r="L59" s="114"/>
      <c r="M59" s="100"/>
      <c r="N59" s="100"/>
      <c r="O59" s="333"/>
      <c r="P59" s="333"/>
      <c r="S59" s="100"/>
      <c r="T59" s="100"/>
      <c r="W59" s="1217" t="str">
        <f>W39</f>
        <v>Total</v>
      </c>
      <c r="X59" s="1218"/>
      <c r="Y59" s="1219">
        <f>IF(ISERROR(Y39/X39-1), "-", (Y39/X39-1))</f>
        <v>0.15329179856310926</v>
      </c>
      <c r="Z59" s="1219">
        <f>IF(ISERROR(Z39/Y39-1), "-", (Z39/Y39-1))</f>
        <v>9.3068092052172258E-2</v>
      </c>
      <c r="AA59" s="1219">
        <f>IF(ISERROR(AA39/Z39-1), "-", (AA39/Z39-1))</f>
        <v>3.1965811965811719E-2</v>
      </c>
      <c r="AB59" s="1219">
        <f ca="1">IF(ISERROR(AB39/AA39-1), "-", (AB39/AA39-1))</f>
        <v>5.9765694881564135E-2</v>
      </c>
      <c r="AC59" s="1219">
        <f ca="1">IF(ISERROR(AC39/AB39-1), "-", (AC39/AB39-1))</f>
        <v>0.31722537126206785</v>
      </c>
      <c r="AD59" s="1220"/>
    </row>
    <row r="60" spans="2:30" ht="12.6" customHeight="1" x14ac:dyDescent="0.2">
      <c r="B60" s="325" t="s">
        <v>286</v>
      </c>
      <c r="C60" s="323"/>
      <c r="D60" s="83"/>
      <c r="E60" s="83"/>
      <c r="F60" s="83"/>
      <c r="G60" s="83"/>
      <c r="H60" s="114"/>
      <c r="I60" s="114"/>
      <c r="J60" s="114"/>
      <c r="K60" s="114"/>
      <c r="L60" s="114"/>
      <c r="M60" s="100"/>
      <c r="N60" s="100"/>
      <c r="O60" s="333"/>
      <c r="P60" s="333"/>
      <c r="S60" s="100"/>
      <c r="T60" s="100"/>
    </row>
    <row r="61" spans="2:30" ht="12.6" customHeight="1" x14ac:dyDescent="0.2">
      <c r="B61" s="322" t="s">
        <v>213</v>
      </c>
      <c r="C61" s="323"/>
      <c r="D61" s="115">
        <f t="shared" ref="D61:J76" si="92">D3/D$27</f>
        <v>0</v>
      </c>
      <c r="E61" s="115">
        <f t="shared" si="92"/>
        <v>0.11846197342380546</v>
      </c>
      <c r="F61" s="115">
        <f t="shared" si="92"/>
        <v>9.3381055046113645E-2</v>
      </c>
      <c r="G61" s="115">
        <f t="shared" si="92"/>
        <v>7.8835258465457414E-2</v>
      </c>
      <c r="H61" s="115">
        <f t="shared" si="92"/>
        <v>4.8863640246319444E-2</v>
      </c>
      <c r="I61" s="115">
        <f t="shared" si="92"/>
        <v>2.9091379980802985E-2</v>
      </c>
      <c r="J61" s="115">
        <f t="shared" si="92"/>
        <v>2.4757525161865437E-2</v>
      </c>
      <c r="K61" s="115">
        <f t="shared" ref="K61:L61" si="93">K3/K$27</f>
        <v>2.0512820512820513E-2</v>
      </c>
      <c r="L61" s="115">
        <f t="shared" si="93"/>
        <v>2.4763955607089619E-2</v>
      </c>
      <c r="M61" s="197">
        <f t="shared" ref="M61:P84" ca="1" si="94">M3/M$27</f>
        <v>2.3367387458090121E-2</v>
      </c>
      <c r="N61" s="197">
        <f t="shared" ca="1" si="94"/>
        <v>1.8094652386186006E-2</v>
      </c>
      <c r="O61" s="334">
        <f t="shared" ca="1" si="94"/>
        <v>1.5796109681977859E-2</v>
      </c>
      <c r="P61" s="334">
        <f t="shared" ca="1" si="94"/>
        <v>1.3366232247098169E-2</v>
      </c>
      <c r="S61" s="197"/>
      <c r="T61" s="197"/>
    </row>
    <row r="62" spans="2:30" ht="12.6" customHeight="1" x14ac:dyDescent="0.2">
      <c r="B62" s="322" t="s">
        <v>3</v>
      </c>
      <c r="C62" s="323"/>
      <c r="D62" s="115">
        <f t="shared" ref="D62:J62" si="95">D4/D$27</f>
        <v>0.29708677364075403</v>
      </c>
      <c r="E62" s="115">
        <f t="shared" si="92"/>
        <v>0.3689567430025445</v>
      </c>
      <c r="F62" s="115">
        <f t="shared" si="95"/>
        <v>0.30491560428772296</v>
      </c>
      <c r="G62" s="115">
        <f t="shared" si="95"/>
        <v>0.20286354253590405</v>
      </c>
      <c r="H62" s="115">
        <f t="shared" si="95"/>
        <v>0.22625701414292701</v>
      </c>
      <c r="I62" s="115">
        <f t="shared" si="95"/>
        <v>0.2180452802487074</v>
      </c>
      <c r="J62" s="115">
        <f t="shared" si="95"/>
        <v>0.20095636461574551</v>
      </c>
      <c r="K62" s="115">
        <f t="shared" ref="K62:L62" si="96">K4/K$27</f>
        <v>0.17008547008547006</v>
      </c>
      <c r="L62" s="115">
        <f t="shared" si="96"/>
        <v>0.16788139804538679</v>
      </c>
      <c r="M62" s="197">
        <f t="shared" ca="1" si="94"/>
        <v>0.16475024131321275</v>
      </c>
      <c r="N62" s="197">
        <f t="shared" ca="1" si="94"/>
        <v>0.15605951227815873</v>
      </c>
      <c r="O62" s="334">
        <f t="shared" ca="1" si="94"/>
        <v>0.14692058705449312</v>
      </c>
      <c r="P62" s="334">
        <f t="shared" ca="1" si="94"/>
        <v>0.12797662261289833</v>
      </c>
      <c r="S62" s="197"/>
      <c r="T62" s="197"/>
    </row>
    <row r="63" spans="2:30" ht="12.6" customHeight="1" x14ac:dyDescent="0.2">
      <c r="B63" s="322" t="s">
        <v>790</v>
      </c>
      <c r="C63" s="323"/>
      <c r="D63" s="115">
        <f t="shared" ref="D63:J63" si="97">D5/D$27</f>
        <v>0.36329646362361739</v>
      </c>
      <c r="E63" s="115">
        <f t="shared" si="92"/>
        <v>0.36415040995193665</v>
      </c>
      <c r="F63" s="115">
        <f t="shared" si="97"/>
        <v>0.3775376018324938</v>
      </c>
      <c r="G63" s="115">
        <f t="shared" si="97"/>
        <v>0.28327989810707538</v>
      </c>
      <c r="H63" s="115">
        <f t="shared" si="97"/>
        <v>0.27773979235467211</v>
      </c>
      <c r="I63" s="115">
        <f t="shared" si="97"/>
        <v>0.25891328182914652</v>
      </c>
      <c r="J63" s="115">
        <f t="shared" si="97"/>
        <v>0.23486950285633854</v>
      </c>
      <c r="K63" s="115">
        <f t="shared" ref="K63:L63" si="98">K5/K$27</f>
        <v>0.19743589743589746</v>
      </c>
      <c r="L63" s="115">
        <f t="shared" si="98"/>
        <v>0.20316382309093925</v>
      </c>
      <c r="M63" s="197">
        <f t="shared" ca="1" si="94"/>
        <v>0.19913046747044744</v>
      </c>
      <c r="N63" s="197">
        <f t="shared" ca="1" si="94"/>
        <v>0.1877707317360128</v>
      </c>
      <c r="O63" s="334">
        <f t="shared" ca="1" si="94"/>
        <v>0.17636499990020341</v>
      </c>
      <c r="P63" s="334">
        <f t="shared" ca="1" si="94"/>
        <v>0.15059630371191496</v>
      </c>
      <c r="S63" s="197"/>
      <c r="T63" s="197"/>
    </row>
    <row r="64" spans="2:30" ht="12.6" customHeight="1" x14ac:dyDescent="0.2">
      <c r="B64" s="322" t="s">
        <v>214</v>
      </c>
      <c r="C64" s="323"/>
      <c r="D64" s="115">
        <f t="shared" ref="D64:J64" si="99">D6/D$27</f>
        <v>0.33961676273562857</v>
      </c>
      <c r="E64" s="115">
        <f t="shared" si="92"/>
        <v>0.14843087362171331</v>
      </c>
      <c r="F64" s="115">
        <f t="shared" si="99"/>
        <v>0.19438078094770123</v>
      </c>
      <c r="G64" s="115">
        <f t="shared" si="99"/>
        <v>0.14998462822258332</v>
      </c>
      <c r="H64" s="115">
        <f t="shared" si="99"/>
        <v>0.11177070100499434</v>
      </c>
      <c r="I64" s="115">
        <f t="shared" si="99"/>
        <v>7.6154768038635356E-2</v>
      </c>
      <c r="J64" s="115">
        <f t="shared" si="99"/>
        <v>6.6854660399361915E-2</v>
      </c>
      <c r="K64" s="115">
        <f t="shared" ref="K64:L64" si="100">K6/K$27</f>
        <v>5.4700854700854701E-2</v>
      </c>
      <c r="L64" s="115">
        <f t="shared" si="100"/>
        <v>7.0813317873115803E-2</v>
      </c>
      <c r="M64" s="197">
        <f t="shared" ca="1" si="94"/>
        <v>7.3398605193608968E-2</v>
      </c>
      <c r="N64" s="197">
        <f t="shared" ca="1" si="94"/>
        <v>6.4080451086192203E-2</v>
      </c>
      <c r="O64" s="334">
        <f t="shared" ca="1" si="94"/>
        <v>5.7244798066518339E-2</v>
      </c>
      <c r="P64" s="334">
        <f t="shared" ca="1" si="94"/>
        <v>4.9569534161433247E-2</v>
      </c>
      <c r="S64" s="197"/>
      <c r="T64" s="197"/>
    </row>
    <row r="65" spans="2:20" ht="12.6" customHeight="1" x14ac:dyDescent="0.2">
      <c r="B65" s="322" t="s">
        <v>10</v>
      </c>
      <c r="C65" s="323"/>
      <c r="D65" s="115">
        <f t="shared" ref="D65:J65" si="101">D7/D$27</f>
        <v>0</v>
      </c>
      <c r="E65" s="115">
        <f t="shared" si="92"/>
        <v>0</v>
      </c>
      <c r="F65" s="115">
        <f t="shared" si="101"/>
        <v>2.9784957885968376E-2</v>
      </c>
      <c r="G65" s="115">
        <f t="shared" si="101"/>
        <v>0.1851201194606702</v>
      </c>
      <c r="H65" s="115">
        <f t="shared" si="101"/>
        <v>0.12130073673573621</v>
      </c>
      <c r="I65" s="115">
        <f t="shared" si="101"/>
        <v>0.1025740508952757</v>
      </c>
      <c r="J65" s="115">
        <f t="shared" si="101"/>
        <v>0.11556625896312281</v>
      </c>
      <c r="K65" s="115">
        <f t="shared" ref="K65:L65" si="102">K7/K$27</f>
        <v>9.7435897435897437E-2</v>
      </c>
      <c r="L65" s="115">
        <f t="shared" si="102"/>
        <v>6.0129203246645696E-2</v>
      </c>
      <c r="M65" s="197">
        <f t="shared" ca="1" si="94"/>
        <v>7.3759666498145332E-2</v>
      </c>
      <c r="N65" s="197">
        <f t="shared" ca="1" si="94"/>
        <v>5.65562012305829E-2</v>
      </c>
      <c r="O65" s="334">
        <f t="shared" ca="1" si="94"/>
        <v>4.8887894034322719E-2</v>
      </c>
      <c r="P65" s="334">
        <f t="shared" ca="1" si="94"/>
        <v>4.0962022685070862E-2</v>
      </c>
      <c r="S65" s="197"/>
      <c r="T65" s="197"/>
    </row>
    <row r="66" spans="2:20" ht="12.6" customHeight="1" x14ac:dyDescent="0.2">
      <c r="B66" s="322" t="s">
        <v>568</v>
      </c>
      <c r="C66" s="323"/>
      <c r="D66" s="115">
        <f t="shared" ref="D66:J66" si="103">D8/D$27</f>
        <v>0</v>
      </c>
      <c r="E66" s="115">
        <f t="shared" si="92"/>
        <v>0</v>
      </c>
      <c r="F66" s="115">
        <f t="shared" si="103"/>
        <v>0</v>
      </c>
      <c r="G66" s="115">
        <f t="shared" si="103"/>
        <v>0</v>
      </c>
      <c r="H66" s="115">
        <f t="shared" si="103"/>
        <v>4.52974499236677E-3</v>
      </c>
      <c r="I66" s="115">
        <f t="shared" si="103"/>
        <v>0.1296613580329567</v>
      </c>
      <c r="J66" s="115">
        <f t="shared" si="103"/>
        <v>0.15667309319414469</v>
      </c>
      <c r="K66" s="115">
        <f t="shared" ref="K66:L66" si="104">K8/K$27</f>
        <v>0.16153846153846152</v>
      </c>
      <c r="L66" s="115">
        <f t="shared" si="104"/>
        <v>0.15744575120092766</v>
      </c>
      <c r="M66" s="197">
        <f t="shared" ca="1" si="94"/>
        <v>0.15153789842470203</v>
      </c>
      <c r="N66" s="197">
        <f t="shared" ca="1" si="94"/>
        <v>0.12194585363648153</v>
      </c>
      <c r="O66" s="334">
        <f t="shared" ca="1" si="94"/>
        <v>0.11062992754381362</v>
      </c>
      <c r="P66" s="334">
        <f t="shared" ca="1" si="94"/>
        <v>9.7283051289395933E-2</v>
      </c>
      <c r="S66" s="197"/>
      <c r="T66" s="197"/>
    </row>
    <row r="67" spans="2:20" ht="12.6" customHeight="1" x14ac:dyDescent="0.2">
      <c r="B67" s="322" t="s">
        <v>8</v>
      </c>
      <c r="C67" s="323"/>
      <c r="D67" s="115">
        <f t="shared" ref="D67:J67" si="105">D9/D$27</f>
        <v>0</v>
      </c>
      <c r="E67" s="115">
        <f t="shared" si="92"/>
        <v>0</v>
      </c>
      <c r="F67" s="115">
        <f t="shared" si="105"/>
        <v>0</v>
      </c>
      <c r="G67" s="115">
        <f t="shared" si="105"/>
        <v>6.8953401554745483E-2</v>
      </c>
      <c r="H67" s="115">
        <f t="shared" si="105"/>
        <v>0.12963319195726986</v>
      </c>
      <c r="I67" s="115">
        <f t="shared" si="105"/>
        <v>9.3781989389966361E-2</v>
      </c>
      <c r="J67" s="115">
        <f t="shared" si="105"/>
        <v>8.6978324247912159E-2</v>
      </c>
      <c r="K67" s="115">
        <f t="shared" ref="K67:L67" si="106">K9/K$27</f>
        <v>8.7179487179487175E-2</v>
      </c>
      <c r="L67" s="115">
        <f t="shared" si="106"/>
        <v>8.5969852575782699E-2</v>
      </c>
      <c r="M67" s="197">
        <f t="shared" ca="1" si="94"/>
        <v>8.1932781482650568E-2</v>
      </c>
      <c r="N67" s="197">
        <f t="shared" ca="1" si="94"/>
        <v>6.2823045397455507E-2</v>
      </c>
      <c r="O67" s="334">
        <f t="shared" ca="1" si="94"/>
        <v>5.4305033214349707E-2</v>
      </c>
      <c r="P67" s="334">
        <f t="shared" ca="1" si="94"/>
        <v>4.5500916870708404E-2</v>
      </c>
      <c r="S67" s="197"/>
      <c r="T67" s="197"/>
    </row>
    <row r="68" spans="2:20" ht="12.6" customHeight="1" x14ac:dyDescent="0.2">
      <c r="B68" s="322" t="s">
        <v>9</v>
      </c>
      <c r="C68" s="323"/>
      <c r="D68" s="115">
        <f t="shared" ref="D68:J68" si="107">D10/D$27</f>
        <v>0</v>
      </c>
      <c r="E68" s="115">
        <f t="shared" si="92"/>
        <v>0</v>
      </c>
      <c r="F68" s="115">
        <f t="shared" si="107"/>
        <v>0</v>
      </c>
      <c r="G68" s="115">
        <f t="shared" si="107"/>
        <v>8.5642759892836755E-3</v>
      </c>
      <c r="H68" s="115">
        <f t="shared" si="107"/>
        <v>1.8724749565908114E-2</v>
      </c>
      <c r="I68" s="115">
        <f t="shared" si="107"/>
        <v>2.0363965986562087E-2</v>
      </c>
      <c r="J68" s="115">
        <f t="shared" si="107"/>
        <v>1.3639994994839071E-2</v>
      </c>
      <c r="K68" s="115">
        <f t="shared" ref="K68:L68" si="108">K10/K$27</f>
        <v>1.7948717948717951E-2</v>
      </c>
      <c r="L68" s="115">
        <f t="shared" si="108"/>
        <v>1.3665728010601293E-2</v>
      </c>
      <c r="M68" s="197">
        <f t="shared" ca="1" si="94"/>
        <v>1.3515181103895704E-2</v>
      </c>
      <c r="N68" s="197">
        <f t="shared" ca="1" si="94"/>
        <v>1.077335774780422E-2</v>
      </c>
      <c r="O68" s="334">
        <f t="shared" ca="1" si="94"/>
        <v>9.6814432743508646E-3</v>
      </c>
      <c r="P68" s="334">
        <f t="shared" ca="1" si="94"/>
        <v>8.4331164005643153E-3</v>
      </c>
      <c r="S68" s="197"/>
      <c r="T68" s="197"/>
    </row>
    <row r="69" spans="2:20" ht="12.6" customHeight="1" x14ac:dyDescent="0.2">
      <c r="B69" s="322" t="s">
        <v>215</v>
      </c>
      <c r="C69" s="323"/>
      <c r="D69" s="115">
        <f t="shared" ref="D69:J69" si="109">D11/D$27</f>
        <v>0</v>
      </c>
      <c r="E69" s="115">
        <f t="shared" si="92"/>
        <v>0</v>
      </c>
      <c r="F69" s="115">
        <f t="shared" si="109"/>
        <v>0</v>
      </c>
      <c r="G69" s="115">
        <f t="shared" si="109"/>
        <v>2.2398875664280379E-2</v>
      </c>
      <c r="H69" s="115">
        <f t="shared" si="109"/>
        <v>6.1180428999806261E-2</v>
      </c>
      <c r="I69" s="115">
        <f t="shared" si="109"/>
        <v>4.7990002383146844E-2</v>
      </c>
      <c r="J69" s="115">
        <f t="shared" si="109"/>
        <v>4.4563545291357781E-2</v>
      </c>
      <c r="K69" s="115">
        <f t="shared" ref="K69:L69" si="110">K11/K$27</f>
        <v>5.3846153846153842E-2</v>
      </c>
      <c r="L69" s="115">
        <f t="shared" si="110"/>
        <v>5.1929766440284915E-2</v>
      </c>
      <c r="M69" s="197">
        <f t="shared" ca="1" si="94"/>
        <v>5.1451235896433543E-2</v>
      </c>
      <c r="N69" s="197">
        <f t="shared" ca="1" si="94"/>
        <v>4.1013329130985092E-2</v>
      </c>
      <c r="O69" s="334">
        <f t="shared" ca="1" si="94"/>
        <v>3.6856496253904004E-2</v>
      </c>
      <c r="P69" s="334">
        <f t="shared" ca="1" si="94"/>
        <v>3.2104213619634628E-2</v>
      </c>
      <c r="S69" s="197"/>
      <c r="T69" s="197"/>
    </row>
    <row r="70" spans="2:20" ht="12.6" customHeight="1" x14ac:dyDescent="0.2">
      <c r="B70" s="322" t="s">
        <v>216</v>
      </c>
      <c r="C70" s="323"/>
      <c r="D70" s="115">
        <f t="shared" ref="D70:J70" si="111">D12/D$27</f>
        <v>0</v>
      </c>
      <c r="E70" s="115">
        <f t="shared" si="92"/>
        <v>0</v>
      </c>
      <c r="F70" s="115">
        <f t="shared" si="111"/>
        <v>0</v>
      </c>
      <c r="G70" s="115">
        <f t="shared" si="111"/>
        <v>0</v>
      </c>
      <c r="H70" s="115">
        <f t="shared" si="111"/>
        <v>0</v>
      </c>
      <c r="I70" s="115">
        <f t="shared" si="111"/>
        <v>2.3423923214800111E-2</v>
      </c>
      <c r="J70" s="115">
        <f t="shared" si="111"/>
        <v>2.4123755355541333E-2</v>
      </c>
      <c r="K70" s="115">
        <f t="shared" ref="K70:L70" si="112">K12/K$27</f>
        <v>2.0512820512820513E-2</v>
      </c>
      <c r="L70" s="115">
        <f t="shared" si="112"/>
        <v>2.0622825906907408E-2</v>
      </c>
      <c r="M70" s="197">
        <f t="shared" ca="1" si="94"/>
        <v>2.4363822876453493E-2</v>
      </c>
      <c r="N70" s="197">
        <f t="shared" ca="1" si="94"/>
        <v>2.034595274946828E-2</v>
      </c>
      <c r="O70" s="334">
        <f t="shared" ca="1" si="94"/>
        <v>1.8457956636995135E-2</v>
      </c>
      <c r="P70" s="334">
        <f t="shared" ca="1" si="94"/>
        <v>1.6231108363540237E-2</v>
      </c>
      <c r="S70" s="197"/>
      <c r="T70" s="197"/>
    </row>
    <row r="71" spans="2:20" ht="12.6" customHeight="1" x14ac:dyDescent="0.2">
      <c r="B71" s="322" t="s">
        <v>2</v>
      </c>
      <c r="C71" s="323"/>
      <c r="D71" s="115">
        <f t="shared" ref="D71:J71" si="113">D13/D$27</f>
        <v>0</v>
      </c>
      <c r="E71" s="115">
        <f t="shared" si="92"/>
        <v>0</v>
      </c>
      <c r="F71" s="115">
        <f t="shared" si="113"/>
        <v>0</v>
      </c>
      <c r="G71" s="115">
        <f t="shared" si="113"/>
        <v>0</v>
      </c>
      <c r="H71" s="115">
        <f t="shared" si="113"/>
        <v>0</v>
      </c>
      <c r="I71" s="115">
        <f t="shared" si="113"/>
        <v>0</v>
      </c>
      <c r="J71" s="115">
        <f t="shared" si="113"/>
        <v>1.2332050269306559E-2</v>
      </c>
      <c r="K71" s="115">
        <f t="shared" ref="K71:L71" si="114">K13/K$27</f>
        <v>4.7008547008547008E-2</v>
      </c>
      <c r="L71" s="115">
        <f t="shared" si="114"/>
        <v>4.4227265197946009E-2</v>
      </c>
      <c r="M71" s="197">
        <f t="shared" ca="1" si="94"/>
        <v>4.7975043942801943E-2</v>
      </c>
      <c r="N71" s="197">
        <f t="shared" ca="1" si="94"/>
        <v>3.7149713245177261E-2</v>
      </c>
      <c r="O71" s="334">
        <f t="shared" ca="1" si="94"/>
        <v>3.3384470270180114E-2</v>
      </c>
      <c r="P71" s="334">
        <f t="shared" ca="1" si="94"/>
        <v>2.9079871232162387E-2</v>
      </c>
      <c r="S71" s="197"/>
      <c r="T71" s="197"/>
    </row>
    <row r="72" spans="2:20" ht="12.6" customHeight="1" x14ac:dyDescent="0.2">
      <c r="B72" s="322" t="s">
        <v>791</v>
      </c>
      <c r="C72" s="323"/>
      <c r="D72" s="115">
        <f t="shared" ref="D72:J72" si="115">D14/D$27</f>
        <v>0</v>
      </c>
      <c r="E72" s="115">
        <f t="shared" si="92"/>
        <v>0</v>
      </c>
      <c r="F72" s="115">
        <f t="shared" si="115"/>
        <v>0</v>
      </c>
      <c r="G72" s="115">
        <f t="shared" si="115"/>
        <v>0</v>
      </c>
      <c r="H72" s="115">
        <f t="shared" si="115"/>
        <v>0</v>
      </c>
      <c r="I72" s="115">
        <f t="shared" si="115"/>
        <v>0</v>
      </c>
      <c r="J72" s="115">
        <f t="shared" si="115"/>
        <v>1.8684924650464483E-2</v>
      </c>
      <c r="K72" s="115">
        <f t="shared" ref="K72:L72" si="116">K14/K$27</f>
        <v>6.2393162393162394E-2</v>
      </c>
      <c r="L72" s="115">
        <f t="shared" si="116"/>
        <v>4.7291701176080843E-2</v>
      </c>
      <c r="M72" s="197">
        <f t="shared" ca="1" si="94"/>
        <v>2.2312338191587719E-2</v>
      </c>
      <c r="N72" s="197">
        <f t="shared" ca="1" si="94"/>
        <v>2.9643060851361341E-2</v>
      </c>
      <c r="O72" s="334">
        <f t="shared" ca="1" si="94"/>
        <v>3.0444161429517787E-2</v>
      </c>
      <c r="P72" s="334">
        <f t="shared" ca="1" si="94"/>
        <v>2.6266127375587082E-2</v>
      </c>
      <c r="S72" s="197"/>
      <c r="T72" s="197"/>
    </row>
    <row r="73" spans="2:20" ht="12.6" customHeight="1" x14ac:dyDescent="0.2">
      <c r="B73" s="322" t="s">
        <v>553</v>
      </c>
      <c r="C73" s="323"/>
      <c r="D73" s="115">
        <f t="shared" ref="D73:J73" si="117">D15/D$27</f>
        <v>0</v>
      </c>
      <c r="E73" s="115">
        <f t="shared" si="92"/>
        <v>0</v>
      </c>
      <c r="F73" s="115">
        <f t="shared" si="117"/>
        <v>0</v>
      </c>
      <c r="G73" s="115">
        <f t="shared" si="117"/>
        <v>0</v>
      </c>
      <c r="H73" s="115">
        <f t="shared" si="117"/>
        <v>0</v>
      </c>
      <c r="I73" s="115">
        <f t="shared" si="117"/>
        <v>0</v>
      </c>
      <c r="J73" s="115">
        <f t="shared" si="117"/>
        <v>0</v>
      </c>
      <c r="K73" s="115">
        <f t="shared" ref="K73:L73" si="118">K15/K$27</f>
        <v>7.6923076923076927E-3</v>
      </c>
      <c r="L73" s="115">
        <f t="shared" si="118"/>
        <v>4.1328474407818463E-2</v>
      </c>
      <c r="M73" s="197">
        <f t="shared" ca="1" si="94"/>
        <v>4.1029693697315427E-2</v>
      </c>
      <c r="N73" s="197">
        <f t="shared" ca="1" si="94"/>
        <v>3.1148575325423474E-2</v>
      </c>
      <c r="O73" s="334">
        <f t="shared" ca="1" si="94"/>
        <v>2.6658635227248501E-2</v>
      </c>
      <c r="P73" s="334">
        <f t="shared" ca="1" si="94"/>
        <v>2.2115491862780449E-2</v>
      </c>
      <c r="S73" s="197"/>
      <c r="T73" s="197"/>
    </row>
    <row r="74" spans="2:20" ht="12.6" customHeight="1" x14ac:dyDescent="0.2">
      <c r="B74" s="322" t="s">
        <v>788</v>
      </c>
      <c r="C74" s="323"/>
      <c r="D74" s="115">
        <f t="shared" ref="D74:J74" si="119">D16/D$27</f>
        <v>0</v>
      </c>
      <c r="E74" s="115">
        <f t="shared" si="92"/>
        <v>0</v>
      </c>
      <c r="F74" s="115">
        <f t="shared" si="119"/>
        <v>0</v>
      </c>
      <c r="G74" s="115">
        <f t="shared" si="119"/>
        <v>0</v>
      </c>
      <c r="H74" s="115">
        <f t="shared" si="119"/>
        <v>0</v>
      </c>
      <c r="I74" s="115">
        <f t="shared" si="119"/>
        <v>0</v>
      </c>
      <c r="J74" s="115">
        <f t="shared" si="119"/>
        <v>0</v>
      </c>
      <c r="K74" s="115">
        <f t="shared" ref="K74:L74" si="120">K16/K$27</f>
        <v>1.7094017094017094E-3</v>
      </c>
      <c r="L74" s="115">
        <f t="shared" si="120"/>
        <v>1.0766937220473748E-2</v>
      </c>
      <c r="M74" s="197">
        <f t="shared" ca="1" si="94"/>
        <v>2.2859400774218594E-2</v>
      </c>
      <c r="N74" s="197">
        <f t="shared" ca="1" si="94"/>
        <v>1.8689145195254084E-2</v>
      </c>
      <c r="O74" s="334">
        <f t="shared" ca="1" si="94"/>
        <v>1.7137694074659749E-2</v>
      </c>
      <c r="P74" s="334">
        <f t="shared" ca="1" si="94"/>
        <v>1.4217101911787431E-2</v>
      </c>
      <c r="S74" s="197"/>
      <c r="T74" s="197"/>
    </row>
    <row r="75" spans="2:20" ht="12.6" customHeight="1" x14ac:dyDescent="0.2">
      <c r="B75" s="322" t="s">
        <v>789</v>
      </c>
      <c r="C75" s="323"/>
      <c r="D75" s="115">
        <f t="shared" ref="D75:J75" si="121">D17/D$27</f>
        <v>0</v>
      </c>
      <c r="E75" s="115">
        <f t="shared" si="92"/>
        <v>0</v>
      </c>
      <c r="F75" s="115">
        <f t="shared" si="121"/>
        <v>0</v>
      </c>
      <c r="G75" s="115">
        <f t="shared" si="121"/>
        <v>0</v>
      </c>
      <c r="H75" s="115">
        <f t="shared" si="121"/>
        <v>0</v>
      </c>
      <c r="I75" s="115">
        <f t="shared" si="121"/>
        <v>0</v>
      </c>
      <c r="J75" s="115">
        <f t="shared" si="121"/>
        <v>0</v>
      </c>
      <c r="K75" s="115">
        <f t="shared" ref="K75:L75" si="122">K17/K$27</f>
        <v>0</v>
      </c>
      <c r="L75" s="115">
        <f t="shared" si="122"/>
        <v>0</v>
      </c>
      <c r="M75" s="197">
        <f t="shared" ca="1" si="94"/>
        <v>0</v>
      </c>
      <c r="N75" s="197">
        <f t="shared" ca="1" si="94"/>
        <v>0</v>
      </c>
      <c r="O75" s="334">
        <f t="shared" ca="1" si="94"/>
        <v>7.6167529220710004E-3</v>
      </c>
      <c r="P75" s="334">
        <f t="shared" ca="1" si="94"/>
        <v>3.7912271764766484E-2</v>
      </c>
      <c r="S75" s="197"/>
      <c r="T75" s="197"/>
    </row>
    <row r="76" spans="2:20" ht="12.6" customHeight="1" x14ac:dyDescent="0.2">
      <c r="B76" s="322" t="s">
        <v>558</v>
      </c>
      <c r="C76" s="323"/>
      <c r="D76" s="115">
        <f t="shared" ref="D76:J76" si="123">D18/D$27</f>
        <v>0</v>
      </c>
      <c r="E76" s="115">
        <f t="shared" si="92"/>
        <v>0</v>
      </c>
      <c r="F76" s="115">
        <f t="shared" si="123"/>
        <v>0</v>
      </c>
      <c r="G76" s="115">
        <f t="shared" si="123"/>
        <v>0</v>
      </c>
      <c r="H76" s="115">
        <f t="shared" si="123"/>
        <v>0</v>
      </c>
      <c r="I76" s="115">
        <f t="shared" si="123"/>
        <v>0</v>
      </c>
      <c r="J76" s="115">
        <f t="shared" si="123"/>
        <v>0</v>
      </c>
      <c r="K76" s="115">
        <f t="shared" ref="K76:L76" si="124">K18/K$27</f>
        <v>0</v>
      </c>
      <c r="L76" s="115">
        <f t="shared" si="124"/>
        <v>0</v>
      </c>
      <c r="M76" s="197">
        <f t="shared" ca="1" si="94"/>
        <v>0</v>
      </c>
      <c r="N76" s="197">
        <f t="shared" ca="1" si="94"/>
        <v>5.962727276581066E-2</v>
      </c>
      <c r="O76" s="334">
        <f t="shared" ca="1" si="94"/>
        <v>8.3784282142780997E-2</v>
      </c>
      <c r="P76" s="334">
        <f t="shared" ca="1" si="94"/>
        <v>8.8461967451121795E-2</v>
      </c>
      <c r="S76" s="197"/>
      <c r="T76" s="197"/>
    </row>
    <row r="77" spans="2:20" ht="12.6" customHeight="1" x14ac:dyDescent="0.2">
      <c r="B77" s="322" t="s">
        <v>760</v>
      </c>
      <c r="C77" s="323"/>
      <c r="D77" s="115">
        <f t="shared" ref="D77:J84" si="125">D19/D$27</f>
        <v>0</v>
      </c>
      <c r="E77" s="115">
        <f t="shared" si="125"/>
        <v>0</v>
      </c>
      <c r="F77" s="115">
        <f t="shared" si="125"/>
        <v>0</v>
      </c>
      <c r="G77" s="115">
        <f t="shared" si="125"/>
        <v>0</v>
      </c>
      <c r="H77" s="115">
        <f t="shared" si="125"/>
        <v>0</v>
      </c>
      <c r="I77" s="115">
        <f t="shared" si="125"/>
        <v>0</v>
      </c>
      <c r="J77" s="115">
        <f t="shared" si="125"/>
        <v>0</v>
      </c>
      <c r="K77" s="115">
        <f t="shared" ref="K77:L77" si="126">K19/K$27</f>
        <v>0</v>
      </c>
      <c r="L77" s="115">
        <f t="shared" si="126"/>
        <v>0</v>
      </c>
      <c r="M77" s="197">
        <f t="shared" ca="1" si="94"/>
        <v>0</v>
      </c>
      <c r="N77" s="197">
        <f t="shared" ca="1" si="94"/>
        <v>7.1196743600967949E-2</v>
      </c>
      <c r="O77" s="334">
        <f t="shared" ca="1" si="94"/>
        <v>9.1401035064852004E-2</v>
      </c>
      <c r="P77" s="334">
        <f t="shared" ca="1" si="94"/>
        <v>7.5824543529532967E-2</v>
      </c>
      <c r="S77" s="197"/>
      <c r="T77" s="197"/>
    </row>
    <row r="78" spans="2:20" ht="12.6" customHeight="1" x14ac:dyDescent="0.2">
      <c r="B78" s="322" t="s">
        <v>761</v>
      </c>
      <c r="C78" s="323"/>
      <c r="D78" s="115">
        <f t="shared" ref="D78:J78" si="127">D20/D$27</f>
        <v>0</v>
      </c>
      <c r="E78" s="115">
        <f t="shared" si="125"/>
        <v>0</v>
      </c>
      <c r="F78" s="115">
        <f t="shared" si="127"/>
        <v>0</v>
      </c>
      <c r="G78" s="115">
        <f t="shared" si="127"/>
        <v>0</v>
      </c>
      <c r="H78" s="115">
        <f t="shared" si="127"/>
        <v>0</v>
      </c>
      <c r="I78" s="115">
        <f t="shared" si="127"/>
        <v>0</v>
      </c>
      <c r="J78" s="115">
        <f t="shared" si="127"/>
        <v>0</v>
      </c>
      <c r="K78" s="115">
        <f t="shared" ref="K78:L78" si="128">K20/K$27</f>
        <v>0</v>
      </c>
      <c r="L78" s="115">
        <f t="shared" si="128"/>
        <v>0</v>
      </c>
      <c r="M78" s="197">
        <f t="shared" ca="1" si="94"/>
        <v>0</v>
      </c>
      <c r="N78" s="197">
        <f t="shared" ca="1" si="94"/>
        <v>0</v>
      </c>
      <c r="O78" s="334">
        <f t="shared" ca="1" si="94"/>
        <v>0</v>
      </c>
      <c r="P78" s="334">
        <f t="shared" ca="1" si="94"/>
        <v>0</v>
      </c>
      <c r="S78" s="197"/>
      <c r="T78" s="197"/>
    </row>
    <row r="79" spans="2:20" ht="12.6" customHeight="1" x14ac:dyDescent="0.2">
      <c r="B79" s="322" t="s">
        <v>664</v>
      </c>
      <c r="C79" s="323"/>
      <c r="D79" s="115">
        <f t="shared" ref="D79:J79" si="129">D21/D$27</f>
        <v>0</v>
      </c>
      <c r="E79" s="115">
        <f t="shared" si="125"/>
        <v>0</v>
      </c>
      <c r="F79" s="115">
        <f t="shared" si="129"/>
        <v>0</v>
      </c>
      <c r="G79" s="115">
        <f t="shared" si="129"/>
        <v>0</v>
      </c>
      <c r="H79" s="115">
        <f t="shared" si="129"/>
        <v>0</v>
      </c>
      <c r="I79" s="115">
        <f t="shared" si="129"/>
        <v>0</v>
      </c>
      <c r="J79" s="115">
        <f t="shared" si="129"/>
        <v>0</v>
      </c>
      <c r="K79" s="115">
        <f t="shared" ref="K79:L79" si="130">K21/K$27</f>
        <v>0</v>
      </c>
      <c r="L79" s="115">
        <f t="shared" si="130"/>
        <v>0</v>
      </c>
      <c r="M79" s="197">
        <f t="shared" ca="1" si="94"/>
        <v>0</v>
      </c>
      <c r="N79" s="197">
        <f t="shared" ca="1" si="94"/>
        <v>0</v>
      </c>
      <c r="O79" s="334">
        <f t="shared" ca="1" si="94"/>
        <v>0</v>
      </c>
      <c r="P79" s="334">
        <f t="shared" ca="1" si="94"/>
        <v>3.475291578436928E-2</v>
      </c>
      <c r="S79" s="197"/>
      <c r="T79" s="197"/>
    </row>
    <row r="80" spans="2:20" ht="12.6" customHeight="1" x14ac:dyDescent="0.2">
      <c r="B80" s="322" t="s">
        <v>1866</v>
      </c>
      <c r="C80" s="323"/>
      <c r="D80" s="115">
        <f t="shared" ref="D80:J80" si="131">D22/D$27</f>
        <v>0</v>
      </c>
      <c r="E80" s="115">
        <f t="shared" si="125"/>
        <v>0</v>
      </c>
      <c r="F80" s="115">
        <f t="shared" si="131"/>
        <v>0</v>
      </c>
      <c r="G80" s="115">
        <f t="shared" si="131"/>
        <v>0</v>
      </c>
      <c r="H80" s="115">
        <f t="shared" si="131"/>
        <v>0</v>
      </c>
      <c r="I80" s="115">
        <f t="shared" si="131"/>
        <v>0</v>
      </c>
      <c r="J80" s="115">
        <f t="shared" si="131"/>
        <v>0</v>
      </c>
      <c r="K80" s="115">
        <f t="shared" ref="K80:L80" si="132">K22/K$27</f>
        <v>0</v>
      </c>
      <c r="L80" s="115">
        <f t="shared" si="132"/>
        <v>0</v>
      </c>
      <c r="M80" s="197">
        <f t="shared" ca="1" si="94"/>
        <v>0</v>
      </c>
      <c r="N80" s="197">
        <f t="shared" ca="1" si="94"/>
        <v>0</v>
      </c>
      <c r="O80" s="334">
        <f t="shared" ca="1" si="94"/>
        <v>0</v>
      </c>
      <c r="P80" s="334">
        <f t="shared" ca="1" si="94"/>
        <v>4.5494726117719785E-2</v>
      </c>
      <c r="S80" s="197"/>
      <c r="T80" s="197"/>
    </row>
    <row r="81" spans="2:37" ht="12.6" customHeight="1" x14ac:dyDescent="0.2">
      <c r="B81" s="322" t="s">
        <v>1767</v>
      </c>
      <c r="C81" s="323"/>
      <c r="D81" s="115">
        <f t="shared" ref="D81:J81" si="133">D23/D$27</f>
        <v>0</v>
      </c>
      <c r="E81" s="115">
        <f t="shared" si="125"/>
        <v>0</v>
      </c>
      <c r="F81" s="115">
        <f t="shared" si="133"/>
        <v>0</v>
      </c>
      <c r="G81" s="115">
        <f t="shared" si="133"/>
        <v>0</v>
      </c>
      <c r="H81" s="115">
        <f t="shared" si="133"/>
        <v>0</v>
      </c>
      <c r="I81" s="115">
        <f t="shared" si="133"/>
        <v>0</v>
      </c>
      <c r="J81" s="115">
        <f t="shared" si="133"/>
        <v>0</v>
      </c>
      <c r="K81" s="115">
        <f t="shared" ref="K81:L81" si="134">K23/K$27</f>
        <v>0</v>
      </c>
      <c r="L81" s="115">
        <f t="shared" si="134"/>
        <v>0</v>
      </c>
      <c r="M81" s="197">
        <f t="shared" ca="1" si="94"/>
        <v>8.6162356764362368E-3</v>
      </c>
      <c r="N81" s="197">
        <f t="shared" ca="1" si="94"/>
        <v>1.3082401636677857E-2</v>
      </c>
      <c r="O81" s="334">
        <f t="shared" ca="1" si="94"/>
        <v>1.9194217363618919E-2</v>
      </c>
      <c r="P81" s="334">
        <f t="shared" ca="1" si="94"/>
        <v>1.8577013164735576E-2</v>
      </c>
      <c r="S81" s="197"/>
      <c r="T81" s="197"/>
    </row>
    <row r="82" spans="2:37" ht="12.6" customHeight="1" x14ac:dyDescent="0.2">
      <c r="B82" s="322" t="s">
        <v>2045</v>
      </c>
      <c r="C82" s="323"/>
      <c r="D82" s="115">
        <f t="shared" ref="D82:J82" si="135">D24/D$27</f>
        <v>0</v>
      </c>
      <c r="E82" s="115">
        <f t="shared" si="125"/>
        <v>0</v>
      </c>
      <c r="F82" s="115">
        <f t="shared" si="135"/>
        <v>0</v>
      </c>
      <c r="G82" s="115">
        <f t="shared" si="135"/>
        <v>0</v>
      </c>
      <c r="H82" s="115">
        <f t="shared" si="135"/>
        <v>0</v>
      </c>
      <c r="I82" s="115">
        <f t="shared" si="135"/>
        <v>0</v>
      </c>
      <c r="J82" s="115">
        <f t="shared" si="135"/>
        <v>0</v>
      </c>
      <c r="K82" s="115">
        <f t="shared" ref="K82:L82" si="136">K24/K$27</f>
        <v>0</v>
      </c>
      <c r="L82" s="115">
        <f t="shared" si="136"/>
        <v>0</v>
      </c>
      <c r="M82" s="197">
        <f t="shared" ca="1" si="94"/>
        <v>0</v>
      </c>
      <c r="N82" s="197">
        <f t="shared" ca="1" si="94"/>
        <v>0</v>
      </c>
      <c r="O82" s="334">
        <f t="shared" ca="1" si="94"/>
        <v>1.5233505844142001E-2</v>
      </c>
      <c r="P82" s="334">
        <f t="shared" ca="1" si="94"/>
        <v>2.5274847843177656E-2</v>
      </c>
      <c r="S82" s="197"/>
      <c r="T82" s="197"/>
    </row>
    <row r="83" spans="2:37" ht="12.6" customHeight="1" x14ac:dyDescent="0.2">
      <c r="B83" s="322" t="s">
        <v>472</v>
      </c>
      <c r="C83" s="323"/>
      <c r="D83" s="115">
        <f t="shared" ref="D83:J84" si="137">D25/D$27</f>
        <v>0</v>
      </c>
      <c r="E83" s="115">
        <f t="shared" si="125"/>
        <v>0</v>
      </c>
      <c r="F83" s="115">
        <f t="shared" si="137"/>
        <v>0</v>
      </c>
      <c r="G83" s="115">
        <f t="shared" si="137"/>
        <v>0</v>
      </c>
      <c r="H83" s="115">
        <f t="shared" si="137"/>
        <v>0</v>
      </c>
      <c r="I83" s="115">
        <f t="shared" si="137"/>
        <v>0</v>
      </c>
      <c r="J83" s="115">
        <f t="shared" si="137"/>
        <v>0</v>
      </c>
      <c r="K83" s="115">
        <f t="shared" ref="K83:L83" si="138">K25/K$27</f>
        <v>0</v>
      </c>
      <c r="L83" s="115">
        <f t="shared" si="138"/>
        <v>0</v>
      </c>
      <c r="M83" s="197">
        <f t="shared" ca="1" si="94"/>
        <v>0</v>
      </c>
      <c r="N83" s="197">
        <f t="shared" ca="1" si="94"/>
        <v>0</v>
      </c>
      <c r="O83" s="334">
        <f t="shared" ca="1" si="94"/>
        <v>0</v>
      </c>
      <c r="P83" s="334">
        <f t="shared" ca="1" si="94"/>
        <v>0</v>
      </c>
      <c r="S83" s="197"/>
      <c r="T83" s="197"/>
    </row>
    <row r="84" spans="2:37" ht="12.6" customHeight="1" x14ac:dyDescent="0.2">
      <c r="B84" s="322" t="s">
        <v>472</v>
      </c>
      <c r="C84" s="323"/>
      <c r="D84" s="115">
        <f t="shared" si="137"/>
        <v>0</v>
      </c>
      <c r="E84" s="115">
        <f t="shared" si="125"/>
        <v>0</v>
      </c>
      <c r="F84" s="115">
        <f t="shared" si="137"/>
        <v>0</v>
      </c>
      <c r="G84" s="115">
        <f t="shared" si="137"/>
        <v>0</v>
      </c>
      <c r="H84" s="115">
        <f t="shared" si="137"/>
        <v>0</v>
      </c>
      <c r="I84" s="115">
        <f t="shared" si="137"/>
        <v>0</v>
      </c>
      <c r="J84" s="115">
        <f t="shared" si="137"/>
        <v>0</v>
      </c>
      <c r="K84" s="115">
        <f t="shared" ref="K84:L84" si="139">K26/K$27</f>
        <v>0</v>
      </c>
      <c r="L84" s="115">
        <f t="shared" si="139"/>
        <v>0</v>
      </c>
      <c r="M84" s="197">
        <f t="shared" ca="1" si="94"/>
        <v>0</v>
      </c>
      <c r="N84" s="197">
        <f t="shared" ca="1" si="94"/>
        <v>0</v>
      </c>
      <c r="O84" s="334">
        <f t="shared" ca="1" si="94"/>
        <v>0</v>
      </c>
      <c r="P84" s="334">
        <f t="shared" ca="1" si="94"/>
        <v>0</v>
      </c>
      <c r="S84" s="197"/>
      <c r="T84" s="197"/>
    </row>
    <row r="85" spans="2:37" s="38" customFormat="1" ht="12.6" customHeight="1" x14ac:dyDescent="0.2">
      <c r="B85" s="325" t="s">
        <v>226</v>
      </c>
      <c r="C85" s="325"/>
      <c r="D85" s="114">
        <f t="shared" ref="D85:J85" si="140">SUM(D61:D83)</f>
        <v>1</v>
      </c>
      <c r="E85" s="114">
        <f t="shared" si="140"/>
        <v>0.99999999999999978</v>
      </c>
      <c r="F85" s="114">
        <f t="shared" si="140"/>
        <v>1</v>
      </c>
      <c r="G85" s="114">
        <f t="shared" si="140"/>
        <v>0.99999999999999989</v>
      </c>
      <c r="H85" s="114">
        <f t="shared" si="140"/>
        <v>1</v>
      </c>
      <c r="I85" s="114">
        <f t="shared" si="140"/>
        <v>1</v>
      </c>
      <c r="J85" s="114">
        <f t="shared" si="140"/>
        <v>1.0000000000000002</v>
      </c>
      <c r="K85" s="114">
        <f t="shared" ref="K85:L85" si="141">SUM(K61:K83)</f>
        <v>1</v>
      </c>
      <c r="L85" s="114">
        <f t="shared" si="141"/>
        <v>1.0000000000000002</v>
      </c>
      <c r="M85" s="204">
        <f ca="1">SUM(M61:M83)</f>
        <v>0.99999999999999978</v>
      </c>
      <c r="N85" s="204">
        <f ca="1">SUM(N61:N83)</f>
        <v>0.99999999999999989</v>
      </c>
      <c r="O85" s="333">
        <f ca="1">SUM(O61:O83)</f>
        <v>0.99999999999999978</v>
      </c>
      <c r="P85" s="333">
        <f ca="1">SUM(P61:P83)</f>
        <v>1</v>
      </c>
      <c r="S85" s="204"/>
      <c r="T85" s="204"/>
    </row>
    <row r="87" spans="2:37" ht="12.6" customHeight="1" x14ac:dyDescent="0.2">
      <c r="B87" s="50" t="s">
        <v>303</v>
      </c>
      <c r="C87" s="50"/>
      <c r="D87" s="163"/>
      <c r="E87" s="163"/>
      <c r="F87" s="163"/>
      <c r="G87" s="51"/>
      <c r="H87" s="51"/>
      <c r="I87" s="51"/>
      <c r="J87" s="51"/>
      <c r="K87" s="51"/>
      <c r="L87" s="51"/>
      <c r="M87" s="54"/>
      <c r="N87" s="54"/>
      <c r="O87" s="54"/>
      <c r="P87" s="54"/>
      <c r="X87" s="292" t="s">
        <v>24</v>
      </c>
      <c r="Y87" s="292" t="s">
        <v>25</v>
      </c>
      <c r="Z87" s="292" t="s">
        <v>26</v>
      </c>
      <c r="AA87" s="292" t="s">
        <v>27</v>
      </c>
      <c r="AB87" s="292" t="s">
        <v>273</v>
      </c>
      <c r="AC87" s="292" t="s">
        <v>347</v>
      </c>
      <c r="AD87" s="292" t="s">
        <v>348</v>
      </c>
      <c r="AE87" s="292" t="s">
        <v>178</v>
      </c>
      <c r="AF87" s="292" t="s">
        <v>179</v>
      </c>
      <c r="AG87" s="292" t="s">
        <v>231</v>
      </c>
      <c r="AH87" s="292" t="s">
        <v>232</v>
      </c>
      <c r="AI87" s="292"/>
    </row>
    <row r="88" spans="2:37" ht="12.6" customHeight="1" x14ac:dyDescent="0.2">
      <c r="B88" s="56" t="s">
        <v>3</v>
      </c>
      <c r="C88" s="61"/>
      <c r="D88" s="57"/>
      <c r="E88" s="57"/>
      <c r="F88" s="288">
        <v>45</v>
      </c>
      <c r="G88" s="57">
        <v>50</v>
      </c>
      <c r="H88" s="57">
        <v>55</v>
      </c>
      <c r="I88" s="57">
        <v>55</v>
      </c>
      <c r="J88" s="57">
        <v>55</v>
      </c>
      <c r="K88" s="57">
        <v>55</v>
      </c>
      <c r="L88" s="57">
        <v>55</v>
      </c>
      <c r="M88" s="290">
        <f t="shared" ref="M88:P88" si="142">L88+SUMIF($C$1578:$C$1592,$B88,AT$1578:AT$1592)</f>
        <v>57</v>
      </c>
      <c r="N88" s="290">
        <f t="shared" si="142"/>
        <v>77</v>
      </c>
      <c r="O88" s="290">
        <f t="shared" si="142"/>
        <v>77</v>
      </c>
      <c r="P88" s="290">
        <f t="shared" si="142"/>
        <v>77</v>
      </c>
      <c r="Q88" s="445"/>
      <c r="S88" s="545" t="str">
        <f>IF(ISERROR((J88/D88)^(1/6)-1)," ",(J88/D88)^(1/6)-1)</f>
        <v xml:space="preserve"> </v>
      </c>
      <c r="T88" s="545">
        <f>IF(ISERROR((P88/J88)^(1/6)-1)," ",(P88/J88)^(1/6)-1)</f>
        <v>5.7680926405216493E-2</v>
      </c>
      <c r="W88" s="37" t="s">
        <v>1958</v>
      </c>
      <c r="X88" s="37">
        <f>F88+F89+F97+F101+F102+F105</f>
        <v>60</v>
      </c>
      <c r="Y88" s="37">
        <f t="shared" ref="Y88:AC88" si="143">G88+G89+G97+G101+G102+G105</f>
        <v>84</v>
      </c>
      <c r="Z88" s="37">
        <f t="shared" si="143"/>
        <v>89</v>
      </c>
      <c r="AA88" s="37">
        <f t="shared" si="143"/>
        <v>89</v>
      </c>
      <c r="AB88" s="37">
        <f t="shared" si="143"/>
        <v>94</v>
      </c>
      <c r="AC88" s="37">
        <f t="shared" si="143"/>
        <v>97</v>
      </c>
      <c r="AD88" s="37">
        <f t="shared" ref="AD88" si="144">L88+L89+L97+L101+L102+L105</f>
        <v>97</v>
      </c>
      <c r="AE88" s="37">
        <f t="shared" ref="AE88" si="145">M88+M89+M97+M101+M102+M105</f>
        <v>99</v>
      </c>
      <c r="AF88" s="37">
        <f t="shared" ref="AF88" si="146">N88+N89+N97+N101+N102+N105</f>
        <v>165</v>
      </c>
      <c r="AG88" s="37">
        <f t="shared" ref="AG88" si="147">O88+O89+O97+O101+O102+O105</f>
        <v>195</v>
      </c>
      <c r="AH88" s="37">
        <f t="shared" ref="AH88" si="148">P88+P89+P97+P101+P102+P105</f>
        <v>228</v>
      </c>
      <c r="AK88" s="37">
        <f>AH88-AD88+P106</f>
        <v>158</v>
      </c>
    </row>
    <row r="89" spans="2:37" ht="12.6" customHeight="1" x14ac:dyDescent="0.2">
      <c r="B89" s="56" t="s">
        <v>790</v>
      </c>
      <c r="C89" s="61"/>
      <c r="D89" s="57"/>
      <c r="E89" s="57"/>
      <c r="F89" s="288">
        <v>15</v>
      </c>
      <c r="G89" s="57">
        <v>34</v>
      </c>
      <c r="H89" s="57">
        <v>34</v>
      </c>
      <c r="I89" s="57">
        <v>34</v>
      </c>
      <c r="J89" s="57">
        <v>34</v>
      </c>
      <c r="K89" s="57">
        <v>34</v>
      </c>
      <c r="L89" s="57">
        <v>34</v>
      </c>
      <c r="M89" s="290">
        <f t="shared" ref="M89:M110" si="149">L89+SUMIF($C$1578:$C$1592,$B89,AT$1578:AT$1592)</f>
        <v>34</v>
      </c>
      <c r="N89" s="290">
        <f t="shared" ref="N89:N110" si="150">M89+SUMIF($C$1578:$C$1592,$B89,AU$1578:AU$1592)</f>
        <v>50</v>
      </c>
      <c r="O89" s="290">
        <f t="shared" ref="O89:O110" si="151">N89+SUMIF($C$1578:$C$1592,$B89,AV$1578:AV$1592)</f>
        <v>50</v>
      </c>
      <c r="P89" s="290">
        <f t="shared" ref="P89:P110" si="152">O89+SUMIF($C$1578:$C$1592,$B89,AW$1578:AW$1592)</f>
        <v>50</v>
      </c>
      <c r="Q89" s="445"/>
      <c r="S89" s="545">
        <f t="shared" ref="S89:S111" si="153">IF(ISERROR((J89/F89)^(1/4)-1)," ",(J89/F89)^(1/4)-1)</f>
        <v>0.2270066444066885</v>
      </c>
      <c r="T89" s="545">
        <f t="shared" ref="T89:T112" si="154">IF(ISERROR((P89/J89)^(1/6)-1)," ",(P89/J89)^(1/6)-1)</f>
        <v>6.6387832715179007E-2</v>
      </c>
      <c r="W89" s="37" t="s">
        <v>1959</v>
      </c>
      <c r="X89" s="37">
        <f>F90+F91+F92+F93+F94+F95+F96+F99+F100+F107</f>
        <v>25</v>
      </c>
      <c r="Y89" s="37">
        <f t="shared" ref="Y89:AC89" si="155">G90+G91+G92+G93+G94+G95+G96+G99+G100+G107</f>
        <v>27</v>
      </c>
      <c r="Z89" s="37">
        <f t="shared" si="155"/>
        <v>65.2</v>
      </c>
      <c r="AA89" s="37">
        <f t="shared" si="155"/>
        <v>69.400000000000006</v>
      </c>
      <c r="AB89" s="37">
        <f t="shared" si="155"/>
        <v>71</v>
      </c>
      <c r="AC89" s="37">
        <f t="shared" si="155"/>
        <v>74.900000000000006</v>
      </c>
      <c r="AD89" s="37">
        <f t="shared" ref="AD89" si="156">L90+L91+L92+L93+L94+L95+L96+L99+L100+L107</f>
        <v>80.8</v>
      </c>
      <c r="AE89" s="37">
        <f t="shared" ref="AE89" si="157">M90+M91+M92+M93+M94+M95+M96+M99+M100+M107</f>
        <v>93.61999999999999</v>
      </c>
      <c r="AF89" s="37">
        <f t="shared" ref="AF89" si="158">N90+N91+N92+N93+N94+N95+N96+N99+N100+N107</f>
        <v>99.919999999999987</v>
      </c>
      <c r="AG89" s="37">
        <f t="shared" ref="AG89" si="159">O90+O91+O92+O93+O94+O95+O96+O99+O100+O107</f>
        <v>99.919999999999987</v>
      </c>
      <c r="AH89" s="37">
        <f t="shared" ref="AH89" si="160">P90+P91+P92+P93+P94+P95+P96+P99+P100+P107</f>
        <v>99.919999999999987</v>
      </c>
      <c r="AK89" s="37">
        <f>AH89-AD89</f>
        <v>19.11999999999999</v>
      </c>
    </row>
    <row r="90" spans="2:37" ht="12.6" customHeight="1" x14ac:dyDescent="0.2">
      <c r="B90" s="56" t="s">
        <v>214</v>
      </c>
      <c r="C90" s="61"/>
      <c r="D90" s="57"/>
      <c r="E90" s="57"/>
      <c r="F90" s="288">
        <v>15</v>
      </c>
      <c r="G90" s="57">
        <v>15</v>
      </c>
      <c r="H90" s="57">
        <v>8.5</v>
      </c>
      <c r="I90" s="57">
        <v>8.5</v>
      </c>
      <c r="J90" s="57">
        <v>8.5</v>
      </c>
      <c r="K90" s="57">
        <v>11</v>
      </c>
      <c r="L90" s="57">
        <v>11</v>
      </c>
      <c r="M90" s="290">
        <f t="shared" si="149"/>
        <v>15</v>
      </c>
      <c r="N90" s="290">
        <f t="shared" si="150"/>
        <v>15</v>
      </c>
      <c r="O90" s="290">
        <f t="shared" si="151"/>
        <v>15</v>
      </c>
      <c r="P90" s="290">
        <f t="shared" si="152"/>
        <v>15</v>
      </c>
      <c r="Q90" s="444"/>
      <c r="R90" s="196"/>
      <c r="S90" s="545">
        <f t="shared" si="153"/>
        <v>-0.13237528117907971</v>
      </c>
      <c r="T90" s="545">
        <f t="shared" si="154"/>
        <v>9.9289438707340638E-2</v>
      </c>
      <c r="W90" s="37" t="s">
        <v>665</v>
      </c>
      <c r="X90" s="37">
        <f>F98+F106</f>
        <v>0</v>
      </c>
      <c r="Y90" s="37">
        <f t="shared" ref="Y90:AC90" si="161">G98+G106</f>
        <v>0</v>
      </c>
      <c r="Z90" s="37">
        <f t="shared" si="161"/>
        <v>0</v>
      </c>
      <c r="AA90" s="37">
        <f t="shared" si="161"/>
        <v>0</v>
      </c>
      <c r="AB90" s="37">
        <f t="shared" si="161"/>
        <v>5</v>
      </c>
      <c r="AC90" s="37">
        <f t="shared" si="161"/>
        <v>5</v>
      </c>
      <c r="AD90" s="37">
        <f t="shared" ref="AD90" si="162">L98+L106</f>
        <v>5</v>
      </c>
      <c r="AE90" s="37">
        <f t="shared" ref="AE90" si="163">M98+M106</f>
        <v>5</v>
      </c>
      <c r="AF90" s="37">
        <f t="shared" ref="AF90" si="164">N98+N106</f>
        <v>5</v>
      </c>
      <c r="AG90" s="37">
        <f t="shared" ref="AG90" si="165">O98+O106</f>
        <v>5</v>
      </c>
      <c r="AH90" s="37">
        <f t="shared" ref="AH90" si="166">P98+P106</f>
        <v>32</v>
      </c>
      <c r="AK90" s="37">
        <f>AH90-AD90-P106</f>
        <v>0</v>
      </c>
    </row>
    <row r="91" spans="2:37" ht="12.6" customHeight="1" x14ac:dyDescent="0.2">
      <c r="B91" s="56" t="s">
        <v>10</v>
      </c>
      <c r="C91" s="61"/>
      <c r="D91" s="57"/>
      <c r="E91" s="57"/>
      <c r="F91" s="288">
        <v>10</v>
      </c>
      <c r="G91" s="57">
        <v>10</v>
      </c>
      <c r="H91" s="57">
        <v>10</v>
      </c>
      <c r="I91" s="57">
        <v>10</v>
      </c>
      <c r="J91" s="57">
        <v>10</v>
      </c>
      <c r="K91" s="57">
        <v>10</v>
      </c>
      <c r="L91" s="57">
        <v>10</v>
      </c>
      <c r="M91" s="290">
        <f t="shared" si="149"/>
        <v>10</v>
      </c>
      <c r="N91" s="290">
        <f t="shared" si="150"/>
        <v>10</v>
      </c>
      <c r="O91" s="290">
        <f t="shared" si="151"/>
        <v>10</v>
      </c>
      <c r="P91" s="290">
        <f t="shared" si="152"/>
        <v>10</v>
      </c>
      <c r="Q91" s="445"/>
      <c r="S91" s="545">
        <f t="shared" si="153"/>
        <v>0</v>
      </c>
      <c r="T91" s="545">
        <f t="shared" si="154"/>
        <v>0</v>
      </c>
      <c r="W91" s="37" t="s">
        <v>111</v>
      </c>
      <c r="X91" s="37">
        <f>F103+F104</f>
        <v>0</v>
      </c>
      <c r="Y91" s="37">
        <f t="shared" ref="Y91:AC91" si="167">G103+G104</f>
        <v>0</v>
      </c>
      <c r="Z91" s="37">
        <f t="shared" si="167"/>
        <v>0</v>
      </c>
      <c r="AA91" s="37">
        <f t="shared" si="167"/>
        <v>0</v>
      </c>
      <c r="AB91" s="37">
        <f t="shared" si="167"/>
        <v>0</v>
      </c>
      <c r="AC91" s="37">
        <f t="shared" si="167"/>
        <v>0</v>
      </c>
      <c r="AD91" s="37">
        <f t="shared" ref="AD91" si="168">L103+L104</f>
        <v>0</v>
      </c>
      <c r="AE91" s="37">
        <f t="shared" ref="AE91" si="169">M103+M104</f>
        <v>0</v>
      </c>
      <c r="AF91" s="37">
        <f t="shared" ref="AF91" si="170">N103+N104</f>
        <v>30</v>
      </c>
      <c r="AG91" s="37">
        <f t="shared" ref="AG91" si="171">O103+O104</f>
        <v>30</v>
      </c>
      <c r="AH91" s="37">
        <f t="shared" ref="AH91" si="172">P103+P104</f>
        <v>30</v>
      </c>
      <c r="AK91" s="37">
        <f>AH91-AD91</f>
        <v>30</v>
      </c>
    </row>
    <row r="92" spans="2:37" ht="12.6" customHeight="1" x14ac:dyDescent="0.2">
      <c r="B92" s="56" t="s">
        <v>568</v>
      </c>
      <c r="C92" s="61"/>
      <c r="D92" s="57"/>
      <c r="E92" s="57"/>
      <c r="F92" s="288">
        <v>0</v>
      </c>
      <c r="G92" s="288">
        <v>0</v>
      </c>
      <c r="H92" s="57">
        <v>30</v>
      </c>
      <c r="I92" s="57">
        <v>30</v>
      </c>
      <c r="J92" s="57">
        <v>30</v>
      </c>
      <c r="K92" s="57">
        <v>30</v>
      </c>
      <c r="L92" s="57">
        <v>30</v>
      </c>
      <c r="M92" s="290">
        <f t="shared" si="149"/>
        <v>30</v>
      </c>
      <c r="N92" s="290">
        <f t="shared" si="150"/>
        <v>30</v>
      </c>
      <c r="O92" s="290">
        <f t="shared" si="151"/>
        <v>30</v>
      </c>
      <c r="P92" s="290">
        <f t="shared" si="152"/>
        <v>30</v>
      </c>
      <c r="Q92" s="445"/>
      <c r="S92" s="545" t="str">
        <f t="shared" si="153"/>
        <v xml:space="preserve"> </v>
      </c>
      <c r="T92" s="545">
        <f t="shared" si="154"/>
        <v>0</v>
      </c>
      <c r="X92" s="38">
        <f>SUM(X88:X91)</f>
        <v>85</v>
      </c>
      <c r="Y92" s="38">
        <f t="shared" ref="Y92:AC92" si="173">SUM(Y88:Y91)</f>
        <v>111</v>
      </c>
      <c r="Z92" s="38">
        <f t="shared" si="173"/>
        <v>154.19999999999999</v>
      </c>
      <c r="AA92" s="38">
        <f t="shared" si="173"/>
        <v>158.4</v>
      </c>
      <c r="AB92" s="38">
        <f t="shared" si="173"/>
        <v>170</v>
      </c>
      <c r="AC92" s="38">
        <f t="shared" si="173"/>
        <v>176.9</v>
      </c>
      <c r="AD92" s="38">
        <f t="shared" ref="AD92" si="174">SUM(AD88:AD91)</f>
        <v>182.8</v>
      </c>
      <c r="AE92" s="38">
        <f t="shared" ref="AE92" si="175">SUM(AE88:AE91)</f>
        <v>197.62</v>
      </c>
      <c r="AF92" s="38">
        <f t="shared" ref="AF92" si="176">SUM(AF88:AF91)</f>
        <v>299.91999999999996</v>
      </c>
      <c r="AG92" s="38">
        <f t="shared" ref="AG92" si="177">SUM(AG88:AG91)</f>
        <v>329.91999999999996</v>
      </c>
      <c r="AH92" s="38">
        <f t="shared" ref="AH92" si="178">SUM(AH88:AH91)</f>
        <v>389.91999999999996</v>
      </c>
      <c r="AK92" s="38">
        <f>AH92-AD92</f>
        <v>207.11999999999995</v>
      </c>
    </row>
    <row r="93" spans="2:37" ht="12.6" customHeight="1" x14ac:dyDescent="0.2">
      <c r="B93" s="56" t="s">
        <v>8</v>
      </c>
      <c r="C93" s="61"/>
      <c r="D93" s="57"/>
      <c r="E93" s="57"/>
      <c r="F93" s="288">
        <v>0</v>
      </c>
      <c r="G93" s="288">
        <v>0</v>
      </c>
      <c r="H93" s="57">
        <v>8</v>
      </c>
      <c r="I93" s="57">
        <v>8</v>
      </c>
      <c r="J93" s="57">
        <v>9.6</v>
      </c>
      <c r="K93" s="57">
        <v>9.6</v>
      </c>
      <c r="L93" s="57">
        <v>11</v>
      </c>
      <c r="M93" s="290">
        <f t="shared" si="149"/>
        <v>11</v>
      </c>
      <c r="N93" s="290">
        <f t="shared" si="150"/>
        <v>11</v>
      </c>
      <c r="O93" s="290">
        <f t="shared" si="151"/>
        <v>11</v>
      </c>
      <c r="P93" s="290">
        <f t="shared" si="152"/>
        <v>11</v>
      </c>
      <c r="Q93" s="445"/>
      <c r="S93" s="545" t="str">
        <f t="shared" si="153"/>
        <v xml:space="preserve"> </v>
      </c>
      <c r="T93" s="545">
        <f t="shared" si="154"/>
        <v>2.2948041872073555E-2</v>
      </c>
    </row>
    <row r="94" spans="2:37" ht="12.6" customHeight="1" x14ac:dyDescent="0.2">
      <c r="B94" s="56" t="s">
        <v>9</v>
      </c>
      <c r="C94" s="61"/>
      <c r="D94" s="57"/>
      <c r="E94" s="57"/>
      <c r="F94" s="288">
        <v>0</v>
      </c>
      <c r="G94" s="57">
        <v>2</v>
      </c>
      <c r="H94" s="57">
        <v>2</v>
      </c>
      <c r="I94" s="57">
        <v>2</v>
      </c>
      <c r="J94" s="57">
        <v>2</v>
      </c>
      <c r="K94" s="57">
        <v>2</v>
      </c>
      <c r="L94" s="57">
        <v>2</v>
      </c>
      <c r="M94" s="290">
        <f t="shared" si="149"/>
        <v>2</v>
      </c>
      <c r="N94" s="290">
        <f t="shared" si="150"/>
        <v>2</v>
      </c>
      <c r="O94" s="290">
        <f t="shared" si="151"/>
        <v>2</v>
      </c>
      <c r="P94" s="290">
        <f t="shared" si="152"/>
        <v>2</v>
      </c>
      <c r="Q94" s="445"/>
      <c r="S94" s="545" t="str">
        <f t="shared" si="153"/>
        <v xml:space="preserve"> </v>
      </c>
      <c r="T94" s="545">
        <f t="shared" si="154"/>
        <v>0</v>
      </c>
    </row>
    <row r="95" spans="2:37" ht="12.6" customHeight="1" x14ac:dyDescent="0.2">
      <c r="B95" s="56" t="s">
        <v>215</v>
      </c>
      <c r="C95" s="61"/>
      <c r="D95" s="57"/>
      <c r="E95" s="57"/>
      <c r="F95" s="288">
        <v>0</v>
      </c>
      <c r="G95" s="288">
        <v>0</v>
      </c>
      <c r="H95" s="57">
        <v>6.7</v>
      </c>
      <c r="I95" s="57">
        <v>6.7</v>
      </c>
      <c r="J95" s="57">
        <v>6.7</v>
      </c>
      <c r="K95" s="57">
        <v>8.1</v>
      </c>
      <c r="L95" s="57">
        <v>8.1</v>
      </c>
      <c r="M95" s="290">
        <f t="shared" si="149"/>
        <v>8.1</v>
      </c>
      <c r="N95" s="290">
        <f t="shared" si="150"/>
        <v>8.1</v>
      </c>
      <c r="O95" s="290">
        <f t="shared" si="151"/>
        <v>8.1</v>
      </c>
      <c r="P95" s="290">
        <f t="shared" si="152"/>
        <v>8.1</v>
      </c>
      <c r="Q95" s="445"/>
      <c r="S95" s="545" t="str">
        <f t="shared" si="153"/>
        <v xml:space="preserve"> </v>
      </c>
      <c r="T95" s="545">
        <f t="shared" si="154"/>
        <v>3.2131508041483459E-2</v>
      </c>
    </row>
    <row r="96" spans="2:37" ht="12.6" customHeight="1" x14ac:dyDescent="0.2">
      <c r="B96" s="56" t="s">
        <v>216</v>
      </c>
      <c r="C96" s="61"/>
      <c r="D96" s="57"/>
      <c r="E96" s="57"/>
      <c r="F96" s="288">
        <v>0</v>
      </c>
      <c r="G96" s="288">
        <v>0</v>
      </c>
      <c r="H96" s="288">
        <v>0</v>
      </c>
      <c r="I96" s="57">
        <v>4.2</v>
      </c>
      <c r="J96" s="57">
        <v>4.2</v>
      </c>
      <c r="K96" s="57">
        <v>4.2</v>
      </c>
      <c r="L96" s="57">
        <v>4.2</v>
      </c>
      <c r="M96" s="290">
        <f t="shared" si="149"/>
        <v>6.0200000000000005</v>
      </c>
      <c r="N96" s="290">
        <f t="shared" si="150"/>
        <v>6.0200000000000005</v>
      </c>
      <c r="O96" s="290">
        <f t="shared" si="151"/>
        <v>6.0200000000000005</v>
      </c>
      <c r="P96" s="290">
        <f t="shared" si="152"/>
        <v>6.0200000000000005</v>
      </c>
      <c r="Q96" s="445"/>
      <c r="S96" s="545" t="str">
        <f t="shared" si="153"/>
        <v xml:space="preserve"> </v>
      </c>
      <c r="T96" s="545">
        <f t="shared" si="154"/>
        <v>6.1837030394547687E-2</v>
      </c>
    </row>
    <row r="97" spans="2:23" ht="12.6" customHeight="1" x14ac:dyDescent="0.2">
      <c r="B97" s="56" t="s">
        <v>2</v>
      </c>
      <c r="C97" s="61"/>
      <c r="D97" s="57"/>
      <c r="E97" s="57"/>
      <c r="F97" s="288">
        <v>0</v>
      </c>
      <c r="G97" s="288">
        <v>0</v>
      </c>
      <c r="H97" s="288">
        <v>0</v>
      </c>
      <c r="I97" s="288">
        <v>0</v>
      </c>
      <c r="J97" s="57">
        <v>5</v>
      </c>
      <c r="K97" s="57">
        <v>8</v>
      </c>
      <c r="L97" s="57">
        <v>8</v>
      </c>
      <c r="M97" s="290">
        <f t="shared" si="149"/>
        <v>8</v>
      </c>
      <c r="N97" s="290">
        <f t="shared" si="150"/>
        <v>8</v>
      </c>
      <c r="O97" s="290">
        <f t="shared" si="151"/>
        <v>8</v>
      </c>
      <c r="P97" s="290">
        <f t="shared" si="152"/>
        <v>8</v>
      </c>
      <c r="Q97" s="445"/>
      <c r="S97" s="545" t="str">
        <f t="shared" si="153"/>
        <v xml:space="preserve"> </v>
      </c>
      <c r="T97" s="545">
        <f t="shared" si="154"/>
        <v>8.1483747120199013E-2</v>
      </c>
    </row>
    <row r="98" spans="2:23" ht="12.6" customHeight="1" x14ac:dyDescent="0.2">
      <c r="B98" s="56" t="s">
        <v>791</v>
      </c>
      <c r="C98" s="61"/>
      <c r="D98" s="57"/>
      <c r="E98" s="57"/>
      <c r="F98" s="288">
        <v>0</v>
      </c>
      <c r="G98" s="288">
        <v>0</v>
      </c>
      <c r="H98" s="288">
        <v>0</v>
      </c>
      <c r="I98" s="288">
        <v>0</v>
      </c>
      <c r="J98" s="57">
        <v>5</v>
      </c>
      <c r="K98" s="57">
        <v>5</v>
      </c>
      <c r="L98" s="57">
        <v>5</v>
      </c>
      <c r="M98" s="290">
        <f t="shared" si="149"/>
        <v>5</v>
      </c>
      <c r="N98" s="290">
        <f t="shared" si="150"/>
        <v>5</v>
      </c>
      <c r="O98" s="290">
        <f t="shared" si="151"/>
        <v>5</v>
      </c>
      <c r="P98" s="290">
        <f t="shared" si="152"/>
        <v>5</v>
      </c>
      <c r="Q98" s="445"/>
      <c r="S98" s="545" t="str">
        <f t="shared" si="153"/>
        <v xml:space="preserve"> </v>
      </c>
      <c r="T98" s="545">
        <f t="shared" si="154"/>
        <v>0</v>
      </c>
    </row>
    <row r="99" spans="2:23" ht="12.6" customHeight="1" x14ac:dyDescent="0.2">
      <c r="B99" s="56" t="s">
        <v>553</v>
      </c>
      <c r="C99" s="61"/>
      <c r="D99" s="57"/>
      <c r="E99" s="57"/>
      <c r="F99" s="288">
        <v>0</v>
      </c>
      <c r="G99" s="288">
        <v>0</v>
      </c>
      <c r="H99" s="288">
        <v>0</v>
      </c>
      <c r="I99" s="288">
        <v>0</v>
      </c>
      <c r="J99" s="288">
        <v>0</v>
      </c>
      <c r="K99" s="288">
        <v>0</v>
      </c>
      <c r="L99" s="288">
        <v>0</v>
      </c>
      <c r="M99" s="290">
        <f t="shared" si="149"/>
        <v>7</v>
      </c>
      <c r="N99" s="290">
        <f t="shared" si="150"/>
        <v>7</v>
      </c>
      <c r="O99" s="290">
        <f t="shared" si="151"/>
        <v>7</v>
      </c>
      <c r="P99" s="290">
        <f t="shared" si="152"/>
        <v>7</v>
      </c>
      <c r="Q99" s="445"/>
      <c r="S99" s="545" t="str">
        <f t="shared" si="153"/>
        <v xml:space="preserve"> </v>
      </c>
      <c r="T99" s="545" t="str">
        <f t="shared" si="154"/>
        <v xml:space="preserve"> </v>
      </c>
    </row>
    <row r="100" spans="2:23" ht="12.6" customHeight="1" x14ac:dyDescent="0.2">
      <c r="B100" s="189" t="s">
        <v>788</v>
      </c>
      <c r="C100" s="61"/>
      <c r="D100" s="57"/>
      <c r="E100" s="57"/>
      <c r="F100" s="288">
        <v>0</v>
      </c>
      <c r="G100" s="288">
        <v>0</v>
      </c>
      <c r="H100" s="288">
        <v>0</v>
      </c>
      <c r="I100" s="288">
        <v>0</v>
      </c>
      <c r="J100" s="288">
        <v>0</v>
      </c>
      <c r="K100" s="288">
        <v>0</v>
      </c>
      <c r="L100" s="288">
        <v>4.5</v>
      </c>
      <c r="M100" s="290">
        <f t="shared" si="149"/>
        <v>4.5</v>
      </c>
      <c r="N100" s="290">
        <f t="shared" si="150"/>
        <v>4.5</v>
      </c>
      <c r="O100" s="290">
        <f t="shared" si="151"/>
        <v>4.5</v>
      </c>
      <c r="P100" s="290">
        <f t="shared" si="152"/>
        <v>4.5</v>
      </c>
      <c r="Q100" s="445"/>
      <c r="S100" s="545" t="str">
        <f t="shared" si="153"/>
        <v xml:space="preserve"> </v>
      </c>
      <c r="T100" s="545" t="str">
        <f t="shared" si="154"/>
        <v xml:space="preserve"> </v>
      </c>
    </row>
    <row r="101" spans="2:23" ht="12.6" customHeight="1" x14ac:dyDescent="0.2">
      <c r="B101" s="189" t="s">
        <v>789</v>
      </c>
      <c r="C101" s="61"/>
      <c r="D101" s="57"/>
      <c r="E101" s="57"/>
      <c r="F101" s="288">
        <v>0</v>
      </c>
      <c r="G101" s="288">
        <v>0</v>
      </c>
      <c r="H101" s="288">
        <v>0</v>
      </c>
      <c r="I101" s="288">
        <v>0</v>
      </c>
      <c r="J101" s="288">
        <v>0</v>
      </c>
      <c r="K101" s="288">
        <v>0</v>
      </c>
      <c r="L101" s="288">
        <v>0</v>
      </c>
      <c r="M101" s="290">
        <f t="shared" si="149"/>
        <v>0</v>
      </c>
      <c r="N101" s="290">
        <f t="shared" si="150"/>
        <v>0</v>
      </c>
      <c r="O101" s="290">
        <f t="shared" si="151"/>
        <v>30</v>
      </c>
      <c r="P101" s="290">
        <f t="shared" si="152"/>
        <v>30</v>
      </c>
      <c r="Q101" s="1276">
        <f>+P101/$P$111</f>
        <v>7.464171974522292E-2</v>
      </c>
      <c r="S101" s="545" t="str">
        <f t="shared" si="153"/>
        <v xml:space="preserve"> </v>
      </c>
      <c r="T101" s="545" t="str">
        <f t="shared" si="154"/>
        <v xml:space="preserve"> </v>
      </c>
    </row>
    <row r="102" spans="2:23" ht="12.6" customHeight="1" x14ac:dyDescent="0.2">
      <c r="B102" s="189" t="s">
        <v>558</v>
      </c>
      <c r="C102" s="61"/>
      <c r="D102" s="57"/>
      <c r="E102" s="57"/>
      <c r="F102" s="288">
        <v>0</v>
      </c>
      <c r="G102" s="288">
        <v>0</v>
      </c>
      <c r="H102" s="288">
        <v>0</v>
      </c>
      <c r="I102" s="288">
        <v>0</v>
      </c>
      <c r="J102" s="288">
        <v>0</v>
      </c>
      <c r="K102" s="288">
        <v>0</v>
      </c>
      <c r="L102" s="288">
        <v>0</v>
      </c>
      <c r="M102" s="290">
        <f t="shared" si="149"/>
        <v>0</v>
      </c>
      <c r="N102" s="290">
        <f t="shared" si="150"/>
        <v>30</v>
      </c>
      <c r="O102" s="290">
        <f t="shared" si="151"/>
        <v>30</v>
      </c>
      <c r="P102" s="290">
        <f t="shared" si="152"/>
        <v>30</v>
      </c>
      <c r="Q102" s="445"/>
      <c r="S102" s="545" t="str">
        <f t="shared" si="153"/>
        <v xml:space="preserve"> </v>
      </c>
      <c r="T102" s="545" t="str">
        <f t="shared" si="154"/>
        <v xml:space="preserve"> </v>
      </c>
    </row>
    <row r="103" spans="2:23" ht="12.6" customHeight="1" x14ac:dyDescent="0.2">
      <c r="B103" s="189" t="s">
        <v>760</v>
      </c>
      <c r="C103" s="61"/>
      <c r="D103" s="57"/>
      <c r="E103" s="57"/>
      <c r="F103" s="288">
        <v>0</v>
      </c>
      <c r="G103" s="288">
        <v>0</v>
      </c>
      <c r="H103" s="288">
        <v>0</v>
      </c>
      <c r="I103" s="288">
        <v>0</v>
      </c>
      <c r="J103" s="288">
        <v>0</v>
      </c>
      <c r="K103" s="288">
        <v>0</v>
      </c>
      <c r="L103" s="288">
        <v>0</v>
      </c>
      <c r="M103" s="290">
        <f t="shared" si="149"/>
        <v>0</v>
      </c>
      <c r="N103" s="290">
        <f t="shared" si="150"/>
        <v>30</v>
      </c>
      <c r="O103" s="290">
        <f t="shared" si="151"/>
        <v>30</v>
      </c>
      <c r="P103" s="290">
        <f t="shared" si="152"/>
        <v>30</v>
      </c>
      <c r="Q103" s="445"/>
      <c r="S103" s="545" t="str">
        <f t="shared" si="153"/>
        <v xml:space="preserve"> </v>
      </c>
      <c r="T103" s="545" t="str">
        <f t="shared" si="154"/>
        <v xml:space="preserve"> </v>
      </c>
      <c r="W103" s="37" t="s">
        <v>1960</v>
      </c>
    </row>
    <row r="104" spans="2:23" ht="12.6" customHeight="1" x14ac:dyDescent="0.2">
      <c r="B104" s="189" t="s">
        <v>761</v>
      </c>
      <c r="C104" s="61"/>
      <c r="D104" s="57"/>
      <c r="E104" s="57"/>
      <c r="F104" s="288">
        <v>0</v>
      </c>
      <c r="G104" s="288">
        <v>0</v>
      </c>
      <c r="H104" s="288">
        <v>0</v>
      </c>
      <c r="I104" s="288">
        <v>0</v>
      </c>
      <c r="J104" s="288">
        <v>0</v>
      </c>
      <c r="K104" s="288">
        <v>0</v>
      </c>
      <c r="L104" s="288">
        <v>0</v>
      </c>
      <c r="M104" s="290">
        <f t="shared" si="149"/>
        <v>0</v>
      </c>
      <c r="N104" s="290">
        <f t="shared" si="150"/>
        <v>0</v>
      </c>
      <c r="O104" s="290">
        <f t="shared" si="151"/>
        <v>0</v>
      </c>
      <c r="P104" s="290">
        <f t="shared" si="152"/>
        <v>0</v>
      </c>
      <c r="Q104" s="445"/>
      <c r="S104" s="545" t="str">
        <f t="shared" si="153"/>
        <v xml:space="preserve"> </v>
      </c>
      <c r="T104" s="545" t="str">
        <f t="shared" si="154"/>
        <v xml:space="preserve"> </v>
      </c>
      <c r="W104" s="37" t="s">
        <v>1739</v>
      </c>
    </row>
    <row r="105" spans="2:23" ht="12.6" customHeight="1" x14ac:dyDescent="0.2">
      <c r="B105" s="189" t="s">
        <v>664</v>
      </c>
      <c r="C105" s="61"/>
      <c r="D105" s="57"/>
      <c r="E105" s="57"/>
      <c r="F105" s="288">
        <v>0</v>
      </c>
      <c r="G105" s="288">
        <v>0</v>
      </c>
      <c r="H105" s="288">
        <v>0</v>
      </c>
      <c r="I105" s="288">
        <v>0</v>
      </c>
      <c r="J105" s="288">
        <v>0</v>
      </c>
      <c r="K105" s="288">
        <v>0</v>
      </c>
      <c r="L105" s="288">
        <v>0</v>
      </c>
      <c r="M105" s="290">
        <f t="shared" si="149"/>
        <v>0</v>
      </c>
      <c r="N105" s="290">
        <f t="shared" si="150"/>
        <v>0</v>
      </c>
      <c r="O105" s="290">
        <f t="shared" si="151"/>
        <v>0</v>
      </c>
      <c r="P105" s="290">
        <f t="shared" si="152"/>
        <v>33</v>
      </c>
      <c r="Q105" s="1276">
        <f>+P105/$P$111</f>
        <v>8.2105891719745222E-2</v>
      </c>
      <c r="S105" s="545"/>
      <c r="T105" s="545" t="str">
        <f t="shared" si="154"/>
        <v xml:space="preserve"> </v>
      </c>
      <c r="W105" s="37" t="s">
        <v>1026</v>
      </c>
    </row>
    <row r="106" spans="2:23" ht="12.6" customHeight="1" x14ac:dyDescent="0.2">
      <c r="B106" s="189" t="s">
        <v>1866</v>
      </c>
      <c r="C106" s="61"/>
      <c r="D106" s="57"/>
      <c r="E106" s="57"/>
      <c r="F106" s="288">
        <v>0</v>
      </c>
      <c r="G106" s="288">
        <v>0</v>
      </c>
      <c r="H106" s="288">
        <v>0</v>
      </c>
      <c r="I106" s="288">
        <v>0</v>
      </c>
      <c r="J106" s="288">
        <v>0</v>
      </c>
      <c r="K106" s="288">
        <v>0</v>
      </c>
      <c r="L106" s="288">
        <v>0</v>
      </c>
      <c r="M106" s="290">
        <f t="shared" si="149"/>
        <v>0</v>
      </c>
      <c r="N106" s="290">
        <f t="shared" si="150"/>
        <v>0</v>
      </c>
      <c r="O106" s="290">
        <f t="shared" si="151"/>
        <v>0</v>
      </c>
      <c r="P106" s="290">
        <f t="shared" si="152"/>
        <v>27</v>
      </c>
      <c r="Q106" s="1276">
        <f>+P106/$P$111</f>
        <v>6.7177547770700632E-2</v>
      </c>
      <c r="S106" s="545"/>
      <c r="T106" s="545" t="str">
        <f t="shared" si="154"/>
        <v xml:space="preserve"> </v>
      </c>
    </row>
    <row r="107" spans="2:23" ht="12.6" customHeight="1" x14ac:dyDescent="0.2">
      <c r="B107" s="189" t="s">
        <v>1767</v>
      </c>
      <c r="C107" s="61"/>
      <c r="D107" s="57"/>
      <c r="E107" s="57"/>
      <c r="F107" s="288">
        <v>0</v>
      </c>
      <c r="G107" s="288">
        <v>0</v>
      </c>
      <c r="H107" s="288">
        <v>0</v>
      </c>
      <c r="I107" s="288">
        <v>0</v>
      </c>
      <c r="J107" s="288">
        <v>0</v>
      </c>
      <c r="K107" s="288">
        <v>0</v>
      </c>
      <c r="L107" s="288">
        <v>0</v>
      </c>
      <c r="M107" s="290">
        <f t="shared" si="149"/>
        <v>0</v>
      </c>
      <c r="N107" s="290">
        <f>M107+SUMIF($C$1578:$C$1592,$B107,AU$1578:AU$1592)</f>
        <v>6.3</v>
      </c>
      <c r="O107" s="290">
        <f t="shared" si="151"/>
        <v>6.3</v>
      </c>
      <c r="P107" s="1289">
        <f t="shared" si="152"/>
        <v>6.3</v>
      </c>
      <c r="Q107" s="445"/>
      <c r="S107" s="545"/>
      <c r="T107" s="545"/>
    </row>
    <row r="108" spans="2:23" ht="12.6" customHeight="1" x14ac:dyDescent="0.2">
      <c r="B108" s="189" t="s">
        <v>2045</v>
      </c>
      <c r="C108" s="61"/>
      <c r="D108" s="57"/>
      <c r="E108" s="57"/>
      <c r="F108" s="288">
        <v>0</v>
      </c>
      <c r="G108" s="288">
        <v>0</v>
      </c>
      <c r="H108" s="288">
        <v>0</v>
      </c>
      <c r="I108" s="288">
        <v>0</v>
      </c>
      <c r="J108" s="288">
        <v>0</v>
      </c>
      <c r="K108" s="288">
        <v>0</v>
      </c>
      <c r="L108" s="288">
        <v>0</v>
      </c>
      <c r="M108" s="290">
        <f t="shared" si="149"/>
        <v>0</v>
      </c>
      <c r="N108" s="290">
        <f>M108+SUMIF($C$1578:$C$1592,$B108,AU$1578:AU$1592)</f>
        <v>0</v>
      </c>
      <c r="O108" s="290">
        <f t="shared" si="151"/>
        <v>12</v>
      </c>
      <c r="P108" s="1289">
        <f t="shared" si="152"/>
        <v>12</v>
      </c>
      <c r="Q108" s="445"/>
      <c r="S108" s="545"/>
      <c r="T108" s="545"/>
    </row>
    <row r="109" spans="2:23" ht="12.6" customHeight="1" x14ac:dyDescent="0.2">
      <c r="B109" s="189" t="s">
        <v>472</v>
      </c>
      <c r="C109" s="61"/>
      <c r="D109" s="57"/>
      <c r="E109" s="57"/>
      <c r="F109" s="288">
        <v>0</v>
      </c>
      <c r="G109" s="288">
        <v>0</v>
      </c>
      <c r="H109" s="288">
        <v>0</v>
      </c>
      <c r="I109" s="288">
        <v>0</v>
      </c>
      <c r="J109" s="288">
        <v>0</v>
      </c>
      <c r="K109" s="288">
        <v>0</v>
      </c>
      <c r="L109" s="288">
        <v>0</v>
      </c>
      <c r="M109" s="290">
        <f t="shared" si="149"/>
        <v>0</v>
      </c>
      <c r="N109" s="290">
        <f t="shared" si="150"/>
        <v>0</v>
      </c>
      <c r="O109" s="290">
        <f t="shared" si="151"/>
        <v>0</v>
      </c>
      <c r="P109" s="290">
        <f t="shared" si="152"/>
        <v>0</v>
      </c>
      <c r="Q109" s="445"/>
      <c r="S109" s="545" t="str">
        <f t="shared" si="153"/>
        <v xml:space="preserve"> </v>
      </c>
      <c r="T109" s="545" t="str">
        <f t="shared" si="154"/>
        <v xml:space="preserve"> </v>
      </c>
    </row>
    <row r="110" spans="2:23" ht="12.6" customHeight="1" x14ac:dyDescent="0.2">
      <c r="B110" s="189" t="s">
        <v>472</v>
      </c>
      <c r="C110" s="61"/>
      <c r="D110" s="57"/>
      <c r="E110" s="57"/>
      <c r="F110" s="288">
        <v>0</v>
      </c>
      <c r="G110" s="288">
        <v>0</v>
      </c>
      <c r="H110" s="288">
        <v>0</v>
      </c>
      <c r="I110" s="288">
        <v>0</v>
      </c>
      <c r="J110" s="288">
        <v>0</v>
      </c>
      <c r="K110" s="288">
        <v>0</v>
      </c>
      <c r="L110" s="288">
        <v>0</v>
      </c>
      <c r="M110" s="290">
        <f t="shared" si="149"/>
        <v>0</v>
      </c>
      <c r="N110" s="290">
        <f t="shared" si="150"/>
        <v>0</v>
      </c>
      <c r="O110" s="290">
        <f t="shared" si="151"/>
        <v>0</v>
      </c>
      <c r="P110" s="290">
        <f t="shared" si="152"/>
        <v>0</v>
      </c>
      <c r="Q110" s="445"/>
      <c r="S110" s="545" t="str">
        <f t="shared" si="153"/>
        <v xml:space="preserve"> </v>
      </c>
      <c r="T110" s="545" t="str">
        <f t="shared" si="154"/>
        <v xml:space="preserve"> </v>
      </c>
    </row>
    <row r="111" spans="2:23" ht="12.6" customHeight="1" x14ac:dyDescent="0.2">
      <c r="B111" s="95" t="s">
        <v>304</v>
      </c>
      <c r="C111" s="61"/>
      <c r="D111" s="57"/>
      <c r="E111" s="57"/>
      <c r="F111" s="63">
        <f t="shared" ref="F111:P111" si="179">SUM(F88:F110)</f>
        <v>85</v>
      </c>
      <c r="G111" s="63">
        <f t="shared" si="179"/>
        <v>111</v>
      </c>
      <c r="H111" s="63">
        <f t="shared" si="179"/>
        <v>154.19999999999999</v>
      </c>
      <c r="I111" s="63">
        <f t="shared" si="179"/>
        <v>158.39999999999998</v>
      </c>
      <c r="J111" s="63">
        <f>SUM(J88:J110)</f>
        <v>169.99999999999997</v>
      </c>
      <c r="K111" s="63">
        <f t="shared" si="179"/>
        <v>176.89999999999998</v>
      </c>
      <c r="L111" s="63">
        <f t="shared" ref="L111" si="180">SUM(L88:L110)</f>
        <v>182.79999999999998</v>
      </c>
      <c r="M111" s="291">
        <f t="shared" si="179"/>
        <v>197.62</v>
      </c>
      <c r="N111" s="291">
        <f t="shared" si="179"/>
        <v>299.92</v>
      </c>
      <c r="O111" s="291">
        <f t="shared" si="179"/>
        <v>341.92</v>
      </c>
      <c r="P111" s="291">
        <f t="shared" si="179"/>
        <v>401.92</v>
      </c>
      <c r="Q111" s="539">
        <f>(K111/G111)^(1/4)-1</f>
        <v>0.12357279091207607</v>
      </c>
      <c r="R111" s="539">
        <f>(N111/L111)^(1/2)-1</f>
        <v>0.28089820782854602</v>
      </c>
      <c r="S111" s="367">
        <f t="shared" si="153"/>
        <v>0.18920711500272103</v>
      </c>
      <c r="T111" s="367">
        <f t="shared" si="154"/>
        <v>0.15420189424018838</v>
      </c>
      <c r="U111" s="352">
        <f>IF(ISERROR((P111/K111)^(1/5)-1)," ",(P111/K111)^(1/5)-1)</f>
        <v>0.17837184408104423</v>
      </c>
    </row>
    <row r="112" spans="2:23" ht="12.6" customHeight="1" x14ac:dyDescent="0.2">
      <c r="B112" s="95"/>
      <c r="C112" s="61"/>
      <c r="D112" s="57"/>
      <c r="E112" s="57"/>
      <c r="F112" s="63"/>
      <c r="G112" s="63"/>
      <c r="H112" s="63"/>
      <c r="I112" s="63"/>
      <c r="J112" s="63"/>
      <c r="K112" s="63"/>
      <c r="L112" s="63"/>
      <c r="M112" s="291"/>
      <c r="N112" s="291"/>
      <c r="O112" s="291"/>
      <c r="P112" s="291"/>
      <c r="S112" s="203" t="str">
        <f>IF(ISERROR((J112/D112)^(1/6)-1)," ",(J112/D112)^(1/6)-1)</f>
        <v xml:space="preserve"> </v>
      </c>
      <c r="T112" s="45" t="str">
        <f t="shared" si="154"/>
        <v xml:space="preserve"> </v>
      </c>
    </row>
    <row r="113" spans="2:38" ht="12.6" customHeight="1" x14ac:dyDescent="0.2">
      <c r="B113" s="95" t="s">
        <v>860</v>
      </c>
      <c r="C113" s="61"/>
      <c r="D113" s="57"/>
      <c r="E113" s="57"/>
      <c r="F113" s="63"/>
      <c r="G113" s="63"/>
      <c r="H113" s="63"/>
      <c r="I113" s="63"/>
      <c r="J113" s="63"/>
      <c r="K113" s="63"/>
      <c r="L113" s="63"/>
      <c r="M113" s="291"/>
      <c r="N113" s="291"/>
      <c r="O113" s="291"/>
      <c r="P113" s="291"/>
      <c r="S113" s="203"/>
      <c r="T113" s="45"/>
      <c r="U113" s="38" t="s">
        <v>1515</v>
      </c>
      <c r="V113" s="51" t="s">
        <v>25</v>
      </c>
      <c r="W113" s="51" t="s">
        <v>26</v>
      </c>
      <c r="X113" s="51" t="s">
        <v>27</v>
      </c>
      <c r="Y113" s="51" t="s">
        <v>273</v>
      </c>
      <c r="Z113" s="51" t="s">
        <v>347</v>
      </c>
      <c r="AA113" s="51" t="s">
        <v>348</v>
      </c>
      <c r="AB113" s="54" t="s">
        <v>178</v>
      </c>
      <c r="AC113" s="54" t="s">
        <v>179</v>
      </c>
      <c r="AD113" s="54" t="s">
        <v>231</v>
      </c>
      <c r="AE113" s="54" t="s">
        <v>232</v>
      </c>
      <c r="AF113" s="38" t="s">
        <v>1764</v>
      </c>
      <c r="AG113" s="38" t="s">
        <v>1765</v>
      </c>
    </row>
    <row r="114" spans="2:38" ht="12.6" customHeight="1" x14ac:dyDescent="0.2">
      <c r="B114" s="454" t="s">
        <v>3</v>
      </c>
      <c r="C114" s="119"/>
      <c r="D114" s="120"/>
      <c r="E114" s="120"/>
      <c r="F114" s="455"/>
      <c r="G114" s="456">
        <f>G88-F88</f>
        <v>5</v>
      </c>
      <c r="H114" s="456">
        <f t="shared" ref="H114:P114" si="181">H88-G88</f>
        <v>5</v>
      </c>
      <c r="I114" s="456">
        <f t="shared" si="181"/>
        <v>0</v>
      </c>
      <c r="J114" s="456">
        <f t="shared" si="181"/>
        <v>0</v>
      </c>
      <c r="K114" s="456">
        <f t="shared" si="181"/>
        <v>0</v>
      </c>
      <c r="L114" s="456">
        <f t="shared" si="181"/>
        <v>0</v>
      </c>
      <c r="M114" s="457">
        <f t="shared" si="181"/>
        <v>2</v>
      </c>
      <c r="N114" s="457">
        <f t="shared" si="181"/>
        <v>20</v>
      </c>
      <c r="O114" s="457">
        <f t="shared" si="181"/>
        <v>0</v>
      </c>
      <c r="P114" s="457">
        <f t="shared" si="181"/>
        <v>0</v>
      </c>
      <c r="Q114" s="1294">
        <f>+SUM(M114:P114)</f>
        <v>22</v>
      </c>
      <c r="R114" s="37">
        <f>N111-M111</f>
        <v>102.30000000000001</v>
      </c>
      <c r="S114" s="203"/>
      <c r="T114" s="45"/>
      <c r="U114" s="37" t="s">
        <v>864</v>
      </c>
      <c r="V114" s="445">
        <f>SUM(G114:G117)</f>
        <v>24</v>
      </c>
      <c r="W114" s="445">
        <f>SUM(H114:H117)</f>
        <v>-1.5</v>
      </c>
      <c r="X114" s="445">
        <v>0</v>
      </c>
      <c r="Y114" s="445">
        <f>J119</f>
        <v>1.5999999999999996</v>
      </c>
      <c r="Z114" s="445">
        <f>SUM(K114:K117)+K121+K123</f>
        <v>6.8999999999999995</v>
      </c>
      <c r="AA114" s="445">
        <f>L119</f>
        <v>1.4000000000000004</v>
      </c>
      <c r="AB114" s="445">
        <f>SUM(M114:M117)+M122</f>
        <v>7.82</v>
      </c>
      <c r="AC114" s="445">
        <f t="shared" ref="AC114:AE114" si="182">SUM(N114:N117)</f>
        <v>36</v>
      </c>
      <c r="AD114" s="445">
        <f t="shared" si="182"/>
        <v>0</v>
      </c>
      <c r="AE114" s="445">
        <f t="shared" si="182"/>
        <v>0</v>
      </c>
      <c r="AF114" s="37">
        <f>SUM(V114:Z114)</f>
        <v>31</v>
      </c>
      <c r="AG114" s="37">
        <f>SUM(AA114:AE114)</f>
        <v>45.22</v>
      </c>
    </row>
    <row r="115" spans="2:38" ht="12.6" customHeight="1" x14ac:dyDescent="0.2">
      <c r="B115" s="56" t="s">
        <v>790</v>
      </c>
      <c r="C115" s="61"/>
      <c r="D115" s="57"/>
      <c r="E115" s="57"/>
      <c r="F115" s="63"/>
      <c r="G115" s="458">
        <f t="shared" ref="G115:P115" si="183">G89-F89</f>
        <v>19</v>
      </c>
      <c r="H115" s="458">
        <f t="shared" si="183"/>
        <v>0</v>
      </c>
      <c r="I115" s="458">
        <f t="shared" si="183"/>
        <v>0</v>
      </c>
      <c r="J115" s="458">
        <f t="shared" si="183"/>
        <v>0</v>
      </c>
      <c r="K115" s="458">
        <f t="shared" si="183"/>
        <v>0</v>
      </c>
      <c r="L115" s="458">
        <f t="shared" si="183"/>
        <v>0</v>
      </c>
      <c r="M115" s="459">
        <f t="shared" si="183"/>
        <v>0</v>
      </c>
      <c r="N115" s="459">
        <f t="shared" si="183"/>
        <v>16</v>
      </c>
      <c r="O115" s="459">
        <f t="shared" si="183"/>
        <v>0</v>
      </c>
      <c r="P115" s="459">
        <f t="shared" si="183"/>
        <v>0</v>
      </c>
      <c r="Q115" s="1294">
        <f>+SUM(M115:P115)</f>
        <v>16</v>
      </c>
      <c r="S115" s="203"/>
      <c r="T115" s="45"/>
      <c r="U115" s="37" t="s">
        <v>861</v>
      </c>
      <c r="V115" s="445">
        <f>G120</f>
        <v>2</v>
      </c>
      <c r="W115" s="445">
        <f>H119+H121</f>
        <v>14.7</v>
      </c>
      <c r="X115" s="445">
        <v>0</v>
      </c>
      <c r="Y115" s="445">
        <f>J123+J124</f>
        <v>10</v>
      </c>
      <c r="Z115" s="445">
        <v>0</v>
      </c>
      <c r="AA115" s="445">
        <v>0</v>
      </c>
      <c r="AB115" s="445">
        <v>0</v>
      </c>
      <c r="AC115" s="445">
        <v>0</v>
      </c>
      <c r="AD115" s="445">
        <v>0</v>
      </c>
      <c r="AE115" s="445">
        <v>0</v>
      </c>
      <c r="AF115" s="37">
        <f t="shared" ref="AF115:AF118" si="184">SUM(V115:Z115)</f>
        <v>26.7</v>
      </c>
      <c r="AG115" s="37">
        <f>SUM(AA115:AE115)</f>
        <v>0</v>
      </c>
      <c r="AH115" s="352">
        <f>+(AF115+AF116)/AF118</f>
        <v>0.66267682263329708</v>
      </c>
    </row>
    <row r="116" spans="2:38" ht="12.6" customHeight="1" x14ac:dyDescent="0.2">
      <c r="B116" s="56" t="s">
        <v>214</v>
      </c>
      <c r="C116" s="61"/>
      <c r="D116" s="57"/>
      <c r="E116" s="57"/>
      <c r="F116" s="63"/>
      <c r="G116" s="458">
        <f t="shared" ref="G116:P116" si="185">G90-F90</f>
        <v>0</v>
      </c>
      <c r="H116" s="458">
        <f t="shared" si="185"/>
        <v>-6.5</v>
      </c>
      <c r="I116" s="458">
        <f t="shared" si="185"/>
        <v>0</v>
      </c>
      <c r="J116" s="458">
        <f t="shared" si="185"/>
        <v>0</v>
      </c>
      <c r="K116" s="458">
        <f t="shared" si="185"/>
        <v>2.5</v>
      </c>
      <c r="L116" s="458">
        <f t="shared" si="185"/>
        <v>0</v>
      </c>
      <c r="M116" s="459">
        <f t="shared" si="185"/>
        <v>4</v>
      </c>
      <c r="N116" s="459">
        <f t="shared" si="185"/>
        <v>0</v>
      </c>
      <c r="O116" s="459">
        <f t="shared" si="185"/>
        <v>0</v>
      </c>
      <c r="P116" s="459">
        <f t="shared" si="185"/>
        <v>0</v>
      </c>
      <c r="Q116" s="104"/>
      <c r="S116" s="203"/>
      <c r="T116" s="45"/>
      <c r="U116" s="37" t="s">
        <v>862</v>
      </c>
      <c r="V116" s="445">
        <v>0</v>
      </c>
      <c r="W116" s="445">
        <f>H118</f>
        <v>30</v>
      </c>
      <c r="X116" s="445">
        <f>I122</f>
        <v>4.2</v>
      </c>
      <c r="Y116" s="445">
        <v>0</v>
      </c>
      <c r="Z116" s="445">
        <v>0</v>
      </c>
      <c r="AA116" s="445">
        <f>L126</f>
        <v>4.5</v>
      </c>
      <c r="AB116" s="445">
        <f>M125</f>
        <v>7</v>
      </c>
      <c r="AC116" s="445">
        <f>N133</f>
        <v>6.3</v>
      </c>
      <c r="AD116" s="445">
        <f>+O134</f>
        <v>12</v>
      </c>
      <c r="AE116" s="445">
        <v>0</v>
      </c>
      <c r="AF116" s="37">
        <f t="shared" si="184"/>
        <v>34.200000000000003</v>
      </c>
      <c r="AG116" s="37">
        <f>SUM(AA116:AE116)</f>
        <v>29.8</v>
      </c>
    </row>
    <row r="117" spans="2:38" ht="12.6" customHeight="1" x14ac:dyDescent="0.2">
      <c r="B117" s="56" t="s">
        <v>10</v>
      </c>
      <c r="C117" s="61"/>
      <c r="D117" s="57"/>
      <c r="E117" s="57"/>
      <c r="F117" s="63"/>
      <c r="G117" s="458">
        <f t="shared" ref="G117:P117" si="186">G91-F91</f>
        <v>0</v>
      </c>
      <c r="H117" s="458">
        <f>H91-G91</f>
        <v>0</v>
      </c>
      <c r="I117" s="458">
        <f t="shared" si="186"/>
        <v>0</v>
      </c>
      <c r="J117" s="458">
        <f t="shared" si="186"/>
        <v>0</v>
      </c>
      <c r="K117" s="458">
        <f t="shared" si="186"/>
        <v>0</v>
      </c>
      <c r="L117" s="458">
        <f t="shared" si="186"/>
        <v>0</v>
      </c>
      <c r="M117" s="459">
        <f t="shared" si="186"/>
        <v>0</v>
      </c>
      <c r="N117" s="459">
        <f t="shared" si="186"/>
        <v>0</v>
      </c>
      <c r="O117" s="459">
        <f t="shared" si="186"/>
        <v>0</v>
      </c>
      <c r="P117" s="459">
        <f t="shared" si="186"/>
        <v>0</v>
      </c>
      <c r="S117" s="203"/>
      <c r="T117" s="45"/>
      <c r="U117" s="37" t="s">
        <v>608</v>
      </c>
      <c r="V117" s="445">
        <v>0</v>
      </c>
      <c r="W117" s="445">
        <v>0</v>
      </c>
      <c r="X117" s="445">
        <v>0</v>
      </c>
      <c r="Y117" s="445">
        <v>0</v>
      </c>
      <c r="Z117" s="445">
        <v>0</v>
      </c>
      <c r="AA117" s="445">
        <v>0</v>
      </c>
      <c r="AB117" s="445">
        <f>M129</f>
        <v>0</v>
      </c>
      <c r="AC117" s="445">
        <f>N128+N129</f>
        <v>60</v>
      </c>
      <c r="AD117" s="445">
        <f>O127+O130+O131</f>
        <v>30</v>
      </c>
      <c r="AE117" s="445">
        <f>P132+P131</f>
        <v>60</v>
      </c>
      <c r="AF117" s="37">
        <f t="shared" si="184"/>
        <v>0</v>
      </c>
      <c r="AG117" s="37">
        <f>SUM(AA117:AE117)</f>
        <v>150</v>
      </c>
    </row>
    <row r="118" spans="2:38" ht="12.6" customHeight="1" x14ac:dyDescent="0.2">
      <c r="B118" s="56" t="s">
        <v>568</v>
      </c>
      <c r="C118" s="61"/>
      <c r="D118" s="57"/>
      <c r="E118" s="57"/>
      <c r="F118" s="63"/>
      <c r="G118" s="458">
        <f t="shared" ref="G118:P118" si="187">G92-F92</f>
        <v>0</v>
      </c>
      <c r="H118" s="458">
        <f t="shared" si="187"/>
        <v>30</v>
      </c>
      <c r="I118" s="458">
        <f t="shared" si="187"/>
        <v>0</v>
      </c>
      <c r="J118" s="458">
        <f t="shared" si="187"/>
        <v>0</v>
      </c>
      <c r="K118" s="458">
        <f t="shared" si="187"/>
        <v>0</v>
      </c>
      <c r="L118" s="458">
        <f t="shared" si="187"/>
        <v>0</v>
      </c>
      <c r="M118" s="459">
        <f t="shared" si="187"/>
        <v>0</v>
      </c>
      <c r="N118" s="459">
        <f t="shared" si="187"/>
        <v>0</v>
      </c>
      <c r="O118" s="459">
        <f t="shared" si="187"/>
        <v>0</v>
      </c>
      <c r="P118" s="459">
        <f t="shared" si="187"/>
        <v>0</v>
      </c>
      <c r="S118" s="203"/>
      <c r="T118" s="45"/>
      <c r="V118" s="462">
        <f>SUM(V114:V117)</f>
        <v>26</v>
      </c>
      <c r="W118" s="462">
        <f t="shared" ref="W118:AE118" si="188">SUM(W114:W117)</f>
        <v>43.2</v>
      </c>
      <c r="X118" s="462">
        <f t="shared" si="188"/>
        <v>4.2</v>
      </c>
      <c r="Y118" s="462">
        <f t="shared" si="188"/>
        <v>11.6</v>
      </c>
      <c r="Z118" s="462">
        <f t="shared" si="188"/>
        <v>6.8999999999999995</v>
      </c>
      <c r="AA118" s="462">
        <f t="shared" si="188"/>
        <v>5.9</v>
      </c>
      <c r="AB118" s="462">
        <f t="shared" si="188"/>
        <v>14.82</v>
      </c>
      <c r="AC118" s="462">
        <f t="shared" si="188"/>
        <v>102.3</v>
      </c>
      <c r="AD118" s="462">
        <f t="shared" si="188"/>
        <v>42</v>
      </c>
      <c r="AE118" s="462">
        <f t="shared" si="188"/>
        <v>60</v>
      </c>
      <c r="AF118" s="37">
        <f t="shared" si="184"/>
        <v>91.9</v>
      </c>
      <c r="AG118" s="37">
        <f>SUM(AA118:AE118)</f>
        <v>225.01999999999998</v>
      </c>
    </row>
    <row r="119" spans="2:38" ht="12.6" customHeight="1" x14ac:dyDescent="0.2">
      <c r="B119" s="56" t="s">
        <v>8</v>
      </c>
      <c r="C119" s="61"/>
      <c r="D119" s="57"/>
      <c r="E119" s="57"/>
      <c r="F119" s="63"/>
      <c r="G119" s="458">
        <f t="shared" ref="G119:P119" si="189">G93-F93</f>
        <v>0</v>
      </c>
      <c r="H119" s="458">
        <f t="shared" si="189"/>
        <v>8</v>
      </c>
      <c r="I119" s="458">
        <f t="shared" si="189"/>
        <v>0</v>
      </c>
      <c r="J119" s="458">
        <f t="shared" si="189"/>
        <v>1.5999999999999996</v>
      </c>
      <c r="K119" s="458">
        <f t="shared" si="189"/>
        <v>0</v>
      </c>
      <c r="L119" s="881">
        <f t="shared" si="189"/>
        <v>1.4000000000000004</v>
      </c>
      <c r="M119" s="459">
        <f t="shared" si="189"/>
        <v>0</v>
      </c>
      <c r="N119" s="459">
        <f t="shared" si="189"/>
        <v>0</v>
      </c>
      <c r="O119" s="459">
        <f t="shared" si="189"/>
        <v>0</v>
      </c>
      <c r="P119" s="459">
        <f t="shared" si="189"/>
        <v>0</v>
      </c>
      <c r="S119" s="203"/>
      <c r="T119" s="45"/>
      <c r="U119" s="37" t="s">
        <v>863</v>
      </c>
      <c r="V119" s="38">
        <f>G111</f>
        <v>111</v>
      </c>
      <c r="W119" s="38">
        <f t="shared" ref="W119:AE119" si="190">H111</f>
        <v>154.19999999999999</v>
      </c>
      <c r="X119" s="38">
        <f t="shared" si="190"/>
        <v>158.39999999999998</v>
      </c>
      <c r="Y119" s="38">
        <f t="shared" si="190"/>
        <v>169.99999999999997</v>
      </c>
      <c r="Z119" s="38">
        <f t="shared" si="190"/>
        <v>176.89999999999998</v>
      </c>
      <c r="AA119" s="38">
        <f t="shared" si="190"/>
        <v>182.79999999999998</v>
      </c>
      <c r="AB119" s="38">
        <f t="shared" si="190"/>
        <v>197.62</v>
      </c>
      <c r="AC119" s="38">
        <f t="shared" si="190"/>
        <v>299.92</v>
      </c>
      <c r="AD119" s="38">
        <f t="shared" si="190"/>
        <v>341.92</v>
      </c>
      <c r="AE119" s="38">
        <f t="shared" si="190"/>
        <v>401.92</v>
      </c>
    </row>
    <row r="120" spans="2:38" ht="12.6" customHeight="1" x14ac:dyDescent="0.2">
      <c r="B120" s="56" t="s">
        <v>9</v>
      </c>
      <c r="C120" s="61"/>
      <c r="D120" s="57"/>
      <c r="E120" s="57"/>
      <c r="F120" s="63"/>
      <c r="G120" s="458">
        <f t="shared" ref="G120:P120" si="191">G94-F94</f>
        <v>2</v>
      </c>
      <c r="H120" s="458">
        <f t="shared" si="191"/>
        <v>0</v>
      </c>
      <c r="I120" s="458">
        <f t="shared" si="191"/>
        <v>0</v>
      </c>
      <c r="J120" s="458">
        <f t="shared" si="191"/>
        <v>0</v>
      </c>
      <c r="K120" s="458">
        <f t="shared" si="191"/>
        <v>0</v>
      </c>
      <c r="L120" s="458">
        <f t="shared" si="191"/>
        <v>0</v>
      </c>
      <c r="M120" s="459">
        <f t="shared" si="191"/>
        <v>0</v>
      </c>
      <c r="N120" s="459">
        <f t="shared" si="191"/>
        <v>0</v>
      </c>
      <c r="O120" s="459">
        <f t="shared" si="191"/>
        <v>0</v>
      </c>
      <c r="P120" s="459">
        <f t="shared" si="191"/>
        <v>0</v>
      </c>
      <c r="S120" s="203"/>
      <c r="T120" s="45"/>
    </row>
    <row r="121" spans="2:38" ht="12.6" customHeight="1" x14ac:dyDescent="0.2">
      <c r="B121" s="56" t="s">
        <v>215</v>
      </c>
      <c r="C121" s="61"/>
      <c r="D121" s="57"/>
      <c r="E121" s="57"/>
      <c r="F121" s="63"/>
      <c r="G121" s="458">
        <f t="shared" ref="G121:P121" si="192">G95-F95</f>
        <v>0</v>
      </c>
      <c r="H121" s="458">
        <f t="shared" si="192"/>
        <v>6.7</v>
      </c>
      <c r="I121" s="458">
        <f t="shared" si="192"/>
        <v>0</v>
      </c>
      <c r="J121" s="458">
        <f t="shared" si="192"/>
        <v>0</v>
      </c>
      <c r="K121" s="458">
        <f t="shared" si="192"/>
        <v>1.3999999999999995</v>
      </c>
      <c r="L121" s="458">
        <f t="shared" si="192"/>
        <v>0</v>
      </c>
      <c r="M121" s="459">
        <f t="shared" si="192"/>
        <v>0</v>
      </c>
      <c r="N121" s="459">
        <f t="shared" si="192"/>
        <v>0</v>
      </c>
      <c r="O121" s="459">
        <f t="shared" si="192"/>
        <v>0</v>
      </c>
      <c r="P121" s="459">
        <f t="shared" si="192"/>
        <v>0</v>
      </c>
      <c r="S121" s="203"/>
      <c r="T121" s="45"/>
      <c r="AH121" s="463" t="s">
        <v>870</v>
      </c>
      <c r="AI121" s="44"/>
      <c r="AK121" s="479" t="s">
        <v>870</v>
      </c>
      <c r="AL121" s="480"/>
    </row>
    <row r="122" spans="2:38" ht="12.6" customHeight="1" x14ac:dyDescent="0.2">
      <c r="B122" s="56" t="s">
        <v>216</v>
      </c>
      <c r="C122" s="61"/>
      <c r="D122" s="57"/>
      <c r="E122" s="57"/>
      <c r="F122" s="63"/>
      <c r="G122" s="458">
        <f t="shared" ref="G122:P122" si="193">G96-F96</f>
        <v>0</v>
      </c>
      <c r="H122" s="458">
        <f t="shared" si="193"/>
        <v>0</v>
      </c>
      <c r="I122" s="458">
        <f t="shared" si="193"/>
        <v>4.2</v>
      </c>
      <c r="J122" s="458">
        <f t="shared" si="193"/>
        <v>0</v>
      </c>
      <c r="K122" s="458">
        <f t="shared" si="193"/>
        <v>0</v>
      </c>
      <c r="L122" s="458">
        <f t="shared" si="193"/>
        <v>0</v>
      </c>
      <c r="M122" s="459">
        <f t="shared" si="193"/>
        <v>1.8200000000000003</v>
      </c>
      <c r="N122" s="459">
        <f t="shared" si="193"/>
        <v>0</v>
      </c>
      <c r="O122" s="459">
        <f t="shared" si="193"/>
        <v>0</v>
      </c>
      <c r="P122" s="459">
        <f t="shared" si="193"/>
        <v>0</v>
      </c>
      <c r="S122" s="203"/>
      <c r="T122" s="45"/>
      <c r="AH122" s="464" t="s">
        <v>871</v>
      </c>
      <c r="AI122" s="465" t="s">
        <v>867</v>
      </c>
      <c r="AK122" s="484" t="s">
        <v>871</v>
      </c>
      <c r="AL122" s="485" t="s">
        <v>867</v>
      </c>
    </row>
    <row r="123" spans="2:38" ht="12.6" customHeight="1" x14ac:dyDescent="0.2">
      <c r="B123" s="56" t="s">
        <v>2</v>
      </c>
      <c r="C123" s="61"/>
      <c r="D123" s="57"/>
      <c r="E123" s="57"/>
      <c r="F123" s="63"/>
      <c r="G123" s="458">
        <f t="shared" ref="G123:P123" si="194">G97-F97</f>
        <v>0</v>
      </c>
      <c r="H123" s="458">
        <f t="shared" si="194"/>
        <v>0</v>
      </c>
      <c r="I123" s="458">
        <f t="shared" si="194"/>
        <v>0</v>
      </c>
      <c r="J123" s="458">
        <f t="shared" si="194"/>
        <v>5</v>
      </c>
      <c r="K123" s="458">
        <f t="shared" si="194"/>
        <v>3</v>
      </c>
      <c r="L123" s="458">
        <f t="shared" si="194"/>
        <v>0</v>
      </c>
      <c r="M123" s="459">
        <f t="shared" si="194"/>
        <v>0</v>
      </c>
      <c r="N123" s="459">
        <f t="shared" si="194"/>
        <v>0</v>
      </c>
      <c r="O123" s="459">
        <f t="shared" si="194"/>
        <v>0</v>
      </c>
      <c r="P123" s="459">
        <f t="shared" si="194"/>
        <v>0</v>
      </c>
      <c r="S123" s="203"/>
      <c r="T123" s="45"/>
      <c r="AH123" s="470" t="s">
        <v>872</v>
      </c>
      <c r="AI123" s="476"/>
      <c r="AK123" s="471" t="s">
        <v>872</v>
      </c>
      <c r="AL123" s="472"/>
    </row>
    <row r="124" spans="2:38" ht="12.6" customHeight="1" x14ac:dyDescent="0.2">
      <c r="B124" s="56" t="s">
        <v>791</v>
      </c>
      <c r="C124" s="61"/>
      <c r="D124" s="57"/>
      <c r="E124" s="57"/>
      <c r="F124" s="63"/>
      <c r="G124" s="458">
        <f t="shared" ref="G124:P124" si="195">G98-F98</f>
        <v>0</v>
      </c>
      <c r="H124" s="458">
        <f t="shared" si="195"/>
        <v>0</v>
      </c>
      <c r="I124" s="458">
        <f t="shared" si="195"/>
        <v>0</v>
      </c>
      <c r="J124" s="458">
        <f t="shared" si="195"/>
        <v>5</v>
      </c>
      <c r="K124" s="458">
        <f t="shared" si="195"/>
        <v>0</v>
      </c>
      <c r="L124" s="458">
        <f t="shared" si="195"/>
        <v>0</v>
      </c>
      <c r="M124" s="459">
        <f t="shared" si="195"/>
        <v>0</v>
      </c>
      <c r="N124" s="459">
        <f t="shared" si="195"/>
        <v>0</v>
      </c>
      <c r="O124" s="459">
        <f t="shared" si="195"/>
        <v>0</v>
      </c>
      <c r="P124" s="459">
        <f t="shared" si="195"/>
        <v>0</v>
      </c>
      <c r="S124" s="203"/>
      <c r="T124" s="45"/>
      <c r="AH124" s="468" t="s">
        <v>865</v>
      </c>
      <c r="AI124" s="469">
        <v>252</v>
      </c>
      <c r="AK124" s="483" t="s">
        <v>865</v>
      </c>
      <c r="AL124" s="488">
        <v>252</v>
      </c>
    </row>
    <row r="125" spans="2:38" ht="12.6" customHeight="1" x14ac:dyDescent="0.2">
      <c r="B125" s="56" t="s">
        <v>553</v>
      </c>
      <c r="C125" s="61"/>
      <c r="D125" s="57"/>
      <c r="E125" s="57"/>
      <c r="F125" s="63"/>
      <c r="G125" s="458">
        <f t="shared" ref="G125:P125" si="196">G99-F99</f>
        <v>0</v>
      </c>
      <c r="H125" s="458">
        <f t="shared" si="196"/>
        <v>0</v>
      </c>
      <c r="I125" s="458">
        <f t="shared" si="196"/>
        <v>0</v>
      </c>
      <c r="J125" s="458">
        <f t="shared" si="196"/>
        <v>0</v>
      </c>
      <c r="K125" s="458">
        <f t="shared" si="196"/>
        <v>0</v>
      </c>
      <c r="L125" s="458">
        <f t="shared" si="196"/>
        <v>0</v>
      </c>
      <c r="M125" s="459">
        <f t="shared" si="196"/>
        <v>7</v>
      </c>
      <c r="N125" s="459">
        <f t="shared" si="196"/>
        <v>0</v>
      </c>
      <c r="O125" s="459">
        <f t="shared" si="196"/>
        <v>0</v>
      </c>
      <c r="P125" s="459">
        <f t="shared" si="196"/>
        <v>0</v>
      </c>
      <c r="S125" s="203"/>
      <c r="T125" s="45"/>
      <c r="AH125" s="466" t="s">
        <v>866</v>
      </c>
      <c r="AI125" s="467">
        <v>155</v>
      </c>
      <c r="AK125" s="486" t="s">
        <v>866</v>
      </c>
      <c r="AL125" s="489">
        <v>155</v>
      </c>
    </row>
    <row r="126" spans="2:38" ht="12.6" customHeight="1" x14ac:dyDescent="0.2">
      <c r="B126" s="189" t="s">
        <v>788</v>
      </c>
      <c r="C126" s="61"/>
      <c r="D126" s="57"/>
      <c r="E126" s="57"/>
      <c r="F126" s="63"/>
      <c r="G126" s="458">
        <f t="shared" ref="G126:P126" si="197">G100-F100</f>
        <v>0</v>
      </c>
      <c r="H126" s="458">
        <f t="shared" si="197"/>
        <v>0</v>
      </c>
      <c r="I126" s="458">
        <f t="shared" si="197"/>
        <v>0</v>
      </c>
      <c r="J126" s="458">
        <f t="shared" si="197"/>
        <v>0</v>
      </c>
      <c r="K126" s="458">
        <f t="shared" si="197"/>
        <v>0</v>
      </c>
      <c r="L126" s="458">
        <f t="shared" si="197"/>
        <v>4.5</v>
      </c>
      <c r="M126" s="459">
        <f t="shared" si="197"/>
        <v>0</v>
      </c>
      <c r="N126" s="459">
        <f t="shared" si="197"/>
        <v>0</v>
      </c>
      <c r="O126" s="459">
        <f t="shared" si="197"/>
        <v>0</v>
      </c>
      <c r="P126" s="459">
        <f t="shared" si="197"/>
        <v>0</v>
      </c>
      <c r="S126" s="203"/>
      <c r="T126" s="45"/>
      <c r="AH126" s="473" t="s">
        <v>868</v>
      </c>
      <c r="AI126" s="474">
        <f>AI124/AI125-1</f>
        <v>0.62580645161290316</v>
      </c>
      <c r="AK126" s="487" t="s">
        <v>868</v>
      </c>
      <c r="AL126" s="494">
        <v>0.62580645161290316</v>
      </c>
    </row>
    <row r="127" spans="2:38" ht="12.6" customHeight="1" x14ac:dyDescent="0.2">
      <c r="B127" s="189" t="s">
        <v>789</v>
      </c>
      <c r="C127" s="61"/>
      <c r="D127" s="57"/>
      <c r="E127" s="57"/>
      <c r="F127" s="63"/>
      <c r="G127" s="458">
        <f t="shared" ref="G127:P127" si="198">G101-F101</f>
        <v>0</v>
      </c>
      <c r="H127" s="458">
        <f t="shared" si="198"/>
        <v>0</v>
      </c>
      <c r="I127" s="458">
        <f t="shared" si="198"/>
        <v>0</v>
      </c>
      <c r="J127" s="458">
        <f t="shared" si="198"/>
        <v>0</v>
      </c>
      <c r="K127" s="458">
        <f t="shared" si="198"/>
        <v>0</v>
      </c>
      <c r="L127" s="458">
        <f t="shared" si="198"/>
        <v>0</v>
      </c>
      <c r="M127" s="459">
        <f t="shared" si="198"/>
        <v>0</v>
      </c>
      <c r="N127" s="459">
        <f t="shared" si="198"/>
        <v>0</v>
      </c>
      <c r="O127" s="459">
        <f t="shared" si="198"/>
        <v>30</v>
      </c>
      <c r="P127" s="459">
        <f t="shared" si="198"/>
        <v>0</v>
      </c>
      <c r="Q127" s="352"/>
      <c r="S127" s="203"/>
      <c r="T127" s="45"/>
      <c r="AH127" s="466"/>
      <c r="AI127" s="467"/>
      <c r="AK127" s="471"/>
      <c r="AL127" s="489"/>
    </row>
    <row r="128" spans="2:38" ht="12.6" customHeight="1" x14ac:dyDescent="0.2">
      <c r="B128" s="189" t="s">
        <v>558</v>
      </c>
      <c r="C128" s="61"/>
      <c r="D128" s="57"/>
      <c r="E128" s="57"/>
      <c r="F128" s="63"/>
      <c r="G128" s="458">
        <f t="shared" ref="G128:P128" si="199">G102-F102</f>
        <v>0</v>
      </c>
      <c r="H128" s="458">
        <f t="shared" si="199"/>
        <v>0</v>
      </c>
      <c r="I128" s="458">
        <f t="shared" si="199"/>
        <v>0</v>
      </c>
      <c r="J128" s="458">
        <f t="shared" si="199"/>
        <v>0</v>
      </c>
      <c r="K128" s="458">
        <f t="shared" si="199"/>
        <v>0</v>
      </c>
      <c r="L128" s="458">
        <f t="shared" si="199"/>
        <v>0</v>
      </c>
      <c r="M128" s="459">
        <f t="shared" si="199"/>
        <v>0</v>
      </c>
      <c r="N128" s="459">
        <f t="shared" si="199"/>
        <v>30</v>
      </c>
      <c r="O128" s="459">
        <f t="shared" si="199"/>
        <v>0</v>
      </c>
      <c r="P128" s="459">
        <f t="shared" si="199"/>
        <v>0</v>
      </c>
      <c r="Q128" s="1294">
        <f>+SUM(M128:P128)</f>
        <v>30</v>
      </c>
      <c r="S128" s="203"/>
      <c r="T128" s="45"/>
      <c r="AH128" s="471" t="s">
        <v>873</v>
      </c>
      <c r="AI128" s="475"/>
      <c r="AK128" s="481" t="s">
        <v>873</v>
      </c>
      <c r="AL128" s="482"/>
    </row>
    <row r="129" spans="2:38" ht="12.6" customHeight="1" x14ac:dyDescent="0.2">
      <c r="B129" s="189" t="s">
        <v>760</v>
      </c>
      <c r="C129" s="61"/>
      <c r="D129" s="57"/>
      <c r="E129" s="57"/>
      <c r="F129" s="63"/>
      <c r="G129" s="458">
        <f t="shared" ref="G129:P129" si="200">G103-F103</f>
        <v>0</v>
      </c>
      <c r="H129" s="458">
        <f t="shared" si="200"/>
        <v>0</v>
      </c>
      <c r="I129" s="458">
        <f t="shared" si="200"/>
        <v>0</v>
      </c>
      <c r="J129" s="458">
        <f t="shared" si="200"/>
        <v>0</v>
      </c>
      <c r="K129" s="458">
        <f t="shared" si="200"/>
        <v>0</v>
      </c>
      <c r="L129" s="458">
        <f t="shared" si="200"/>
        <v>0</v>
      </c>
      <c r="M129" s="459">
        <f t="shared" si="200"/>
        <v>0</v>
      </c>
      <c r="N129" s="459">
        <f t="shared" si="200"/>
        <v>30</v>
      </c>
      <c r="O129" s="459">
        <f t="shared" si="200"/>
        <v>0</v>
      </c>
      <c r="P129" s="459">
        <f t="shared" si="200"/>
        <v>0</v>
      </c>
      <c r="Q129" s="1294">
        <f>+SUM(M129:P129)</f>
        <v>30</v>
      </c>
      <c r="S129" s="203"/>
      <c r="T129" s="45"/>
      <c r="AH129" s="466" t="s">
        <v>865</v>
      </c>
      <c r="AI129" s="467">
        <v>76</v>
      </c>
      <c r="AK129" s="490" t="s">
        <v>865</v>
      </c>
      <c r="AL129" s="489">
        <v>76</v>
      </c>
    </row>
    <row r="130" spans="2:38" ht="12.6" customHeight="1" x14ac:dyDescent="0.2">
      <c r="B130" s="189" t="s">
        <v>761</v>
      </c>
      <c r="C130" s="61"/>
      <c r="D130" s="57"/>
      <c r="E130" s="57"/>
      <c r="F130" s="63"/>
      <c r="G130" s="458">
        <f t="shared" ref="G130:P130" si="201">G104-F104</f>
        <v>0</v>
      </c>
      <c r="H130" s="458">
        <f t="shared" si="201"/>
        <v>0</v>
      </c>
      <c r="I130" s="458">
        <f t="shared" si="201"/>
        <v>0</v>
      </c>
      <c r="J130" s="458">
        <f t="shared" si="201"/>
        <v>0</v>
      </c>
      <c r="K130" s="458">
        <f t="shared" si="201"/>
        <v>0</v>
      </c>
      <c r="L130" s="458">
        <f t="shared" si="201"/>
        <v>0</v>
      </c>
      <c r="M130" s="459">
        <f t="shared" si="201"/>
        <v>0</v>
      </c>
      <c r="N130" s="459">
        <f t="shared" si="201"/>
        <v>0</v>
      </c>
      <c r="O130" s="459">
        <f t="shared" si="201"/>
        <v>0</v>
      </c>
      <c r="P130" s="459">
        <f t="shared" si="201"/>
        <v>0</v>
      </c>
      <c r="S130" s="203"/>
      <c r="T130" s="45"/>
      <c r="AH130" s="468" t="s">
        <v>869</v>
      </c>
      <c r="AI130" s="469">
        <v>36</v>
      </c>
      <c r="AK130" s="491" t="s">
        <v>869</v>
      </c>
      <c r="AL130" s="488">
        <v>36</v>
      </c>
    </row>
    <row r="131" spans="2:38" ht="12.6" customHeight="1" x14ac:dyDescent="0.2">
      <c r="B131" s="189" t="s">
        <v>664</v>
      </c>
      <c r="C131" s="61"/>
      <c r="D131" s="57"/>
      <c r="E131" s="57"/>
      <c r="F131" s="63"/>
      <c r="G131" s="458">
        <f t="shared" ref="G131:O131" si="202">G105-F105</f>
        <v>0</v>
      </c>
      <c r="H131" s="458">
        <f t="shared" si="202"/>
        <v>0</v>
      </c>
      <c r="I131" s="458">
        <f t="shared" si="202"/>
        <v>0</v>
      </c>
      <c r="J131" s="458">
        <f t="shared" si="202"/>
        <v>0</v>
      </c>
      <c r="K131" s="458">
        <f t="shared" si="202"/>
        <v>0</v>
      </c>
      <c r="L131" s="458">
        <f t="shared" si="202"/>
        <v>0</v>
      </c>
      <c r="M131" s="459">
        <f t="shared" si="202"/>
        <v>0</v>
      </c>
      <c r="N131" s="459">
        <f t="shared" si="202"/>
        <v>0</v>
      </c>
      <c r="O131" s="459">
        <f t="shared" si="202"/>
        <v>0</v>
      </c>
      <c r="P131" s="459">
        <f>P105-O105</f>
        <v>33</v>
      </c>
      <c r="Q131" s="352"/>
      <c r="S131" s="203"/>
      <c r="T131" s="45"/>
      <c r="AH131" s="477" t="s">
        <v>868</v>
      </c>
      <c r="AI131" s="478">
        <f>AI129/AI130-1</f>
        <v>1.1111111111111112</v>
      </c>
      <c r="AK131" s="492" t="s">
        <v>868</v>
      </c>
      <c r="AL131" s="493">
        <v>1.1111111111111112</v>
      </c>
    </row>
    <row r="132" spans="2:38" ht="12.6" customHeight="1" x14ac:dyDescent="0.2">
      <c r="B132" s="189" t="s">
        <v>1866</v>
      </c>
      <c r="C132" s="61"/>
      <c r="D132" s="57"/>
      <c r="E132" s="57"/>
      <c r="F132" s="63"/>
      <c r="G132" s="458">
        <f t="shared" ref="G132:P132" si="203">G106-F106</f>
        <v>0</v>
      </c>
      <c r="H132" s="458">
        <f t="shared" si="203"/>
        <v>0</v>
      </c>
      <c r="I132" s="458">
        <f t="shared" si="203"/>
        <v>0</v>
      </c>
      <c r="J132" s="458">
        <f t="shared" si="203"/>
        <v>0</v>
      </c>
      <c r="K132" s="458">
        <f t="shared" si="203"/>
        <v>0</v>
      </c>
      <c r="L132" s="458">
        <f t="shared" si="203"/>
        <v>0</v>
      </c>
      <c r="M132" s="459">
        <f t="shared" si="203"/>
        <v>0</v>
      </c>
      <c r="N132" s="459">
        <f t="shared" si="203"/>
        <v>0</v>
      </c>
      <c r="O132" s="459">
        <f t="shared" si="203"/>
        <v>0</v>
      </c>
      <c r="P132" s="459">
        <f t="shared" si="203"/>
        <v>27</v>
      </c>
      <c r="Q132" s="352"/>
      <c r="S132" s="203"/>
      <c r="T132" s="45"/>
    </row>
    <row r="133" spans="2:38" ht="12.6" customHeight="1" x14ac:dyDescent="0.2">
      <c r="B133" s="189" t="s">
        <v>1767</v>
      </c>
      <c r="C133" s="61"/>
      <c r="D133" s="57"/>
      <c r="E133" s="57"/>
      <c r="F133" s="63"/>
      <c r="G133" s="458">
        <f t="shared" ref="G133:P133" si="204">G107-F107</f>
        <v>0</v>
      </c>
      <c r="H133" s="458">
        <f t="shared" si="204"/>
        <v>0</v>
      </c>
      <c r="I133" s="458">
        <f t="shared" si="204"/>
        <v>0</v>
      </c>
      <c r="J133" s="458">
        <f t="shared" si="204"/>
        <v>0</v>
      </c>
      <c r="K133" s="458">
        <f t="shared" si="204"/>
        <v>0</v>
      </c>
      <c r="L133" s="458">
        <f t="shared" si="204"/>
        <v>0</v>
      </c>
      <c r="M133" s="459">
        <f t="shared" si="204"/>
        <v>0</v>
      </c>
      <c r="N133" s="459">
        <f t="shared" si="204"/>
        <v>6.3</v>
      </c>
      <c r="O133" s="459">
        <f t="shared" si="204"/>
        <v>0</v>
      </c>
      <c r="P133" s="459">
        <f t="shared" si="204"/>
        <v>0</v>
      </c>
      <c r="S133" s="203"/>
      <c r="T133" s="45"/>
    </row>
    <row r="134" spans="2:38" ht="12.6" customHeight="1" x14ac:dyDescent="0.2">
      <c r="B134" s="189" t="s">
        <v>2045</v>
      </c>
      <c r="C134" s="61"/>
      <c r="D134" s="57"/>
      <c r="E134" s="57"/>
      <c r="F134" s="63"/>
      <c r="G134" s="458">
        <f t="shared" ref="G134:P134" si="205">G108-F108</f>
        <v>0</v>
      </c>
      <c r="H134" s="458">
        <f t="shared" si="205"/>
        <v>0</v>
      </c>
      <c r="I134" s="458">
        <f t="shared" si="205"/>
        <v>0</v>
      </c>
      <c r="J134" s="458">
        <f t="shared" si="205"/>
        <v>0</v>
      </c>
      <c r="K134" s="458">
        <f t="shared" si="205"/>
        <v>0</v>
      </c>
      <c r="L134" s="458">
        <f t="shared" si="205"/>
        <v>0</v>
      </c>
      <c r="M134" s="459">
        <f t="shared" si="205"/>
        <v>0</v>
      </c>
      <c r="N134" s="459">
        <f t="shared" si="205"/>
        <v>0</v>
      </c>
      <c r="O134" s="459">
        <f t="shared" si="205"/>
        <v>12</v>
      </c>
      <c r="P134" s="459">
        <f t="shared" si="205"/>
        <v>0</v>
      </c>
      <c r="S134" s="203"/>
      <c r="T134" s="45"/>
    </row>
    <row r="135" spans="2:38" ht="12.6" customHeight="1" x14ac:dyDescent="0.2">
      <c r="B135" s="189" t="s">
        <v>472</v>
      </c>
      <c r="C135" s="61"/>
      <c r="D135" s="57"/>
      <c r="E135" s="57"/>
      <c r="F135" s="63"/>
      <c r="G135" s="458">
        <f t="shared" ref="G135:P135" si="206">G109-F109</f>
        <v>0</v>
      </c>
      <c r="H135" s="458">
        <f t="shared" si="206"/>
        <v>0</v>
      </c>
      <c r="I135" s="458">
        <f t="shared" si="206"/>
        <v>0</v>
      </c>
      <c r="J135" s="458">
        <f t="shared" si="206"/>
        <v>0</v>
      </c>
      <c r="K135" s="458">
        <f t="shared" si="206"/>
        <v>0</v>
      </c>
      <c r="L135" s="458">
        <f t="shared" si="206"/>
        <v>0</v>
      </c>
      <c r="M135" s="459">
        <f t="shared" si="206"/>
        <v>0</v>
      </c>
      <c r="N135" s="459">
        <f t="shared" si="206"/>
        <v>0</v>
      </c>
      <c r="O135" s="459">
        <f t="shared" si="206"/>
        <v>0</v>
      </c>
      <c r="P135" s="459">
        <f t="shared" si="206"/>
        <v>0</v>
      </c>
      <c r="S135" s="203"/>
      <c r="T135" s="45"/>
    </row>
    <row r="136" spans="2:38" ht="12.6" customHeight="1" x14ac:dyDescent="0.2">
      <c r="B136" s="189" t="s">
        <v>472</v>
      </c>
      <c r="C136" s="61"/>
      <c r="D136" s="57"/>
      <c r="E136" s="57"/>
      <c r="F136" s="63"/>
      <c r="G136" s="458">
        <f t="shared" ref="G136:P136" si="207">G110-F110</f>
        <v>0</v>
      </c>
      <c r="H136" s="458">
        <f t="shared" si="207"/>
        <v>0</v>
      </c>
      <c r="I136" s="458">
        <f t="shared" si="207"/>
        <v>0</v>
      </c>
      <c r="J136" s="458">
        <f t="shared" si="207"/>
        <v>0</v>
      </c>
      <c r="K136" s="458">
        <f t="shared" si="207"/>
        <v>0</v>
      </c>
      <c r="L136" s="458">
        <f t="shared" si="207"/>
        <v>0</v>
      </c>
      <c r="M136" s="459">
        <f t="shared" si="207"/>
        <v>0</v>
      </c>
      <c r="N136" s="459">
        <f t="shared" si="207"/>
        <v>0</v>
      </c>
      <c r="O136" s="459">
        <f t="shared" si="207"/>
        <v>0</v>
      </c>
      <c r="P136" s="459">
        <f t="shared" si="207"/>
        <v>0</v>
      </c>
      <c r="Q136" s="37">
        <f>+Q129+Q128+Q115+Q114</f>
        <v>98</v>
      </c>
      <c r="S136" s="203"/>
      <c r="T136" s="45"/>
    </row>
    <row r="137" spans="2:38" ht="12.6" customHeight="1" x14ac:dyDescent="0.2">
      <c r="B137" s="95" t="s">
        <v>304</v>
      </c>
      <c r="C137" s="61"/>
      <c r="D137" s="57"/>
      <c r="E137" s="57"/>
      <c r="F137" s="63"/>
      <c r="G137" s="460">
        <f t="shared" ref="G137:P137" si="208">G111-F111</f>
        <v>26</v>
      </c>
      <c r="H137" s="460">
        <f t="shared" si="208"/>
        <v>43.199999999999989</v>
      </c>
      <c r="I137" s="460">
        <f t="shared" si="208"/>
        <v>4.1999999999999886</v>
      </c>
      <c r="J137" s="460">
        <f t="shared" si="208"/>
        <v>11.599999999999994</v>
      </c>
      <c r="K137" s="460">
        <f t="shared" si="208"/>
        <v>6.9000000000000057</v>
      </c>
      <c r="L137" s="460">
        <f t="shared" si="208"/>
        <v>5.9000000000000057</v>
      </c>
      <c r="M137" s="461">
        <f t="shared" si="208"/>
        <v>14.820000000000022</v>
      </c>
      <c r="N137" s="461">
        <f t="shared" si="208"/>
        <v>102.30000000000001</v>
      </c>
      <c r="O137" s="461">
        <f t="shared" si="208"/>
        <v>42</v>
      </c>
      <c r="P137" s="461">
        <f t="shared" si="208"/>
        <v>60</v>
      </c>
      <c r="Q137" s="37">
        <f>SUM(M137:P137)</f>
        <v>219.12000000000003</v>
      </c>
      <c r="R137" s="352">
        <f>Q136/Q137</f>
        <v>0.4472435195326761</v>
      </c>
      <c r="S137" s="203"/>
      <c r="T137" s="45"/>
    </row>
    <row r="138" spans="2:38" ht="12.6" customHeight="1" x14ac:dyDescent="0.2">
      <c r="B138" s="95"/>
      <c r="C138" s="61"/>
      <c r="D138" s="57"/>
      <c r="E138" s="57"/>
      <c r="F138" s="63"/>
      <c r="G138" s="63"/>
      <c r="H138" s="63"/>
      <c r="I138" s="63"/>
      <c r="J138" s="63"/>
      <c r="K138" s="63"/>
      <c r="L138" s="63"/>
      <c r="M138" s="291"/>
      <c r="N138" s="291"/>
      <c r="O138" s="291"/>
      <c r="P138" s="291"/>
      <c r="S138" s="203"/>
      <c r="T138" s="45"/>
    </row>
    <row r="139" spans="2:38" ht="12.6" customHeight="1" x14ac:dyDescent="0.2">
      <c r="B139" s="50" t="s">
        <v>567</v>
      </c>
      <c r="C139" s="50"/>
      <c r="D139" s="163"/>
      <c r="E139" s="163"/>
      <c r="F139" s="163"/>
      <c r="G139" s="51"/>
      <c r="H139" s="51"/>
      <c r="I139" s="51"/>
      <c r="J139" s="51"/>
      <c r="K139" s="51"/>
      <c r="L139" s="51"/>
      <c r="M139" s="54"/>
      <c r="N139" s="54"/>
      <c r="O139" s="54"/>
      <c r="P139" s="54"/>
    </row>
    <row r="140" spans="2:38" ht="12.6" customHeight="1" x14ac:dyDescent="0.2">
      <c r="B140" s="56" t="s">
        <v>3</v>
      </c>
      <c r="C140" s="326"/>
      <c r="D140" s="58"/>
      <c r="E140" s="58"/>
      <c r="F140" s="339">
        <f t="shared" ref="F140:P140" si="209">IF(ISERROR(F4/F88)," ",F4/F88)</f>
        <v>0.23045152771111113</v>
      </c>
      <c r="G140" s="58">
        <f t="shared" si="209"/>
        <v>0.18475999999999998</v>
      </c>
      <c r="H140" s="58">
        <f t="shared" si="209"/>
        <v>0.25489970909090909</v>
      </c>
      <c r="I140" s="58">
        <f t="shared" si="209"/>
        <v>0.36794545454545458</v>
      </c>
      <c r="J140" s="58">
        <f t="shared" si="209"/>
        <v>0.3910909090909091</v>
      </c>
      <c r="K140" s="58">
        <f t="shared" si="209"/>
        <v>0.36181818181818182</v>
      </c>
      <c r="L140" s="58">
        <f t="shared" ref="L140" si="210">IF(ISERROR(L4/L88)," ",L4/L88)</f>
        <v>0.36854545454545456</v>
      </c>
      <c r="M140" s="340">
        <f t="shared" si="209"/>
        <v>0.36983859649122808</v>
      </c>
      <c r="N140" s="340">
        <f t="shared" si="209"/>
        <v>0.3416021818181818</v>
      </c>
      <c r="O140" s="340">
        <f t="shared" si="209"/>
        <v>0.37576239999999994</v>
      </c>
      <c r="P140" s="340">
        <f t="shared" si="209"/>
        <v>0.39455052000000002</v>
      </c>
    </row>
    <row r="141" spans="2:38" ht="12.6" customHeight="1" x14ac:dyDescent="0.2">
      <c r="B141" s="56" t="s">
        <v>790</v>
      </c>
      <c r="C141" s="326"/>
      <c r="D141" s="58"/>
      <c r="E141" s="58"/>
      <c r="F141" s="339">
        <f t="shared" ref="F141:P141" si="211">IF(ISERROR(F5/F89)," ",F5/F89)</f>
        <v>0.8560150666666666</v>
      </c>
      <c r="G141" s="58">
        <f t="shared" si="211"/>
        <v>0.37941176470588234</v>
      </c>
      <c r="H141" s="58">
        <f t="shared" si="211"/>
        <v>0.50616156844117643</v>
      </c>
      <c r="I141" s="58">
        <f t="shared" si="211"/>
        <v>0.70676470588235285</v>
      </c>
      <c r="J141" s="58">
        <f t="shared" si="211"/>
        <v>0.73941176470588232</v>
      </c>
      <c r="K141" s="58">
        <f t="shared" si="211"/>
        <v>0.67941176470588238</v>
      </c>
      <c r="L141" s="58">
        <f t="shared" ref="L141" si="212">IF(ISERROR(L5/L89)," ",L5/L89)</f>
        <v>0.7214705882352942</v>
      </c>
      <c r="M141" s="340">
        <f t="shared" si="211"/>
        <v>0.74941058823529405</v>
      </c>
      <c r="N141" s="340">
        <f t="shared" si="211"/>
        <v>0.63296399999999997</v>
      </c>
      <c r="O141" s="340">
        <f t="shared" si="211"/>
        <v>0.69464640000000022</v>
      </c>
      <c r="P141" s="340">
        <f t="shared" si="211"/>
        <v>0.71500159200000013</v>
      </c>
    </row>
    <row r="142" spans="2:38" ht="12.6" customHeight="1" x14ac:dyDescent="0.2">
      <c r="B142" s="56" t="s">
        <v>214</v>
      </c>
      <c r="C142" s="326"/>
      <c r="D142" s="58"/>
      <c r="E142" s="58"/>
      <c r="F142" s="339">
        <f t="shared" ref="F142:P142" si="213">IF(ISERROR(F6/F90)," ",F6/F90)</f>
        <v>0.44073193333333338</v>
      </c>
      <c r="G142" s="58">
        <f t="shared" si="213"/>
        <v>0.45533333333333331</v>
      </c>
      <c r="H142" s="58">
        <f t="shared" si="213"/>
        <v>0.81477749870588223</v>
      </c>
      <c r="I142" s="58">
        <f t="shared" si="213"/>
        <v>0.83152941176470585</v>
      </c>
      <c r="J142" s="58">
        <f t="shared" si="213"/>
        <v>0.84188235294117642</v>
      </c>
      <c r="K142" s="58">
        <f t="shared" si="213"/>
        <v>0.5818181818181819</v>
      </c>
      <c r="L142" s="58">
        <f t="shared" ref="L142" si="214">IF(ISERROR(L6/L90)," ",L6/L90)</f>
        <v>0.77727272727272734</v>
      </c>
      <c r="M142" s="340">
        <f t="shared" ca="1" si="213"/>
        <v>0.62612000000000012</v>
      </c>
      <c r="N142" s="340">
        <f t="shared" ca="1" si="213"/>
        <v>0.72003800000000007</v>
      </c>
      <c r="O142" s="340">
        <f t="shared" ca="1" si="213"/>
        <v>0.75156433000000011</v>
      </c>
      <c r="P142" s="340">
        <f t="shared" ca="1" si="213"/>
        <v>0.78448795370000002</v>
      </c>
    </row>
    <row r="143" spans="2:38" ht="12.6" customHeight="1" x14ac:dyDescent="0.2">
      <c r="B143" s="56" t="s">
        <v>10</v>
      </c>
      <c r="C143" s="326"/>
      <c r="D143" s="58"/>
      <c r="E143" s="58"/>
      <c r="F143" s="339">
        <f t="shared" ref="F143:P143" si="215">IF(ISERROR(F7/F91)," ",F7/F91)</f>
        <v>0.10129999999999999</v>
      </c>
      <c r="G143" s="339">
        <f t="shared" si="215"/>
        <v>0.84299999999999997</v>
      </c>
      <c r="H143" s="58">
        <f t="shared" si="215"/>
        <v>0.75161149999999999</v>
      </c>
      <c r="I143" s="58">
        <f t="shared" si="215"/>
        <v>0.95199999999999996</v>
      </c>
      <c r="J143" s="58">
        <f t="shared" si="215"/>
        <v>1.2369999999999999</v>
      </c>
      <c r="K143" s="58">
        <f t="shared" si="215"/>
        <v>1.1400000000000001</v>
      </c>
      <c r="L143" s="58">
        <f t="shared" ref="L143" si="216">IF(ISERROR(L7/L91)," ",L7/L91)</f>
        <v>0.72599999999999998</v>
      </c>
      <c r="M143" s="340">
        <f t="shared" ca="1" si="215"/>
        <v>0.94380000000000008</v>
      </c>
      <c r="N143" s="340">
        <f t="shared" ca="1" si="215"/>
        <v>0.95323800000000003</v>
      </c>
      <c r="O143" s="340">
        <f t="shared" ca="1" si="215"/>
        <v>0.96277038000000004</v>
      </c>
      <c r="P143" s="340">
        <f t="shared" ca="1" si="215"/>
        <v>0.97239808380000015</v>
      </c>
    </row>
    <row r="144" spans="2:38" ht="12.6" customHeight="1" x14ac:dyDescent="0.2">
      <c r="B144" s="56" t="s">
        <v>568</v>
      </c>
      <c r="C144" s="326"/>
      <c r="D144" s="58"/>
      <c r="E144" s="58"/>
      <c r="F144" s="339" t="str">
        <f t="shared" ref="F144:P144" si="217">IF(ISERROR(F8/F92)," ",F8/F92)</f>
        <v xml:space="preserve"> </v>
      </c>
      <c r="G144" s="339" t="str">
        <f t="shared" si="217"/>
        <v xml:space="preserve"> </v>
      </c>
      <c r="H144" s="339">
        <f t="shared" si="217"/>
        <v>9.3558333333333341E-3</v>
      </c>
      <c r="I144" s="58">
        <f t="shared" si="217"/>
        <v>0.40113333333333334</v>
      </c>
      <c r="J144" s="58">
        <f t="shared" si="217"/>
        <v>0.55899999999999994</v>
      </c>
      <c r="K144" s="58">
        <f t="shared" si="217"/>
        <v>0.63</v>
      </c>
      <c r="L144" s="58">
        <f t="shared" ref="L144" si="218">IF(ISERROR(L8/L92)," ",L8/L92)</f>
        <v>0.63366666666666671</v>
      </c>
      <c r="M144" s="340">
        <f t="shared" si="217"/>
        <v>0.64634000000000014</v>
      </c>
      <c r="N144" s="340">
        <f t="shared" si="217"/>
        <v>0.68512040000000018</v>
      </c>
      <c r="O144" s="340">
        <f t="shared" si="217"/>
        <v>0.72622762400000018</v>
      </c>
      <c r="P144" s="340">
        <f t="shared" si="217"/>
        <v>0.76980128144000026</v>
      </c>
    </row>
    <row r="145" spans="2:16" ht="12.6" customHeight="1" x14ac:dyDescent="0.2">
      <c r="B145" s="56" t="s">
        <v>8</v>
      </c>
      <c r="C145" s="326"/>
      <c r="D145" s="58"/>
      <c r="E145" s="58"/>
      <c r="F145" s="339" t="str">
        <f t="shared" ref="F145:P145" si="219">IF(ISERROR(F9/F93)," ",F9/F93)</f>
        <v xml:space="preserve"> </v>
      </c>
      <c r="G145" s="339" t="str">
        <f t="shared" si="219"/>
        <v xml:space="preserve"> </v>
      </c>
      <c r="H145" s="58">
        <f t="shared" si="219"/>
        <v>1.0040519999999999</v>
      </c>
      <c r="I145" s="58">
        <f t="shared" si="219"/>
        <v>1.0880000000000001</v>
      </c>
      <c r="J145" s="58">
        <f t="shared" si="219"/>
        <v>0.96979166666666672</v>
      </c>
      <c r="K145" s="58">
        <f t="shared" si="219"/>
        <v>1.0625</v>
      </c>
      <c r="L145" s="58">
        <f t="shared" ref="L145" si="220">IF(ISERROR(L9/L93)," ",L9/L93)</f>
        <v>0.94363636363636372</v>
      </c>
      <c r="M145" s="340">
        <f t="shared" ca="1" si="219"/>
        <v>0.95307272727272729</v>
      </c>
      <c r="N145" s="340">
        <f t="shared" ca="1" si="219"/>
        <v>0.96260345454545471</v>
      </c>
      <c r="O145" s="340">
        <f t="shared" ca="1" si="219"/>
        <v>0.97222948909090912</v>
      </c>
      <c r="P145" s="340">
        <f t="shared" ca="1" si="219"/>
        <v>0.98195178398181826</v>
      </c>
    </row>
    <row r="146" spans="2:16" ht="12.6" customHeight="1" x14ac:dyDescent="0.2">
      <c r="B146" s="56" t="s">
        <v>9</v>
      </c>
      <c r="C146" s="326"/>
      <c r="D146" s="58"/>
      <c r="E146" s="58"/>
      <c r="F146" s="339" t="str">
        <f t="shared" ref="F146:P146" si="221">IF(ISERROR(F10/F94)," ",F10/F94)</f>
        <v xml:space="preserve"> </v>
      </c>
      <c r="G146" s="58">
        <f t="shared" si="221"/>
        <v>0.19500000000000001</v>
      </c>
      <c r="H146" s="58">
        <f t="shared" si="221"/>
        <v>0.58011754450499997</v>
      </c>
      <c r="I146" s="58">
        <f t="shared" si="221"/>
        <v>0.94499999999999995</v>
      </c>
      <c r="J146" s="58">
        <f t="shared" si="221"/>
        <v>0.73</v>
      </c>
      <c r="K146" s="58">
        <f t="shared" si="221"/>
        <v>1.05</v>
      </c>
      <c r="L146" s="58">
        <f t="shared" ref="L146" si="222">IF(ISERROR(L10/L94)," ",L10/L94)</f>
        <v>0.82499999999999996</v>
      </c>
      <c r="M146" s="340">
        <f t="shared" si="221"/>
        <v>0.86467500000000019</v>
      </c>
      <c r="N146" s="340">
        <f t="shared" si="221"/>
        <v>0.90790875000000026</v>
      </c>
      <c r="O146" s="340">
        <f t="shared" si="221"/>
        <v>0.95330418750000034</v>
      </c>
      <c r="P146" s="340">
        <f t="shared" si="221"/>
        <v>1.0009693968750004</v>
      </c>
    </row>
    <row r="147" spans="2:16" ht="12.6" customHeight="1" x14ac:dyDescent="0.2">
      <c r="B147" s="56" t="s">
        <v>215</v>
      </c>
      <c r="C147" s="326"/>
      <c r="D147" s="58"/>
      <c r="E147" s="58"/>
      <c r="F147" s="339" t="str">
        <f t="shared" ref="F147:P147" si="223">IF(ISERROR(F11/F95)," ",F11/F95)</f>
        <v xml:space="preserve"> </v>
      </c>
      <c r="G147" s="58" t="str">
        <f t="shared" si="223"/>
        <v xml:space="preserve"> </v>
      </c>
      <c r="H147" s="58">
        <f t="shared" si="223"/>
        <v>0.56580618820895523</v>
      </c>
      <c r="I147" s="58">
        <f t="shared" si="223"/>
        <v>0.66477611940298498</v>
      </c>
      <c r="J147" s="58">
        <f t="shared" si="223"/>
        <v>0.71194029850746265</v>
      </c>
      <c r="K147" s="58">
        <f t="shared" si="223"/>
        <v>0.77777777777777779</v>
      </c>
      <c r="L147" s="58">
        <f t="shared" ref="L147" si="224">IF(ISERROR(L11/L95)," ",L11/L95)</f>
        <v>0.77407407407407403</v>
      </c>
      <c r="M147" s="340">
        <f t="shared" ca="1" si="223"/>
        <v>0.81277777777777782</v>
      </c>
      <c r="N147" s="340">
        <f t="shared" ca="1" si="223"/>
        <v>0.85341666666666671</v>
      </c>
      <c r="O147" s="340">
        <f t="shared" ca="1" si="223"/>
        <v>0.89608750000000004</v>
      </c>
      <c r="P147" s="340">
        <f t="shared" ca="1" si="223"/>
        <v>0.94089187500000016</v>
      </c>
    </row>
    <row r="148" spans="2:16" ht="12.6" customHeight="1" x14ac:dyDescent="0.2">
      <c r="B148" s="56" t="s">
        <v>216</v>
      </c>
      <c r="C148" s="326"/>
      <c r="D148" s="58"/>
      <c r="E148" s="58"/>
      <c r="F148" s="339" t="str">
        <f t="shared" ref="F148:P148" si="225">IF(ISERROR(F12/F96)," ",F12/F96)</f>
        <v xml:space="preserve"> </v>
      </c>
      <c r="G148" s="339" t="str">
        <f t="shared" si="225"/>
        <v xml:space="preserve"> </v>
      </c>
      <c r="H148" s="58" t="str">
        <f t="shared" si="225"/>
        <v xml:space="preserve"> </v>
      </c>
      <c r="I148" s="58">
        <f t="shared" si="225"/>
        <v>0.51761849600494136</v>
      </c>
      <c r="J148" s="58">
        <f t="shared" si="225"/>
        <v>0.61480058202815469</v>
      </c>
      <c r="K148" s="58">
        <f t="shared" si="225"/>
        <v>0.5714285714285714</v>
      </c>
      <c r="L148" s="58">
        <f t="shared" ref="L148" si="226">IF(ISERROR(L12/L96)," ",L12/L96)</f>
        <v>0.59285714285714286</v>
      </c>
      <c r="M148" s="340">
        <f t="shared" si="225"/>
        <v>0.51785714285714279</v>
      </c>
      <c r="N148" s="340">
        <f t="shared" si="225"/>
        <v>0.56964285714285723</v>
      </c>
      <c r="O148" s="340">
        <f t="shared" si="225"/>
        <v>0.60382142857142873</v>
      </c>
      <c r="P148" s="340">
        <f t="shared" si="225"/>
        <v>0.64005071428571436</v>
      </c>
    </row>
    <row r="149" spans="2:16" ht="12.6" customHeight="1" x14ac:dyDescent="0.2">
      <c r="B149" s="56" t="s">
        <v>2</v>
      </c>
      <c r="C149" s="326"/>
      <c r="D149" s="58"/>
      <c r="E149" s="58"/>
      <c r="F149" s="339" t="str">
        <f t="shared" ref="F149:P149" si="227">IF(ISERROR(F13/F97)," ",F13/F97)</f>
        <v xml:space="preserve"> </v>
      </c>
      <c r="G149" s="339" t="str">
        <f t="shared" si="227"/>
        <v xml:space="preserve"> </v>
      </c>
      <c r="H149" s="339" t="str">
        <f t="shared" si="227"/>
        <v xml:space="preserve"> </v>
      </c>
      <c r="I149" s="339" t="str">
        <f t="shared" si="227"/>
        <v xml:space="preserve"> </v>
      </c>
      <c r="J149" s="58">
        <f t="shared" si="227"/>
        <v>0.26400000000000001</v>
      </c>
      <c r="K149" s="58">
        <f t="shared" si="227"/>
        <v>0.6875</v>
      </c>
      <c r="L149" s="58">
        <f t="shared" ref="L149" si="228">IF(ISERROR(L13/L97)," ",L13/L97)</f>
        <v>0.66749999999999998</v>
      </c>
      <c r="M149" s="340">
        <f t="shared" si="227"/>
        <v>0.76733750000000001</v>
      </c>
      <c r="N149" s="340">
        <f t="shared" si="227"/>
        <v>0.78268424999999997</v>
      </c>
      <c r="O149" s="340">
        <f t="shared" si="227"/>
        <v>0.82181846250000001</v>
      </c>
      <c r="P149" s="340">
        <f t="shared" si="227"/>
        <v>0.86290938562500008</v>
      </c>
    </row>
    <row r="150" spans="2:16" ht="12.6" customHeight="1" x14ac:dyDescent="0.2">
      <c r="B150" s="56" t="s">
        <v>791</v>
      </c>
      <c r="C150" s="326"/>
      <c r="D150" s="58"/>
      <c r="E150" s="58"/>
      <c r="F150" s="339" t="str">
        <f t="shared" ref="F150:P150" si="229">IF(ISERROR(F14/F98)," ",F14/F98)</f>
        <v xml:space="preserve"> </v>
      </c>
      <c r="G150" s="339" t="str">
        <f t="shared" si="229"/>
        <v xml:space="preserve"> </v>
      </c>
      <c r="H150" s="339" t="str">
        <f t="shared" si="229"/>
        <v xml:space="preserve"> </v>
      </c>
      <c r="I150" s="339" t="str">
        <f t="shared" si="229"/>
        <v xml:space="preserve"> </v>
      </c>
      <c r="J150" s="58">
        <f t="shared" si="229"/>
        <v>0.4</v>
      </c>
      <c r="K150" s="58">
        <f t="shared" si="229"/>
        <v>1.46</v>
      </c>
      <c r="L150" s="58">
        <f t="shared" ref="L150" si="230">IF(ISERROR(L14/L98)," ",L14/L98)</f>
        <v>1.1419999999999999</v>
      </c>
      <c r="M150" s="340">
        <f t="shared" si="229"/>
        <v>0.57099999999999995</v>
      </c>
      <c r="N150" s="340">
        <f t="shared" si="229"/>
        <v>0.99924999999999997</v>
      </c>
      <c r="O150" s="340">
        <f t="shared" si="229"/>
        <v>1.1991000000000001</v>
      </c>
      <c r="P150" s="340">
        <f t="shared" si="229"/>
        <v>1.247064</v>
      </c>
    </row>
    <row r="151" spans="2:16" ht="12.6" customHeight="1" x14ac:dyDescent="0.2">
      <c r="B151" s="56" t="s">
        <v>553</v>
      </c>
      <c r="C151" s="326"/>
      <c r="D151" s="58"/>
      <c r="E151" s="58"/>
      <c r="F151" s="339" t="str">
        <f t="shared" ref="F151:P151" si="231">IF(ISERROR(F15/F99)," ",F15/F99)</f>
        <v xml:space="preserve"> </v>
      </c>
      <c r="G151" s="339" t="str">
        <f t="shared" si="231"/>
        <v xml:space="preserve"> </v>
      </c>
      <c r="H151" s="339" t="str">
        <f t="shared" si="231"/>
        <v xml:space="preserve"> </v>
      </c>
      <c r="I151" s="339" t="str">
        <f t="shared" si="231"/>
        <v xml:space="preserve"> </v>
      </c>
      <c r="J151" s="339" t="str">
        <f t="shared" si="231"/>
        <v xml:space="preserve"> </v>
      </c>
      <c r="K151" s="339" t="str">
        <f t="shared" si="231"/>
        <v xml:space="preserve"> </v>
      </c>
      <c r="L151" s="339" t="str">
        <f t="shared" ref="L151" si="232">IF(ISERROR(L15/L99)," ",L15/L99)</f>
        <v xml:space="preserve"> </v>
      </c>
      <c r="M151" s="340">
        <f t="shared" ca="1" si="231"/>
        <v>0.75</v>
      </c>
      <c r="N151" s="340">
        <f t="shared" ca="1" si="231"/>
        <v>0.75</v>
      </c>
      <c r="O151" s="340">
        <f t="shared" ca="1" si="231"/>
        <v>0.75</v>
      </c>
      <c r="P151" s="340">
        <f t="shared" ca="1" si="231"/>
        <v>0.75</v>
      </c>
    </row>
    <row r="152" spans="2:16" ht="12.6" customHeight="1" x14ac:dyDescent="0.2">
      <c r="B152" s="189" t="s">
        <v>788</v>
      </c>
      <c r="C152" s="326"/>
      <c r="D152" s="58"/>
      <c r="E152" s="58"/>
      <c r="F152" s="339" t="str">
        <f t="shared" ref="F152:K152" si="233">IF(ISERROR(F16/F100)," ",F16/F100)</f>
        <v xml:space="preserve"> </v>
      </c>
      <c r="G152" s="339" t="str">
        <f t="shared" si="233"/>
        <v xml:space="preserve"> </v>
      </c>
      <c r="H152" s="339" t="str">
        <f t="shared" si="233"/>
        <v xml:space="preserve"> </v>
      </c>
      <c r="I152" s="339" t="str">
        <f t="shared" si="233"/>
        <v xml:space="preserve"> </v>
      </c>
      <c r="J152" s="339" t="str">
        <f t="shared" si="233"/>
        <v xml:space="preserve"> </v>
      </c>
      <c r="K152" s="339" t="str">
        <f t="shared" si="233"/>
        <v xml:space="preserve"> </v>
      </c>
      <c r="L152" s="339">
        <f t="shared" ref="L152" si="234">IF(ISERROR(L16/L100)," ",L16/L100)</f>
        <v>0.28888888888888892</v>
      </c>
      <c r="M152" s="340">
        <f>IF(ISERROR(M16/M100)," ",M16/M100)</f>
        <v>0.65</v>
      </c>
      <c r="N152" s="340">
        <f>IF(ISERROR(N16/N100)," ",N16/N100)</f>
        <v>0.7</v>
      </c>
      <c r="O152" s="340">
        <f>IF(ISERROR(O16/O100)," ",O16/O100)</f>
        <v>0.75</v>
      </c>
      <c r="P152" s="340">
        <f>IF(ISERROR(P16/P100)," ",P16/P100)</f>
        <v>0.75</v>
      </c>
    </row>
    <row r="153" spans="2:16" ht="12.6" customHeight="1" x14ac:dyDescent="0.2">
      <c r="B153" s="189" t="s">
        <v>789</v>
      </c>
      <c r="C153" s="326"/>
      <c r="D153" s="58"/>
      <c r="E153" s="58"/>
      <c r="F153" s="339" t="str">
        <f t="shared" ref="F153:P153" si="235">IF(ISERROR(F17/F101)," ",F17/F101)</f>
        <v xml:space="preserve"> </v>
      </c>
      <c r="G153" s="339" t="str">
        <f t="shared" si="235"/>
        <v xml:space="preserve"> </v>
      </c>
      <c r="H153" s="339" t="str">
        <f t="shared" si="235"/>
        <v xml:space="preserve"> </v>
      </c>
      <c r="I153" s="339" t="str">
        <f t="shared" si="235"/>
        <v xml:space="preserve"> </v>
      </c>
      <c r="J153" s="339" t="str">
        <f t="shared" si="235"/>
        <v xml:space="preserve"> </v>
      </c>
      <c r="K153" s="339" t="str">
        <f t="shared" si="235"/>
        <v xml:space="preserve"> </v>
      </c>
      <c r="L153" s="339" t="str">
        <f t="shared" ref="L153" si="236">IF(ISERROR(L17/L101)," ",L17/L101)</f>
        <v xml:space="preserve"> </v>
      </c>
      <c r="M153" s="340" t="str">
        <f t="shared" si="235"/>
        <v xml:space="preserve"> </v>
      </c>
      <c r="N153" s="340" t="str">
        <f t="shared" si="235"/>
        <v xml:space="preserve"> </v>
      </c>
      <c r="O153" s="340">
        <f t="shared" si="235"/>
        <v>0.05</v>
      </c>
      <c r="P153" s="340">
        <f t="shared" si="235"/>
        <v>0.3</v>
      </c>
    </row>
    <row r="154" spans="2:16" ht="12.6" customHeight="1" x14ac:dyDescent="0.2">
      <c r="B154" s="189" t="s">
        <v>558</v>
      </c>
      <c r="C154" s="326"/>
      <c r="D154" s="58"/>
      <c r="E154" s="58"/>
      <c r="F154" s="339" t="str">
        <f t="shared" ref="F154:P154" si="237">IF(ISERROR(F18/F102)," ",F18/F102)</f>
        <v xml:space="preserve"> </v>
      </c>
      <c r="G154" s="339" t="str">
        <f t="shared" si="237"/>
        <v xml:space="preserve"> </v>
      </c>
      <c r="H154" s="339" t="str">
        <f t="shared" si="237"/>
        <v xml:space="preserve"> </v>
      </c>
      <c r="I154" s="339" t="str">
        <f t="shared" si="237"/>
        <v xml:space="preserve"> </v>
      </c>
      <c r="J154" s="339" t="str">
        <f t="shared" si="237"/>
        <v xml:space="preserve"> </v>
      </c>
      <c r="K154" s="339" t="str">
        <f t="shared" si="237"/>
        <v xml:space="preserve"> </v>
      </c>
      <c r="L154" s="339" t="str">
        <f t="shared" ref="L154" si="238">IF(ISERROR(L18/L102)," ",L18/L102)</f>
        <v xml:space="preserve"> </v>
      </c>
      <c r="M154" s="341" t="str">
        <f t="shared" si="237"/>
        <v xml:space="preserve"> </v>
      </c>
      <c r="N154" s="341">
        <f t="shared" si="237"/>
        <v>0.33500000000000002</v>
      </c>
      <c r="O154" s="341">
        <f t="shared" si="237"/>
        <v>0.55000000000000004</v>
      </c>
      <c r="P154" s="341">
        <f t="shared" si="237"/>
        <v>0.7</v>
      </c>
    </row>
    <row r="155" spans="2:16" ht="12.6" customHeight="1" x14ac:dyDescent="0.2">
      <c r="B155" s="189" t="s">
        <v>760</v>
      </c>
      <c r="C155" s="326"/>
      <c r="D155" s="58"/>
      <c r="E155" s="58"/>
      <c r="F155" s="339" t="str">
        <f t="shared" ref="F155:P155" si="239">IF(ISERROR(F19/F103)," ",F19/F103)</f>
        <v xml:space="preserve"> </v>
      </c>
      <c r="G155" s="339" t="str">
        <f t="shared" si="239"/>
        <v xml:space="preserve"> </v>
      </c>
      <c r="H155" s="339" t="str">
        <f t="shared" si="239"/>
        <v xml:space="preserve"> </v>
      </c>
      <c r="I155" s="339" t="str">
        <f t="shared" si="239"/>
        <v xml:space="preserve"> </v>
      </c>
      <c r="J155" s="339" t="str">
        <f t="shared" si="239"/>
        <v xml:space="preserve"> </v>
      </c>
      <c r="K155" s="339" t="str">
        <f t="shared" si="239"/>
        <v xml:space="preserve"> </v>
      </c>
      <c r="L155" s="339" t="str">
        <f t="shared" ref="L155" si="240">IF(ISERROR(L19/L103)," ",L19/L103)</f>
        <v xml:space="preserve"> </v>
      </c>
      <c r="M155" s="341" t="str">
        <f t="shared" si="239"/>
        <v xml:space="preserve"> </v>
      </c>
      <c r="N155" s="341">
        <f t="shared" si="239"/>
        <v>0.4</v>
      </c>
      <c r="O155" s="341">
        <f t="shared" si="239"/>
        <v>0.6</v>
      </c>
      <c r="P155" s="341">
        <f t="shared" si="239"/>
        <v>0.6</v>
      </c>
    </row>
    <row r="156" spans="2:16" ht="12.6" customHeight="1" x14ac:dyDescent="0.2">
      <c r="B156" s="189" t="s">
        <v>761</v>
      </c>
      <c r="C156" s="326"/>
      <c r="D156" s="58"/>
      <c r="E156" s="58"/>
      <c r="F156" s="339" t="str">
        <f t="shared" ref="F156:P156" si="241">IF(ISERROR(F20/F104)," ",F20/F104)</f>
        <v xml:space="preserve"> </v>
      </c>
      <c r="G156" s="339" t="str">
        <f t="shared" si="241"/>
        <v xml:space="preserve"> </v>
      </c>
      <c r="H156" s="339" t="str">
        <f t="shared" si="241"/>
        <v xml:space="preserve"> </v>
      </c>
      <c r="I156" s="339" t="str">
        <f t="shared" si="241"/>
        <v xml:space="preserve"> </v>
      </c>
      <c r="J156" s="339" t="str">
        <f t="shared" si="241"/>
        <v xml:space="preserve"> </v>
      </c>
      <c r="K156" s="339" t="str">
        <f t="shared" si="241"/>
        <v xml:space="preserve"> </v>
      </c>
      <c r="L156" s="339" t="str">
        <f t="shared" ref="L156" si="242">IF(ISERROR(L20/L104)," ",L20/L104)</f>
        <v xml:space="preserve"> </v>
      </c>
      <c r="M156" s="341" t="str">
        <f t="shared" si="241"/>
        <v xml:space="preserve"> </v>
      </c>
      <c r="N156" s="341" t="str">
        <f t="shared" si="241"/>
        <v xml:space="preserve"> </v>
      </c>
      <c r="O156" s="341" t="str">
        <f t="shared" si="241"/>
        <v xml:space="preserve"> </v>
      </c>
      <c r="P156" s="341" t="str">
        <f t="shared" si="241"/>
        <v xml:space="preserve"> </v>
      </c>
    </row>
    <row r="157" spans="2:16" ht="12.6" customHeight="1" x14ac:dyDescent="0.2">
      <c r="B157" s="189" t="s">
        <v>664</v>
      </c>
      <c r="C157" s="326"/>
      <c r="D157" s="58"/>
      <c r="E157" s="58"/>
      <c r="F157" s="339"/>
      <c r="G157" s="339"/>
      <c r="H157" s="339"/>
      <c r="I157" s="339"/>
      <c r="J157" s="339"/>
      <c r="K157" s="339" t="str">
        <f t="shared" ref="K157:P161" si="243">IF(ISERROR(K25/K105)," ",K25/K105)</f>
        <v xml:space="preserve"> </v>
      </c>
      <c r="L157" s="339" t="str">
        <f t="shared" ref="L157" si="244">IF(ISERROR(L25/L105)," ",L25/L105)</f>
        <v xml:space="preserve"> </v>
      </c>
      <c r="M157" s="341" t="str">
        <f t="shared" ref="M157" si="245">IF(ISERROR(M25/M105)," ",M25/M105)</f>
        <v xml:space="preserve"> </v>
      </c>
      <c r="N157" s="341" t="str">
        <f t="shared" si="243"/>
        <v xml:space="preserve"> </v>
      </c>
      <c r="O157" s="341" t="str">
        <f>IF(ISERROR(O21/O105)," ",O21/O105)</f>
        <v xml:space="preserve"> </v>
      </c>
      <c r="P157" s="341">
        <f t="shared" ref="P157:P160" si="246">IF(ISERROR(P21/P105)," ",P21/P105)</f>
        <v>0.25</v>
      </c>
    </row>
    <row r="158" spans="2:16" ht="12.6" customHeight="1" x14ac:dyDescent="0.2">
      <c r="B158" s="189" t="s">
        <v>1866</v>
      </c>
      <c r="C158" s="326"/>
      <c r="D158" s="58"/>
      <c r="E158" s="58"/>
      <c r="F158" s="339"/>
      <c r="G158" s="339"/>
      <c r="H158" s="339"/>
      <c r="I158" s="339"/>
      <c r="J158" s="339"/>
      <c r="K158" s="339" t="str">
        <f t="shared" si="243"/>
        <v xml:space="preserve"> </v>
      </c>
      <c r="L158" s="339" t="str">
        <f t="shared" ref="L158" si="247">IF(ISERROR(L26/L106)," ",L26/L106)</f>
        <v xml:space="preserve"> </v>
      </c>
      <c r="M158" s="341" t="str">
        <f t="shared" ref="M158" si="248">IF(ISERROR(M26/M106)," ",M26/M106)</f>
        <v xml:space="preserve"> </v>
      </c>
      <c r="N158" s="341" t="str">
        <f t="shared" si="243"/>
        <v xml:space="preserve"> </v>
      </c>
      <c r="O158" s="341" t="str">
        <f t="shared" ref="O158" si="249">IF(ISERROR(O22/O106)," ",O22/O106)</f>
        <v xml:space="preserve"> </v>
      </c>
      <c r="P158" s="341">
        <f t="shared" si="246"/>
        <v>0.4</v>
      </c>
    </row>
    <row r="159" spans="2:16" ht="12.6" customHeight="1" x14ac:dyDescent="0.2">
      <c r="B159" s="189" t="s">
        <v>1767</v>
      </c>
      <c r="C159" s="326"/>
      <c r="D159" s="58"/>
      <c r="E159" s="58"/>
      <c r="F159" s="339"/>
      <c r="G159" s="339"/>
      <c r="H159" s="339"/>
      <c r="I159" s="339"/>
      <c r="J159" s="339"/>
      <c r="K159" s="339" t="str">
        <f t="shared" ref="K159:L159" si="250">IF(ISERROR(K27/K107)," ",K27/K107)</f>
        <v xml:space="preserve"> </v>
      </c>
      <c r="L159" s="339" t="str">
        <f t="shared" si="250"/>
        <v xml:space="preserve"> </v>
      </c>
      <c r="M159" s="341" t="str">
        <f t="shared" ref="M159:N160" si="251">IF(ISERROR(M23/M107)," ",M23/M107)</f>
        <v xml:space="preserve"> </v>
      </c>
      <c r="N159" s="341">
        <f t="shared" ref="N159:O159" si="252">IF(ISERROR(N23/N107)," ",N23/N107)</f>
        <v>0.35</v>
      </c>
      <c r="O159" s="341">
        <f t="shared" si="252"/>
        <v>0.6</v>
      </c>
      <c r="P159" s="341">
        <f t="shared" si="246"/>
        <v>0.7</v>
      </c>
    </row>
    <row r="160" spans="2:16" ht="12.6" customHeight="1" x14ac:dyDescent="0.2">
      <c r="B160" s="189" t="s">
        <v>2045</v>
      </c>
      <c r="C160" s="326"/>
      <c r="D160" s="58"/>
      <c r="E160" s="58"/>
      <c r="F160" s="339"/>
      <c r="G160" s="339"/>
      <c r="H160" s="339"/>
      <c r="I160" s="339"/>
      <c r="J160" s="339"/>
      <c r="K160" s="339" t="str">
        <f t="shared" si="243"/>
        <v xml:space="preserve"> </v>
      </c>
      <c r="L160" s="339" t="str">
        <f t="shared" ref="L160" si="253">IF(ISERROR(L28/L108)," ",L28/L108)</f>
        <v xml:space="preserve"> </v>
      </c>
      <c r="M160" s="341" t="str">
        <f t="shared" ca="1" si="251"/>
        <v xml:space="preserve"> </v>
      </c>
      <c r="N160" s="341" t="str">
        <f t="shared" ca="1" si="251"/>
        <v xml:space="preserve"> </v>
      </c>
      <c r="O160" s="341">
        <f>IF(ISERROR(O24/O108)," ",O24/O108)</f>
        <v>0.25</v>
      </c>
      <c r="P160" s="341">
        <f t="shared" si="246"/>
        <v>0.5</v>
      </c>
    </row>
    <row r="161" spans="2:29" ht="12.6" customHeight="1" x14ac:dyDescent="0.2">
      <c r="B161" s="189" t="s">
        <v>472</v>
      </c>
      <c r="C161" s="326"/>
      <c r="D161" s="58"/>
      <c r="E161" s="58"/>
      <c r="F161" s="339"/>
      <c r="G161" s="339"/>
      <c r="H161" s="339"/>
      <c r="I161" s="339"/>
      <c r="J161" s="339"/>
      <c r="K161" s="339" t="str">
        <f t="shared" si="243"/>
        <v xml:space="preserve"> </v>
      </c>
      <c r="L161" s="339" t="str">
        <f t="shared" ref="L161" si="254">IF(ISERROR(L29/L109)," ",L29/L109)</f>
        <v xml:space="preserve"> </v>
      </c>
      <c r="M161" s="341" t="str">
        <f t="shared" si="243"/>
        <v xml:space="preserve"> </v>
      </c>
      <c r="N161" s="341" t="str">
        <f t="shared" si="243"/>
        <v xml:space="preserve"> </v>
      </c>
      <c r="O161" s="341" t="str">
        <f t="shared" si="243"/>
        <v xml:space="preserve"> </v>
      </c>
      <c r="P161" s="341" t="str">
        <f t="shared" si="243"/>
        <v xml:space="preserve"> </v>
      </c>
    </row>
    <row r="162" spans="2:29" ht="12.6" customHeight="1" x14ac:dyDescent="0.2">
      <c r="B162" s="189" t="s">
        <v>472</v>
      </c>
      <c r="C162" s="326"/>
      <c r="D162" s="58"/>
      <c r="E162" s="58"/>
      <c r="F162" s="339" t="str">
        <f t="shared" ref="F162:P162" si="255">IF(ISERROR(F26/F110)," ",F26/F110)</f>
        <v xml:space="preserve"> </v>
      </c>
      <c r="G162" s="339" t="str">
        <f t="shared" si="255"/>
        <v xml:space="preserve"> </v>
      </c>
      <c r="H162" s="339" t="str">
        <f t="shared" si="255"/>
        <v xml:space="preserve"> </v>
      </c>
      <c r="I162" s="339" t="str">
        <f t="shared" si="255"/>
        <v xml:space="preserve"> </v>
      </c>
      <c r="J162" s="339" t="str">
        <f t="shared" si="255"/>
        <v xml:space="preserve"> </v>
      </c>
      <c r="K162" s="339" t="str">
        <f t="shared" si="255"/>
        <v xml:space="preserve"> </v>
      </c>
      <c r="L162" s="339" t="str">
        <f t="shared" ref="L162" si="256">IF(ISERROR(L26/L110)," ",L26/L110)</f>
        <v xml:space="preserve"> </v>
      </c>
      <c r="M162" s="341" t="str">
        <f t="shared" si="255"/>
        <v xml:space="preserve"> </v>
      </c>
      <c r="N162" s="341" t="str">
        <f t="shared" si="255"/>
        <v xml:space="preserve"> </v>
      </c>
      <c r="O162" s="341" t="str">
        <f t="shared" si="255"/>
        <v xml:space="preserve"> </v>
      </c>
      <c r="P162" s="341" t="str">
        <f t="shared" si="255"/>
        <v xml:space="preserve"> </v>
      </c>
    </row>
    <row r="163" spans="2:29" ht="12.6" customHeight="1" x14ac:dyDescent="0.2">
      <c r="B163" s="327" t="s">
        <v>304</v>
      </c>
      <c r="C163" s="326"/>
      <c r="D163" s="335" t="str">
        <f t="shared" ref="D163:J163" si="257">IF(ISERROR(D27/D111)," ",D27/D111)</f>
        <v xml:space="preserve"> </v>
      </c>
      <c r="E163" s="335" t="str">
        <f t="shared" si="257"/>
        <v xml:space="preserve"> </v>
      </c>
      <c r="F163" s="335">
        <f t="shared" si="257"/>
        <v>0.40012301190588234</v>
      </c>
      <c r="G163" s="335">
        <f t="shared" si="257"/>
        <v>0.41025225225225231</v>
      </c>
      <c r="H163" s="335">
        <f t="shared" si="257"/>
        <v>0.40183300399487676</v>
      </c>
      <c r="I163" s="335">
        <f t="shared" si="257"/>
        <v>0.58592801567689878</v>
      </c>
      <c r="J163" s="335">
        <f t="shared" si="257"/>
        <v>0.62963624967363674</v>
      </c>
      <c r="K163" s="335">
        <f t="shared" ref="K163" si="258">IF(ISERROR(K27/K111)," ",K27/K111)</f>
        <v>0.66139061616732631</v>
      </c>
      <c r="L163" s="335">
        <f t="shared" ref="L163" si="259">IF(ISERROR(L27/L111)," ",L27/L111)</f>
        <v>0.66050328227571109</v>
      </c>
      <c r="M163" s="342">
        <f ca="1">IF(ISERROR(M27/M111)," ",M27/M111)</f>
        <v>0.64748562898492068</v>
      </c>
      <c r="N163" s="342">
        <f ca="1">IF(ISERROR(N27/N111)," ",N27/N111)</f>
        <v>0.56197330788210198</v>
      </c>
      <c r="O163" s="342">
        <f ca="1">IF(ISERROR(O27/O111)," ",O27/O111)</f>
        <v>0.57596605192735151</v>
      </c>
      <c r="P163" s="342">
        <f ca="1">IF(ISERROR(P27/P111)," ",P27/P111)</f>
        <v>0.59064030935696166</v>
      </c>
      <c r="Q163" s="37" t="s">
        <v>708</v>
      </c>
      <c r="T163" s="37" t="s">
        <v>709</v>
      </c>
    </row>
    <row r="164" spans="2:29" ht="12.6" customHeight="1" x14ac:dyDescent="0.2">
      <c r="B164" s="45"/>
      <c r="F164" s="292"/>
      <c r="G164" s="292"/>
      <c r="H164" s="292"/>
      <c r="I164" s="1275"/>
      <c r="J164" s="1275"/>
      <c r="K164" s="1275"/>
      <c r="L164" s="293"/>
      <c r="M164" s="293"/>
      <c r="N164" s="293"/>
      <c r="O164" s="293"/>
      <c r="P164" s="293"/>
    </row>
    <row r="165" spans="2:29" ht="12.6" customHeight="1" x14ac:dyDescent="0.2">
      <c r="B165" s="50" t="s">
        <v>278</v>
      </c>
      <c r="C165" s="50"/>
      <c r="D165" s="163"/>
      <c r="E165" s="163"/>
      <c r="F165" s="163"/>
      <c r="G165" s="51"/>
      <c r="H165" s="51"/>
      <c r="I165" s="51"/>
      <c r="J165" s="51"/>
      <c r="K165" s="51"/>
      <c r="L165" s="51"/>
      <c r="M165" s="54"/>
      <c r="N165" s="54"/>
      <c r="O165" s="54"/>
      <c r="P165" s="54"/>
      <c r="Z165" s="352">
        <v>0.45400000000000001</v>
      </c>
      <c r="AA165" s="352">
        <v>0.437</v>
      </c>
      <c r="AB165" s="37">
        <f>(AA165-Z165)*10000</f>
        <v>-170.00000000000014</v>
      </c>
    </row>
    <row r="166" spans="2:29" ht="12.6" customHeight="1" x14ac:dyDescent="0.2">
      <c r="B166" s="56" t="s">
        <v>279</v>
      </c>
      <c r="C166" s="61"/>
      <c r="D166" s="57"/>
      <c r="E166" s="57"/>
      <c r="F166" s="57"/>
      <c r="G166" s="57">
        <v>15.82</v>
      </c>
      <c r="H166" s="57">
        <v>19.73</v>
      </c>
      <c r="I166" s="57">
        <v>29.91</v>
      </c>
      <c r="J166" s="57">
        <f t="shared" ref="J166:J169" si="260">J462+J545+J594+J643+J692+J741+J790+J839+J888+J937+J985+J1035+J1084+J1133+J1182+J1231+J1280+J1329</f>
        <v>48.632999999999996</v>
      </c>
      <c r="K166" s="57">
        <f t="shared" ref="K166:L171" ca="1" si="261">K462+K545+K594+K643+K692+K741+K790+K839+K888+K937+K985+K1035+K1084+K1133+K1182+K1231+K1280+K1329</f>
        <v>40.564999999999998</v>
      </c>
      <c r="L166" s="57">
        <f t="shared" ca="1" si="261"/>
        <v>41.694000000000003</v>
      </c>
      <c r="M166" s="68">
        <f t="shared" ref="M166:P168" ca="1" si="262">M462+M545+M594+M643+M692+M741+M790+M839+M888+M937+M985+M1035+M1084+M1133+M1182+M1231+M1280+M1329+M1378+M1427+M1475+M1524</f>
        <v>45.129760000000005</v>
      </c>
      <c r="N166" s="68">
        <f t="shared" ca="1" si="262"/>
        <v>75.509380000000007</v>
      </c>
      <c r="O166" s="68">
        <f t="shared" ca="1" si="262"/>
        <v>92.203419800000006</v>
      </c>
      <c r="P166" s="68">
        <f t="shared" ca="1" si="262"/>
        <v>98.431652358000008</v>
      </c>
      <c r="Q166" s="352">
        <f ca="1">(N166/L166)^(1/2)-1</f>
        <v>0.34574777713943594</v>
      </c>
      <c r="S166" s="230">
        <f>IF(ISERROR((J166/G166)^(1/3)-1)," ",(J166/G166)^(1/3)-1)</f>
        <v>0.4540349997299038</v>
      </c>
      <c r="T166" s="230">
        <f ca="1">IF(ISERROR((P166/J166)^(1/6)-1)," ",(P166/J166)^(1/6)-1)</f>
        <v>0.12469289740015954</v>
      </c>
      <c r="U166" s="37">
        <f ca="1">(P166+P167+P168)+P171</f>
        <v>204.97789929675002</v>
      </c>
      <c r="V166" s="352">
        <f ca="1">+K166/'[2]New Sector'!$Y$459</f>
        <v>0.35957010254152194</v>
      </c>
    </row>
    <row r="167" spans="2:29" ht="12.6" customHeight="1" x14ac:dyDescent="0.2">
      <c r="B167" s="56" t="s">
        <v>280</v>
      </c>
      <c r="C167" s="61"/>
      <c r="D167" s="57"/>
      <c r="E167" s="57"/>
      <c r="F167" s="57"/>
      <c r="G167" s="57">
        <v>3.88</v>
      </c>
      <c r="H167" s="57">
        <v>5.21</v>
      </c>
      <c r="I167" s="57">
        <v>26.92</v>
      </c>
      <c r="J167" s="57">
        <f t="shared" si="260"/>
        <v>35.790000000000006</v>
      </c>
      <c r="K167" s="57">
        <f t="shared" ca="1" si="261"/>
        <v>40.534998999999999</v>
      </c>
      <c r="L167" s="57">
        <f t="shared" ca="1" si="261"/>
        <v>40.03</v>
      </c>
      <c r="M167" s="68">
        <f t="shared" ca="1" si="262"/>
        <v>41.002300000000005</v>
      </c>
      <c r="N167" s="68">
        <f t="shared" ca="1" si="262"/>
        <v>43.735925000000009</v>
      </c>
      <c r="O167" s="68">
        <f t="shared" ca="1" si="262"/>
        <v>45.988761850000003</v>
      </c>
      <c r="P167" s="68">
        <f t="shared" ca="1" si="262"/>
        <v>48.078287254500012</v>
      </c>
      <c r="Q167" s="352">
        <f ca="1">(N167/L167)^(1/2)-1</f>
        <v>4.5264890342043396E-2</v>
      </c>
      <c r="S167" s="230">
        <f t="shared" ref="S167:S172" si="263">IF(ISERROR((J167/G167)^(1/3)-1)," ",(J167/G167)^(1/3)-1)</f>
        <v>1.0972167818573713</v>
      </c>
      <c r="T167" s="230">
        <f ca="1">IF(ISERROR((P167/J167)^(1/6)-1)," ",(P167/J167)^(1/6)-1)</f>
        <v>5.0423787969007039E-2</v>
      </c>
      <c r="U167" s="352">
        <f ca="1">U166/P172</f>
        <v>0.86346420265659152</v>
      </c>
    </row>
    <row r="168" spans="2:29" ht="12.6" customHeight="1" x14ac:dyDescent="0.2">
      <c r="B168" s="56" t="s">
        <v>281</v>
      </c>
      <c r="C168" s="61"/>
      <c r="D168" s="57"/>
      <c r="E168" s="57"/>
      <c r="F168" s="57"/>
      <c r="G168" s="57">
        <v>19.5</v>
      </c>
      <c r="H168" s="57">
        <v>27.8</v>
      </c>
      <c r="I168" s="57">
        <v>23.57</v>
      </c>
      <c r="J168" s="57">
        <f t="shared" si="260"/>
        <v>12.081</v>
      </c>
      <c r="K168" s="57">
        <f t="shared" ca="1" si="261"/>
        <v>9.8120000000000012</v>
      </c>
      <c r="L168" s="57">
        <f t="shared" ca="1" si="261"/>
        <v>12.067</v>
      </c>
      <c r="M168" s="68">
        <f t="shared" ca="1" si="262"/>
        <v>12.868100000000002</v>
      </c>
      <c r="N168" s="68">
        <f t="shared" ca="1" si="262"/>
        <v>15.501355</v>
      </c>
      <c r="O168" s="68">
        <f t="shared" ca="1" si="262"/>
        <v>16.6486892</v>
      </c>
      <c r="P168" s="68">
        <f t="shared" ca="1" si="262"/>
        <v>17.411304768000001</v>
      </c>
      <c r="Q168" s="352">
        <f ca="1">(N168/L168)^(1/2)-1</f>
        <v>0.1334051319680265</v>
      </c>
      <c r="S168" s="230">
        <f t="shared" si="263"/>
        <v>-0.14750974275730866</v>
      </c>
      <c r="T168" s="230">
        <f ca="1">IF(ISERROR((P168/J168)^(1/6)-1)," ",(P168/J168)^(1/6)-1)</f>
        <v>6.2807814196475631E-2</v>
      </c>
      <c r="Z168" s="1010">
        <f>45.4-44.5</f>
        <v>0.89999999999999858</v>
      </c>
    </row>
    <row r="169" spans="2:29" ht="12.6" customHeight="1" x14ac:dyDescent="0.2">
      <c r="B169" s="56" t="s">
        <v>282</v>
      </c>
      <c r="C169" s="61"/>
      <c r="D169" s="57"/>
      <c r="E169" s="57"/>
      <c r="F169" s="57"/>
      <c r="G169" s="57">
        <v>0.25</v>
      </c>
      <c r="H169" s="57">
        <v>0.27</v>
      </c>
      <c r="I169" s="57">
        <v>0.53</v>
      </c>
      <c r="J169" s="57">
        <f t="shared" si="260"/>
        <v>1.65</v>
      </c>
      <c r="K169" s="57">
        <f t="shared" ca="1" si="261"/>
        <v>7.8703570000000003</v>
      </c>
      <c r="L169" s="57">
        <f t="shared" ca="1" si="261"/>
        <v>7.2389999999999999</v>
      </c>
      <c r="M169" s="68">
        <f t="shared" ref="M169:P169" ca="1" si="264">M465+M548+M597+M646+M695+M744+M793+M842+M891+M940+M988+M1038+M1087+M1136+M1185+M1234+M1283+M1332+M1381+M1430+M1478+M1527</f>
        <v>6.01816</v>
      </c>
      <c r="N169" s="68">
        <f t="shared" ca="1" si="264"/>
        <v>8.3963179999999991</v>
      </c>
      <c r="O169" s="68">
        <f t="shared" ca="1" si="264"/>
        <v>9.6455748000000003</v>
      </c>
      <c r="P169" s="68">
        <f t="shared" ca="1" si="264"/>
        <v>9.8991485399999988</v>
      </c>
      <c r="Q169" s="352">
        <f t="shared" ref="Q169" ca="1" si="265">(N169/L169)^(1/2)-1</f>
        <v>7.6973831781329771E-2</v>
      </c>
      <c r="S169" s="230">
        <f t="shared" si="263"/>
        <v>0.87577745536690332</v>
      </c>
      <c r="T169" s="230">
        <f t="shared" ref="T169" ca="1" si="266">IF(ISERROR((P169/J169)^(1/6)-1)," ",(P169/J169)^(1/6)-1)</f>
        <v>0.34798683112162121</v>
      </c>
      <c r="AA169" s="37">
        <v>17601</v>
      </c>
      <c r="AB169" s="37">
        <v>13598</v>
      </c>
      <c r="AC169" s="352">
        <f>AB169/AA169-1</f>
        <v>-0.22743025964433838</v>
      </c>
    </row>
    <row r="170" spans="2:29" ht="12.6" customHeight="1" x14ac:dyDescent="0.2">
      <c r="B170" s="56" t="s">
        <v>283</v>
      </c>
      <c r="C170" s="61"/>
      <c r="D170" s="57"/>
      <c r="E170" s="57"/>
      <c r="F170" s="57"/>
      <c r="G170" s="57">
        <v>0</v>
      </c>
      <c r="H170" s="57">
        <v>0</v>
      </c>
      <c r="I170" s="57">
        <v>2.17</v>
      </c>
      <c r="J170" s="57">
        <f>J466+J549+J598+J647+J696+J745+J794+J843+J892+J941+J989+J1039+J1088+J1137+J1186+J1235+J1284+J1333</f>
        <v>2.5921624445182494</v>
      </c>
      <c r="K170" s="57">
        <f t="shared" ca="1" si="261"/>
        <v>2.4099429999999997</v>
      </c>
      <c r="L170" s="57">
        <f t="shared" ca="1" si="261"/>
        <v>2.4940000000000002</v>
      </c>
      <c r="M170" s="68">
        <f t="shared" ref="M170:P171" ca="1" si="267">M466+M549+M598+M647+M696+M745+M794+M843+M892+M941+M989+M1039+M1088+M1137+M1186+M1235+M1284+M1333+M1382+M1431+M1479+M1528</f>
        <v>4.22</v>
      </c>
      <c r="N170" s="68">
        <f t="shared" ca="1" si="267"/>
        <v>5.6342499999999998</v>
      </c>
      <c r="O170" s="68">
        <f t="shared" ca="1" si="267"/>
        <v>10.415005000000001</v>
      </c>
      <c r="P170" s="68">
        <f t="shared" ca="1" si="267"/>
        <v>22.513105299999999</v>
      </c>
      <c r="Q170" s="352">
        <f ca="1">(N170/L170)^(1/2)-1</f>
        <v>0.5030375552667008</v>
      </c>
      <c r="S170" s="230" t="str">
        <f t="shared" si="263"/>
        <v xml:space="preserve"> </v>
      </c>
      <c r="T170" s="230">
        <f ca="1">IF(ISERROR((P170/J170)^(1/6)-1)," ",(P170/J170)^(1/6)-1)</f>
        <v>0.4337129171653078</v>
      </c>
      <c r="AA170" s="37">
        <v>8.4</v>
      </c>
      <c r="AB170" s="37">
        <v>6.5</v>
      </c>
      <c r="AC170" s="352">
        <f>AB170/AA170-1</f>
        <v>-0.22619047619047628</v>
      </c>
    </row>
    <row r="171" spans="2:29" ht="12.6" customHeight="1" x14ac:dyDescent="0.2">
      <c r="B171" s="56" t="s">
        <v>284</v>
      </c>
      <c r="C171" s="61"/>
      <c r="D171" s="57"/>
      <c r="E171" s="57"/>
      <c r="F171" s="57"/>
      <c r="G171" s="57">
        <v>6.09</v>
      </c>
      <c r="H171" s="57">
        <v>8.9600000000000009</v>
      </c>
      <c r="I171" s="57">
        <v>9.73</v>
      </c>
      <c r="J171" s="57">
        <f>J467+J550+J599+J648+J697+J746+J795+J844+J893+J942+J990+J1040+J1089+J1138+J1187+J1236+J1285+J1334+1</f>
        <v>6.7220000000000013</v>
      </c>
      <c r="K171" s="57">
        <f t="shared" ca="1" si="261"/>
        <v>15.807701000000002</v>
      </c>
      <c r="L171" s="57">
        <f t="shared" ca="1" si="261"/>
        <v>17.201000000000001</v>
      </c>
      <c r="M171" s="68">
        <f t="shared" ca="1" si="267"/>
        <v>18.717790000000001</v>
      </c>
      <c r="N171" s="68">
        <f t="shared" ca="1" si="267"/>
        <v>19.769806499999998</v>
      </c>
      <c r="O171" s="68">
        <f t="shared" ca="1" si="267"/>
        <v>22.032861824999998</v>
      </c>
      <c r="P171" s="68">
        <f t="shared" ca="1" si="267"/>
        <v>41.056654916249997</v>
      </c>
      <c r="Q171" s="352">
        <f ca="1">(N171/L171)^(1/2)-1</f>
        <v>7.2073007088219843E-2</v>
      </c>
      <c r="S171" s="230">
        <f t="shared" si="263"/>
        <v>3.346015836529781E-2</v>
      </c>
      <c r="T171" s="230">
        <f ca="1">IF(ISERROR((P171/J171)^(1/6)-1)," ",(P171/J171)^(1/6)-1)</f>
        <v>0.35201292181475785</v>
      </c>
    </row>
    <row r="172" spans="2:29" ht="12.6" customHeight="1" x14ac:dyDescent="0.2">
      <c r="B172" s="95" t="s">
        <v>226</v>
      </c>
      <c r="C172" s="61"/>
      <c r="D172" s="57"/>
      <c r="E172" s="57"/>
      <c r="F172" s="57"/>
      <c r="G172" s="63">
        <f t="shared" ref="G172:P172" si="268">SUM(G166:G171)</f>
        <v>45.540000000000006</v>
      </c>
      <c r="H172" s="63">
        <f t="shared" si="268"/>
        <v>61.970000000000006</v>
      </c>
      <c r="I172" s="63">
        <f t="shared" si="268"/>
        <v>92.830000000000013</v>
      </c>
      <c r="J172" s="63">
        <f t="shared" si="268"/>
        <v>107.46816244451827</v>
      </c>
      <c r="K172" s="63">
        <f t="shared" ca="1" si="268"/>
        <v>117</v>
      </c>
      <c r="L172" s="63">
        <f t="shared" ref="L172" ca="1" si="269">SUM(L166:L171)</f>
        <v>120.72499999999999</v>
      </c>
      <c r="M172" s="64">
        <f t="shared" ca="1" si="268"/>
        <v>127.95611</v>
      </c>
      <c r="N172" s="64">
        <f t="shared" ca="1" si="268"/>
        <v>168.54703450000002</v>
      </c>
      <c r="O172" s="64">
        <f t="shared" ca="1" si="268"/>
        <v>196.93431247500001</v>
      </c>
      <c r="P172" s="64">
        <f t="shared" ca="1" si="268"/>
        <v>237.39015313675003</v>
      </c>
      <c r="Q172" s="1001">
        <f ca="1">(N172/L172)^(1/2)-1</f>
        <v>0.18157678835172986</v>
      </c>
      <c r="S172" s="231">
        <f t="shared" si="263"/>
        <v>0.33136028901625592</v>
      </c>
      <c r="T172" s="231">
        <f ca="1">IF(ISERROR((P172/J172)^(1/6)-1)," ",(P172/J172)^(1/6)-1)</f>
        <v>0.14120538663552051</v>
      </c>
      <c r="Z172" s="352">
        <f>64416/66151-1</f>
        <v>-2.6227872594518642E-2</v>
      </c>
    </row>
    <row r="173" spans="2:29" s="328" customFormat="1" ht="12.6" customHeight="1" x14ac:dyDescent="0.2">
      <c r="B173" s="101" t="s">
        <v>792</v>
      </c>
      <c r="C173" s="105"/>
      <c r="D173" s="85"/>
      <c r="E173" s="85"/>
      <c r="F173" s="85"/>
      <c r="G173" s="85">
        <f t="shared" ref="G173:P173" si="270">+G172-G27</f>
        <v>2.0000000000024443E-3</v>
      </c>
      <c r="H173" s="85">
        <f t="shared" si="270"/>
        <v>7.3507839900130989E-3</v>
      </c>
      <c r="I173" s="85">
        <f t="shared" si="270"/>
        <v>1.9002316779264561E-2</v>
      </c>
      <c r="J173" s="85">
        <f t="shared" si="270"/>
        <v>0.43000000000004945</v>
      </c>
      <c r="K173" s="85">
        <f t="shared" ca="1" si="270"/>
        <v>0</v>
      </c>
      <c r="L173" s="85">
        <f t="shared" ca="1" si="270"/>
        <v>-1.4999999999986358E-2</v>
      </c>
      <c r="M173" s="110">
        <f t="shared" ca="1" si="270"/>
        <v>0</v>
      </c>
      <c r="N173" s="110">
        <f t="shared" ca="1" si="270"/>
        <v>0</v>
      </c>
      <c r="O173" s="110">
        <f t="shared" ca="1" si="270"/>
        <v>0</v>
      </c>
      <c r="P173" s="110">
        <f t="shared" ca="1" si="270"/>
        <v>0</v>
      </c>
    </row>
    <row r="174" spans="2:29" ht="12.6" customHeight="1" x14ac:dyDescent="0.2">
      <c r="B174" s="325" t="s">
        <v>285</v>
      </c>
      <c r="C174" s="323"/>
      <c r="D174" s="329"/>
      <c r="E174" s="329"/>
      <c r="F174" s="329"/>
      <c r="G174" s="329"/>
      <c r="H174" s="329"/>
      <c r="I174" s="329"/>
      <c r="J174" s="329"/>
      <c r="K174" s="329"/>
      <c r="L174" s="329"/>
      <c r="M174" s="1279">
        <f ca="1">+M166+M167+M168+M171-M1432</f>
        <v>117.71795</v>
      </c>
      <c r="N174" s="1279">
        <f ca="1">+N166+N167+N168+N171-N1432</f>
        <v>154.51646650000001</v>
      </c>
      <c r="O174" s="1279">
        <f ca="1">+O166+O167+O168+O171-O1432</f>
        <v>176.87373267500001</v>
      </c>
      <c r="P174" s="1279">
        <f ca="1">+P166+P167+P168+P171-P1432</f>
        <v>194.17789929675001</v>
      </c>
    </row>
    <row r="175" spans="2:29" ht="12.6" customHeight="1" x14ac:dyDescent="0.2">
      <c r="B175" s="322" t="s">
        <v>279</v>
      </c>
      <c r="C175" s="332"/>
      <c r="D175" s="83"/>
      <c r="E175" s="83"/>
      <c r="F175" s="83"/>
      <c r="G175" s="113"/>
      <c r="H175" s="113">
        <f t="shared" ref="H175:I181" si="271">IFERROR(H166/G166-1,"--")</f>
        <v>0.24715549936788883</v>
      </c>
      <c r="I175" s="113">
        <f t="shared" si="271"/>
        <v>0.51596553471870243</v>
      </c>
      <c r="J175" s="113">
        <f t="shared" ref="J175:J181" si="272">IFERROR(J166/I166-1,"--")</f>
        <v>0.62597793380140399</v>
      </c>
      <c r="K175" s="113">
        <f t="shared" ref="K175:P177" ca="1" si="273">IFERROR(K166/J166-1,"--")</f>
        <v>-0.16589558530216109</v>
      </c>
      <c r="L175" s="113">
        <f t="shared" ca="1" si="273"/>
        <v>2.7831874768889486E-2</v>
      </c>
      <c r="M175" s="197">
        <f t="shared" ca="1" si="273"/>
        <v>8.2404182856046448E-2</v>
      </c>
      <c r="N175" s="197">
        <f t="shared" ca="1" si="273"/>
        <v>0.67316156788779735</v>
      </c>
      <c r="O175" s="197">
        <f t="shared" ca="1" si="273"/>
        <v>0.22108564260493191</v>
      </c>
      <c r="P175" s="197">
        <f t="shared" ca="1" si="273"/>
        <v>6.7548823801869551E-2</v>
      </c>
    </row>
    <row r="176" spans="2:29" ht="12.6" customHeight="1" x14ac:dyDescent="0.2">
      <c r="B176" s="322" t="s">
        <v>280</v>
      </c>
      <c r="C176" s="332"/>
      <c r="D176" s="83"/>
      <c r="E176" s="83"/>
      <c r="F176" s="83"/>
      <c r="G176" s="113"/>
      <c r="H176" s="113">
        <f t="shared" si="271"/>
        <v>0.34278350515463929</v>
      </c>
      <c r="I176" s="113">
        <f t="shared" si="271"/>
        <v>4.1669865642994246</v>
      </c>
      <c r="J176" s="113">
        <f t="shared" si="272"/>
        <v>0.32949479940564652</v>
      </c>
      <c r="K176" s="113">
        <f t="shared" ca="1" si="273"/>
        <v>0.13257890472198919</v>
      </c>
      <c r="L176" s="113">
        <f t="shared" ca="1" si="273"/>
        <v>-1.2458344947781974E-2</v>
      </c>
      <c r="M176" s="197">
        <f t="shared" ca="1" si="273"/>
        <v>2.4289283037721709E-2</v>
      </c>
      <c r="N176" s="197">
        <f t="shared" ca="1" si="273"/>
        <v>6.6670040461144886E-2</v>
      </c>
      <c r="O176" s="197">
        <f t="shared" ca="1" si="273"/>
        <v>5.1509985212385256E-2</v>
      </c>
      <c r="P176" s="197">
        <f t="shared" ca="1" si="273"/>
        <v>4.5435565569591718E-2</v>
      </c>
    </row>
    <row r="177" spans="1:171" ht="12.6" customHeight="1" x14ac:dyDescent="0.2">
      <c r="B177" s="322" t="s">
        <v>281</v>
      </c>
      <c r="C177" s="332"/>
      <c r="D177" s="83"/>
      <c r="E177" s="83"/>
      <c r="F177" s="83"/>
      <c r="G177" s="113"/>
      <c r="H177" s="113">
        <f t="shared" si="271"/>
        <v>0.42564102564102568</v>
      </c>
      <c r="I177" s="113">
        <f t="shared" si="271"/>
        <v>-0.15215827338129495</v>
      </c>
      <c r="J177" s="113">
        <f t="shared" si="272"/>
        <v>-0.48744166313109893</v>
      </c>
      <c r="K177" s="113">
        <f t="shared" ca="1" si="273"/>
        <v>-0.18781557818061401</v>
      </c>
      <c r="L177" s="113">
        <f t="shared" ca="1" si="273"/>
        <v>0.22982062780269041</v>
      </c>
      <c r="M177" s="197">
        <f t="shared" ca="1" si="273"/>
        <v>6.6387668848926884E-2</v>
      </c>
      <c r="N177" s="197">
        <f t="shared" ca="1" si="273"/>
        <v>0.204634328300215</v>
      </c>
      <c r="O177" s="197">
        <f t="shared" ca="1" si="273"/>
        <v>7.4015090938824413E-2</v>
      </c>
      <c r="P177" s="197">
        <f t="shared" ca="1" si="273"/>
        <v>4.5806343000264649E-2</v>
      </c>
    </row>
    <row r="178" spans="1:171" ht="12.6" customHeight="1" x14ac:dyDescent="0.2">
      <c r="B178" s="322" t="s">
        <v>282</v>
      </c>
      <c r="C178" s="332"/>
      <c r="D178" s="83"/>
      <c r="E178" s="83"/>
      <c r="F178" s="83"/>
      <c r="G178" s="113"/>
      <c r="H178" s="113">
        <f t="shared" si="271"/>
        <v>8.0000000000000071E-2</v>
      </c>
      <c r="I178" s="113">
        <f t="shared" si="271"/>
        <v>0.96296296296296302</v>
      </c>
      <c r="J178" s="113">
        <f t="shared" si="272"/>
        <v>2.1132075471698109</v>
      </c>
      <c r="K178" s="113">
        <f t="shared" ref="K178:L181" ca="1" si="274">IFERROR(K169/J169-1,"--")</f>
        <v>3.7699133333333341</v>
      </c>
      <c r="L178" s="113">
        <f t="shared" ca="1" si="274"/>
        <v>-8.0219613926026501E-2</v>
      </c>
      <c r="M178" s="197">
        <f t="shared" ref="M178" ca="1" si="275">IFERROR(M169/L169-1,"--")</f>
        <v>-0.16864760326011874</v>
      </c>
      <c r="N178" s="197">
        <f t="shared" ref="N178" ca="1" si="276">IFERROR(N169/M169-1,"--")</f>
        <v>0.39516363805548527</v>
      </c>
      <c r="O178" s="197">
        <f t="shared" ref="O178" ca="1" si="277">IFERROR(O169/N169-1,"--")</f>
        <v>0.14878626559880193</v>
      </c>
      <c r="P178" s="197">
        <f t="shared" ref="P178" ca="1" si="278">IFERROR(P169/O169-1,"--")</f>
        <v>2.6289126906153815E-2</v>
      </c>
    </row>
    <row r="179" spans="1:171" ht="12.6" customHeight="1" x14ac:dyDescent="0.2">
      <c r="B179" s="322" t="s">
        <v>283</v>
      </c>
      <c r="C179" s="332"/>
      <c r="D179" s="83"/>
      <c r="E179" s="83"/>
      <c r="F179" s="83"/>
      <c r="G179" s="113"/>
      <c r="H179" s="113" t="str">
        <f t="shared" si="271"/>
        <v>--</v>
      </c>
      <c r="I179" s="113" t="str">
        <f t="shared" si="271"/>
        <v>--</v>
      </c>
      <c r="J179" s="113">
        <f t="shared" si="272"/>
        <v>0.1945449053079491</v>
      </c>
      <c r="K179" s="113">
        <f t="shared" ca="1" si="274"/>
        <v>-7.0296306045015244E-2</v>
      </c>
      <c r="L179" s="113">
        <f t="shared" ca="1" si="274"/>
        <v>3.4879248181388656E-2</v>
      </c>
      <c r="M179" s="197">
        <f t="shared" ref="M179:P181" ca="1" si="279">IFERROR(M170/L170-1,"--")</f>
        <v>0.6920609462710503</v>
      </c>
      <c r="N179" s="197">
        <f t="shared" ca="1" si="279"/>
        <v>0.33513033175355456</v>
      </c>
      <c r="O179" s="197">
        <f t="shared" ca="1" si="279"/>
        <v>0.84851666148999438</v>
      </c>
      <c r="P179" s="197">
        <f t="shared" ca="1" si="279"/>
        <v>1.1616029276990263</v>
      </c>
      <c r="W179" s="38" t="s">
        <v>1701</v>
      </c>
      <c r="X179" s="292" t="str">
        <f>H2</f>
        <v>FY22</v>
      </c>
      <c r="Y179" s="292" t="str">
        <f>I2</f>
        <v>FY23</v>
      </c>
      <c r="Z179" s="292" t="str">
        <f>J2</f>
        <v>FY24</v>
      </c>
    </row>
    <row r="180" spans="1:171" ht="12.6" customHeight="1" x14ac:dyDescent="0.2">
      <c r="B180" s="322" t="s">
        <v>284</v>
      </c>
      <c r="C180" s="332"/>
      <c r="D180" s="83"/>
      <c r="E180" s="83"/>
      <c r="F180" s="83"/>
      <c r="G180" s="113"/>
      <c r="H180" s="113">
        <f t="shared" si="271"/>
        <v>0.47126436781609216</v>
      </c>
      <c r="I180" s="113">
        <f t="shared" si="271"/>
        <v>8.59375E-2</v>
      </c>
      <c r="J180" s="113">
        <f t="shared" si="272"/>
        <v>-0.30914696813977383</v>
      </c>
      <c r="K180" s="113">
        <f t="shared" ca="1" si="274"/>
        <v>1.3516365664980659</v>
      </c>
      <c r="L180" s="113">
        <f t="shared" ca="1" si="274"/>
        <v>8.8140520876501816E-2</v>
      </c>
      <c r="M180" s="197">
        <f t="shared" ca="1" si="279"/>
        <v>8.8180338352421339E-2</v>
      </c>
      <c r="N180" s="197">
        <f t="shared" ca="1" si="279"/>
        <v>5.6204097812829312E-2</v>
      </c>
      <c r="O180" s="197">
        <f t="shared" ca="1" si="279"/>
        <v>0.11447028199289666</v>
      </c>
      <c r="P180" s="197">
        <f t="shared" ca="1" si="279"/>
        <v>0.86342814847884619</v>
      </c>
      <c r="W180" s="37" t="str">
        <f>B184</f>
        <v>Iron Ore</v>
      </c>
      <c r="X180" s="352">
        <f t="shared" ref="X180:X185" si="280">H184</f>
        <v>0.31837986122317247</v>
      </c>
      <c r="Y180" s="352">
        <f t="shared" ref="Y180:Z185" si="281">I184</f>
        <v>0.32220187439405362</v>
      </c>
      <c r="Z180" s="352">
        <f t="shared" si="281"/>
        <v>0.45253402397298237</v>
      </c>
    </row>
    <row r="181" spans="1:171" ht="12.6" customHeight="1" x14ac:dyDescent="0.2">
      <c r="B181" s="331" t="s">
        <v>226</v>
      </c>
      <c r="C181" s="332"/>
      <c r="D181" s="83"/>
      <c r="E181" s="83"/>
      <c r="F181" s="83"/>
      <c r="G181" s="117"/>
      <c r="H181" s="117">
        <f t="shared" si="271"/>
        <v>0.3607817303469476</v>
      </c>
      <c r="I181" s="117">
        <f t="shared" si="271"/>
        <v>0.49798289494916892</v>
      </c>
      <c r="J181" s="117">
        <f t="shared" si="272"/>
        <v>0.15768784277192993</v>
      </c>
      <c r="K181" s="117">
        <f t="shared" ca="1" si="274"/>
        <v>8.8694524393702734E-2</v>
      </c>
      <c r="L181" s="117">
        <f t="shared" ca="1" si="274"/>
        <v>3.1837606837606724E-2</v>
      </c>
      <c r="M181" s="204">
        <f t="shared" ca="1" si="279"/>
        <v>5.9897370055912225E-2</v>
      </c>
      <c r="N181" s="204">
        <f t="shared" ca="1" si="279"/>
        <v>0.31722537126206807</v>
      </c>
      <c r="O181" s="204">
        <f t="shared" ca="1" si="279"/>
        <v>0.16842347929295665</v>
      </c>
      <c r="P181" s="204">
        <f t="shared" ca="1" si="279"/>
        <v>0.20542809505014881</v>
      </c>
      <c r="W181" s="37" t="str">
        <f t="shared" ref="W181:W185" si="282">B185</f>
        <v>Thermal Coal</v>
      </c>
      <c r="X181" s="352">
        <f t="shared" si="280"/>
        <v>8.4072938518638035E-2</v>
      </c>
      <c r="Y181" s="352">
        <f t="shared" si="281"/>
        <v>0.28999245933426693</v>
      </c>
      <c r="Z181" s="352">
        <f t="shared" si="281"/>
        <v>0.33302886348761218</v>
      </c>
    </row>
    <row r="182" spans="1:171" ht="12.6" customHeight="1" x14ac:dyDescent="0.2">
      <c r="B182" s="331"/>
      <c r="C182" s="332"/>
      <c r="D182" s="83"/>
      <c r="E182" s="83"/>
      <c r="F182" s="83"/>
      <c r="G182" s="117"/>
      <c r="H182" s="117"/>
      <c r="I182" s="117"/>
      <c r="J182" s="113"/>
      <c r="K182" s="113"/>
      <c r="L182" s="113"/>
      <c r="M182" s="197"/>
      <c r="N182" s="197"/>
      <c r="O182" s="197"/>
      <c r="P182" s="197"/>
      <c r="W182" s="37" t="str">
        <f t="shared" si="282"/>
        <v>Non-Thermal Coal</v>
      </c>
      <c r="X182" s="352">
        <f t="shared" si="280"/>
        <v>0.44860416330482489</v>
      </c>
      <c r="Y182" s="352">
        <f t="shared" si="281"/>
        <v>0.25390498761176339</v>
      </c>
      <c r="Z182" s="352">
        <f t="shared" si="281"/>
        <v>0.11241468845470361</v>
      </c>
    </row>
    <row r="183" spans="1:171" ht="12.6" customHeight="1" x14ac:dyDescent="0.2">
      <c r="B183" s="325" t="s">
        <v>287</v>
      </c>
      <c r="C183" s="332"/>
      <c r="D183" s="83"/>
      <c r="E183" s="83"/>
      <c r="F183" s="83"/>
      <c r="G183" s="83"/>
      <c r="H183" s="83"/>
      <c r="I183" s="83"/>
      <c r="J183" s="113"/>
      <c r="K183" s="113"/>
      <c r="L183" s="113"/>
      <c r="M183" s="197"/>
      <c r="N183" s="197"/>
      <c r="O183" s="197"/>
      <c r="P183" s="197"/>
      <c r="W183" s="37" t="str">
        <f t="shared" si="282"/>
        <v>Liquid and Gas</v>
      </c>
      <c r="X183" s="352">
        <f t="shared" si="280"/>
        <v>4.3569469097950618E-3</v>
      </c>
      <c r="Y183" s="352">
        <f t="shared" si="281"/>
        <v>5.7093611978886131E-3</v>
      </c>
      <c r="Z183" s="352">
        <f t="shared" si="281"/>
        <v>1.5353384318372729E-2</v>
      </c>
    </row>
    <row r="184" spans="1:171" ht="12.6" customHeight="1" x14ac:dyDescent="0.2">
      <c r="B184" s="322" t="s">
        <v>279</v>
      </c>
      <c r="C184" s="332"/>
      <c r="D184" s="83"/>
      <c r="E184" s="83"/>
      <c r="F184" s="83"/>
      <c r="G184" s="113">
        <f t="shared" ref="G184:I190" si="283">G166/G$172</f>
        <v>0.34738691260430388</v>
      </c>
      <c r="H184" s="113">
        <f t="shared" si="283"/>
        <v>0.31837986122317247</v>
      </c>
      <c r="I184" s="113">
        <f t="shared" si="283"/>
        <v>0.32220187439405362</v>
      </c>
      <c r="J184" s="113">
        <f t="shared" ref="J184" si="284">J166/J$172</f>
        <v>0.45253402397298237</v>
      </c>
      <c r="K184" s="113">
        <f t="shared" ref="K184:P190" ca="1" si="285">K166/K$172</f>
        <v>0.34670940170940168</v>
      </c>
      <c r="L184" s="113">
        <f t="shared" ref="L184" ca="1" si="286">L166/L$172</f>
        <v>0.34536342928142477</v>
      </c>
      <c r="M184" s="197">
        <f t="shared" ca="1" si="285"/>
        <v>0.35269718655873489</v>
      </c>
      <c r="N184" s="197">
        <f t="shared" ca="1" si="285"/>
        <v>0.44800183061067145</v>
      </c>
      <c r="O184" s="197">
        <f t="shared" ca="1" si="285"/>
        <v>0.46819377812439283</v>
      </c>
      <c r="P184" s="197">
        <f t="shared" ca="1" si="285"/>
        <v>0.41464083938350155</v>
      </c>
      <c r="W184" s="37" t="str">
        <f t="shared" si="282"/>
        <v>Container</v>
      </c>
      <c r="X184" s="352">
        <f t="shared" si="280"/>
        <v>0</v>
      </c>
      <c r="Y184" s="352">
        <f t="shared" si="281"/>
        <v>2.3376063772487337E-2</v>
      </c>
      <c r="Z184" s="352">
        <f t="shared" si="281"/>
        <v>2.4120282561418918E-2</v>
      </c>
    </row>
    <row r="185" spans="1:171" ht="12.6" customHeight="1" x14ac:dyDescent="0.2">
      <c r="B185" s="322" t="s">
        <v>280</v>
      </c>
      <c r="C185" s="332"/>
      <c r="D185" s="83"/>
      <c r="E185" s="83"/>
      <c r="F185" s="83"/>
      <c r="G185" s="113">
        <f t="shared" si="283"/>
        <v>8.5199824330259105E-2</v>
      </c>
      <c r="H185" s="113">
        <f t="shared" si="283"/>
        <v>8.4072938518638035E-2</v>
      </c>
      <c r="I185" s="113">
        <f t="shared" si="283"/>
        <v>0.28999245933426693</v>
      </c>
      <c r="J185" s="113">
        <f t="shared" ref="J185" si="287">J167/J$172</f>
        <v>0.33302886348761218</v>
      </c>
      <c r="K185" s="113">
        <f t="shared" ca="1" si="285"/>
        <v>0.34645298290598292</v>
      </c>
      <c r="L185" s="113">
        <f t="shared" ref="L185" ca="1" si="288">L167/L$172</f>
        <v>0.33158003727479812</v>
      </c>
      <c r="M185" s="197">
        <f t="shared" ca="1" si="285"/>
        <v>0.32044034474008321</v>
      </c>
      <c r="N185" s="197">
        <f t="shared" ca="1" si="285"/>
        <v>0.25948795319801371</v>
      </c>
      <c r="O185" s="197">
        <f t="shared" ca="1" si="285"/>
        <v>0.23352335746894329</v>
      </c>
      <c r="P185" s="197">
        <f t="shared" ca="1" si="285"/>
        <v>0.20252856581967923</v>
      </c>
      <c r="W185" s="37" t="str">
        <f t="shared" si="282"/>
        <v>Other Bulk</v>
      </c>
      <c r="X185" s="352">
        <f t="shared" si="280"/>
        <v>0.14458609004356948</v>
      </c>
      <c r="Y185" s="352">
        <f t="shared" si="281"/>
        <v>0.10481525368954001</v>
      </c>
      <c r="Z185" s="352">
        <f t="shared" si="281"/>
        <v>6.2548757204910002E-2</v>
      </c>
    </row>
    <row r="186" spans="1:171" ht="12.6" customHeight="1" x14ac:dyDescent="0.2">
      <c r="B186" s="322" t="s">
        <v>281</v>
      </c>
      <c r="C186" s="332"/>
      <c r="D186" s="83"/>
      <c r="E186" s="83"/>
      <c r="F186" s="83"/>
      <c r="G186" s="113">
        <f t="shared" si="283"/>
        <v>0.42819499341238465</v>
      </c>
      <c r="H186" s="113">
        <f t="shared" si="283"/>
        <v>0.44860416330482489</v>
      </c>
      <c r="I186" s="113">
        <f t="shared" si="283"/>
        <v>0.25390498761176339</v>
      </c>
      <c r="J186" s="113">
        <f t="shared" ref="J186" si="289">J168/J$172</f>
        <v>0.11241468845470361</v>
      </c>
      <c r="K186" s="113">
        <f t="shared" ca="1" si="285"/>
        <v>8.3863247863247878E-2</v>
      </c>
      <c r="L186" s="113">
        <f t="shared" ref="L186" ca="1" si="290">L168/L$172</f>
        <v>9.9954441913439648E-2</v>
      </c>
      <c r="M186" s="197">
        <f t="shared" ca="1" si="285"/>
        <v>0.10056651456503329</v>
      </c>
      <c r="N186" s="197">
        <f t="shared" ca="1" si="285"/>
        <v>9.1970499783548543E-2</v>
      </c>
      <c r="O186" s="197">
        <f t="shared" ca="1" si="285"/>
        <v>8.4539301408501286E-2</v>
      </c>
      <c r="P186" s="197">
        <f t="shared" ca="1" si="285"/>
        <v>7.334467979373227E-2</v>
      </c>
    </row>
    <row r="187" spans="1:171" ht="12.6" customHeight="1" x14ac:dyDescent="0.2">
      <c r="B187" s="322" t="s">
        <v>282</v>
      </c>
      <c r="C187" s="332"/>
      <c r="D187" s="83"/>
      <c r="E187" s="83"/>
      <c r="F187" s="83"/>
      <c r="G187" s="113">
        <f t="shared" si="283"/>
        <v>5.4896794027228801E-3</v>
      </c>
      <c r="H187" s="113">
        <f t="shared" si="283"/>
        <v>4.3569469097950618E-3</v>
      </c>
      <c r="I187" s="113">
        <f t="shared" si="283"/>
        <v>5.7093611978886131E-3</v>
      </c>
      <c r="J187" s="113">
        <f t="shared" ref="J187" si="291">J169/J$172</f>
        <v>1.5353384318372729E-2</v>
      </c>
      <c r="K187" s="113">
        <f t="shared" ca="1" si="285"/>
        <v>6.7268008547008554E-2</v>
      </c>
      <c r="L187" s="113">
        <f t="shared" ref="L187" ca="1" si="292">L169/L$172</f>
        <v>5.9962725201905161E-2</v>
      </c>
      <c r="M187" s="197">
        <f t="shared" ca="1" si="285"/>
        <v>4.7033002175511589E-2</v>
      </c>
      <c r="N187" s="197">
        <f t="shared" ca="1" si="285"/>
        <v>4.981587498651599E-2</v>
      </c>
      <c r="O187" s="197">
        <f t="shared" ca="1" si="285"/>
        <v>4.8978640028636278E-2</v>
      </c>
      <c r="P187" s="197">
        <f t="shared" ca="1" si="285"/>
        <v>4.1699912187585703E-2</v>
      </c>
    </row>
    <row r="188" spans="1:171" ht="12.6" customHeight="1" x14ac:dyDescent="0.2">
      <c r="B188" s="322" t="s">
        <v>283</v>
      </c>
      <c r="C188" s="332"/>
      <c r="D188" s="83"/>
      <c r="E188" s="83"/>
      <c r="F188" s="83"/>
      <c r="G188" s="113">
        <f t="shared" si="283"/>
        <v>0</v>
      </c>
      <c r="H188" s="113">
        <f t="shared" si="283"/>
        <v>0</v>
      </c>
      <c r="I188" s="113">
        <f t="shared" si="283"/>
        <v>2.3376063772487337E-2</v>
      </c>
      <c r="J188" s="113">
        <f t="shared" ref="J188" si="293">J170/J$172</f>
        <v>2.4120282561418918E-2</v>
      </c>
      <c r="K188" s="113">
        <f t="shared" ca="1" si="285"/>
        <v>2.0597803418803417E-2</v>
      </c>
      <c r="L188" s="113">
        <f t="shared" ref="L188" ca="1" si="294">L170/L$172</f>
        <v>2.0658521433008906E-2</v>
      </c>
      <c r="M188" s="197">
        <f t="shared" ca="1" si="285"/>
        <v>3.2980058552889734E-2</v>
      </c>
      <c r="N188" s="197">
        <f t="shared" ca="1" si="285"/>
        <v>3.3428354386146136E-2</v>
      </c>
      <c r="O188" s="197">
        <f t="shared" ca="1" si="285"/>
        <v>5.2885679844756062E-2</v>
      </c>
      <c r="P188" s="197">
        <f t="shared" ca="1" si="285"/>
        <v>9.4835885155822738E-2</v>
      </c>
    </row>
    <row r="189" spans="1:171" ht="12.6" customHeight="1" x14ac:dyDescent="0.2">
      <c r="B189" s="322" t="s">
        <v>284</v>
      </c>
      <c r="C189" s="332"/>
      <c r="D189" s="83"/>
      <c r="E189" s="83"/>
      <c r="F189" s="83"/>
      <c r="G189" s="113">
        <f t="shared" si="283"/>
        <v>0.13372859025032935</v>
      </c>
      <c r="H189" s="113">
        <f t="shared" si="283"/>
        <v>0.14458609004356948</v>
      </c>
      <c r="I189" s="113">
        <f t="shared" si="283"/>
        <v>0.10481525368954001</v>
      </c>
      <c r="J189" s="113">
        <f t="shared" ref="J189" si="295">J171/J$172</f>
        <v>6.2548757204910002E-2</v>
      </c>
      <c r="K189" s="113">
        <f t="shared" ca="1" si="285"/>
        <v>0.13510855555555557</v>
      </c>
      <c r="L189" s="113">
        <f t="shared" ref="L189" ca="1" si="296">L171/L$172</f>
        <v>0.14248084489542348</v>
      </c>
      <c r="M189" s="197">
        <f t="shared" ca="1" si="285"/>
        <v>0.14628289340774742</v>
      </c>
      <c r="N189" s="197">
        <f t="shared" ca="1" si="285"/>
        <v>0.1172954870351041</v>
      </c>
      <c r="O189" s="197">
        <f t="shared" ca="1" si="285"/>
        <v>0.11187924312477023</v>
      </c>
      <c r="P189" s="197">
        <f t="shared" ca="1" si="285"/>
        <v>0.17295011765967844</v>
      </c>
    </row>
    <row r="190" spans="1:171" s="38" customFormat="1" ht="12.6" customHeight="1" x14ac:dyDescent="0.2">
      <c r="B190" s="331" t="s">
        <v>226</v>
      </c>
      <c r="C190" s="365"/>
      <c r="D190" s="366"/>
      <c r="E190" s="366"/>
      <c r="F190" s="366"/>
      <c r="G190" s="117">
        <f t="shared" si="283"/>
        <v>1</v>
      </c>
      <c r="H190" s="117">
        <f t="shared" si="283"/>
        <v>1</v>
      </c>
      <c r="I190" s="117">
        <f t="shared" si="283"/>
        <v>1</v>
      </c>
      <c r="J190" s="117">
        <f t="shared" ref="J190" si="297">J172/J$172</f>
        <v>1</v>
      </c>
      <c r="K190" s="117">
        <f t="shared" ca="1" si="285"/>
        <v>1</v>
      </c>
      <c r="L190" s="117">
        <f t="shared" ref="L190" ca="1" si="298">L172/L$172</f>
        <v>1</v>
      </c>
      <c r="M190" s="204">
        <f t="shared" ca="1" si="285"/>
        <v>1</v>
      </c>
      <c r="N190" s="204">
        <f t="shared" ca="1" si="285"/>
        <v>1</v>
      </c>
      <c r="O190" s="204">
        <f t="shared" ca="1" si="285"/>
        <v>1</v>
      </c>
      <c r="P190" s="204">
        <f t="shared" ca="1" si="285"/>
        <v>1</v>
      </c>
    </row>
    <row r="191" spans="1:171" ht="12.6" customHeight="1" x14ac:dyDescent="0.2">
      <c r="A191" s="87"/>
      <c r="B191" s="239"/>
      <c r="C191" s="240"/>
      <c r="D191" s="241"/>
      <c r="E191" s="241"/>
      <c r="F191" s="241"/>
      <c r="G191" s="241"/>
      <c r="H191" s="296"/>
      <c r="I191" s="296"/>
      <c r="J191" s="241"/>
      <c r="K191" s="241"/>
      <c r="L191" s="241"/>
      <c r="M191" s="241"/>
      <c r="N191" s="241"/>
      <c r="O191" s="1008"/>
      <c r="P191" s="296"/>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O191" s="87"/>
      <c r="AP191" s="87"/>
      <c r="AQ191" s="87"/>
      <c r="AR191" s="87"/>
      <c r="AS191" s="87"/>
      <c r="AT191" s="87"/>
      <c r="AU191" s="87"/>
      <c r="AV191" s="87"/>
      <c r="AW191" s="87"/>
      <c r="AX191" s="87"/>
      <c r="AY191" s="87"/>
      <c r="BA191" s="87"/>
      <c r="BB191" s="87"/>
      <c r="BC191" s="87"/>
      <c r="BD191" s="87"/>
      <c r="BE191" s="87"/>
      <c r="BF191" s="87"/>
      <c r="BG191" s="87"/>
      <c r="BH191" s="87"/>
      <c r="BI191" s="87"/>
      <c r="BJ191" s="87"/>
      <c r="BK191" s="87"/>
      <c r="BL191" s="87"/>
      <c r="BM191" s="87"/>
      <c r="BN191" s="87"/>
      <c r="BP191" s="87"/>
      <c r="BQ191" s="87"/>
      <c r="BR191" s="87"/>
      <c r="BS191" s="87"/>
      <c r="BT191" s="87"/>
      <c r="BU191" s="87"/>
      <c r="BV191" s="87"/>
      <c r="BW191" s="87"/>
      <c r="BX191" s="87"/>
      <c r="BY191" s="87"/>
      <c r="BZ191" s="87"/>
      <c r="CB191" s="87"/>
      <c r="CC191" s="87"/>
      <c r="CD191" s="87"/>
      <c r="CE191" s="87"/>
      <c r="CF191" s="87"/>
      <c r="CG191" s="87"/>
      <c r="CH191" s="87"/>
      <c r="CI191" s="87"/>
      <c r="CJ191" s="87"/>
      <c r="CK191" s="87"/>
      <c r="CL191" s="87"/>
      <c r="CN191" s="87"/>
      <c r="CO191" s="87"/>
      <c r="CP191" s="87"/>
      <c r="CQ191" s="87"/>
      <c r="CR191" s="87"/>
      <c r="CS191" s="87"/>
      <c r="CT191" s="87"/>
      <c r="CU191" s="87"/>
      <c r="CV191" s="87"/>
      <c r="CW191" s="87"/>
      <c r="CX191" s="87"/>
      <c r="CZ191" s="87"/>
      <c r="DA191" s="87"/>
      <c r="DB191" s="87"/>
      <c r="DC191" s="87"/>
      <c r="DD191" s="87"/>
      <c r="DE191" s="87"/>
      <c r="DF191" s="87"/>
      <c r="DG191" s="87"/>
      <c r="DH191" s="87"/>
      <c r="DI191" s="87"/>
      <c r="DJ191" s="87"/>
      <c r="DL191" s="87"/>
      <c r="DM191" s="87"/>
      <c r="DN191" s="87"/>
      <c r="DO191" s="87"/>
      <c r="DP191" s="87"/>
      <c r="DQ191" s="87"/>
      <c r="DR191" s="87"/>
      <c r="DS191" s="87"/>
      <c r="DT191" s="87"/>
      <c r="DU191" s="87"/>
      <c r="DV191" s="87"/>
      <c r="DX191" s="87"/>
      <c r="DY191" s="87"/>
      <c r="DZ191" s="87"/>
      <c r="EA191" s="87"/>
      <c r="EB191" s="87"/>
      <c r="EC191" s="87"/>
      <c r="ED191" s="87"/>
      <c r="EE191" s="87"/>
      <c r="EF191" s="87"/>
      <c r="EG191" s="87"/>
      <c r="EH191" s="87"/>
      <c r="EJ191" s="87"/>
      <c r="EK191" s="87"/>
      <c r="EL191" s="87"/>
      <c r="EM191" s="87"/>
      <c r="EN191" s="87"/>
      <c r="EO191" s="87"/>
      <c r="EP191" s="87"/>
      <c r="EQ191" s="87"/>
      <c r="ER191" s="87"/>
      <c r="ES191" s="87"/>
      <c r="ET191" s="87"/>
      <c r="EV191" s="87"/>
      <c r="EW191" s="87"/>
      <c r="EX191" s="87"/>
      <c r="EY191" s="87"/>
      <c r="EZ191" s="87"/>
      <c r="FA191" s="87"/>
      <c r="FB191" s="87"/>
      <c r="FC191" s="87"/>
      <c r="FD191" s="87"/>
      <c r="FE191" s="87"/>
      <c r="FF191" s="87"/>
      <c r="FH191" s="87"/>
      <c r="FI191" s="87"/>
      <c r="FJ191" s="87"/>
      <c r="FK191" s="87"/>
      <c r="FL191" s="87"/>
      <c r="FM191" s="87"/>
      <c r="FN191" s="87"/>
      <c r="FO191" s="87"/>
    </row>
    <row r="192" spans="1:171" ht="12.6" customHeight="1" x14ac:dyDescent="0.2">
      <c r="B192" s="56" t="s">
        <v>563</v>
      </c>
      <c r="C192" s="105"/>
      <c r="D192" s="85"/>
      <c r="E192" s="85"/>
      <c r="F192" s="85"/>
      <c r="G192" s="1007">
        <f>G194-G193</f>
        <v>34.240000000000009</v>
      </c>
      <c r="H192" s="1007">
        <f>H194-H193</f>
        <v>43.325000000000003</v>
      </c>
      <c r="I192" s="1007">
        <f>I194-I193</f>
        <v>61.830000000000013</v>
      </c>
      <c r="J192" s="1007">
        <f t="shared" ref="J192:J193" si="299">J202*J$194</f>
        <v>64.480897466710957</v>
      </c>
      <c r="K192" s="1007">
        <f ca="1">K202*K$194</f>
        <v>59.67</v>
      </c>
      <c r="L192" s="1007">
        <f ca="1">L202*L$194</f>
        <v>62.381694337141447</v>
      </c>
      <c r="M192" s="297">
        <f t="shared" ref="M192:P193" ca="1" si="300">M488+M571+M620+M669+M718+M767+M816+M865+M914+M963+M1011+M1061+M1110+M1159+M1257+M1306+M1355+M1404+M1453+M1501+M1550+M1208</f>
        <v>66.853620000000021</v>
      </c>
      <c r="N192" s="297">
        <f t="shared" ca="1" si="300"/>
        <v>99.223213646719287</v>
      </c>
      <c r="O192" s="298">
        <f t="shared" ca="1" si="300"/>
        <v>115.16837735749124</v>
      </c>
      <c r="P192" s="298">
        <f t="shared" ca="1" si="300"/>
        <v>121.19395964635179</v>
      </c>
      <c r="S192" s="231">
        <f>IF(ISERROR((J192/G192)^(1/3)-1)," ",(J192/G192)^(1/3)-1)</f>
        <v>0.23490184409049109</v>
      </c>
      <c r="T192" s="231">
        <f ca="1">IF(ISERROR((P192/J192)^(1/6)-1)," ",(P192/J192)^(1/6)-1)</f>
        <v>0.11090004299715051</v>
      </c>
    </row>
    <row r="193" spans="2:20" ht="12.6" customHeight="1" x14ac:dyDescent="0.2">
      <c r="B193" s="56" t="s">
        <v>299</v>
      </c>
      <c r="C193" s="105"/>
      <c r="D193" s="85"/>
      <c r="E193" s="85"/>
      <c r="F193" s="85"/>
      <c r="G193" s="1007">
        <v>11.3</v>
      </c>
      <c r="H193" s="1007">
        <v>18.645</v>
      </c>
      <c r="I193" s="1007">
        <f>SUM(Qtrly!I31:L31)</f>
        <v>31</v>
      </c>
      <c r="J193" s="1007">
        <f t="shared" si="299"/>
        <v>42.987264977807314</v>
      </c>
      <c r="K193" s="1007">
        <f ca="1">K203*K$194</f>
        <v>57.33</v>
      </c>
      <c r="L193" s="1007">
        <f ca="1">L203*L$194</f>
        <v>58.343305662858548</v>
      </c>
      <c r="M193" s="297">
        <f t="shared" ca="1" si="300"/>
        <v>61.102490000000003</v>
      </c>
      <c r="N193" s="297">
        <f t="shared" ca="1" si="300"/>
        <v>69.323820853280736</v>
      </c>
      <c r="O193" s="298">
        <f t="shared" ca="1" si="300"/>
        <v>81.765935117508789</v>
      </c>
      <c r="P193" s="298">
        <f t="shared" ca="1" si="300"/>
        <v>116.19619349039823</v>
      </c>
      <c r="S193" s="231">
        <f>IF(ISERROR((J193/G193)^(1/3)-1)," ",(J193/G193)^(1/3)-1)</f>
        <v>0.5610630959603955</v>
      </c>
      <c r="T193" s="231">
        <f ca="1">IF(ISERROR((P193/J193)^(1/6)-1)," ",(P193/J193)^(1/6)-1)</f>
        <v>0.18025363801524108</v>
      </c>
    </row>
    <row r="194" spans="2:20" ht="12.6" customHeight="1" x14ac:dyDescent="0.2">
      <c r="B194" s="72" t="s">
        <v>551</v>
      </c>
      <c r="C194" s="105"/>
      <c r="D194" s="85"/>
      <c r="E194" s="85"/>
      <c r="F194" s="85"/>
      <c r="G194" s="238">
        <f t="shared" ref="G194:J194" si="301">G172</f>
        <v>45.540000000000006</v>
      </c>
      <c r="H194" s="238">
        <f t="shared" si="301"/>
        <v>61.970000000000006</v>
      </c>
      <c r="I194" s="238">
        <f t="shared" si="301"/>
        <v>92.830000000000013</v>
      </c>
      <c r="J194" s="238">
        <f t="shared" si="301"/>
        <v>107.46816244451827</v>
      </c>
      <c r="K194" s="238">
        <f ca="1">K172</f>
        <v>117</v>
      </c>
      <c r="L194" s="238">
        <f ca="1">L172</f>
        <v>120.72499999999999</v>
      </c>
      <c r="M194" s="299">
        <f ca="1">M192+M193</f>
        <v>127.95611000000002</v>
      </c>
      <c r="N194" s="299">
        <f ca="1">N192+N193</f>
        <v>168.54703450000002</v>
      </c>
      <c r="O194" s="300">
        <f ca="1">O192+O193</f>
        <v>196.93431247500001</v>
      </c>
      <c r="P194" s="300">
        <f ca="1">P192+P193</f>
        <v>237.39015313675003</v>
      </c>
      <c r="Q194" s="37">
        <f ca="1">P194-J194</f>
        <v>129.92199069223176</v>
      </c>
      <c r="S194" s="231">
        <f>IF(ISERROR((J194/G194)^(1/3)-1)," ",(J194/G194)^(1/3)-1)</f>
        <v>0.33136028901625592</v>
      </c>
      <c r="T194" s="231">
        <f ca="1">IF(ISERROR((P194/J194)^(1/6)-1)," ",(P194/J194)^(1/6)-1)</f>
        <v>0.14120538663552051</v>
      </c>
    </row>
    <row r="195" spans="2:20" ht="12.6" customHeight="1" x14ac:dyDescent="0.2">
      <c r="B195" s="101" t="s">
        <v>792</v>
      </c>
      <c r="C195" s="105"/>
      <c r="D195" s="85"/>
      <c r="E195" s="85"/>
      <c r="F195" s="85"/>
      <c r="G195" s="85">
        <f t="shared" ref="G195:J195" si="302">+G194-G27</f>
        <v>2.0000000000024443E-3</v>
      </c>
      <c r="H195" s="85">
        <f t="shared" si="302"/>
        <v>7.3507839900130989E-3</v>
      </c>
      <c r="I195" s="85">
        <f t="shared" si="302"/>
        <v>1.9002316779264561E-2</v>
      </c>
      <c r="J195" s="85">
        <f t="shared" si="302"/>
        <v>0.43000000000004945</v>
      </c>
      <c r="K195" s="85">
        <f t="shared" ref="K195:P195" ca="1" si="303">+K194-K27</f>
        <v>0</v>
      </c>
      <c r="L195" s="85">
        <f t="shared" ca="1" si="303"/>
        <v>-1.4999999999986358E-2</v>
      </c>
      <c r="M195" s="110">
        <f t="shared" ca="1" si="303"/>
        <v>0</v>
      </c>
      <c r="N195" s="110">
        <f t="shared" ca="1" si="303"/>
        <v>0</v>
      </c>
      <c r="O195" s="110">
        <f t="shared" ca="1" si="303"/>
        <v>0</v>
      </c>
      <c r="P195" s="110">
        <f t="shared" ca="1" si="303"/>
        <v>0</v>
      </c>
    </row>
    <row r="196" spans="2:20" ht="12.6" customHeight="1" x14ac:dyDescent="0.2">
      <c r="B196" s="116" t="s">
        <v>227</v>
      </c>
      <c r="C196" s="61"/>
      <c r="D196" s="63"/>
      <c r="E196" s="63"/>
      <c r="F196" s="63"/>
      <c r="G196" s="63"/>
      <c r="H196" s="63"/>
      <c r="I196" s="63"/>
      <c r="J196" s="63"/>
      <c r="K196" s="63"/>
      <c r="L196" s="63"/>
      <c r="M196" s="64"/>
      <c r="N196" s="64"/>
      <c r="O196" s="64"/>
      <c r="P196" s="64"/>
    </row>
    <row r="197" spans="2:20" ht="12.6" customHeight="1" x14ac:dyDescent="0.2">
      <c r="B197" s="112" t="s">
        <v>563</v>
      </c>
      <c r="C197" s="61"/>
      <c r="D197" s="289"/>
      <c r="E197" s="113" t="str">
        <f t="shared" ref="E197:E199" si="304">IFERROR(E192/D192-1,"--")</f>
        <v>--</v>
      </c>
      <c r="F197" s="113" t="str">
        <f t="shared" ref="F197:I199" si="305">IFERROR(F192/E192-1,"--")</f>
        <v>--</v>
      </c>
      <c r="G197" s="113" t="str">
        <f t="shared" si="305"/>
        <v>--</v>
      </c>
      <c r="H197" s="113">
        <f t="shared" si="305"/>
        <v>0.26533294392523343</v>
      </c>
      <c r="I197" s="113">
        <f t="shared" si="305"/>
        <v>0.42712060011540709</v>
      </c>
      <c r="J197" s="113">
        <f t="shared" ref="J197" si="306">IFERROR(J192/I192-1,"--")</f>
        <v>4.287396840871649E-2</v>
      </c>
      <c r="K197" s="113">
        <f t="shared" ref="K197:P199" ca="1" si="307">IFERROR(K192/J192-1,"--")</f>
        <v>-7.4609654265352598E-2</v>
      </c>
      <c r="L197" s="113">
        <f t="shared" ca="1" si="307"/>
        <v>4.5444852306711025E-2</v>
      </c>
      <c r="M197" s="197">
        <f t="shared" ca="1" si="307"/>
        <v>7.1686505318212079E-2</v>
      </c>
      <c r="N197" s="197">
        <f t="shared" ca="1" si="307"/>
        <v>0.48418610161602693</v>
      </c>
      <c r="O197" s="197">
        <f t="shared" ca="1" si="307"/>
        <v>0.16069993225117796</v>
      </c>
      <c r="P197" s="197">
        <f t="shared" ca="1" si="307"/>
        <v>5.2319763698299715E-2</v>
      </c>
    </row>
    <row r="198" spans="2:20" ht="12.6" customHeight="1" x14ac:dyDescent="0.2">
      <c r="B198" s="112" t="s">
        <v>299</v>
      </c>
      <c r="C198" s="61"/>
      <c r="D198" s="289"/>
      <c r="E198" s="113" t="str">
        <f t="shared" si="304"/>
        <v>--</v>
      </c>
      <c r="F198" s="113" t="str">
        <f t="shared" si="305"/>
        <v>--</v>
      </c>
      <c r="G198" s="113" t="str">
        <f t="shared" si="305"/>
        <v>--</v>
      </c>
      <c r="H198" s="113">
        <f t="shared" si="305"/>
        <v>0.64999999999999991</v>
      </c>
      <c r="I198" s="113">
        <f t="shared" si="305"/>
        <v>0.66264414052024678</v>
      </c>
      <c r="J198" s="113">
        <f t="shared" ref="J198:J199" si="308">IFERROR(J193/I193-1,"--")</f>
        <v>0.3866859670260423</v>
      </c>
      <c r="K198" s="113">
        <f t="shared" ca="1" si="307"/>
        <v>0.33365079238228557</v>
      </c>
      <c r="L198" s="113">
        <f t="shared" ca="1" si="307"/>
        <v>1.7674963594253468E-2</v>
      </c>
      <c r="M198" s="197">
        <f t="shared" ca="1" si="307"/>
        <v>4.7292218118144103E-2</v>
      </c>
      <c r="N198" s="197">
        <f t="shared" ca="1" si="307"/>
        <v>0.13454984982249885</v>
      </c>
      <c r="O198" s="197">
        <f t="shared" ca="1" si="307"/>
        <v>0.17947819538915732</v>
      </c>
      <c r="P198" s="197">
        <f t="shared" ca="1" si="307"/>
        <v>0.4210831604066958</v>
      </c>
    </row>
    <row r="199" spans="2:20" s="38" customFormat="1" ht="12.6" customHeight="1" x14ac:dyDescent="0.2">
      <c r="B199" s="116" t="s">
        <v>551</v>
      </c>
      <c r="C199" s="95"/>
      <c r="D199" s="295"/>
      <c r="E199" s="117" t="str">
        <f t="shared" si="304"/>
        <v>--</v>
      </c>
      <c r="F199" s="117" t="str">
        <f t="shared" si="305"/>
        <v>--</v>
      </c>
      <c r="G199" s="117" t="str">
        <f t="shared" si="305"/>
        <v>--</v>
      </c>
      <c r="H199" s="117">
        <f t="shared" si="305"/>
        <v>0.3607817303469476</v>
      </c>
      <c r="I199" s="117">
        <f t="shared" si="305"/>
        <v>0.49798289494916892</v>
      </c>
      <c r="J199" s="117">
        <f t="shared" si="308"/>
        <v>0.15768784277192993</v>
      </c>
      <c r="K199" s="1278">
        <f t="shared" ca="1" si="307"/>
        <v>8.8694524393702734E-2</v>
      </c>
      <c r="L199" s="117">
        <f t="shared" ca="1" si="307"/>
        <v>3.1837606837606724E-2</v>
      </c>
      <c r="M199" s="204">
        <f t="shared" ca="1" si="307"/>
        <v>5.9897370055912447E-2</v>
      </c>
      <c r="N199" s="204">
        <f t="shared" ca="1" si="307"/>
        <v>0.31722537126206785</v>
      </c>
      <c r="O199" s="204">
        <f t="shared" ca="1" si="307"/>
        <v>0.16842347929295665</v>
      </c>
      <c r="P199" s="204">
        <f t="shared" ca="1" si="307"/>
        <v>0.20542809505014881</v>
      </c>
    </row>
    <row r="200" spans="2:20" ht="12.6" customHeight="1" x14ac:dyDescent="0.2">
      <c r="B200" s="116"/>
      <c r="C200" s="61"/>
      <c r="D200" s="63"/>
      <c r="E200" s="337"/>
      <c r="F200" s="337"/>
      <c r="G200" s="337"/>
      <c r="H200" s="337"/>
      <c r="I200" s="337"/>
      <c r="J200" s="337"/>
      <c r="K200" s="337"/>
      <c r="L200" s="337"/>
      <c r="M200" s="338"/>
      <c r="N200" s="338"/>
      <c r="O200" s="338"/>
      <c r="P200" s="338"/>
    </row>
    <row r="201" spans="2:20" ht="12.6" customHeight="1" x14ac:dyDescent="0.2">
      <c r="B201" s="116" t="s">
        <v>287</v>
      </c>
      <c r="C201" s="61"/>
      <c r="D201" s="63"/>
      <c r="E201" s="337"/>
      <c r="F201" s="337"/>
      <c r="G201" s="337"/>
      <c r="H201" s="337"/>
      <c r="I201" s="337"/>
      <c r="J201" s="337"/>
      <c r="K201" s="337"/>
      <c r="L201" s="337"/>
      <c r="M201" s="338"/>
      <c r="N201" s="338"/>
      <c r="O201" s="338"/>
      <c r="P201" s="338"/>
    </row>
    <row r="202" spans="2:20" ht="12.6" customHeight="1" x14ac:dyDescent="0.2">
      <c r="B202" s="112" t="s">
        <v>563</v>
      </c>
      <c r="C202" s="61"/>
      <c r="D202" s="289"/>
      <c r="E202" s="113"/>
      <c r="F202" s="113"/>
      <c r="G202" s="113">
        <f>G192/G$194</f>
        <v>0.75186649099692593</v>
      </c>
      <c r="H202" s="113">
        <f>H192/H$194</f>
        <v>0.69912861061804099</v>
      </c>
      <c r="I202" s="113">
        <f>I192/I$194</f>
        <v>0.66605623182160945</v>
      </c>
      <c r="J202" s="113">
        <v>0.6</v>
      </c>
      <c r="K202" s="113">
        <f ca="1">K204-K203</f>
        <v>0.51</v>
      </c>
      <c r="L202" s="113">
        <f ca="1">+L204-L203</f>
        <v>0.51672556916248868</v>
      </c>
      <c r="M202" s="197">
        <f t="shared" ref="M202:P204" ca="1" si="309">M192/M$194</f>
        <v>0.52247305736318495</v>
      </c>
      <c r="N202" s="1167">
        <f t="shared" ca="1" si="309"/>
        <v>0.58869747510579473</v>
      </c>
      <c r="O202" s="197">
        <f t="shared" ca="1" si="309"/>
        <v>0.58480604984523143</v>
      </c>
      <c r="P202" s="197">
        <f t="shared" ca="1" si="309"/>
        <v>0.51052648159562575</v>
      </c>
    </row>
    <row r="203" spans="2:20" ht="12.6" customHeight="1" x14ac:dyDescent="0.2">
      <c r="B203" s="112" t="s">
        <v>299</v>
      </c>
      <c r="C203" s="61"/>
      <c r="D203" s="289"/>
      <c r="E203" s="113"/>
      <c r="F203" s="113"/>
      <c r="G203" s="113">
        <f t="shared" ref="G203:I204" si="310">G193/G$194</f>
        <v>0.24813350900307421</v>
      </c>
      <c r="H203" s="113">
        <f t="shared" si="310"/>
        <v>0.30087138938195895</v>
      </c>
      <c r="I203" s="113">
        <f t="shared" si="310"/>
        <v>0.33394376817839055</v>
      </c>
      <c r="J203" s="113">
        <v>0.4</v>
      </c>
      <c r="K203" s="113">
        <v>0.49</v>
      </c>
      <c r="L203" s="113">
        <v>0.48327443083751132</v>
      </c>
      <c r="M203" s="197">
        <f t="shared" ca="1" si="309"/>
        <v>0.477526942636815</v>
      </c>
      <c r="N203" s="1167">
        <f t="shared" ca="1" si="309"/>
        <v>0.41130252489420527</v>
      </c>
      <c r="O203" s="197">
        <f t="shared" ca="1" si="309"/>
        <v>0.41519395015476868</v>
      </c>
      <c r="P203" s="197">
        <f t="shared" ca="1" si="309"/>
        <v>0.4894735184043742</v>
      </c>
      <c r="Q203" s="37" t="s">
        <v>1946</v>
      </c>
    </row>
    <row r="204" spans="2:20" ht="12.6" customHeight="1" x14ac:dyDescent="0.2">
      <c r="B204" s="116" t="s">
        <v>551</v>
      </c>
      <c r="C204" s="61"/>
      <c r="D204" s="63"/>
      <c r="E204" s="337"/>
      <c r="F204" s="337"/>
      <c r="G204" s="117">
        <f t="shared" si="310"/>
        <v>1</v>
      </c>
      <c r="H204" s="117">
        <f t="shared" si="310"/>
        <v>1</v>
      </c>
      <c r="I204" s="117">
        <f t="shared" si="310"/>
        <v>1</v>
      </c>
      <c r="J204" s="117">
        <f>J194/J$194</f>
        <v>1</v>
      </c>
      <c r="K204" s="117">
        <f ca="1">K194/K$194</f>
        <v>1</v>
      </c>
      <c r="L204" s="117">
        <f ca="1">L194/L$194</f>
        <v>1</v>
      </c>
      <c r="M204" s="204">
        <f t="shared" ca="1" si="309"/>
        <v>1</v>
      </c>
      <c r="N204" s="204">
        <f t="shared" ca="1" si="309"/>
        <v>1</v>
      </c>
      <c r="O204" s="204">
        <f t="shared" ca="1" si="309"/>
        <v>1</v>
      </c>
      <c r="P204" s="204">
        <f t="shared" ca="1" si="309"/>
        <v>1</v>
      </c>
    </row>
    <row r="206" spans="2:20" ht="12.6" customHeight="1" x14ac:dyDescent="0.2">
      <c r="B206" s="50" t="s">
        <v>676</v>
      </c>
      <c r="C206" s="50"/>
      <c r="D206" s="163"/>
      <c r="E206" s="163"/>
      <c r="F206" s="163"/>
      <c r="G206" s="51"/>
      <c r="H206" s="51"/>
      <c r="I206" s="51"/>
      <c r="J206" s="51"/>
      <c r="K206" s="51"/>
      <c r="L206" s="54"/>
      <c r="M206" s="54"/>
      <c r="N206" s="54"/>
      <c r="O206" s="54"/>
      <c r="P206" s="54"/>
    </row>
    <row r="207" spans="2:20" ht="12.6" customHeight="1" x14ac:dyDescent="0.2">
      <c r="B207" s="56" t="s">
        <v>213</v>
      </c>
      <c r="C207" s="61"/>
      <c r="D207" s="288">
        <f>Standalone!C16</f>
        <v>2295.3159999999998</v>
      </c>
      <c r="E207" s="288">
        <f>[3]Standalone!D16</f>
        <v>2708.3339999999998</v>
      </c>
      <c r="F207" s="288">
        <f>Standalone!E16</f>
        <v>2845.712</v>
      </c>
      <c r="G207" s="288">
        <f>Standalone!F16</f>
        <v>3202.5889999999999</v>
      </c>
      <c r="H207" s="288">
        <f>Standalone!G16</f>
        <v>4730.3370000000004</v>
      </c>
      <c r="I207" s="288">
        <f>Standalone!H16</f>
        <v>5315.817</v>
      </c>
      <c r="J207" s="288">
        <f>Standalone!I16</f>
        <v>5343.8</v>
      </c>
      <c r="K207" s="288" t="s">
        <v>2046</v>
      </c>
      <c r="L207" s="303">
        <f>Standalone!K16</f>
        <v>6007.8</v>
      </c>
      <c r="M207" s="303">
        <f>Standalone!L16</f>
        <v>7141.4010281250021</v>
      </c>
      <c r="N207" s="303">
        <f>Standalone!M16</f>
        <v>7648.4405011218787</v>
      </c>
      <c r="O207" s="303">
        <f>Standalone!N16</f>
        <v>8191.4797767015325</v>
      </c>
      <c r="P207" s="303">
        <f>Standalone!O16</f>
        <v>8773.074840847341</v>
      </c>
    </row>
    <row r="208" spans="2:20" ht="12.6" customHeight="1" x14ac:dyDescent="0.2">
      <c r="B208" s="56" t="s">
        <v>3</v>
      </c>
      <c r="C208" s="61"/>
      <c r="D208" s="288">
        <f>Jaigarh!C16</f>
        <v>5278.3310000000001</v>
      </c>
      <c r="E208" s="288">
        <f>[3]Jaigarh!D16</f>
        <v>5906.44</v>
      </c>
      <c r="F208" s="288">
        <f>Jaigarh!E16</f>
        <v>6001.3239999999996</v>
      </c>
      <c r="G208" s="288">
        <f>Jaigarh!F16</f>
        <v>6632.8160000000007</v>
      </c>
      <c r="H208" s="311">
        <f>Jaigarh!G16</f>
        <v>9194.2990000000009</v>
      </c>
      <c r="I208" s="288">
        <f>Jaigarh!H16</f>
        <v>12038.510999999999</v>
      </c>
      <c r="J208" s="288">
        <f>Jaigarh!I16</f>
        <v>12985.491</v>
      </c>
      <c r="K208" s="288">
        <f>Jaigarh!J16</f>
        <v>12193.559000000001</v>
      </c>
      <c r="L208" s="303">
        <f ca="1">Jaigarh!K16</f>
        <v>12806.402050219853</v>
      </c>
      <c r="M208" s="303">
        <f ca="1">Jaigarh!L16</f>
        <v>13512.632467069878</v>
      </c>
      <c r="N208" s="303">
        <f ca="1">Jaigarh!M16</f>
        <v>16867.647913547415</v>
      </c>
      <c r="O208" s="303">
        <f ca="1">Jaigarh!N16</f>
        <v>18785.411584608955</v>
      </c>
      <c r="P208" s="303">
        <f ca="1">Jaigarh!O16</f>
        <v>20046.15371834231</v>
      </c>
      <c r="T208" s="352"/>
    </row>
    <row r="209" spans="2:28" ht="12.6" customHeight="1" x14ac:dyDescent="0.2">
      <c r="B209" s="56" t="s">
        <v>790</v>
      </c>
      <c r="C209" s="61"/>
      <c r="D209" s="288">
        <f>Dharmtar!C16</f>
        <v>1459.5140000000001</v>
      </c>
      <c r="E209" s="288">
        <f>[3]Dharmtar!D16</f>
        <v>1635.3949999999998</v>
      </c>
      <c r="F209" s="288">
        <f>Dharmtar!E16</f>
        <v>1614.0709999999999</v>
      </c>
      <c r="G209" s="288">
        <f>Dharmtar!F16</f>
        <v>1662.3020000000001</v>
      </c>
      <c r="H209" s="288">
        <f>Dharmtar!G16</f>
        <v>2920.71</v>
      </c>
      <c r="I209" s="288">
        <f>Dharmtar!H16</f>
        <v>4393.2499999999991</v>
      </c>
      <c r="J209" s="288">
        <f>Dharmtar!I16</f>
        <v>4485.4960000000001</v>
      </c>
      <c r="K209" s="288">
        <f>Dharmtar!J16</f>
        <v>4212.2350000000006</v>
      </c>
      <c r="L209" s="303">
        <f>Dharmtar!K16</f>
        <v>4472.8826055844156</v>
      </c>
      <c r="M209" s="303">
        <f>Dharmtar!L16</f>
        <v>4784.9600819834286</v>
      </c>
      <c r="N209" s="303">
        <f>Dharmtar!M16</f>
        <v>6120.2948462026934</v>
      </c>
      <c r="O209" s="303">
        <f>Dharmtar!N16</f>
        <v>6917.6048440950535</v>
      </c>
      <c r="P209" s="303">
        <f>Dharmtar!O16</f>
        <v>7333.6366202067884</v>
      </c>
      <c r="T209" s="352"/>
    </row>
    <row r="210" spans="2:28" ht="12.6" customHeight="1" x14ac:dyDescent="0.2">
      <c r="B210" s="56" t="s">
        <v>214</v>
      </c>
      <c r="C210" s="61"/>
      <c r="D210" s="288">
        <f>Goa!C16</f>
        <v>0</v>
      </c>
      <c r="E210" s="288">
        <f>[3]Goa!D16</f>
        <v>0</v>
      </c>
      <c r="F210" s="288">
        <f>Goa!E16</f>
        <v>1997.9390000000003</v>
      </c>
      <c r="G210" s="288">
        <f>Goa!F16</f>
        <v>2443.9649999999997</v>
      </c>
      <c r="H210" s="288">
        <f>Goa!G16</f>
        <v>2582.9879999999998</v>
      </c>
      <c r="I210" s="288">
        <f>Goa!H16</f>
        <v>2791.9749999999999</v>
      </c>
      <c r="J210" s="288">
        <f>Goa!I16</f>
        <v>2986.3420000000006</v>
      </c>
      <c r="K210" s="288">
        <f>Goa!J16</f>
        <v>2954.3510000000001</v>
      </c>
      <c r="L210" s="303">
        <f ca="1">Goa!K16</f>
        <v>3921.2905642500004</v>
      </c>
      <c r="M210" s="303">
        <f ca="1">Goa!L16</f>
        <v>4402.0204023525012</v>
      </c>
      <c r="N210" s="303">
        <f ca="1">Goa!M16</f>
        <v>5157.8788548309576</v>
      </c>
      <c r="O210" s="303">
        <f ca="1">Goa!N16</f>
        <v>5535.5705102109969</v>
      </c>
      <c r="P210" s="303">
        <f ca="1">Goa!O16</f>
        <v>5946.1354376189156</v>
      </c>
      <c r="T210" s="352"/>
      <c r="W210" s="37" t="s">
        <v>1702</v>
      </c>
      <c r="X210" s="39" t="str">
        <f>G2</f>
        <v>FY21</v>
      </c>
      <c r="Y210" s="39" t="str">
        <f>H2</f>
        <v>FY22</v>
      </c>
      <c r="Z210" s="39" t="str">
        <f>I2</f>
        <v>FY23</v>
      </c>
      <c r="AA210" s="39" t="str">
        <f>J2</f>
        <v>FY24</v>
      </c>
    </row>
    <row r="211" spans="2:28" ht="12.6" customHeight="1" x14ac:dyDescent="0.2">
      <c r="B211" s="56" t="s">
        <v>10</v>
      </c>
      <c r="C211" s="61"/>
      <c r="D211" s="288">
        <f>'Paradip Iron'!G16</f>
        <v>0</v>
      </c>
      <c r="E211" s="288">
        <f>'[3]Paradip Iron'!H16</f>
        <v>0</v>
      </c>
      <c r="F211" s="288">
        <f>'Paradip Iron'!I16</f>
        <v>561.65</v>
      </c>
      <c r="G211" s="288">
        <f>'Paradip Iron'!J16</f>
        <v>2570.1790000000001</v>
      </c>
      <c r="H211" s="288">
        <f>'Paradip Iron'!K16</f>
        <v>2557.683</v>
      </c>
      <c r="I211" s="288">
        <f>'Paradip Iron'!L16</f>
        <v>3016.7220000000002</v>
      </c>
      <c r="J211" s="288">
        <f>'Paradip Iron'!M16</f>
        <v>3961.2119999999995</v>
      </c>
      <c r="K211" s="288">
        <f>'Paradip Iron'!N16</f>
        <v>3673.8460000000005</v>
      </c>
      <c r="L211" s="303">
        <f ca="1">'Paradip Iron'!O16</f>
        <v>2571.1367094736847</v>
      </c>
      <c r="M211" s="303">
        <f ca="1">'Paradip Iron'!P16</f>
        <v>3360.6601504842115</v>
      </c>
      <c r="N211" s="303">
        <f ca="1">'Paradip Iron'!Q16</f>
        <v>3528.8700404616638</v>
      </c>
      <c r="O211" s="303">
        <f ca="1">'Paradip Iron'!R16</f>
        <v>3707.1319410714846</v>
      </c>
      <c r="P211" s="303">
        <f ca="1">'Paradip Iron'!S16</f>
        <v>3896.0527520798182</v>
      </c>
      <c r="T211" s="352"/>
      <c r="X211" s="968">
        <f>G193</f>
        <v>11.3</v>
      </c>
      <c r="Y211" s="968">
        <f>H193</f>
        <v>18.645</v>
      </c>
      <c r="Z211" s="968">
        <f>I193</f>
        <v>31</v>
      </c>
      <c r="AA211" s="968">
        <f>J193</f>
        <v>42.987264977807314</v>
      </c>
      <c r="AB211" s="352">
        <f>(AA211/X211)^(1/3)-1</f>
        <v>0.5610630959603955</v>
      </c>
    </row>
    <row r="212" spans="2:28" ht="12.6" customHeight="1" x14ac:dyDescent="0.2">
      <c r="B212" s="56" t="s">
        <v>568</v>
      </c>
      <c r="C212" s="61"/>
      <c r="D212" s="288">
        <f>'Paradip Coal'!G16</f>
        <v>0</v>
      </c>
      <c r="E212" s="288">
        <f>'[3]Paradip Coal'!H16</f>
        <v>0</v>
      </c>
      <c r="F212" s="288">
        <f>'Paradip Coal'!I16</f>
        <v>0</v>
      </c>
      <c r="G212" s="288">
        <f>'Paradip Coal'!J16</f>
        <v>0</v>
      </c>
      <c r="H212" s="288">
        <f>'Paradip Coal'!K16</f>
        <v>95.72</v>
      </c>
      <c r="I212" s="288">
        <f>'Paradip Coal'!L16</f>
        <v>2385.1279999999997</v>
      </c>
      <c r="J212" s="288">
        <f>'Paradip Coal'!M16</f>
        <v>3610.5169999999998</v>
      </c>
      <c r="K212" s="288">
        <f>'Paradip Coal'!N16</f>
        <v>4156.3430000000008</v>
      </c>
      <c r="L212" s="303">
        <f>'Paradip Coal'!O16</f>
        <v>4376.0622720899482</v>
      </c>
      <c r="M212" s="303">
        <f>'Paradip Coal'!P16</f>
        <v>4671.0399409400807</v>
      </c>
      <c r="N212" s="303">
        <f>'Paradip Coal'!Q16</f>
        <v>5176.841766029961</v>
      </c>
      <c r="O212" s="303">
        <f>'Paradip Coal'!R16</f>
        <v>5739.4405042008175</v>
      </c>
      <c r="P212" s="303">
        <f>'Paradip Coal'!S16</f>
        <v>6365.2326850415493</v>
      </c>
      <c r="T212" s="352"/>
      <c r="X212" s="969">
        <f>G203</f>
        <v>0.24813350900307421</v>
      </c>
      <c r="Y212" s="969">
        <f>H203</f>
        <v>0.30087138938195895</v>
      </c>
      <c r="Z212" s="969">
        <f>I203</f>
        <v>0.33394376817839055</v>
      </c>
      <c r="AA212" s="969">
        <f>J203</f>
        <v>0.4</v>
      </c>
    </row>
    <row r="213" spans="2:28" ht="12.6" customHeight="1" x14ac:dyDescent="0.2">
      <c r="B213" s="56" t="s">
        <v>8</v>
      </c>
      <c r="C213" s="61"/>
      <c r="D213" s="288">
        <f>'Ennore Coal'!G16</f>
        <v>0</v>
      </c>
      <c r="E213" s="288">
        <f>'[3]Ennore Coal'!H16</f>
        <v>0</v>
      </c>
      <c r="F213" s="288">
        <f>'Ennore Coal'!I16</f>
        <v>2098.2999999999997</v>
      </c>
      <c r="G213" s="288">
        <f>'Ennore Coal'!J16</f>
        <v>1787</v>
      </c>
      <c r="H213" s="288">
        <f>'Ennore Coal'!K16</f>
        <v>2626.3840000000005</v>
      </c>
      <c r="I213" s="288">
        <f>'Ennore Coal'!L16</f>
        <v>3199.848</v>
      </c>
      <c r="J213" s="288">
        <f>'Ennore Coal'!M16</f>
        <v>3607.8020000000001</v>
      </c>
      <c r="K213" s="288">
        <f>'Ennore Coal'!N16</f>
        <v>3925.567</v>
      </c>
      <c r="L213" s="303">
        <f ca="1">'Ennore Coal'!O16</f>
        <v>4158.618059117648</v>
      </c>
      <c r="M213" s="303">
        <f ca="1">'Ennore Coal'!P16</f>
        <v>4375.173847735442</v>
      </c>
      <c r="N213" s="303">
        <f ca="1">'Ennore Coal'!Q16</f>
        <v>4604.5700494650246</v>
      </c>
      <c r="O213" s="303">
        <f ca="1">'Ennore Coal'!R16</f>
        <v>4847.5808971786628</v>
      </c>
      <c r="P213" s="303">
        <f ca="1">'Ennore Coal'!S16</f>
        <v>5105.0274387161871</v>
      </c>
      <c r="T213" s="352"/>
      <c r="W213" s="37" t="s">
        <v>1703</v>
      </c>
      <c r="X213" s="39" t="str">
        <f>X210</f>
        <v>FY21</v>
      </c>
      <c r="Y213" s="39" t="str">
        <f>Y210</f>
        <v>FY22</v>
      </c>
      <c r="Z213" s="39" t="str">
        <f>Z210</f>
        <v>FY23</v>
      </c>
      <c r="AA213" s="39" t="str">
        <f>AA210</f>
        <v>FY24</v>
      </c>
    </row>
    <row r="214" spans="2:28" ht="12.6" customHeight="1" x14ac:dyDescent="0.2">
      <c r="B214" s="56" t="s">
        <v>9</v>
      </c>
      <c r="C214" s="61"/>
      <c r="D214" s="288"/>
      <c r="E214" s="288"/>
      <c r="F214" s="288"/>
      <c r="G214" s="288"/>
      <c r="H214" s="288">
        <v>351.94799999999998</v>
      </c>
      <c r="I214" s="288">
        <f>'Ennore Bulk'!L16</f>
        <v>563.70900000000006</v>
      </c>
      <c r="J214" s="288">
        <f>'Ennore Bulk'!M16</f>
        <v>505.88400000000001</v>
      </c>
      <c r="K214" s="288">
        <f>'Ennore Bulk'!N16</f>
        <v>858.87599999999998</v>
      </c>
      <c r="L214" s="303">
        <f>'Ennore Bulk'!O16</f>
        <v>701.56414634285716</v>
      </c>
      <c r="M214" s="303">
        <f>'Ennore Bulk'!P16</f>
        <v>743.29683839320012</v>
      </c>
      <c r="N214" s="303">
        <f>'Ennore Bulk'!Q16</f>
        <v>787.88284326211738</v>
      </c>
      <c r="O214" s="303">
        <f>'Ennore Bulk'!R16</f>
        <v>835.51926074387779</v>
      </c>
      <c r="P214" s="303">
        <f>'Ennore Bulk'!S16</f>
        <v>886.41691044735069</v>
      </c>
      <c r="T214" s="352"/>
      <c r="X214" s="968">
        <f>G192</f>
        <v>34.240000000000009</v>
      </c>
      <c r="Y214" s="968">
        <f>H192</f>
        <v>43.325000000000003</v>
      </c>
      <c r="Z214" s="968">
        <f>I192</f>
        <v>61.830000000000013</v>
      </c>
      <c r="AA214" s="968">
        <f>J192</f>
        <v>64.480897466710957</v>
      </c>
      <c r="AB214" s="352">
        <f>(AA214/X214)^(1/3)-1</f>
        <v>0.23490184409049109</v>
      </c>
    </row>
    <row r="215" spans="2:28" ht="12.6" customHeight="1" x14ac:dyDescent="0.2">
      <c r="B215" s="56" t="s">
        <v>215</v>
      </c>
      <c r="C215" s="61"/>
      <c r="D215" s="288">
        <f>'Mangalore Coal'!G16</f>
        <v>0</v>
      </c>
      <c r="E215" s="288">
        <f>'[3]Mangalore Coal'!H16</f>
        <v>0</v>
      </c>
      <c r="F215" s="288">
        <f>'Mangalore Coal'!I16</f>
        <v>384.35599999999999</v>
      </c>
      <c r="G215" s="288">
        <f>'Mangalore Coal'!J16</f>
        <v>867.39400000000001</v>
      </c>
      <c r="H215" s="288">
        <f>'Mangalore Coal'!K16</f>
        <v>1129.7239999999999</v>
      </c>
      <c r="I215" s="288">
        <f>'Mangalore Coal'!L16</f>
        <v>1544.856</v>
      </c>
      <c r="J215" s="288">
        <f>'Mangalore Coal'!M16</f>
        <v>1852.702</v>
      </c>
      <c r="K215" s="288">
        <f>'Mangalore Coal'!N16</f>
        <v>2482.8920000000003</v>
      </c>
      <c r="L215" s="303">
        <f ca="1">'Mangalore Coal'!O16</f>
        <v>2559.7233350000001</v>
      </c>
      <c r="M215" s="303">
        <f ca="1">'Mangalore Coal'!P16</f>
        <v>2793.7816068375005</v>
      </c>
      <c r="N215" s="303">
        <f ca="1">'Mangalore Coal'!Q16</f>
        <v>3051.8308515383446</v>
      </c>
      <c r="O215" s="303">
        <f ca="1">'Mangalore Coal'!R16</f>
        <v>3336.3301438210251</v>
      </c>
      <c r="P215" s="303">
        <f ca="1">'Mangalore Coal'!S16</f>
        <v>3649.9906135626807</v>
      </c>
      <c r="T215" s="352"/>
      <c r="X215" s="969">
        <f>G202</f>
        <v>0.75186649099692593</v>
      </c>
      <c r="Y215" s="969">
        <f>H202</f>
        <v>0.69912861061804099</v>
      </c>
      <c r="Z215" s="969">
        <f>I202</f>
        <v>0.66605623182160945</v>
      </c>
      <c r="AA215" s="969">
        <f>J202</f>
        <v>0.6</v>
      </c>
    </row>
    <row r="216" spans="2:28" ht="12.6" customHeight="1" x14ac:dyDescent="0.2">
      <c r="B216" s="56" t="s">
        <v>216</v>
      </c>
      <c r="C216" s="61"/>
      <c r="D216" s="288">
        <v>0</v>
      </c>
      <c r="E216" s="288">
        <v>0</v>
      </c>
      <c r="F216" s="288">
        <v>0</v>
      </c>
      <c r="G216" s="288">
        <v>0</v>
      </c>
      <c r="H216" s="288">
        <v>0</v>
      </c>
      <c r="I216" s="288">
        <v>0</v>
      </c>
      <c r="J216" s="288">
        <f>'Mangalore Container'!M16</f>
        <v>879.85900000000004</v>
      </c>
      <c r="K216" s="288">
        <f>'Mangalore Container'!N16</f>
        <v>800.59199999999998</v>
      </c>
      <c r="L216" s="303">
        <f>'Mangalore Container'!O16</f>
        <v>850.3146435000001</v>
      </c>
      <c r="M216" s="303">
        <f>'Mangalore Container'!P16</f>
        <v>1021.2492939687502</v>
      </c>
      <c r="N216" s="303">
        <f>'Mangalore Container'!Q16</f>
        <v>1134.8810145214065</v>
      </c>
      <c r="O216" s="303">
        <f>'Mangalore Container'!R16</f>
        <v>1231.8504909044507</v>
      </c>
      <c r="P216" s="303">
        <f>'Mangalore Container'!S16</f>
        <v>1339.3678645558848</v>
      </c>
      <c r="T216" s="352"/>
    </row>
    <row r="217" spans="2:28" ht="12.6" customHeight="1" x14ac:dyDescent="0.2">
      <c r="B217" s="56" t="s">
        <v>2</v>
      </c>
      <c r="C217" s="61"/>
      <c r="D217" s="288">
        <v>0</v>
      </c>
      <c r="E217" s="288">
        <v>0</v>
      </c>
      <c r="F217" s="288">
        <v>0</v>
      </c>
      <c r="G217" s="288">
        <v>0</v>
      </c>
      <c r="H217" s="288">
        <v>0</v>
      </c>
      <c r="I217" s="288">
        <v>0</v>
      </c>
      <c r="J217" s="288">
        <v>0</v>
      </c>
      <c r="K217" s="288">
        <f>PNP!N16</f>
        <v>2813.9479999999999</v>
      </c>
      <c r="L217" s="303">
        <f>PNP!O16</f>
        <v>3204.157085134545</v>
      </c>
      <c r="M217" s="303">
        <f>PNP!P16</f>
        <v>3649.6346613837745</v>
      </c>
      <c r="N217" s="303">
        <f>PNP!Q16</f>
        <v>3746.3910117575642</v>
      </c>
      <c r="O217" s="303">
        <f>PNP!R16</f>
        <v>3946.0778569688969</v>
      </c>
      <c r="P217" s="303">
        <f>PNP!S16</f>
        <v>4157.8457563155162</v>
      </c>
      <c r="T217" s="352"/>
    </row>
    <row r="218" spans="2:28" ht="12.6" customHeight="1" x14ac:dyDescent="0.2">
      <c r="B218" s="56" t="s">
        <v>791</v>
      </c>
      <c r="C218" s="61"/>
      <c r="D218" s="288">
        <v>0</v>
      </c>
      <c r="E218" s="288">
        <v>0</v>
      </c>
      <c r="F218" s="288">
        <v>0</v>
      </c>
      <c r="G218" s="288">
        <v>0</v>
      </c>
      <c r="H218" s="288">
        <v>0</v>
      </c>
      <c r="I218" s="288">
        <v>0</v>
      </c>
      <c r="J218" s="288">
        <f t="shared" ref="J218:P218" si="311">J1027</f>
        <v>2475</v>
      </c>
      <c r="K218" s="288">
        <f t="shared" si="311"/>
        <v>2499.75</v>
      </c>
      <c r="L218" s="303">
        <f t="shared" si="311"/>
        <v>2524.7475000000004</v>
      </c>
      <c r="M218" s="303">
        <f t="shared" si="311"/>
        <v>2209.9956450000004</v>
      </c>
      <c r="N218" s="303">
        <f t="shared" si="311"/>
        <v>2232.0956014500002</v>
      </c>
      <c r="O218" s="303">
        <f t="shared" si="311"/>
        <v>2080.9998991980005</v>
      </c>
      <c r="P218" s="303">
        <f t="shared" si="311"/>
        <v>2101.8098981899807</v>
      </c>
      <c r="T218" s="352"/>
    </row>
    <row r="219" spans="2:28" ht="12.6" customHeight="1" x14ac:dyDescent="0.2">
      <c r="B219" s="56" t="s">
        <v>553</v>
      </c>
      <c r="C219" s="61"/>
      <c r="D219" s="288">
        <v>0</v>
      </c>
      <c r="E219" s="288">
        <v>0</v>
      </c>
      <c r="F219" s="288">
        <v>0</v>
      </c>
      <c r="G219" s="288">
        <v>0</v>
      </c>
      <c r="H219" s="288">
        <v>0</v>
      </c>
      <c r="I219" s="288">
        <v>0</v>
      </c>
      <c r="J219" s="288">
        <f t="shared" ref="J219:P219" si="312">J1076</f>
        <v>0</v>
      </c>
      <c r="K219" s="288">
        <f t="shared" si="312"/>
        <v>293.01679411764712</v>
      </c>
      <c r="L219" s="303">
        <f t="shared" ca="1" si="312"/>
        <v>1704.8205443088239</v>
      </c>
      <c r="M219" s="303">
        <f t="shared" ca="1" si="312"/>
        <v>1884.4642571691179</v>
      </c>
      <c r="N219" s="303">
        <f t="shared" ca="1" si="312"/>
        <v>1978.6874700275741</v>
      </c>
      <c r="O219" s="303">
        <f t="shared" ca="1" si="312"/>
        <v>2077.6218435289529</v>
      </c>
      <c r="P219" s="303">
        <f t="shared" ca="1" si="312"/>
        <v>2181.5029357054009</v>
      </c>
      <c r="T219" s="352"/>
    </row>
    <row r="220" spans="2:28" ht="12.6" customHeight="1" x14ac:dyDescent="0.2">
      <c r="B220" s="189" t="s">
        <v>788</v>
      </c>
      <c r="C220" s="61"/>
      <c r="D220" s="288">
        <v>0</v>
      </c>
      <c r="E220" s="288">
        <v>0</v>
      </c>
      <c r="F220" s="288">
        <v>0</v>
      </c>
      <c r="G220" s="288">
        <v>0</v>
      </c>
      <c r="H220" s="288">
        <v>0</v>
      </c>
      <c r="I220" s="288">
        <v>0</v>
      </c>
      <c r="J220" s="288">
        <f t="shared" ref="J220:K220" si="313">J1125</f>
        <v>0</v>
      </c>
      <c r="K220" s="288">
        <f t="shared" si="313"/>
        <v>54.809475241268387</v>
      </c>
      <c r="L220" s="303">
        <f>L1125</f>
        <v>374.0746685216568</v>
      </c>
      <c r="M220" s="303">
        <f>M1125</f>
        <v>883.75140438241431</v>
      </c>
      <c r="N220" s="303">
        <f>N1125</f>
        <v>999.31889572472994</v>
      </c>
      <c r="O220" s="303">
        <f>O1125</f>
        <v>1124.2337576903212</v>
      </c>
      <c r="P220" s="303">
        <f>P1125</f>
        <v>1180.4454455748373</v>
      </c>
      <c r="T220" s="352"/>
    </row>
    <row r="221" spans="2:28" ht="12.6" customHeight="1" x14ac:dyDescent="0.2">
      <c r="B221" s="189" t="s">
        <v>789</v>
      </c>
      <c r="C221" s="61"/>
      <c r="D221" s="288">
        <v>0</v>
      </c>
      <c r="E221" s="288">
        <v>0</v>
      </c>
      <c r="F221" s="288">
        <v>0</v>
      </c>
      <c r="G221" s="288">
        <v>0</v>
      </c>
      <c r="H221" s="288">
        <v>0</v>
      </c>
      <c r="I221" s="288">
        <v>0</v>
      </c>
      <c r="J221" s="288">
        <f t="shared" ref="J221:P221" si="314">J1174</f>
        <v>0</v>
      </c>
      <c r="K221" s="288">
        <f t="shared" si="314"/>
        <v>0</v>
      </c>
      <c r="L221" s="303">
        <f t="shared" si="314"/>
        <v>0</v>
      </c>
      <c r="M221" s="303">
        <f t="shared" si="314"/>
        <v>0</v>
      </c>
      <c r="N221" s="303">
        <f t="shared" si="314"/>
        <v>0</v>
      </c>
      <c r="O221" s="303">
        <f t="shared" si="314"/>
        <v>900</v>
      </c>
      <c r="P221" s="303">
        <f t="shared" si="314"/>
        <v>5400</v>
      </c>
    </row>
    <row r="222" spans="2:28" ht="12.6" customHeight="1" x14ac:dyDescent="0.2">
      <c r="B222" s="189" t="s">
        <v>558</v>
      </c>
      <c r="C222" s="61"/>
      <c r="D222" s="288">
        <v>0</v>
      </c>
      <c r="E222" s="288">
        <v>0</v>
      </c>
      <c r="F222" s="288">
        <v>0</v>
      </c>
      <c r="G222" s="288">
        <v>0</v>
      </c>
      <c r="H222" s="288">
        <v>0</v>
      </c>
      <c r="I222" s="288">
        <v>0</v>
      </c>
      <c r="J222" s="288">
        <f t="shared" ref="J222:P222" si="315">J1223</f>
        <v>0</v>
      </c>
      <c r="K222" s="288">
        <f t="shared" si="315"/>
        <v>0</v>
      </c>
      <c r="L222" s="303">
        <f t="shared" si="315"/>
        <v>0</v>
      </c>
      <c r="M222" s="303">
        <f t="shared" si="315"/>
        <v>0</v>
      </c>
      <c r="N222" s="303">
        <f t="shared" si="315"/>
        <v>4522.5</v>
      </c>
      <c r="O222" s="303">
        <f t="shared" si="315"/>
        <v>7499.25</v>
      </c>
      <c r="P222" s="303">
        <f t="shared" si="315"/>
        <v>9639.9449999999997</v>
      </c>
    </row>
    <row r="223" spans="2:28" ht="12.6" customHeight="1" x14ac:dyDescent="0.2">
      <c r="B223" s="189" t="s">
        <v>760</v>
      </c>
      <c r="C223" s="61"/>
      <c r="D223" s="288">
        <v>0</v>
      </c>
      <c r="E223" s="288">
        <v>0</v>
      </c>
      <c r="F223" s="288">
        <v>0</v>
      </c>
      <c r="G223" s="288">
        <v>0</v>
      </c>
      <c r="H223" s="288">
        <v>0</v>
      </c>
      <c r="I223" s="288">
        <v>0</v>
      </c>
      <c r="J223" s="288">
        <v>0</v>
      </c>
      <c r="K223" s="288">
        <f t="shared" ref="K223:P223" si="316">K1272</f>
        <v>0</v>
      </c>
      <c r="L223" s="303">
        <f t="shared" si="316"/>
        <v>0</v>
      </c>
      <c r="M223" s="303">
        <f t="shared" si="316"/>
        <v>0</v>
      </c>
      <c r="N223" s="303">
        <f t="shared" si="316"/>
        <v>11200</v>
      </c>
      <c r="O223" s="303">
        <f t="shared" si="316"/>
        <v>11200</v>
      </c>
      <c r="P223" s="303">
        <f t="shared" si="316"/>
        <v>11200</v>
      </c>
    </row>
    <row r="224" spans="2:28" ht="12.6" customHeight="1" x14ac:dyDescent="0.2">
      <c r="B224" s="189" t="s">
        <v>761</v>
      </c>
      <c r="C224" s="61"/>
      <c r="D224" s="288">
        <v>0</v>
      </c>
      <c r="E224" s="288">
        <v>0</v>
      </c>
      <c r="F224" s="288">
        <v>0</v>
      </c>
      <c r="G224" s="288">
        <v>0</v>
      </c>
      <c r="H224" s="288">
        <v>0</v>
      </c>
      <c r="I224" s="288">
        <v>0</v>
      </c>
      <c r="J224" s="288">
        <v>0</v>
      </c>
      <c r="K224" s="288">
        <f t="shared" ref="K224:P224" si="317">K1321</f>
        <v>0</v>
      </c>
      <c r="L224" s="303">
        <f t="shared" si="317"/>
        <v>0</v>
      </c>
      <c r="M224" s="303">
        <f t="shared" si="317"/>
        <v>0</v>
      </c>
      <c r="N224" s="303">
        <f t="shared" si="317"/>
        <v>0</v>
      </c>
      <c r="O224" s="303">
        <f t="shared" si="317"/>
        <v>0</v>
      </c>
      <c r="P224" s="303">
        <f t="shared" si="317"/>
        <v>0</v>
      </c>
    </row>
    <row r="225" spans="2:26" ht="12.6" customHeight="1" x14ac:dyDescent="0.2">
      <c r="B225" s="189" t="s">
        <v>664</v>
      </c>
      <c r="C225" s="61"/>
      <c r="D225" s="288">
        <v>0</v>
      </c>
      <c r="E225" s="288">
        <v>0</v>
      </c>
      <c r="F225" s="288">
        <v>0</v>
      </c>
      <c r="G225" s="288">
        <v>0</v>
      </c>
      <c r="H225" s="288">
        <v>0</v>
      </c>
      <c r="I225" s="288">
        <v>0</v>
      </c>
      <c r="J225" s="288">
        <v>0</v>
      </c>
      <c r="K225" s="288">
        <f t="shared" ref="K225:P225" si="318">K1370</f>
        <v>0</v>
      </c>
      <c r="L225" s="303">
        <f t="shared" si="318"/>
        <v>0</v>
      </c>
      <c r="M225" s="303">
        <f t="shared" si="318"/>
        <v>0</v>
      </c>
      <c r="N225" s="303">
        <f t="shared" si="318"/>
        <v>0</v>
      </c>
      <c r="O225" s="303">
        <f t="shared" si="318"/>
        <v>0</v>
      </c>
      <c r="P225" s="303">
        <f t="shared" si="318"/>
        <v>4125</v>
      </c>
      <c r="S225" s="39" t="str">
        <f>F2</f>
        <v>FY20</v>
      </c>
      <c r="T225" s="39" t="str">
        <f t="shared" ref="T225:Z225" si="319">G2</f>
        <v>FY21</v>
      </c>
      <c r="U225" s="39" t="str">
        <f t="shared" si="319"/>
        <v>FY22</v>
      </c>
      <c r="V225" s="39" t="str">
        <f t="shared" si="319"/>
        <v>FY23</v>
      </c>
      <c r="W225" s="39" t="str">
        <f t="shared" si="319"/>
        <v>FY24</v>
      </c>
      <c r="X225" s="39" t="str">
        <f t="shared" si="319"/>
        <v>FY25</v>
      </c>
      <c r="Y225" s="39" t="str">
        <f t="shared" si="319"/>
        <v>FY26</v>
      </c>
      <c r="Z225" s="39" t="str">
        <f t="shared" si="319"/>
        <v>FY27E</v>
      </c>
    </row>
    <row r="226" spans="2:26" ht="12.6" customHeight="1" x14ac:dyDescent="0.2">
      <c r="B226" s="189" t="s">
        <v>1866</v>
      </c>
      <c r="C226" s="61"/>
      <c r="D226" s="288">
        <v>0</v>
      </c>
      <c r="E226" s="288">
        <v>0</v>
      </c>
      <c r="F226" s="288">
        <v>0</v>
      </c>
      <c r="G226" s="288">
        <v>0</v>
      </c>
      <c r="H226" s="288">
        <v>0</v>
      </c>
      <c r="I226" s="288">
        <v>0</v>
      </c>
      <c r="J226" s="288">
        <v>0</v>
      </c>
      <c r="K226" s="288">
        <f t="shared" ref="K226:P226" si="320">K1419</f>
        <v>0</v>
      </c>
      <c r="L226" s="303">
        <f t="shared" si="320"/>
        <v>0</v>
      </c>
      <c r="M226" s="303">
        <f t="shared" si="320"/>
        <v>0</v>
      </c>
      <c r="N226" s="303">
        <f t="shared" si="320"/>
        <v>0</v>
      </c>
      <c r="O226" s="303">
        <f t="shared" si="320"/>
        <v>0</v>
      </c>
      <c r="P226" s="303">
        <f t="shared" si="320"/>
        <v>4957.6860000000006</v>
      </c>
      <c r="R226" s="37" t="s">
        <v>3</v>
      </c>
      <c r="S226" s="352">
        <f t="shared" ref="S226:X228" si="321">F208/S$234</f>
        <v>0.38709848038024292</v>
      </c>
      <c r="T226" s="352">
        <f t="shared" si="321"/>
        <v>0.3460675787041228</v>
      </c>
      <c r="U226" s="352">
        <f t="shared" si="321"/>
        <v>0.35106421039677554</v>
      </c>
      <c r="V226" s="352">
        <f t="shared" si="321"/>
        <v>0.34151982523823665</v>
      </c>
      <c r="W226" s="352">
        <f t="shared" si="321"/>
        <v>0.3041518495351993</v>
      </c>
      <c r="X226" s="352">
        <f t="shared" si="321"/>
        <v>0.29798687651302619</v>
      </c>
      <c r="Y226" s="352">
        <f t="shared" ref="Y226:Z228" ca="1" si="322">L208/Y$234</f>
        <v>0.25493700497375998</v>
      </c>
      <c r="Z226" s="352">
        <f t="shared" ca="1" si="322"/>
        <v>0.243760461902988</v>
      </c>
    </row>
    <row r="227" spans="2:26" ht="12.6" customHeight="1" x14ac:dyDescent="0.2">
      <c r="B227" s="189" t="s">
        <v>1767</v>
      </c>
      <c r="C227" s="61"/>
      <c r="D227" s="288">
        <v>0</v>
      </c>
      <c r="E227" s="288">
        <v>0</v>
      </c>
      <c r="F227" s="288">
        <v>0</v>
      </c>
      <c r="G227" s="288">
        <v>0</v>
      </c>
      <c r="H227" s="288">
        <v>0</v>
      </c>
      <c r="I227" s="288">
        <v>0</v>
      </c>
      <c r="J227" s="288">
        <v>0</v>
      </c>
      <c r="K227" s="288">
        <v>0</v>
      </c>
      <c r="L227" s="303">
        <f>L1467</f>
        <v>0</v>
      </c>
      <c r="M227" s="303">
        <f t="shared" ref="M227:P227" si="323">M1467</f>
        <v>0</v>
      </c>
      <c r="N227" s="303">
        <f t="shared" si="323"/>
        <v>540.51864267515623</v>
      </c>
      <c r="O227" s="303">
        <f t="shared" si="323"/>
        <v>972.93355681528135</v>
      </c>
      <c r="P227" s="303">
        <f t="shared" si="323"/>
        <v>1146.4400411140064</v>
      </c>
      <c r="R227" s="37" t="s">
        <v>790</v>
      </c>
      <c r="S227" s="352">
        <f t="shared" si="321"/>
        <v>0.10411109803866932</v>
      </c>
      <c r="T227" s="352">
        <f t="shared" si="321"/>
        <v>8.6730708075577659E-2</v>
      </c>
      <c r="U227" s="352">
        <f t="shared" si="321"/>
        <v>0.11152092725589696</v>
      </c>
      <c r="V227" s="352">
        <f t="shared" si="321"/>
        <v>0.12463185623437011</v>
      </c>
      <c r="W227" s="352">
        <f t="shared" si="321"/>
        <v>0.10506124908813524</v>
      </c>
      <c r="X227" s="352">
        <f t="shared" si="321"/>
        <v>0.1029388344115813</v>
      </c>
      <c r="Y227" s="352">
        <f t="shared" ca="1" si="322"/>
        <v>8.904165983507778E-2</v>
      </c>
      <c r="Z227" s="352">
        <f t="shared" ca="1" si="322"/>
        <v>8.631804961868858E-2</v>
      </c>
    </row>
    <row r="228" spans="2:26" ht="12.6" customHeight="1" x14ac:dyDescent="0.2">
      <c r="B228" s="189" t="s">
        <v>2045</v>
      </c>
      <c r="C228" s="61"/>
      <c r="D228" s="288">
        <v>0</v>
      </c>
      <c r="E228" s="288">
        <v>0</v>
      </c>
      <c r="F228" s="288">
        <v>0</v>
      </c>
      <c r="G228" s="288">
        <v>0</v>
      </c>
      <c r="H228" s="288">
        <v>0</v>
      </c>
      <c r="I228" s="288">
        <v>0</v>
      </c>
      <c r="J228" s="288">
        <v>0</v>
      </c>
      <c r="K228" s="288">
        <v>0</v>
      </c>
      <c r="L228" s="303">
        <f>L1516</f>
        <v>0</v>
      </c>
      <c r="M228" s="303">
        <f>M1516</f>
        <v>0</v>
      </c>
      <c r="N228" s="303">
        <f>N1516</f>
        <v>0</v>
      </c>
      <c r="O228" s="303">
        <f t="shared" ref="O228:P228" si="324">O1516</f>
        <v>772.1694895359376</v>
      </c>
      <c r="P228" s="303">
        <f t="shared" si="324"/>
        <v>1559.782368862594</v>
      </c>
      <c r="R228" s="37" t="s">
        <v>1746</v>
      </c>
      <c r="S228" s="352">
        <f t="shared" si="321"/>
        <v>0.1288714208385387</v>
      </c>
      <c r="T228" s="352">
        <f t="shared" si="321"/>
        <v>0.12751402269980372</v>
      </c>
      <c r="U228" s="352">
        <f t="shared" si="321"/>
        <v>9.8625750879359736E-2</v>
      </c>
      <c r="V228" s="352">
        <f t="shared" si="321"/>
        <v>7.9205377979845337E-2</v>
      </c>
      <c r="W228" s="352">
        <f t="shared" si="321"/>
        <v>6.9947408430273944E-2</v>
      </c>
      <c r="X228" s="352">
        <f t="shared" si="321"/>
        <v>7.2198594898596494E-2</v>
      </c>
      <c r="Y228" s="352">
        <f t="shared" ca="1" si="322"/>
        <v>7.8061118818661374E-2</v>
      </c>
      <c r="Z228" s="352">
        <f t="shared" ca="1" si="322"/>
        <v>7.9410028297506402E-2</v>
      </c>
    </row>
    <row r="229" spans="2:26" ht="12.6" customHeight="1" x14ac:dyDescent="0.2">
      <c r="B229" s="189" t="s">
        <v>472</v>
      </c>
      <c r="C229" s="61"/>
      <c r="D229" s="288">
        <v>0</v>
      </c>
      <c r="E229" s="288">
        <v>0</v>
      </c>
      <c r="F229" s="288">
        <v>0</v>
      </c>
      <c r="G229" s="288">
        <v>0</v>
      </c>
      <c r="H229" s="288">
        <v>0</v>
      </c>
      <c r="I229" s="288">
        <v>0</v>
      </c>
      <c r="J229" s="288">
        <v>0</v>
      </c>
      <c r="K229" s="288">
        <v>0</v>
      </c>
      <c r="L229" s="303">
        <v>0</v>
      </c>
      <c r="M229" s="303">
        <v>0</v>
      </c>
      <c r="N229" s="303">
        <v>0</v>
      </c>
      <c r="O229" s="303">
        <v>0</v>
      </c>
      <c r="P229" s="303">
        <v>0</v>
      </c>
      <c r="R229" s="37" t="s">
        <v>8</v>
      </c>
      <c r="S229" s="352">
        <f t="shared" ref="S229:X229" si="325">F213/S$234</f>
        <v>0.13534492411705545</v>
      </c>
      <c r="T229" s="352">
        <f t="shared" si="325"/>
        <v>9.3236833819039661E-2</v>
      </c>
      <c r="U229" s="352">
        <f t="shared" si="325"/>
        <v>0.10028273228429106</v>
      </c>
      <c r="V229" s="352">
        <f t="shared" si="325"/>
        <v>9.0776303626662905E-2</v>
      </c>
      <c r="W229" s="352">
        <f t="shared" si="325"/>
        <v>8.4503516351964764E-2</v>
      </c>
      <c r="X229" s="352">
        <f t="shared" si="325"/>
        <v>9.5933225801639252E-2</v>
      </c>
      <c r="Y229" s="352">
        <f ca="1">L213/Y$234</f>
        <v>8.2785596505854153E-2</v>
      </c>
      <c r="Z229" s="352">
        <f ca="1">M213/Z$234</f>
        <v>7.892573120958471E-2</v>
      </c>
    </row>
    <row r="230" spans="2:26" ht="12.6" customHeight="1" x14ac:dyDescent="0.2">
      <c r="B230" s="189"/>
      <c r="C230" s="61"/>
      <c r="D230" s="288"/>
      <c r="E230" s="288"/>
      <c r="F230" s="288"/>
      <c r="G230" s="288"/>
      <c r="H230" s="288"/>
      <c r="I230" s="288"/>
      <c r="J230" s="288"/>
      <c r="K230" s="288"/>
      <c r="L230" s="303"/>
      <c r="M230" s="303"/>
      <c r="N230" s="303"/>
      <c r="O230" s="303"/>
      <c r="P230" s="303"/>
      <c r="R230" s="37" t="s">
        <v>10</v>
      </c>
      <c r="S230" s="352">
        <f t="shared" ref="S230:X230" si="326">F211/S$234</f>
        <v>3.6227649349637424E-2</v>
      </c>
      <c r="T230" s="352">
        <f t="shared" si="326"/>
        <v>0.13409924583558228</v>
      </c>
      <c r="U230" s="352">
        <f t="shared" si="326"/>
        <v>9.7659534766082329E-2</v>
      </c>
      <c r="V230" s="352">
        <f t="shared" si="326"/>
        <v>8.5581212679237822E-2</v>
      </c>
      <c r="W230" s="352">
        <f t="shared" si="326"/>
        <v>9.2781239939331198E-2</v>
      </c>
      <c r="X230" s="352">
        <f t="shared" si="326"/>
        <v>8.978165393138092E-2</v>
      </c>
      <c r="Y230" s="352">
        <f ca="1">L211/Y$234</f>
        <v>5.1183610316221241E-2</v>
      </c>
      <c r="Z230" s="352">
        <f ca="1">M211/Z$234</f>
        <v>6.0624461782511109E-2</v>
      </c>
    </row>
    <row r="231" spans="2:26" ht="12.6" customHeight="1" x14ac:dyDescent="0.2">
      <c r="B231" s="364" t="s">
        <v>551</v>
      </c>
      <c r="C231" s="61"/>
      <c r="D231" s="307">
        <f>Consol!G16</f>
        <v>9980.9359999999979</v>
      </c>
      <c r="E231" s="307">
        <f>[3]Consol!H16</f>
        <v>10802.602000000001</v>
      </c>
      <c r="F231" s="307">
        <f>Consol!I16</f>
        <v>11431.453</v>
      </c>
      <c r="G231" s="307">
        <f>Consol!J16</f>
        <v>16035.705</v>
      </c>
      <c r="H231" s="307">
        <f>Consol!K16</f>
        <v>22730.587999999996</v>
      </c>
      <c r="I231" s="307">
        <f t="shared" ref="I231:K231" si="327">SUM(I207:I229)</f>
        <v>35249.815999999999</v>
      </c>
      <c r="J231" s="307">
        <f t="shared" si="327"/>
        <v>42694.104999999996</v>
      </c>
      <c r="K231" s="307">
        <f t="shared" si="327"/>
        <v>40919.785269358908</v>
      </c>
      <c r="L231" s="308">
        <f ca="1">SUM(L207:L229)</f>
        <v>50233.594183543428</v>
      </c>
      <c r="M231" s="308">
        <f ca="1">SUM(M207:M229)</f>
        <v>55434.061625825299</v>
      </c>
      <c r="N231" s="308">
        <f ca="1">SUM(N207:N229)</f>
        <v>79298.650302616486</v>
      </c>
      <c r="O231" s="308">
        <f ca="1">SUM(O207:O229)</f>
        <v>89701.206357274248</v>
      </c>
      <c r="P231" s="308">
        <f ca="1">SUM(P207:P229)</f>
        <v>110991.54632718116</v>
      </c>
      <c r="R231" s="37" t="s">
        <v>111</v>
      </c>
      <c r="S231" s="352">
        <f>S232-SUM(S226:S230)</f>
        <v>0.20834642727585617</v>
      </c>
      <c r="T231" s="352">
        <f t="shared" ref="T231:X231" si="328">T232-SUM(T226:T230)</f>
        <v>0.21235161086587384</v>
      </c>
      <c r="U231" s="352">
        <f t="shared" si="328"/>
        <v>0.2408468444175943</v>
      </c>
      <c r="V231" s="352">
        <f t="shared" si="328"/>
        <v>0.27828542424164715</v>
      </c>
      <c r="W231" s="352">
        <f t="shared" si="328"/>
        <v>0.34355473665509562</v>
      </c>
      <c r="X231" s="352">
        <f t="shared" si="328"/>
        <v>0.34116081444377588</v>
      </c>
      <c r="Y231" s="352">
        <f ca="1">Y232-SUM(Y226:Y230)</f>
        <v>0.44399100955042548</v>
      </c>
      <c r="Z231" s="352">
        <f ca="1">Z232-SUM(Z226:Z230)</f>
        <v>0.4509612671887212</v>
      </c>
    </row>
    <row r="232" spans="2:26" ht="12.6" customHeight="1" x14ac:dyDescent="0.2">
      <c r="B232" s="189" t="s">
        <v>793</v>
      </c>
      <c r="C232" s="61"/>
      <c r="D232" s="288"/>
      <c r="E232" s="288"/>
      <c r="F232" s="288"/>
      <c r="G232" s="288"/>
      <c r="H232" s="288"/>
      <c r="I232" s="288">
        <f>-(633.473+848.72+822.577+171.371+740.835)</f>
        <v>-3216.9760000000001</v>
      </c>
      <c r="J232" s="288">
        <f>J233-J231</f>
        <v>-5065.2050000000017</v>
      </c>
      <c r="K232" s="288">
        <f>K233-K231</f>
        <v>1344.3147306410901</v>
      </c>
      <c r="L232" s="303">
        <f t="shared" ref="L232:P232" si="329">K232</f>
        <v>1344.3147306410901</v>
      </c>
      <c r="M232" s="303">
        <f t="shared" si="329"/>
        <v>1344.3147306410901</v>
      </c>
      <c r="N232" s="303">
        <f t="shared" si="329"/>
        <v>1344.3147306410901</v>
      </c>
      <c r="O232" s="303">
        <f t="shared" si="329"/>
        <v>1344.3147306410901</v>
      </c>
      <c r="P232" s="303">
        <f t="shared" si="329"/>
        <v>1344.3147306410901</v>
      </c>
      <c r="R232" s="38" t="s">
        <v>551</v>
      </c>
      <c r="S232" s="1001">
        <f>S234/S234</f>
        <v>1</v>
      </c>
      <c r="T232" s="1001">
        <f t="shared" ref="T232:X232" si="330">T234/T234</f>
        <v>1</v>
      </c>
      <c r="U232" s="1001">
        <f t="shared" si="330"/>
        <v>1</v>
      </c>
      <c r="V232" s="1001">
        <f t="shared" si="330"/>
        <v>1</v>
      </c>
      <c r="W232" s="1001">
        <f t="shared" si="330"/>
        <v>1</v>
      </c>
      <c r="X232" s="1001">
        <f t="shared" si="330"/>
        <v>1</v>
      </c>
      <c r="Y232" s="1001">
        <f ca="1">Y234/Y234</f>
        <v>1</v>
      </c>
      <c r="Z232" s="1001">
        <f ca="1">Z234/Z234</f>
        <v>1</v>
      </c>
    </row>
    <row r="233" spans="2:26" ht="12.6" customHeight="1" x14ac:dyDescent="0.2">
      <c r="B233" s="364" t="s">
        <v>1762</v>
      </c>
      <c r="C233" s="61"/>
      <c r="D233" s="307">
        <f t="shared" ref="D233:I233" si="331">SUM(D231:D232)</f>
        <v>9980.9359999999979</v>
      </c>
      <c r="E233" s="307">
        <f t="shared" si="331"/>
        <v>10802.602000000001</v>
      </c>
      <c r="F233" s="307">
        <f t="shared" si="331"/>
        <v>11431.453</v>
      </c>
      <c r="G233" s="307">
        <f t="shared" si="331"/>
        <v>16035.705</v>
      </c>
      <c r="H233" s="307">
        <f t="shared" si="331"/>
        <v>22730.587999999996</v>
      </c>
      <c r="I233" s="307">
        <f t="shared" si="331"/>
        <v>32032.84</v>
      </c>
      <c r="J233" s="307">
        <f>Consol!M16-Consol!M15</f>
        <v>37628.899999999994</v>
      </c>
      <c r="K233" s="307">
        <f>Consol!N16-Consol!N15</f>
        <v>42264.1</v>
      </c>
      <c r="L233" s="308">
        <f ca="1">SUM(L231:L232)</f>
        <v>51577.908914184518</v>
      </c>
      <c r="M233" s="308">
        <f ca="1">SUM(M231:M232)</f>
        <v>56778.37635646639</v>
      </c>
      <c r="N233" s="308">
        <f ca="1">SUM(N231:N232)</f>
        <v>80642.965033257584</v>
      </c>
      <c r="O233" s="308">
        <f ca="1">SUM(O231:O232)</f>
        <v>91045.521087915346</v>
      </c>
      <c r="P233" s="308">
        <f ca="1">SUM(P231:P232)</f>
        <v>112335.86105782224</v>
      </c>
      <c r="S233" s="352"/>
      <c r="T233" s="352"/>
      <c r="U233" s="352"/>
      <c r="V233" s="352"/>
      <c r="W233" s="352"/>
      <c r="X233" s="352"/>
      <c r="Y233" s="352"/>
      <c r="Z233" s="352"/>
    </row>
    <row r="234" spans="2:26" ht="12.6" customHeight="1" x14ac:dyDescent="0.2">
      <c r="B234" s="59"/>
      <c r="C234" s="61"/>
      <c r="D234" s="307"/>
      <c r="E234" s="307"/>
      <c r="F234" s="307"/>
      <c r="G234" s="307"/>
      <c r="H234" s="307"/>
      <c r="I234" s="307"/>
      <c r="J234" s="307"/>
      <c r="K234" s="307"/>
      <c r="L234" s="308"/>
      <c r="M234" s="308"/>
      <c r="N234" s="308"/>
      <c r="O234" s="308"/>
      <c r="P234" s="308"/>
      <c r="S234" s="37">
        <f t="shared" ref="S234:X234" si="332">SUM(F207:F229)</f>
        <v>15503.351999999999</v>
      </c>
      <c r="T234" s="37">
        <f t="shared" si="332"/>
        <v>19166.245000000003</v>
      </c>
      <c r="U234" s="37">
        <f t="shared" si="332"/>
        <v>26189.793000000005</v>
      </c>
      <c r="V234" s="37">
        <f t="shared" si="332"/>
        <v>35249.815999999999</v>
      </c>
      <c r="W234" s="37">
        <f t="shared" si="332"/>
        <v>42694.104999999996</v>
      </c>
      <c r="X234" s="37">
        <f t="shared" si="332"/>
        <v>40919.785269358908</v>
      </c>
      <c r="Y234" s="37">
        <f ca="1">SUM(L207:L229)</f>
        <v>50233.594183543428</v>
      </c>
      <c r="Z234" s="37">
        <f ca="1">SUM(M207:M229)</f>
        <v>55434.061625825299</v>
      </c>
    </row>
    <row r="235" spans="2:26" ht="12.6" customHeight="1" x14ac:dyDescent="0.2">
      <c r="B235" s="116" t="s">
        <v>787</v>
      </c>
      <c r="C235" s="61"/>
      <c r="D235" s="307"/>
      <c r="E235" s="307"/>
      <c r="F235" s="307"/>
      <c r="G235" s="307"/>
      <c r="H235" s="307"/>
      <c r="I235" s="307"/>
      <c r="J235" s="307"/>
      <c r="K235" s="307"/>
      <c r="L235" s="308"/>
      <c r="M235" s="308"/>
      <c r="N235" s="308"/>
      <c r="O235" s="308"/>
      <c r="P235" s="308"/>
      <c r="S235" s="352"/>
      <c r="T235" s="352"/>
      <c r="U235" s="352"/>
      <c r="V235" s="352"/>
      <c r="W235" s="352"/>
      <c r="X235" s="352"/>
      <c r="Y235" s="352"/>
      <c r="Z235" s="352"/>
    </row>
    <row r="236" spans="2:26" ht="12.6" customHeight="1" x14ac:dyDescent="0.2">
      <c r="B236" s="322" t="s">
        <v>213</v>
      </c>
      <c r="C236" s="326"/>
      <c r="D236" s="113" t="str">
        <f t="shared" ref="D236:I251" si="333">IFERROR(D207/C207-1,"--")</f>
        <v>--</v>
      </c>
      <c r="E236" s="113">
        <f t="shared" si="333"/>
        <v>0.17993949416986599</v>
      </c>
      <c r="F236" s="113">
        <f t="shared" si="333"/>
        <v>5.0724172129434697E-2</v>
      </c>
      <c r="G236" s="113">
        <f t="shared" si="333"/>
        <v>0.12540868506721692</v>
      </c>
      <c r="H236" s="113">
        <f t="shared" si="333"/>
        <v>0.47703529862870342</v>
      </c>
      <c r="I236" s="113">
        <f t="shared" si="333"/>
        <v>0.12377130847125684</v>
      </c>
      <c r="J236" s="113">
        <f>IFERROR(J207/I207-1,"--")</f>
        <v>5.2641014542074149E-3</v>
      </c>
      <c r="K236" s="113" t="str">
        <f>IFERROR(K207/J207-1,"--")</f>
        <v>--</v>
      </c>
      <c r="L236" s="197" t="str">
        <f t="shared" ref="L236:P236" si="334">IFERROR(L207/K207-1,"--")</f>
        <v>--</v>
      </c>
      <c r="M236" s="197">
        <f t="shared" si="334"/>
        <v>0.18868821001448155</v>
      </c>
      <c r="N236" s="197">
        <f t="shared" si="334"/>
        <v>7.1000000000000174E-2</v>
      </c>
      <c r="O236" s="197">
        <f t="shared" si="334"/>
        <v>7.0999999999999952E-2</v>
      </c>
      <c r="P236" s="197">
        <f t="shared" si="334"/>
        <v>7.0999999999999952E-2</v>
      </c>
      <c r="S236" s="352"/>
      <c r="T236" s="352"/>
      <c r="U236" s="352"/>
      <c r="V236" s="352"/>
      <c r="W236" s="352"/>
      <c r="X236" s="352"/>
      <c r="Y236" s="352"/>
      <c r="Z236" s="352"/>
    </row>
    <row r="237" spans="2:26" ht="12.6" customHeight="1" x14ac:dyDescent="0.2">
      <c r="B237" s="322" t="s">
        <v>3</v>
      </c>
      <c r="C237" s="326"/>
      <c r="D237" s="113" t="str">
        <f t="shared" ref="D237:I237" si="335">IFERROR(D208/C208-1,"--")</f>
        <v>--</v>
      </c>
      <c r="E237" s="113">
        <f t="shared" si="333"/>
        <v>0.11899765285655617</v>
      </c>
      <c r="F237" s="113">
        <f t="shared" si="335"/>
        <v>1.606449908912988E-2</v>
      </c>
      <c r="G237" s="113">
        <f t="shared" si="335"/>
        <v>0.10522544691804692</v>
      </c>
      <c r="H237" s="113">
        <f t="shared" si="335"/>
        <v>0.38618333449925335</v>
      </c>
      <c r="I237" s="113">
        <f t="shared" si="335"/>
        <v>0.30934517139370787</v>
      </c>
      <c r="J237" s="113">
        <f>IFERROR(J208/I208-1,"--")</f>
        <v>7.8662552204338265E-2</v>
      </c>
      <c r="K237" s="113">
        <f>IFERROR(K208/J208-1,"--")</f>
        <v>-6.0985911121882008E-2</v>
      </c>
      <c r="L237" s="197">
        <f ca="1">IFERROR(L208/K208-1,"--")</f>
        <v>5.0259571485228527E-2</v>
      </c>
      <c r="M237" s="197">
        <f ca="1">IFERROR(M208/L208-1,"--")</f>
        <v>5.5146669148802951E-2</v>
      </c>
      <c r="N237" s="197">
        <f ca="1">IFERROR(N208/M208-1,"--")</f>
        <v>0.2482873307368989</v>
      </c>
      <c r="O237" s="197">
        <f ca="1">IFERROR(O208/N208-1,"--")</f>
        <v>0.11369478903583641</v>
      </c>
      <c r="P237" s="197">
        <f ca="1">IFERROR(P208/O208-1,"--")</f>
        <v>6.7112829977400645E-2</v>
      </c>
    </row>
    <row r="238" spans="2:26" ht="12.6" customHeight="1" x14ac:dyDescent="0.2">
      <c r="B238" s="322" t="s">
        <v>790</v>
      </c>
      <c r="C238" s="326"/>
      <c r="D238" s="113" t="str">
        <f t="shared" ref="D238:P238" si="336">IFERROR(D209/C209-1,"--")</f>
        <v>--</v>
      </c>
      <c r="E238" s="113">
        <f t="shared" si="333"/>
        <v>0.1205065521810682</v>
      </c>
      <c r="F238" s="113">
        <f t="shared" si="336"/>
        <v>-1.3039051727564144E-2</v>
      </c>
      <c r="G238" s="113">
        <f t="shared" si="336"/>
        <v>2.9881585134730937E-2</v>
      </c>
      <c r="H238" s="113">
        <f t="shared" si="336"/>
        <v>0.75702730310136168</v>
      </c>
      <c r="I238" s="113">
        <f t="shared" si="336"/>
        <v>0.50417193079764822</v>
      </c>
      <c r="J238" s="113">
        <f t="shared" si="336"/>
        <v>2.0997211631480273E-2</v>
      </c>
      <c r="K238" s="113">
        <f t="shared" si="336"/>
        <v>-6.0921021889217886E-2</v>
      </c>
      <c r="L238" s="197">
        <f t="shared" si="336"/>
        <v>6.187869517831146E-2</v>
      </c>
      <c r="M238" s="197">
        <f t="shared" si="336"/>
        <v>6.9770996450785994E-2</v>
      </c>
      <c r="N238" s="197">
        <f t="shared" si="336"/>
        <v>0.27906915446319691</v>
      </c>
      <c r="O238" s="197">
        <f t="shared" si="336"/>
        <v>0.13027313518842099</v>
      </c>
      <c r="P238" s="197">
        <f t="shared" si="336"/>
        <v>6.0141014916002877E-2</v>
      </c>
    </row>
    <row r="239" spans="2:26" ht="12.6" customHeight="1" x14ac:dyDescent="0.2">
      <c r="B239" s="322" t="s">
        <v>214</v>
      </c>
      <c r="C239" s="326"/>
      <c r="D239" s="113" t="str">
        <f t="shared" ref="D239:P239" si="337">IFERROR(D210/C210-1,"--")</f>
        <v>--</v>
      </c>
      <c r="E239" s="113" t="str">
        <f t="shared" si="333"/>
        <v>--</v>
      </c>
      <c r="F239" s="113" t="str">
        <f t="shared" si="337"/>
        <v>--</v>
      </c>
      <c r="G239" s="113">
        <f t="shared" si="337"/>
        <v>0.22324305196504968</v>
      </c>
      <c r="H239" s="113">
        <f t="shared" si="337"/>
        <v>5.6884202515175231E-2</v>
      </c>
      <c r="I239" s="113">
        <f t="shared" si="337"/>
        <v>8.0909009255947018E-2</v>
      </c>
      <c r="J239" s="113">
        <f t="shared" si="337"/>
        <v>6.961631103430399E-2</v>
      </c>
      <c r="K239" s="113">
        <f t="shared" si="337"/>
        <v>-1.0712436820699223E-2</v>
      </c>
      <c r="L239" s="197">
        <f t="shared" ca="1" si="337"/>
        <v>0.32729339345595698</v>
      </c>
      <c r="M239" s="197">
        <f t="shared" ca="1" si="337"/>
        <v>0.12259480143738011</v>
      </c>
      <c r="N239" s="197">
        <f t="shared" ca="1" si="337"/>
        <v>0.17170716702596733</v>
      </c>
      <c r="O239" s="197">
        <f t="shared" ca="1" si="337"/>
        <v>7.3226158661382046E-2</v>
      </c>
      <c r="P239" s="197">
        <f t="shared" ca="1" si="337"/>
        <v>7.4168493861759055E-2</v>
      </c>
    </row>
    <row r="240" spans="2:26" ht="12.6" customHeight="1" x14ac:dyDescent="0.2">
      <c r="B240" s="322" t="s">
        <v>10</v>
      </c>
      <c r="C240" s="326"/>
      <c r="D240" s="113" t="str">
        <f t="shared" ref="D240:P240" si="338">IFERROR(D211/C211-1,"--")</f>
        <v>--</v>
      </c>
      <c r="E240" s="113" t="str">
        <f t="shared" si="333"/>
        <v>--</v>
      </c>
      <c r="F240" s="113" t="str">
        <f t="shared" si="338"/>
        <v>--</v>
      </c>
      <c r="G240" s="113">
        <f t="shared" si="338"/>
        <v>3.5761221401228527</v>
      </c>
      <c r="H240" s="113">
        <f t="shared" si="338"/>
        <v>-4.8619181776833331E-3</v>
      </c>
      <c r="I240" s="113">
        <f t="shared" si="338"/>
        <v>0.17947454786226458</v>
      </c>
      <c r="J240" s="113">
        <f t="shared" si="338"/>
        <v>0.31308486496269761</v>
      </c>
      <c r="K240" s="113">
        <f t="shared" si="338"/>
        <v>-7.2544968560127376E-2</v>
      </c>
      <c r="L240" s="197">
        <f t="shared" ca="1" si="338"/>
        <v>-0.3001512013639972</v>
      </c>
      <c r="M240" s="197">
        <f t="shared" ca="1" si="338"/>
        <v>0.30707174694423123</v>
      </c>
      <c r="N240" s="197">
        <f t="shared" ca="1" si="338"/>
        <v>5.005263324624365E-2</v>
      </c>
      <c r="O240" s="197">
        <f t="shared" ca="1" si="338"/>
        <v>5.0515292024327252E-2</v>
      </c>
      <c r="P240" s="197">
        <f t="shared" ca="1" si="338"/>
        <v>5.0961447828514306E-2</v>
      </c>
    </row>
    <row r="241" spans="2:16" ht="12.6" customHeight="1" x14ac:dyDescent="0.2">
      <c r="B241" s="322" t="s">
        <v>568</v>
      </c>
      <c r="C241" s="326"/>
      <c r="D241" s="113" t="str">
        <f t="shared" ref="D241:P241" si="339">IFERROR(D212/C212-1,"--")</f>
        <v>--</v>
      </c>
      <c r="E241" s="113" t="str">
        <f t="shared" si="333"/>
        <v>--</v>
      </c>
      <c r="F241" s="113" t="str">
        <f t="shared" si="339"/>
        <v>--</v>
      </c>
      <c r="G241" s="113" t="str">
        <f t="shared" si="339"/>
        <v>--</v>
      </c>
      <c r="H241" s="113" t="str">
        <f t="shared" si="339"/>
        <v>--</v>
      </c>
      <c r="I241" s="113">
        <f t="shared" si="339"/>
        <v>23.917760133723355</v>
      </c>
      <c r="J241" s="113">
        <f t="shared" si="339"/>
        <v>0.5137623641163076</v>
      </c>
      <c r="K241" s="113">
        <f t="shared" si="339"/>
        <v>0.15117668743839197</v>
      </c>
      <c r="L241" s="197">
        <f t="shared" si="339"/>
        <v>5.2863604396929498E-2</v>
      </c>
      <c r="M241" s="197">
        <f t="shared" si="339"/>
        <v>6.7407100381424723E-2</v>
      </c>
      <c r="N241" s="197">
        <f t="shared" si="339"/>
        <v>0.10828462858060761</v>
      </c>
      <c r="O241" s="197">
        <f t="shared" si="339"/>
        <v>0.10867605455175133</v>
      </c>
      <c r="P241" s="197">
        <f t="shared" si="339"/>
        <v>0.10903365587337333</v>
      </c>
    </row>
    <row r="242" spans="2:16" ht="12.6" customHeight="1" x14ac:dyDescent="0.2">
      <c r="B242" s="322" t="s">
        <v>8</v>
      </c>
      <c r="C242" s="326"/>
      <c r="D242" s="113" t="str">
        <f t="shared" ref="D242:P242" si="340">IFERROR(D213/C213-1,"--")</f>
        <v>--</v>
      </c>
      <c r="E242" s="113" t="str">
        <f t="shared" si="333"/>
        <v>--</v>
      </c>
      <c r="F242" s="113" t="str">
        <f t="shared" si="340"/>
        <v>--</v>
      </c>
      <c r="G242" s="113">
        <f t="shared" si="340"/>
        <v>-0.14835819472906631</v>
      </c>
      <c r="H242" s="113">
        <f t="shared" si="340"/>
        <v>0.46971684387241219</v>
      </c>
      <c r="I242" s="113">
        <f t="shared" si="340"/>
        <v>0.218347355146848</v>
      </c>
      <c r="J242" s="113">
        <f t="shared" si="340"/>
        <v>0.12749168085484075</v>
      </c>
      <c r="K242" s="113">
        <f t="shared" si="340"/>
        <v>8.8077172749502219E-2</v>
      </c>
      <c r="L242" s="197">
        <f t="shared" ca="1" si="340"/>
        <v>5.9367489872838242E-2</v>
      </c>
      <c r="M242" s="197">
        <f t="shared" ca="1" si="340"/>
        <v>5.2073978792787079E-2</v>
      </c>
      <c r="N242" s="197">
        <f t="shared" ca="1" si="340"/>
        <v>5.2431334093916426E-2</v>
      </c>
      <c r="O242" s="197">
        <f t="shared" ca="1" si="340"/>
        <v>5.277601276624555E-2</v>
      </c>
      <c r="P242" s="197">
        <f t="shared" ca="1" si="340"/>
        <v>5.310825069208458E-2</v>
      </c>
    </row>
    <row r="243" spans="2:16" ht="12.6" customHeight="1" x14ac:dyDescent="0.2">
      <c r="B243" s="322" t="s">
        <v>9</v>
      </c>
      <c r="C243" s="326"/>
      <c r="D243" s="113" t="str">
        <f t="shared" ref="D243:P243" si="341">IFERROR(D214/C214-1,"--")</f>
        <v>--</v>
      </c>
      <c r="E243" s="113" t="str">
        <f t="shared" si="333"/>
        <v>--</v>
      </c>
      <c r="F243" s="113" t="str">
        <f t="shared" si="341"/>
        <v>--</v>
      </c>
      <c r="G243" s="113" t="str">
        <f t="shared" si="341"/>
        <v>--</v>
      </c>
      <c r="H243" s="113" t="str">
        <f t="shared" si="341"/>
        <v>--</v>
      </c>
      <c r="I243" s="113">
        <f t="shared" si="341"/>
        <v>0.60168263493470664</v>
      </c>
      <c r="J243" s="113">
        <f t="shared" si="341"/>
        <v>-0.10257952241316004</v>
      </c>
      <c r="K243" s="113">
        <f t="shared" si="341"/>
        <v>0.69777261190312401</v>
      </c>
      <c r="L243" s="197">
        <f t="shared" si="341"/>
        <v>-0.18316014611788289</v>
      </c>
      <c r="M243" s="197">
        <f t="shared" si="341"/>
        <v>5.9485212104821494E-2</v>
      </c>
      <c r="N243" s="197">
        <f t="shared" si="341"/>
        <v>5.9984117469542575E-2</v>
      </c>
      <c r="O243" s="197">
        <f t="shared" si="341"/>
        <v>6.0461295596345943E-2</v>
      </c>
      <c r="P243" s="197">
        <f t="shared" si="341"/>
        <v>6.0917386462351342E-2</v>
      </c>
    </row>
    <row r="244" spans="2:16" ht="12.6" customHeight="1" x14ac:dyDescent="0.2">
      <c r="B244" s="322" t="s">
        <v>215</v>
      </c>
      <c r="C244" s="326"/>
      <c r="D244" s="113" t="str">
        <f t="shared" ref="D244:P244" si="342">IFERROR(D215/C215-1,"--")</f>
        <v>--</v>
      </c>
      <c r="E244" s="113" t="str">
        <f t="shared" si="333"/>
        <v>--</v>
      </c>
      <c r="F244" s="113" t="str">
        <f t="shared" si="342"/>
        <v>--</v>
      </c>
      <c r="G244" s="113">
        <f t="shared" si="342"/>
        <v>1.2567463497382634</v>
      </c>
      <c r="H244" s="113">
        <f t="shared" si="342"/>
        <v>0.30243464907527606</v>
      </c>
      <c r="I244" s="113">
        <f t="shared" si="342"/>
        <v>0.36746320340189298</v>
      </c>
      <c r="J244" s="113">
        <f t="shared" si="342"/>
        <v>0.1992716473250582</v>
      </c>
      <c r="K244" s="113">
        <f t="shared" si="342"/>
        <v>0.34014644556976803</v>
      </c>
      <c r="L244" s="197">
        <f t="shared" ca="1" si="342"/>
        <v>3.0944291978869831E-2</v>
      </c>
      <c r="M244" s="197">
        <f t="shared" ca="1" si="342"/>
        <v>9.1438894445012409E-2</v>
      </c>
      <c r="N244" s="197">
        <f t="shared" ca="1" si="342"/>
        <v>9.2365575057583138E-2</v>
      </c>
      <c r="O244" s="197">
        <f t="shared" ca="1" si="342"/>
        <v>9.3222496960889023E-2</v>
      </c>
      <c r="P244" s="197">
        <f t="shared" ca="1" si="342"/>
        <v>9.401361862301405E-2</v>
      </c>
    </row>
    <row r="245" spans="2:16" ht="12.6" customHeight="1" x14ac:dyDescent="0.2">
      <c r="B245" s="322" t="s">
        <v>216</v>
      </c>
      <c r="C245" s="326"/>
      <c r="D245" s="113" t="str">
        <f t="shared" ref="D245:P245" si="343">IFERROR(D216/C216-1,"--")</f>
        <v>--</v>
      </c>
      <c r="E245" s="113" t="str">
        <f t="shared" si="333"/>
        <v>--</v>
      </c>
      <c r="F245" s="113" t="str">
        <f t="shared" si="343"/>
        <v>--</v>
      </c>
      <c r="G245" s="113" t="str">
        <f t="shared" si="343"/>
        <v>--</v>
      </c>
      <c r="H245" s="113" t="str">
        <f t="shared" si="343"/>
        <v>--</v>
      </c>
      <c r="I245" s="113" t="str">
        <f t="shared" si="343"/>
        <v>--</v>
      </c>
      <c r="J245" s="113" t="str">
        <f t="shared" si="343"/>
        <v>--</v>
      </c>
      <c r="K245" s="113">
        <f t="shared" si="343"/>
        <v>-9.0090571330179059E-2</v>
      </c>
      <c r="L245" s="197">
        <f t="shared" si="343"/>
        <v>6.210734493974468E-2</v>
      </c>
      <c r="M245" s="197">
        <f t="shared" si="343"/>
        <v>0.20102517553403754</v>
      </c>
      <c r="N245" s="197">
        <f t="shared" si="343"/>
        <v>0.11126736755044786</v>
      </c>
      <c r="O245" s="197">
        <f t="shared" si="343"/>
        <v>8.5444619429057456E-2</v>
      </c>
      <c r="P245" s="197">
        <f t="shared" si="343"/>
        <v>8.728118748606617E-2</v>
      </c>
    </row>
    <row r="246" spans="2:16" ht="12.6" customHeight="1" x14ac:dyDescent="0.2">
      <c r="B246" s="322" t="s">
        <v>2</v>
      </c>
      <c r="C246" s="326"/>
      <c r="D246" s="113" t="str">
        <f t="shared" ref="D246:P246" si="344">IFERROR(D217/C217-1,"--")</f>
        <v>--</v>
      </c>
      <c r="E246" s="113" t="str">
        <f t="shared" si="333"/>
        <v>--</v>
      </c>
      <c r="F246" s="113" t="str">
        <f t="shared" si="344"/>
        <v>--</v>
      </c>
      <c r="G246" s="113" t="str">
        <f t="shared" si="344"/>
        <v>--</v>
      </c>
      <c r="H246" s="113" t="str">
        <f t="shared" si="344"/>
        <v>--</v>
      </c>
      <c r="I246" s="113" t="str">
        <f t="shared" si="344"/>
        <v>--</v>
      </c>
      <c r="J246" s="113" t="str">
        <f t="shared" si="344"/>
        <v>--</v>
      </c>
      <c r="K246" s="113" t="str">
        <f t="shared" si="344"/>
        <v>--</v>
      </c>
      <c r="L246" s="197">
        <f t="shared" si="344"/>
        <v>0.1386696147670623</v>
      </c>
      <c r="M246" s="197">
        <f t="shared" si="344"/>
        <v>0.13903112875332813</v>
      </c>
      <c r="N246" s="197">
        <f t="shared" si="344"/>
        <v>2.6511242727266238E-2</v>
      </c>
      <c r="O246" s="197">
        <f t="shared" si="344"/>
        <v>5.3301122222598085E-2</v>
      </c>
      <c r="P246" s="197">
        <f t="shared" si="344"/>
        <v>5.3665413360415748E-2</v>
      </c>
    </row>
    <row r="247" spans="2:16" ht="12.6" customHeight="1" x14ac:dyDescent="0.2">
      <c r="B247" s="322" t="s">
        <v>791</v>
      </c>
      <c r="C247" s="326"/>
      <c r="D247" s="113" t="str">
        <f t="shared" ref="D247:P247" si="345">IFERROR(D218/C218-1,"--")</f>
        <v>--</v>
      </c>
      <c r="E247" s="113" t="str">
        <f t="shared" si="333"/>
        <v>--</v>
      </c>
      <c r="F247" s="113" t="str">
        <f t="shared" si="345"/>
        <v>--</v>
      </c>
      <c r="G247" s="113" t="str">
        <f t="shared" si="345"/>
        <v>--</v>
      </c>
      <c r="H247" s="113" t="str">
        <f t="shared" si="345"/>
        <v>--</v>
      </c>
      <c r="I247" s="113" t="str">
        <f t="shared" si="345"/>
        <v>--</v>
      </c>
      <c r="J247" s="113" t="str">
        <f t="shared" si="345"/>
        <v>--</v>
      </c>
      <c r="K247" s="113">
        <f t="shared" si="345"/>
        <v>1.0000000000000009E-2</v>
      </c>
      <c r="L247" s="197">
        <f t="shared" si="345"/>
        <v>1.0000000000000231E-2</v>
      </c>
      <c r="M247" s="197">
        <f t="shared" si="345"/>
        <v>-0.12466666666666659</v>
      </c>
      <c r="N247" s="197">
        <f t="shared" si="345"/>
        <v>1.0000000000000009E-2</v>
      </c>
      <c r="O247" s="197">
        <f t="shared" si="345"/>
        <v>-6.7692307692307496E-2</v>
      </c>
      <c r="P247" s="197">
        <f t="shared" si="345"/>
        <v>1.0000000000000009E-2</v>
      </c>
    </row>
    <row r="248" spans="2:16" ht="12.6" customHeight="1" x14ac:dyDescent="0.2">
      <c r="B248" s="322" t="s">
        <v>553</v>
      </c>
      <c r="C248" s="326"/>
      <c r="D248" s="113" t="str">
        <f t="shared" ref="D248:P248" si="346">IFERROR(D219/C219-1,"--")</f>
        <v>--</v>
      </c>
      <c r="E248" s="113" t="str">
        <f t="shared" si="333"/>
        <v>--</v>
      </c>
      <c r="F248" s="113" t="str">
        <f t="shared" si="346"/>
        <v>--</v>
      </c>
      <c r="G248" s="113" t="str">
        <f t="shared" si="346"/>
        <v>--</v>
      </c>
      <c r="H248" s="113" t="str">
        <f t="shared" si="346"/>
        <v>--</v>
      </c>
      <c r="I248" s="113" t="str">
        <f t="shared" si="346"/>
        <v>--</v>
      </c>
      <c r="J248" s="113" t="str">
        <f t="shared" si="346"/>
        <v>--</v>
      </c>
      <c r="K248" s="113" t="str">
        <f t="shared" si="346"/>
        <v>--</v>
      </c>
      <c r="L248" s="197">
        <f t="shared" ca="1" si="346"/>
        <v>4.8181666666666665</v>
      </c>
      <c r="M248" s="197">
        <f t="shared" ca="1" si="346"/>
        <v>0.1053739723280529</v>
      </c>
      <c r="N248" s="197">
        <f t="shared" ca="1" si="346"/>
        <v>5.0000000000000266E-2</v>
      </c>
      <c r="O248" s="197">
        <f t="shared" ca="1" si="346"/>
        <v>5.0000000000000044E-2</v>
      </c>
      <c r="P248" s="197">
        <f t="shared" ca="1" si="346"/>
        <v>5.0000000000000044E-2</v>
      </c>
    </row>
    <row r="249" spans="2:16" ht="12.6" customHeight="1" x14ac:dyDescent="0.2">
      <c r="B249" s="322" t="s">
        <v>788</v>
      </c>
      <c r="C249" s="326"/>
      <c r="D249" s="113" t="str">
        <f t="shared" ref="D249:K249" si="347">IFERROR(D220/C220-1,"--")</f>
        <v>--</v>
      </c>
      <c r="E249" s="113" t="str">
        <f t="shared" si="333"/>
        <v>--</v>
      </c>
      <c r="F249" s="113" t="str">
        <f t="shared" si="347"/>
        <v>--</v>
      </c>
      <c r="G249" s="113" t="str">
        <f t="shared" si="347"/>
        <v>--</v>
      </c>
      <c r="H249" s="113" t="str">
        <f t="shared" si="347"/>
        <v>--</v>
      </c>
      <c r="I249" s="113" t="str">
        <f t="shared" si="347"/>
        <v>--</v>
      </c>
      <c r="J249" s="113" t="str">
        <f t="shared" si="347"/>
        <v>--</v>
      </c>
      <c r="K249" s="113" t="str">
        <f t="shared" si="347"/>
        <v>--</v>
      </c>
      <c r="L249" s="197">
        <f>IFERROR(L220/K220-1,"--")</f>
        <v>5.8250000000000011</v>
      </c>
      <c r="M249" s="197">
        <f>IFERROR(M220/L220-1,"--")</f>
        <v>1.3625000000000003</v>
      </c>
      <c r="N249" s="197">
        <f>IFERROR(N220/M220-1,"--")</f>
        <v>0.13076923076923075</v>
      </c>
      <c r="O249" s="197">
        <f>IFERROR(O220/N220-1,"--")</f>
        <v>0.125</v>
      </c>
      <c r="P249" s="197">
        <f>IFERROR(P220/O220-1,"--")</f>
        <v>5.0000000000000044E-2</v>
      </c>
    </row>
    <row r="250" spans="2:16" ht="12.6" customHeight="1" x14ac:dyDescent="0.2">
      <c r="B250" s="322" t="s">
        <v>789</v>
      </c>
      <c r="C250" s="326"/>
      <c r="D250" s="113" t="str">
        <f t="shared" ref="D250:P250" si="348">IFERROR(D221/C221-1,"--")</f>
        <v>--</v>
      </c>
      <c r="E250" s="113" t="str">
        <f t="shared" si="333"/>
        <v>--</v>
      </c>
      <c r="F250" s="113" t="str">
        <f t="shared" si="348"/>
        <v>--</v>
      </c>
      <c r="G250" s="113" t="str">
        <f t="shared" si="348"/>
        <v>--</v>
      </c>
      <c r="H250" s="113" t="str">
        <f t="shared" si="348"/>
        <v>--</v>
      </c>
      <c r="I250" s="113" t="str">
        <f t="shared" si="348"/>
        <v>--</v>
      </c>
      <c r="J250" s="113" t="str">
        <f t="shared" si="348"/>
        <v>--</v>
      </c>
      <c r="K250" s="113" t="str">
        <f t="shared" si="348"/>
        <v>--</v>
      </c>
      <c r="L250" s="197" t="str">
        <f t="shared" si="348"/>
        <v>--</v>
      </c>
      <c r="M250" s="197" t="str">
        <f t="shared" si="348"/>
        <v>--</v>
      </c>
      <c r="N250" s="197" t="str">
        <f t="shared" si="348"/>
        <v>--</v>
      </c>
      <c r="O250" s="197" t="str">
        <f t="shared" si="348"/>
        <v>--</v>
      </c>
      <c r="P250" s="197">
        <f t="shared" si="348"/>
        <v>5</v>
      </c>
    </row>
    <row r="251" spans="2:16" ht="12.6" customHeight="1" x14ac:dyDescent="0.2">
      <c r="B251" s="322" t="s">
        <v>558</v>
      </c>
      <c r="C251" s="326"/>
      <c r="D251" s="113" t="str">
        <f t="shared" ref="D251:P251" si="349">IFERROR(D222/C222-1,"--")</f>
        <v>--</v>
      </c>
      <c r="E251" s="113" t="str">
        <f t="shared" si="333"/>
        <v>--</v>
      </c>
      <c r="F251" s="113" t="str">
        <f t="shared" si="349"/>
        <v>--</v>
      </c>
      <c r="G251" s="113" t="str">
        <f t="shared" si="349"/>
        <v>--</v>
      </c>
      <c r="H251" s="113" t="str">
        <f t="shared" si="349"/>
        <v>--</v>
      </c>
      <c r="I251" s="113" t="str">
        <f t="shared" si="349"/>
        <v>--</v>
      </c>
      <c r="J251" s="113" t="str">
        <f t="shared" si="349"/>
        <v>--</v>
      </c>
      <c r="K251" s="113" t="str">
        <f t="shared" si="349"/>
        <v>--</v>
      </c>
      <c r="L251" s="197" t="str">
        <f t="shared" si="349"/>
        <v>--</v>
      </c>
      <c r="M251" s="197" t="str">
        <f t="shared" si="349"/>
        <v>--</v>
      </c>
      <c r="N251" s="197" t="str">
        <f t="shared" si="349"/>
        <v>--</v>
      </c>
      <c r="O251" s="197">
        <f t="shared" si="349"/>
        <v>0.65820895522388057</v>
      </c>
      <c r="P251" s="197">
        <f t="shared" si="349"/>
        <v>0.28545454545454541</v>
      </c>
    </row>
    <row r="252" spans="2:16" ht="12.6" customHeight="1" x14ac:dyDescent="0.2">
      <c r="B252" s="322" t="s">
        <v>760</v>
      </c>
      <c r="C252" s="326"/>
      <c r="D252" s="113" t="str">
        <f t="shared" ref="D252:P258" si="350">IFERROR(D223/C223-1,"--")</f>
        <v>--</v>
      </c>
      <c r="E252" s="113" t="str">
        <f t="shared" si="350"/>
        <v>--</v>
      </c>
      <c r="F252" s="113" t="str">
        <f t="shared" si="350"/>
        <v>--</v>
      </c>
      <c r="G252" s="113" t="str">
        <f t="shared" si="350"/>
        <v>--</v>
      </c>
      <c r="H252" s="113" t="str">
        <f t="shared" si="350"/>
        <v>--</v>
      </c>
      <c r="I252" s="113" t="str">
        <f t="shared" si="350"/>
        <v>--</v>
      </c>
      <c r="J252" s="113" t="str">
        <f t="shared" si="350"/>
        <v>--</v>
      </c>
      <c r="K252" s="113" t="str">
        <f t="shared" si="350"/>
        <v>--</v>
      </c>
      <c r="L252" s="197" t="str">
        <f t="shared" si="350"/>
        <v>--</v>
      </c>
      <c r="M252" s="197" t="str">
        <f t="shared" si="350"/>
        <v>--</v>
      </c>
      <c r="N252" s="197" t="str">
        <f t="shared" si="350"/>
        <v>--</v>
      </c>
      <c r="O252" s="197">
        <f t="shared" si="350"/>
        <v>0</v>
      </c>
      <c r="P252" s="197">
        <f t="shared" si="350"/>
        <v>0</v>
      </c>
    </row>
    <row r="253" spans="2:16" ht="12.6" customHeight="1" x14ac:dyDescent="0.2">
      <c r="B253" s="322" t="s">
        <v>761</v>
      </c>
      <c r="C253" s="326"/>
      <c r="D253" s="113" t="str">
        <f t="shared" ref="D253:P253" si="351">IFERROR(D224/C224-1,"--")</f>
        <v>--</v>
      </c>
      <c r="E253" s="113" t="str">
        <f t="shared" si="350"/>
        <v>--</v>
      </c>
      <c r="F253" s="113" t="str">
        <f t="shared" si="351"/>
        <v>--</v>
      </c>
      <c r="G253" s="113" t="str">
        <f t="shared" si="351"/>
        <v>--</v>
      </c>
      <c r="H253" s="113" t="str">
        <f t="shared" si="351"/>
        <v>--</v>
      </c>
      <c r="I253" s="113" t="str">
        <f t="shared" si="351"/>
        <v>--</v>
      </c>
      <c r="J253" s="113" t="str">
        <f t="shared" si="351"/>
        <v>--</v>
      </c>
      <c r="K253" s="113" t="str">
        <f t="shared" si="351"/>
        <v>--</v>
      </c>
      <c r="L253" s="197" t="str">
        <f t="shared" si="351"/>
        <v>--</v>
      </c>
      <c r="M253" s="197" t="str">
        <f t="shared" si="351"/>
        <v>--</v>
      </c>
      <c r="N253" s="197" t="str">
        <f t="shared" si="351"/>
        <v>--</v>
      </c>
      <c r="O253" s="197" t="str">
        <f t="shared" si="351"/>
        <v>--</v>
      </c>
      <c r="P253" s="197" t="str">
        <f t="shared" si="351"/>
        <v>--</v>
      </c>
    </row>
    <row r="254" spans="2:16" ht="12.6" customHeight="1" x14ac:dyDescent="0.2">
      <c r="B254" s="322" t="s">
        <v>664</v>
      </c>
      <c r="C254" s="326"/>
      <c r="D254" s="113" t="str">
        <f t="shared" ref="D254:P254" si="352">IFERROR(D225/C225-1,"--")</f>
        <v>--</v>
      </c>
      <c r="E254" s="113" t="str">
        <f t="shared" si="350"/>
        <v>--</v>
      </c>
      <c r="F254" s="113" t="str">
        <f t="shared" si="352"/>
        <v>--</v>
      </c>
      <c r="G254" s="113" t="str">
        <f t="shared" si="352"/>
        <v>--</v>
      </c>
      <c r="H254" s="113" t="str">
        <f t="shared" si="352"/>
        <v>--</v>
      </c>
      <c r="I254" s="113" t="str">
        <f t="shared" si="352"/>
        <v>--</v>
      </c>
      <c r="J254" s="113" t="str">
        <f t="shared" si="352"/>
        <v>--</v>
      </c>
      <c r="K254" s="113" t="str">
        <f t="shared" si="352"/>
        <v>--</v>
      </c>
      <c r="L254" s="197" t="str">
        <f t="shared" si="352"/>
        <v>--</v>
      </c>
      <c r="M254" s="197" t="str">
        <f t="shared" si="352"/>
        <v>--</v>
      </c>
      <c r="N254" s="197" t="str">
        <f t="shared" si="352"/>
        <v>--</v>
      </c>
      <c r="O254" s="197" t="str">
        <f t="shared" si="352"/>
        <v>--</v>
      </c>
      <c r="P254" s="197" t="str">
        <f t="shared" si="352"/>
        <v>--</v>
      </c>
    </row>
    <row r="255" spans="2:16" ht="12.6" customHeight="1" x14ac:dyDescent="0.2">
      <c r="B255" s="322" t="s">
        <v>1866</v>
      </c>
      <c r="C255" s="326"/>
      <c r="D255" s="113" t="str">
        <f t="shared" ref="D255:P255" si="353">IFERROR(D226/C226-1,"--")</f>
        <v>--</v>
      </c>
      <c r="E255" s="113" t="str">
        <f t="shared" si="350"/>
        <v>--</v>
      </c>
      <c r="F255" s="113" t="str">
        <f t="shared" si="353"/>
        <v>--</v>
      </c>
      <c r="G255" s="113" t="str">
        <f t="shared" si="353"/>
        <v>--</v>
      </c>
      <c r="H255" s="113" t="str">
        <f t="shared" si="353"/>
        <v>--</v>
      </c>
      <c r="I255" s="113" t="str">
        <f t="shared" si="353"/>
        <v>--</v>
      </c>
      <c r="J255" s="113" t="str">
        <f t="shared" si="353"/>
        <v>--</v>
      </c>
      <c r="K255" s="113" t="str">
        <f t="shared" si="353"/>
        <v>--</v>
      </c>
      <c r="L255" s="197" t="str">
        <f t="shared" si="353"/>
        <v>--</v>
      </c>
      <c r="M255" s="197" t="str">
        <f t="shared" si="353"/>
        <v>--</v>
      </c>
      <c r="N255" s="197" t="str">
        <f t="shared" si="353"/>
        <v>--</v>
      </c>
      <c r="O255" s="197" t="str">
        <f t="shared" si="353"/>
        <v>--</v>
      </c>
      <c r="P255" s="197" t="str">
        <f t="shared" si="353"/>
        <v>--</v>
      </c>
    </row>
    <row r="256" spans="2:16" ht="12.6" customHeight="1" x14ac:dyDescent="0.2">
      <c r="B256" s="322" t="s">
        <v>1767</v>
      </c>
      <c r="C256" s="326"/>
      <c r="D256" s="113" t="str">
        <f t="shared" ref="D256:P256" si="354">IFERROR(D227/C227-1,"--")</f>
        <v>--</v>
      </c>
      <c r="E256" s="113" t="str">
        <f t="shared" si="350"/>
        <v>--</v>
      </c>
      <c r="F256" s="113" t="str">
        <f t="shared" si="354"/>
        <v>--</v>
      </c>
      <c r="G256" s="113" t="str">
        <f t="shared" si="354"/>
        <v>--</v>
      </c>
      <c r="H256" s="113" t="str">
        <f t="shared" si="354"/>
        <v>--</v>
      </c>
      <c r="I256" s="113" t="str">
        <f t="shared" si="354"/>
        <v>--</v>
      </c>
      <c r="J256" s="113" t="str">
        <f t="shared" si="354"/>
        <v>--</v>
      </c>
      <c r="K256" s="113" t="str">
        <f t="shared" si="354"/>
        <v>--</v>
      </c>
      <c r="L256" s="197" t="str">
        <f t="shared" si="354"/>
        <v>--</v>
      </c>
      <c r="M256" s="197" t="str">
        <f t="shared" si="354"/>
        <v>--</v>
      </c>
      <c r="N256" s="197" t="str">
        <f t="shared" si="354"/>
        <v>--</v>
      </c>
      <c r="O256" s="197">
        <f t="shared" si="354"/>
        <v>0.80000000000000027</v>
      </c>
      <c r="P256" s="197">
        <f t="shared" si="354"/>
        <v>0.17833333333333323</v>
      </c>
    </row>
    <row r="257" spans="2:19" ht="12.6" customHeight="1" x14ac:dyDescent="0.2">
      <c r="B257" s="322" t="s">
        <v>2045</v>
      </c>
      <c r="C257" s="326"/>
      <c r="D257" s="113" t="str">
        <f t="shared" ref="D257:P257" si="355">IFERROR(D228/C228-1,"--")</f>
        <v>--</v>
      </c>
      <c r="E257" s="113" t="str">
        <f t="shared" si="350"/>
        <v>--</v>
      </c>
      <c r="F257" s="113" t="str">
        <f t="shared" si="355"/>
        <v>--</v>
      </c>
      <c r="G257" s="113" t="str">
        <f t="shared" si="355"/>
        <v>--</v>
      </c>
      <c r="H257" s="113" t="str">
        <f t="shared" si="355"/>
        <v>--</v>
      </c>
      <c r="I257" s="113" t="str">
        <f t="shared" si="355"/>
        <v>--</v>
      </c>
      <c r="J257" s="113" t="str">
        <f t="shared" si="355"/>
        <v>--</v>
      </c>
      <c r="K257" s="113" t="str">
        <f t="shared" si="355"/>
        <v>--</v>
      </c>
      <c r="L257" s="197" t="str">
        <f t="shared" si="355"/>
        <v>--</v>
      </c>
      <c r="M257" s="197" t="str">
        <f t="shared" si="355"/>
        <v>--</v>
      </c>
      <c r="N257" s="197" t="str">
        <f t="shared" si="355"/>
        <v>--</v>
      </c>
      <c r="O257" s="197" t="str">
        <f t="shared" si="355"/>
        <v>--</v>
      </c>
      <c r="P257" s="197">
        <f t="shared" si="355"/>
        <v>1.02</v>
      </c>
    </row>
    <row r="258" spans="2:19" ht="12.6" customHeight="1" x14ac:dyDescent="0.2">
      <c r="B258" s="322" t="s">
        <v>472</v>
      </c>
      <c r="C258" s="326"/>
      <c r="D258" s="113" t="str">
        <f t="shared" ref="D258:P258" si="356">IFERROR(D229/C229-1,"--")</f>
        <v>--</v>
      </c>
      <c r="E258" s="113" t="str">
        <f t="shared" si="350"/>
        <v>--</v>
      </c>
      <c r="F258" s="113" t="str">
        <f t="shared" si="356"/>
        <v>--</v>
      </c>
      <c r="G258" s="113" t="str">
        <f t="shared" si="356"/>
        <v>--</v>
      </c>
      <c r="H258" s="113" t="str">
        <f t="shared" si="356"/>
        <v>--</v>
      </c>
      <c r="I258" s="113" t="str">
        <f t="shared" si="356"/>
        <v>--</v>
      </c>
      <c r="J258" s="113" t="str">
        <f t="shared" si="356"/>
        <v>--</v>
      </c>
      <c r="K258" s="113" t="str">
        <f t="shared" si="356"/>
        <v>--</v>
      </c>
      <c r="L258" s="197" t="str">
        <f t="shared" si="356"/>
        <v>--</v>
      </c>
      <c r="M258" s="197" t="str">
        <f t="shared" si="356"/>
        <v>--</v>
      </c>
      <c r="N258" s="197" t="str">
        <f t="shared" si="356"/>
        <v>--</v>
      </c>
      <c r="O258" s="197" t="str">
        <f t="shared" si="356"/>
        <v>--</v>
      </c>
      <c r="P258" s="197" t="str">
        <f t="shared" si="356"/>
        <v>--</v>
      </c>
    </row>
    <row r="259" spans="2:19" ht="12.6" customHeight="1" x14ac:dyDescent="0.2">
      <c r="B259" s="322"/>
      <c r="C259" s="326"/>
      <c r="D259" s="113"/>
      <c r="E259" s="113"/>
      <c r="F259" s="113"/>
      <c r="G259" s="113"/>
      <c r="H259" s="113"/>
      <c r="I259" s="113"/>
      <c r="J259" s="113"/>
      <c r="K259" s="113"/>
      <c r="L259" s="197"/>
      <c r="M259" s="197"/>
      <c r="N259" s="197"/>
      <c r="O259" s="197"/>
      <c r="P259" s="197"/>
    </row>
    <row r="260" spans="2:19" ht="12.6" customHeight="1" x14ac:dyDescent="0.2">
      <c r="B260" s="331" t="s">
        <v>551</v>
      </c>
      <c r="C260" s="326"/>
      <c r="D260" s="117" t="str">
        <f t="shared" ref="D260:I260" si="357">IFERROR(D231/C231-1,"--")</f>
        <v>--</v>
      </c>
      <c r="E260" s="117">
        <f t="shared" si="357"/>
        <v>8.2323541599705896E-2</v>
      </c>
      <c r="F260" s="117">
        <f t="shared" si="357"/>
        <v>5.8212919442926614E-2</v>
      </c>
      <c r="G260" s="117">
        <f t="shared" si="357"/>
        <v>0.40277049645395047</v>
      </c>
      <c r="H260" s="117">
        <f t="shared" si="357"/>
        <v>0.41749851347352651</v>
      </c>
      <c r="I260" s="117">
        <f t="shared" si="357"/>
        <v>0.55076569070716541</v>
      </c>
      <c r="J260" s="117">
        <f t="shared" ref="J260:K260" si="358">IFERROR(J231/I231-1,"--")</f>
        <v>0.21118660591022653</v>
      </c>
      <c r="K260" s="117">
        <f t="shared" si="358"/>
        <v>-4.1558892747396547E-2</v>
      </c>
      <c r="L260" s="204">
        <f ca="1">IFERROR(L231/K231-1,"--")</f>
        <v>0.22761138292577465</v>
      </c>
      <c r="M260" s="204">
        <f ca="1">IFERROR(M231/L231-1,"--")</f>
        <v>0.1035256888702889</v>
      </c>
      <c r="N260" s="204">
        <f ca="1">IFERROR(N231/M231-1,"--")</f>
        <v>0.43050406152583442</v>
      </c>
      <c r="O260" s="204">
        <f ca="1">IFERROR(O231/N231-1,"--")</f>
        <v>0.13118200643970512</v>
      </c>
      <c r="P260" s="204">
        <f ca="1">IFERROR(P231/O231-1,"--")</f>
        <v>0.23734730930048853</v>
      </c>
    </row>
    <row r="261" spans="2:19" ht="12.6" customHeight="1" x14ac:dyDescent="0.2">
      <c r="B261" s="195" t="s">
        <v>793</v>
      </c>
      <c r="C261" s="326"/>
      <c r="D261" s="117"/>
      <c r="E261" s="117"/>
      <c r="F261" s="117"/>
      <c r="G261" s="117"/>
      <c r="H261" s="117"/>
      <c r="I261" s="117"/>
      <c r="J261" s="117"/>
      <c r="K261" s="117"/>
      <c r="L261" s="204"/>
      <c r="M261" s="204"/>
      <c r="N261" s="204"/>
      <c r="O261" s="204"/>
      <c r="P261" s="204"/>
    </row>
    <row r="262" spans="2:19" ht="12.6" customHeight="1" x14ac:dyDescent="0.2">
      <c r="B262" s="368" t="s">
        <v>551</v>
      </c>
      <c r="C262" s="326"/>
      <c r="D262" s="117" t="str">
        <f t="shared" ref="D262:K262" si="359">IFERROR(D233/C233-1,"--")</f>
        <v>--</v>
      </c>
      <c r="E262" s="117">
        <f t="shared" si="359"/>
        <v>8.2323541599705896E-2</v>
      </c>
      <c r="F262" s="117">
        <f t="shared" si="359"/>
        <v>5.8212919442926614E-2</v>
      </c>
      <c r="G262" s="117">
        <f t="shared" si="359"/>
        <v>0.40277049645395047</v>
      </c>
      <c r="H262" s="117">
        <f t="shared" si="359"/>
        <v>0.41749851347352651</v>
      </c>
      <c r="I262" s="117">
        <f t="shared" si="359"/>
        <v>0.40923939143149335</v>
      </c>
      <c r="J262" s="117">
        <f t="shared" si="359"/>
        <v>0.17469759159662379</v>
      </c>
      <c r="K262" s="117">
        <f t="shared" si="359"/>
        <v>0.12318191602730888</v>
      </c>
      <c r="L262" s="204">
        <f ca="1">IFERROR(L233/K233-1,"--")</f>
        <v>0.22037163725678588</v>
      </c>
      <c r="M262" s="204">
        <f ca="1">IFERROR(M233/L233-1,"--")</f>
        <v>0.10082741917541527</v>
      </c>
      <c r="N262" s="204">
        <f ca="1">IFERROR(N233/M233-1,"--")</f>
        <v>0.4203112207183306</v>
      </c>
      <c r="O262" s="204">
        <f ca="1">IFERROR(O233/N233-1,"--")</f>
        <v>0.12899520808005627</v>
      </c>
      <c r="P262" s="204">
        <f ca="1">IFERROR(P233/O233-1,"--")</f>
        <v>0.23384280429729798</v>
      </c>
    </row>
    <row r="263" spans="2:19" ht="12.6" customHeight="1" x14ac:dyDescent="0.2">
      <c r="D263" s="347"/>
      <c r="E263" s="347"/>
      <c r="F263" s="347"/>
      <c r="G263" s="347"/>
      <c r="H263" s="347"/>
      <c r="I263" s="347"/>
      <c r="J263" s="347"/>
    </row>
    <row r="264" spans="2:19" ht="12.6" customHeight="1" x14ac:dyDescent="0.2">
      <c r="B264" s="50" t="s">
        <v>677</v>
      </c>
      <c r="C264" s="50"/>
      <c r="D264" s="348"/>
      <c r="E264" s="348"/>
      <c r="F264" s="348"/>
      <c r="G264" s="317"/>
      <c r="H264" s="317"/>
      <c r="I264" s="317"/>
      <c r="J264" s="317"/>
      <c r="K264" s="317"/>
      <c r="L264" s="54"/>
      <c r="M264" s="54"/>
      <c r="N264" s="54"/>
      <c r="O264" s="54"/>
      <c r="P264" s="54"/>
    </row>
    <row r="265" spans="2:19" ht="12.6" customHeight="1" x14ac:dyDescent="0.2">
      <c r="B265" s="56" t="s">
        <v>213</v>
      </c>
      <c r="C265" s="61"/>
      <c r="D265" s="288">
        <f>Standalone!C23</f>
        <v>1677.1719999999998</v>
      </c>
      <c r="E265" s="288">
        <f>[3]Standalone!D23</f>
        <v>1446.4569999999999</v>
      </c>
      <c r="F265" s="288">
        <f>Standalone!E23</f>
        <v>1562.922</v>
      </c>
      <c r="G265" s="288">
        <f>Standalone!F23</f>
        <v>1563.6609999999998</v>
      </c>
      <c r="H265" s="311">
        <f>Standalone!G23</f>
        <v>2029.9100000000003</v>
      </c>
      <c r="I265" s="288">
        <f>Standalone!H23</f>
        <v>2178.4230000000002</v>
      </c>
      <c r="J265" s="288">
        <f>Standalone!I23</f>
        <v>2044.7000000000003</v>
      </c>
      <c r="K265" s="288">
        <f>Standalone!J23</f>
        <v>1820.6</v>
      </c>
      <c r="L265" s="303">
        <f>Standalone!K23</f>
        <v>2204.5</v>
      </c>
      <c r="M265" s="303">
        <f>Standalone!L23</f>
        <v>2620.4631589769247</v>
      </c>
      <c r="N265" s="303">
        <f>Standalone!M23</f>
        <v>2806.5160432642865</v>
      </c>
      <c r="O265" s="303">
        <f>Standalone!N23</f>
        <v>3005.7786823360511</v>
      </c>
      <c r="P265" s="303">
        <f>Standalone!O23</f>
        <v>3219.1889687819107</v>
      </c>
      <c r="Q265" s="37">
        <f>N265-M265</f>
        <v>186.05288428736185</v>
      </c>
      <c r="R265" s="37">
        <f>M265-L265</f>
        <v>415.96315897692466</v>
      </c>
      <c r="S265" s="37">
        <f>P265-O265</f>
        <v>213.41028644585958</v>
      </c>
    </row>
    <row r="266" spans="2:19" ht="12.6" customHeight="1" x14ac:dyDescent="0.2">
      <c r="B266" s="56" t="s">
        <v>3</v>
      </c>
      <c r="C266" s="61"/>
      <c r="D266" s="288">
        <f>Jaigarh!C23</f>
        <v>3065.9610000000002</v>
      </c>
      <c r="E266" s="288">
        <f>[3]Jaigarh!D23</f>
        <v>3109.0959999999995</v>
      </c>
      <c r="F266" s="288">
        <f>Jaigarh!E23</f>
        <v>2966.6709999999994</v>
      </c>
      <c r="G266" s="288">
        <f>Jaigarh!F23</f>
        <v>3321.3270000000011</v>
      </c>
      <c r="H266" s="311">
        <f>Jaigarh!G23</f>
        <v>4925.4480000000012</v>
      </c>
      <c r="I266" s="288">
        <f>Jaigarh!H23</f>
        <v>7038.1033999999991</v>
      </c>
      <c r="J266" s="288">
        <f>Jaigarh!I23</f>
        <v>8109.3419999999996</v>
      </c>
      <c r="K266" s="288">
        <f>Jaigarh!J23</f>
        <v>7615.3640000000014</v>
      </c>
      <c r="L266" s="303">
        <f ca="1">Jaigarh!K23</f>
        <v>8190.2049620973357</v>
      </c>
      <c r="M266" s="303">
        <f ca="1">Jaigarh!L23</f>
        <v>8641.8674854030014</v>
      </c>
      <c r="N266" s="303">
        <f ca="1">Jaigarh!M23</f>
        <v>10618.857216800234</v>
      </c>
      <c r="O266" s="303">
        <f ca="1">Jaigarh!N23</f>
        <v>11826.165947866006</v>
      </c>
      <c r="P266" s="303">
        <f ca="1">Jaigarh!O23</f>
        <v>12619.853412409664</v>
      </c>
      <c r="Q266" s="362">
        <f t="shared" ref="Q266:Q289" ca="1" si="360">N266-M266</f>
        <v>1976.9897313972324</v>
      </c>
      <c r="R266" s="37">
        <f t="shared" ref="R266:R289" ca="1" si="361">M266-L266</f>
        <v>451.66252330566567</v>
      </c>
      <c r="S266" s="37">
        <f t="shared" ref="S266:S289" ca="1" si="362">P266-O266</f>
        <v>793.68746454365828</v>
      </c>
    </row>
    <row r="267" spans="2:19" ht="12.6" customHeight="1" x14ac:dyDescent="0.2">
      <c r="B267" s="56" t="s">
        <v>790</v>
      </c>
      <c r="C267" s="61"/>
      <c r="D267" s="288">
        <f>Dharmtar!C23</f>
        <v>909.63600000000008</v>
      </c>
      <c r="E267" s="288">
        <f>[3]Dharmtar!D23</f>
        <v>925.47799999999984</v>
      </c>
      <c r="F267" s="288">
        <f>Dharmtar!E23</f>
        <v>899.5139999999999</v>
      </c>
      <c r="G267" s="288">
        <f>Dharmtar!F23</f>
        <v>846.48500000000013</v>
      </c>
      <c r="H267" s="288">
        <f>Dharmtar!G23</f>
        <v>1599.9520000000002</v>
      </c>
      <c r="I267" s="288">
        <f>Dharmtar!H23</f>
        <v>2670.9699999999993</v>
      </c>
      <c r="J267" s="288">
        <f>Dharmtar!I23</f>
        <v>2788.0110000000004</v>
      </c>
      <c r="K267" s="288">
        <f>Dharmtar!J23</f>
        <v>2589.9910000000009</v>
      </c>
      <c r="L267" s="303">
        <f>Dharmtar!K23</f>
        <v>2817.3495026873375</v>
      </c>
      <c r="M267" s="303">
        <f>Dharmtar!L23</f>
        <v>3013.9187848399597</v>
      </c>
      <c r="N267" s="303">
        <f>Dharmtar!M23</f>
        <v>3793.8076032839663</v>
      </c>
      <c r="O267" s="303">
        <f>Dharmtar!N23</f>
        <v>4288.0388140654377</v>
      </c>
      <c r="P267" s="303">
        <f>Dharmtar!O23</f>
        <v>4545.925820342547</v>
      </c>
      <c r="Q267" s="362">
        <f t="shared" si="360"/>
        <v>779.88881844400657</v>
      </c>
      <c r="R267" s="37">
        <f t="shared" si="361"/>
        <v>196.56928215262224</v>
      </c>
      <c r="S267" s="37">
        <f t="shared" si="362"/>
        <v>257.88700627710932</v>
      </c>
    </row>
    <row r="268" spans="2:19" ht="12.6" customHeight="1" x14ac:dyDescent="0.2">
      <c r="B268" s="56" t="s">
        <v>214</v>
      </c>
      <c r="C268" s="61"/>
      <c r="D268" s="288">
        <f>Goa!C23</f>
        <v>0</v>
      </c>
      <c r="E268" s="288">
        <f>[3]Goa!D23</f>
        <v>0</v>
      </c>
      <c r="F268" s="288">
        <f>Goa!E23</f>
        <v>432.38600000000019</v>
      </c>
      <c r="G268" s="288">
        <f>Goa!F23</f>
        <v>853.38499999999976</v>
      </c>
      <c r="H268" s="288">
        <f>Goa!G23</f>
        <v>895.52599999999984</v>
      </c>
      <c r="I268" s="288">
        <f>Goa!H23</f>
        <v>876.88799999999992</v>
      </c>
      <c r="J268" s="288">
        <f>Goa!I23</f>
        <v>849.45000000000073</v>
      </c>
      <c r="K268" s="288">
        <f>Goa!J23</f>
        <v>1121.9090000000001</v>
      </c>
      <c r="L268" s="303">
        <f ca="1">Goa!K23</f>
        <v>1489.1024037587797</v>
      </c>
      <c r="M268" s="303">
        <f ca="1">Goa!L23</f>
        <v>1671.6586172675125</v>
      </c>
      <c r="N268" s="303">
        <f ca="1">Goa!M23</f>
        <v>1958.6943826730628</v>
      </c>
      <c r="O268" s="303">
        <f ca="1">Goa!N23</f>
        <v>2102.1220483078382</v>
      </c>
      <c r="P268" s="303">
        <f ca="1">Goa!O23</f>
        <v>2258.0332745444266</v>
      </c>
      <c r="Q268" s="37">
        <f t="shared" ca="1" si="360"/>
        <v>287.03576540555036</v>
      </c>
      <c r="R268" s="37">
        <f t="shared" ca="1" si="361"/>
        <v>182.55621350873275</v>
      </c>
      <c r="S268" s="37">
        <f t="shared" ca="1" si="362"/>
        <v>155.91122623658839</v>
      </c>
    </row>
    <row r="269" spans="2:19" ht="12.6" customHeight="1" x14ac:dyDescent="0.2">
      <c r="B269" s="56" t="s">
        <v>10</v>
      </c>
      <c r="C269" s="61"/>
      <c r="D269" s="288">
        <f>'Paradip Iron'!G23</f>
        <v>0</v>
      </c>
      <c r="E269" s="288">
        <f>'[3]Paradip Iron'!H23</f>
        <v>0</v>
      </c>
      <c r="F269" s="288">
        <f>'Paradip Iron'!I23</f>
        <v>-4.5639999999999645</v>
      </c>
      <c r="G269" s="288">
        <f>'Paradip Iron'!J23</f>
        <v>1040.9459999999999</v>
      </c>
      <c r="H269" s="288">
        <f>'Paradip Iron'!K23</f>
        <v>820.68700000000013</v>
      </c>
      <c r="I269" s="288">
        <f>'Paradip Iron'!L23</f>
        <v>1016.8030000000001</v>
      </c>
      <c r="J269" s="288">
        <f>'Paradip Iron'!M23</f>
        <v>1649.9246999999996</v>
      </c>
      <c r="K269" s="288">
        <f>'Paradip Iron'!N23</f>
        <v>1439.0230000000006</v>
      </c>
      <c r="L269" s="303">
        <f ca="1">'Paradip Iron'!O23</f>
        <v>1032.8098848543141</v>
      </c>
      <c r="M269" s="303">
        <f ca="1">'Paradip Iron'!P23</f>
        <v>1349.9566204577986</v>
      </c>
      <c r="N269" s="303">
        <f ca="1">'Paradip Iron'!Q23</f>
        <v>1417.5255040799113</v>
      </c>
      <c r="O269" s="303">
        <f ca="1">'Paradip Iron'!R23</f>
        <v>1489.1322188704398</v>
      </c>
      <c r="P269" s="303">
        <f ca="1">'Paradip Iron'!S23</f>
        <v>1565.0205527521657</v>
      </c>
      <c r="Q269" s="37">
        <f t="shared" ca="1" si="360"/>
        <v>67.568883622112708</v>
      </c>
      <c r="R269" s="37">
        <f t="shared" ca="1" si="361"/>
        <v>317.14673560348456</v>
      </c>
      <c r="S269" s="37">
        <f t="shared" ca="1" si="362"/>
        <v>75.888333881725885</v>
      </c>
    </row>
    <row r="270" spans="2:19" ht="12.6" customHeight="1" x14ac:dyDescent="0.2">
      <c r="B270" s="56" t="s">
        <v>568</v>
      </c>
      <c r="C270" s="61"/>
      <c r="D270" s="288">
        <f>'Paradip Coal'!G23</f>
        <v>0</v>
      </c>
      <c r="E270" s="288">
        <f>'[3]Paradip Coal'!H23</f>
        <v>0</v>
      </c>
      <c r="F270" s="288">
        <f>'Paradip Coal'!I23</f>
        <v>0</v>
      </c>
      <c r="G270" s="288">
        <f>'Paradip Coal'!J23</f>
        <v>0</v>
      </c>
      <c r="H270" s="288">
        <f>'Paradip Coal'!K23</f>
        <v>-78.900999999999982</v>
      </c>
      <c r="I270" s="288">
        <f>'Paradip Coal'!L23</f>
        <v>773.71499999999946</v>
      </c>
      <c r="J270" s="288">
        <f>'Paradip Coal'!M23</f>
        <v>1536.6039999999998</v>
      </c>
      <c r="K270" s="288">
        <f>'Paradip Coal'!N23</f>
        <v>1716.1260000000007</v>
      </c>
      <c r="L270" s="303">
        <f>'Paradip Coal'!O23</f>
        <v>1806.8466059592856</v>
      </c>
      <c r="M270" s="303">
        <f>'Paradip Coal'!P23</f>
        <v>1928.6408965010198</v>
      </c>
      <c r="N270" s="303">
        <f>'Paradip Coal'!Q23</f>
        <v>2137.4830596440029</v>
      </c>
      <c r="O270" s="303">
        <f>'Paradip Coal'!R23</f>
        <v>2369.7762852373189</v>
      </c>
      <c r="P270" s="303">
        <f>'Paradip Coal'!S23</f>
        <v>2628.1616572187654</v>
      </c>
      <c r="Q270" s="37">
        <f t="shared" si="360"/>
        <v>208.84216314298305</v>
      </c>
      <c r="R270" s="37">
        <f t="shared" si="361"/>
        <v>121.7942905417342</v>
      </c>
      <c r="S270" s="37">
        <f t="shared" si="362"/>
        <v>258.3853719814465</v>
      </c>
    </row>
    <row r="271" spans="2:19" ht="12.6" customHeight="1" x14ac:dyDescent="0.2">
      <c r="B271" s="56" t="s">
        <v>8</v>
      </c>
      <c r="C271" s="61"/>
      <c r="D271" s="288">
        <f>'Ennore Coal'!G23</f>
        <v>0</v>
      </c>
      <c r="E271" s="288">
        <f>'[3]Ennore Coal'!H23</f>
        <v>0</v>
      </c>
      <c r="F271" s="288">
        <f>'Ennore Coal'!I23</f>
        <v>270.89999999999986</v>
      </c>
      <c r="G271" s="288">
        <f>'Ennore Coal'!J23</f>
        <v>299.60000000000014</v>
      </c>
      <c r="H271" s="288">
        <f>'Ennore Coal'!K23</f>
        <v>335.25400000000036</v>
      </c>
      <c r="I271" s="288">
        <f>'Ennore Coal'!L23</f>
        <v>510.24000000000024</v>
      </c>
      <c r="J271" s="288">
        <f>'Ennore Coal'!M23</f>
        <v>739.59000000000015</v>
      </c>
      <c r="K271" s="288">
        <f>'Ennore Coal'!N23</f>
        <v>899.68600000000015</v>
      </c>
      <c r="L271" s="303">
        <f ca="1">'Ennore Coal'!O23</f>
        <v>953.09809949373459</v>
      </c>
      <c r="M271" s="303">
        <f ca="1">'Ennore Coal'!P23</f>
        <v>1002.7297097142171</v>
      </c>
      <c r="N271" s="303">
        <f ca="1">'Ennore Coal'!Q23</f>
        <v>1055.3041661301388</v>
      </c>
      <c r="O271" s="303">
        <f ca="1">'Ennore Coal'!R23</f>
        <v>1110.9989122740953</v>
      </c>
      <c r="P271" s="303">
        <f ca="1">'Ennore Coal'!S23</f>
        <v>1170.0021210257812</v>
      </c>
      <c r="Q271" s="37">
        <f t="shared" ca="1" si="360"/>
        <v>52.574456415921759</v>
      </c>
      <c r="R271" s="37">
        <f t="shared" ca="1" si="361"/>
        <v>49.631610220482457</v>
      </c>
      <c r="S271" s="37">
        <f t="shared" ca="1" si="362"/>
        <v>59.003208751685861</v>
      </c>
    </row>
    <row r="272" spans="2:19" ht="12.6" customHeight="1" x14ac:dyDescent="0.2">
      <c r="B272" s="56" t="s">
        <v>9</v>
      </c>
      <c r="C272" s="61"/>
      <c r="D272" s="288">
        <v>0</v>
      </c>
      <c r="E272" s="288">
        <v>0</v>
      </c>
      <c r="F272" s="288">
        <v>0</v>
      </c>
      <c r="G272" s="288">
        <v>0</v>
      </c>
      <c r="H272" s="288">
        <v>0</v>
      </c>
      <c r="I272" s="288">
        <f>'Ennore Bulk'!L23</f>
        <v>36.258000000000152</v>
      </c>
      <c r="J272" s="288">
        <f>'Ennore Bulk'!M23</f>
        <v>59.575000000000045</v>
      </c>
      <c r="K272" s="288">
        <f>'Ennore Bulk'!N23</f>
        <v>229.51899999999989</v>
      </c>
      <c r="L272" s="303">
        <f>'Ennore Bulk'!O23</f>
        <v>222.55847374031239</v>
      </c>
      <c r="M272" s="303">
        <f>'Ennore Bulk'!P23</f>
        <v>235.79741175648024</v>
      </c>
      <c r="N272" s="303">
        <f>'Ennore Bulk'!Q23</f>
        <v>249.94151140229502</v>
      </c>
      <c r="O272" s="303">
        <f>'Ennore Bulk'!R23</f>
        <v>265.05329900498668</v>
      </c>
      <c r="P272" s="303">
        <f>'Ennore Bulk'!S23</f>
        <v>281.19965325359459</v>
      </c>
      <c r="Q272" s="37">
        <f t="shared" si="360"/>
        <v>14.144099645814777</v>
      </c>
      <c r="R272" s="37">
        <f t="shared" si="361"/>
        <v>13.23893801616785</v>
      </c>
      <c r="S272" s="37">
        <f t="shared" si="362"/>
        <v>16.146354248607906</v>
      </c>
    </row>
    <row r="273" spans="2:19" ht="12.6" customHeight="1" x14ac:dyDescent="0.2">
      <c r="B273" s="56" t="s">
        <v>215</v>
      </c>
      <c r="C273" s="61"/>
      <c r="D273" s="288">
        <f>'Mangalore Coal'!G23</f>
        <v>0</v>
      </c>
      <c r="E273" s="288">
        <f>'[3]Mangalore Coal'!H23</f>
        <v>0</v>
      </c>
      <c r="F273" s="288">
        <f>'Mangalore Coal'!I23</f>
        <v>162.14500000000001</v>
      </c>
      <c r="G273" s="288">
        <f>'Mangalore Coal'!J23</f>
        <v>303.24199999999996</v>
      </c>
      <c r="H273" s="288">
        <f>'Mangalore Coal'!K23</f>
        <v>452.91099999999994</v>
      </c>
      <c r="I273" s="288">
        <f>'Mangalore Coal'!L23</f>
        <v>686.36699999999996</v>
      </c>
      <c r="J273" s="288">
        <f>'Mangalore Coal'!M23</f>
        <v>835.55499999999995</v>
      </c>
      <c r="K273" s="288">
        <f>'Mangalore Coal'!N23</f>
        <v>1217.623</v>
      </c>
      <c r="L273" s="303">
        <f ca="1">'Mangalore Coal'!O23</f>
        <v>1255.3014816321875</v>
      </c>
      <c r="M273" s="303">
        <f ca="1">'Mangalore Coal'!P23</f>
        <v>1370.0848613078208</v>
      </c>
      <c r="N273" s="303">
        <f ca="1">'Mangalore Coal'!Q23</f>
        <v>1496.6335374002065</v>
      </c>
      <c r="O273" s="303">
        <f ca="1">'Mangalore Coal'!R23</f>
        <v>1636.1534527920619</v>
      </c>
      <c r="P273" s="303">
        <f ca="1">'Mangalore Coal'!S23</f>
        <v>1789.9741595115825</v>
      </c>
      <c r="Q273" s="37">
        <f t="shared" ca="1" si="360"/>
        <v>126.54867609238568</v>
      </c>
      <c r="R273" s="37">
        <f t="shared" ca="1" si="361"/>
        <v>114.78337967563334</v>
      </c>
      <c r="S273" s="37">
        <f t="shared" ca="1" si="362"/>
        <v>153.82070671952056</v>
      </c>
    </row>
    <row r="274" spans="2:19" ht="12.6" customHeight="1" x14ac:dyDescent="0.2">
      <c r="B274" s="56" t="s">
        <v>216</v>
      </c>
      <c r="C274" s="61"/>
      <c r="D274" s="288">
        <v>0</v>
      </c>
      <c r="E274" s="288">
        <v>0</v>
      </c>
      <c r="F274" s="288">
        <v>0</v>
      </c>
      <c r="G274" s="288">
        <v>0</v>
      </c>
      <c r="H274" s="288">
        <v>0</v>
      </c>
      <c r="I274" s="288">
        <f>'Mangalore Container'!L23</f>
        <v>254.70899999999989</v>
      </c>
      <c r="J274" s="288">
        <f>'Mangalore Container'!M23</f>
        <v>291.48599999999999</v>
      </c>
      <c r="K274" s="288">
        <f>'Mangalore Container'!N23</f>
        <v>234.87800000000004</v>
      </c>
      <c r="L274" s="303">
        <f>'Mangalore Container'!O23</f>
        <v>249.46564896475741</v>
      </c>
      <c r="M274" s="303">
        <f>'Mangalore Container'!P23</f>
        <v>299.61452483761036</v>
      </c>
      <c r="N274" s="303">
        <f>'Mangalore Container'!Q23</f>
        <v>332.95184429616955</v>
      </c>
      <c r="O274" s="303">
        <f>'Mangalore Container'!R23</f>
        <v>361.40078792025855</v>
      </c>
      <c r="P274" s="303">
        <f>'Mangalore Container'!S23</f>
        <v>392.94427784833869</v>
      </c>
      <c r="Q274" s="37">
        <f t="shared" si="360"/>
        <v>33.337319458559193</v>
      </c>
      <c r="R274" s="37">
        <f t="shared" si="361"/>
        <v>50.148875872852955</v>
      </c>
      <c r="S274" s="37">
        <f t="shared" si="362"/>
        <v>31.543489928080135</v>
      </c>
    </row>
    <row r="275" spans="2:19" ht="12.6" customHeight="1" x14ac:dyDescent="0.2">
      <c r="B275" s="56" t="s">
        <v>2</v>
      </c>
      <c r="C275" s="61"/>
      <c r="D275" s="288">
        <v>0</v>
      </c>
      <c r="E275" s="288">
        <v>0</v>
      </c>
      <c r="F275" s="288">
        <v>0</v>
      </c>
      <c r="G275" s="288">
        <v>0</v>
      </c>
      <c r="H275" s="288">
        <v>0</v>
      </c>
      <c r="I275" s="288">
        <f>PNP!L23</f>
        <v>348.27200000000016</v>
      </c>
      <c r="J275" s="288">
        <f>PNP!M23</f>
        <v>354.24899999999934</v>
      </c>
      <c r="K275" s="288">
        <f>PNP!N23</f>
        <v>379.86199999999963</v>
      </c>
      <c r="L275" s="303">
        <f>PNP!O23</f>
        <v>752.95302571809987</v>
      </c>
      <c r="M275" s="303">
        <f>PNP!P23</f>
        <v>857.63693478192101</v>
      </c>
      <c r="N275" s="303">
        <f>PNP!Q23</f>
        <v>1067.6935063196715</v>
      </c>
      <c r="O275" s="303">
        <f>PNP!R23</f>
        <v>1124.6027683962905</v>
      </c>
      <c r="P275" s="303">
        <f>PNP!S23</f>
        <v>1184.9550408285454</v>
      </c>
      <c r="Q275" s="37">
        <f t="shared" si="360"/>
        <v>210.05657153775053</v>
      </c>
      <c r="R275" s="37">
        <f t="shared" si="361"/>
        <v>104.68390906382115</v>
      </c>
      <c r="S275" s="37">
        <f t="shared" si="362"/>
        <v>60.352272432254949</v>
      </c>
    </row>
    <row r="276" spans="2:19" ht="12.6" customHeight="1" x14ac:dyDescent="0.2">
      <c r="B276" s="56" t="s">
        <v>791</v>
      </c>
      <c r="C276" s="61"/>
      <c r="D276" s="288">
        <v>0</v>
      </c>
      <c r="E276" s="288">
        <v>0</v>
      </c>
      <c r="F276" s="288">
        <v>0</v>
      </c>
      <c r="G276" s="288">
        <v>0</v>
      </c>
      <c r="H276" s="288">
        <v>0</v>
      </c>
      <c r="I276" s="288">
        <v>0</v>
      </c>
      <c r="J276" s="288">
        <v>0</v>
      </c>
      <c r="K276" s="343">
        <f t="shared" ref="K276:P287" si="363">K330*K218</f>
        <v>2124.7874999999999</v>
      </c>
      <c r="L276" s="290">
        <f>L330*L218</f>
        <v>2272.2727500000005</v>
      </c>
      <c r="M276" s="290">
        <f t="shared" si="363"/>
        <v>1988.9960805000005</v>
      </c>
      <c r="N276" s="290">
        <f t="shared" si="363"/>
        <v>2008.8860413050002</v>
      </c>
      <c r="O276" s="290">
        <f t="shared" si="363"/>
        <v>1872.8999092782005</v>
      </c>
      <c r="P276" s="290">
        <f t="shared" si="363"/>
        <v>1891.6289083709826</v>
      </c>
      <c r="Q276" s="37">
        <f t="shared" si="360"/>
        <v>19.889960804999646</v>
      </c>
      <c r="R276" s="37">
        <f t="shared" si="361"/>
        <v>-283.27666950000003</v>
      </c>
      <c r="S276" s="37">
        <f t="shared" si="362"/>
        <v>18.728999092782033</v>
      </c>
    </row>
    <row r="277" spans="2:19" ht="12.6" customHeight="1" x14ac:dyDescent="0.2">
      <c r="B277" s="56" t="s">
        <v>553</v>
      </c>
      <c r="C277" s="61"/>
      <c r="D277" s="288">
        <v>0</v>
      </c>
      <c r="E277" s="288">
        <v>0</v>
      </c>
      <c r="F277" s="288">
        <v>0</v>
      </c>
      <c r="G277" s="288">
        <v>0</v>
      </c>
      <c r="H277" s="288">
        <v>0</v>
      </c>
      <c r="I277" s="288">
        <v>0</v>
      </c>
      <c r="J277" s="288">
        <v>0</v>
      </c>
      <c r="K277" s="288">
        <f t="shared" si="363"/>
        <v>87.905038235294128</v>
      </c>
      <c r="L277" s="303">
        <f t="shared" ca="1" si="363"/>
        <v>596.68719050808829</v>
      </c>
      <c r="M277" s="303">
        <f t="shared" ca="1" si="363"/>
        <v>659.56249000919127</v>
      </c>
      <c r="N277" s="303">
        <f t="shared" ca="1" si="363"/>
        <v>692.54061450965094</v>
      </c>
      <c r="O277" s="303">
        <f t="shared" ca="1" si="363"/>
        <v>727.16764523513348</v>
      </c>
      <c r="P277" s="303">
        <f t="shared" ca="1" si="363"/>
        <v>763.52602749689026</v>
      </c>
      <c r="Q277" s="37">
        <f t="shared" ca="1" si="360"/>
        <v>32.978124500459671</v>
      </c>
      <c r="R277" s="37">
        <f t="shared" ca="1" si="361"/>
        <v>62.875299501102972</v>
      </c>
      <c r="S277" s="37">
        <f t="shared" ca="1" si="362"/>
        <v>36.358382261756788</v>
      </c>
    </row>
    <row r="278" spans="2:19" ht="12.6" customHeight="1" x14ac:dyDescent="0.2">
      <c r="B278" s="189" t="s">
        <v>788</v>
      </c>
      <c r="C278" s="61"/>
      <c r="D278" s="288">
        <v>0</v>
      </c>
      <c r="E278" s="288">
        <v>0</v>
      </c>
      <c r="F278" s="288">
        <v>0</v>
      </c>
      <c r="G278" s="288">
        <v>0</v>
      </c>
      <c r="H278" s="288">
        <v>0</v>
      </c>
      <c r="I278" s="288">
        <v>0</v>
      </c>
      <c r="J278" s="288">
        <v>0</v>
      </c>
      <c r="K278" s="288">
        <v>0</v>
      </c>
      <c r="L278" s="303">
        <f>L332*L220</f>
        <v>-18.703733426082842</v>
      </c>
      <c r="M278" s="303">
        <f>M332*M220</f>
        <v>-44.187570219120715</v>
      </c>
      <c r="N278" s="303">
        <f>N332*N220</f>
        <v>199.86377914494599</v>
      </c>
      <c r="O278" s="303">
        <f>O332*O220</f>
        <v>224.84675153806427</v>
      </c>
      <c r="P278" s="303">
        <f>P332*P220</f>
        <v>236.08908911496746</v>
      </c>
      <c r="Q278" s="37">
        <f t="shared" si="360"/>
        <v>244.05134936406671</v>
      </c>
      <c r="R278" s="37">
        <f t="shared" si="361"/>
        <v>-25.483836793037874</v>
      </c>
      <c r="S278" s="37">
        <f t="shared" si="362"/>
        <v>11.242337576903196</v>
      </c>
    </row>
    <row r="279" spans="2:19" ht="12.6" customHeight="1" x14ac:dyDescent="0.2">
      <c r="B279" s="189" t="s">
        <v>789</v>
      </c>
      <c r="C279" s="61"/>
      <c r="D279" s="288">
        <v>0</v>
      </c>
      <c r="E279" s="288">
        <v>0</v>
      </c>
      <c r="F279" s="288">
        <v>0</v>
      </c>
      <c r="G279" s="288">
        <v>0</v>
      </c>
      <c r="H279" s="288">
        <v>0</v>
      </c>
      <c r="I279" s="288">
        <v>0</v>
      </c>
      <c r="J279" s="288">
        <v>0</v>
      </c>
      <c r="K279" s="288">
        <v>0</v>
      </c>
      <c r="L279" s="303">
        <f t="shared" si="363"/>
        <v>0</v>
      </c>
      <c r="M279" s="303">
        <f t="shared" si="363"/>
        <v>0</v>
      </c>
      <c r="N279" s="303">
        <f t="shared" si="363"/>
        <v>0</v>
      </c>
      <c r="O279" s="303">
        <f t="shared" si="363"/>
        <v>585</v>
      </c>
      <c r="P279" s="303">
        <f t="shared" si="363"/>
        <v>3510</v>
      </c>
      <c r="Q279" s="37">
        <f t="shared" si="360"/>
        <v>0</v>
      </c>
      <c r="R279" s="37">
        <f t="shared" si="361"/>
        <v>0</v>
      </c>
      <c r="S279" s="362">
        <f t="shared" si="362"/>
        <v>2925</v>
      </c>
    </row>
    <row r="280" spans="2:19" ht="12.6" customHeight="1" x14ac:dyDescent="0.2">
      <c r="B280" s="189" t="s">
        <v>558</v>
      </c>
      <c r="C280" s="61"/>
      <c r="D280" s="288">
        <v>0</v>
      </c>
      <c r="E280" s="288">
        <v>0</v>
      </c>
      <c r="F280" s="288">
        <v>0</v>
      </c>
      <c r="G280" s="288">
        <v>0</v>
      </c>
      <c r="H280" s="288">
        <v>0</v>
      </c>
      <c r="I280" s="288">
        <v>0</v>
      </c>
      <c r="J280" s="288">
        <v>0</v>
      </c>
      <c r="K280" s="288">
        <v>0</v>
      </c>
      <c r="L280" s="303">
        <f t="shared" si="363"/>
        <v>0</v>
      </c>
      <c r="M280" s="303">
        <f t="shared" si="363"/>
        <v>0</v>
      </c>
      <c r="N280" s="303">
        <f t="shared" si="363"/>
        <v>2713.5</v>
      </c>
      <c r="O280" s="303">
        <f t="shared" si="363"/>
        <v>4874.5124999999998</v>
      </c>
      <c r="P280" s="303">
        <f t="shared" si="363"/>
        <v>6265.96425</v>
      </c>
      <c r="Q280" s="362">
        <f t="shared" si="360"/>
        <v>2713.5</v>
      </c>
      <c r="R280" s="37">
        <f t="shared" si="361"/>
        <v>0</v>
      </c>
      <c r="S280" s="362">
        <f t="shared" si="362"/>
        <v>1391.4517500000002</v>
      </c>
    </row>
    <row r="281" spans="2:19" ht="12.6" customHeight="1" x14ac:dyDescent="0.2">
      <c r="B281" s="189" t="s">
        <v>760</v>
      </c>
      <c r="C281" s="61"/>
      <c r="D281" s="288">
        <v>0</v>
      </c>
      <c r="E281" s="288">
        <v>0</v>
      </c>
      <c r="F281" s="288">
        <v>0</v>
      </c>
      <c r="G281" s="288">
        <v>0</v>
      </c>
      <c r="H281" s="288">
        <v>0</v>
      </c>
      <c r="I281" s="288">
        <v>0</v>
      </c>
      <c r="J281" s="288">
        <v>0</v>
      </c>
      <c r="K281" s="288">
        <v>0</v>
      </c>
      <c r="L281" s="303">
        <f t="shared" si="363"/>
        <v>0</v>
      </c>
      <c r="M281" s="303">
        <f t="shared" si="363"/>
        <v>0</v>
      </c>
      <c r="N281" s="303">
        <f t="shared" si="363"/>
        <v>8176</v>
      </c>
      <c r="O281" s="303">
        <f t="shared" si="363"/>
        <v>8176</v>
      </c>
      <c r="P281" s="303">
        <f t="shared" si="363"/>
        <v>8176</v>
      </c>
      <c r="Q281" s="362">
        <f t="shared" si="360"/>
        <v>8176</v>
      </c>
      <c r="R281" s="37">
        <f t="shared" si="361"/>
        <v>0</v>
      </c>
      <c r="S281" s="37">
        <f t="shared" si="362"/>
        <v>0</v>
      </c>
    </row>
    <row r="282" spans="2:19" ht="12.6" customHeight="1" x14ac:dyDescent="0.2">
      <c r="B282" s="189" t="s">
        <v>761</v>
      </c>
      <c r="C282" s="61"/>
      <c r="D282" s="288">
        <v>0</v>
      </c>
      <c r="E282" s="288">
        <v>0</v>
      </c>
      <c r="F282" s="288">
        <v>0</v>
      </c>
      <c r="G282" s="288">
        <v>0</v>
      </c>
      <c r="H282" s="288">
        <v>0</v>
      </c>
      <c r="I282" s="288">
        <v>0</v>
      </c>
      <c r="J282" s="288">
        <v>0</v>
      </c>
      <c r="K282" s="288">
        <v>0</v>
      </c>
      <c r="L282" s="303">
        <f t="shared" si="363"/>
        <v>0</v>
      </c>
      <c r="M282" s="303">
        <f t="shared" si="363"/>
        <v>0</v>
      </c>
      <c r="N282" s="303">
        <f t="shared" si="363"/>
        <v>0</v>
      </c>
      <c r="O282" s="303">
        <f t="shared" si="363"/>
        <v>0</v>
      </c>
      <c r="P282" s="303">
        <f t="shared" si="363"/>
        <v>0</v>
      </c>
      <c r="Q282" s="37">
        <f t="shared" si="360"/>
        <v>0</v>
      </c>
      <c r="R282" s="37">
        <f t="shared" si="361"/>
        <v>0</v>
      </c>
      <c r="S282" s="37">
        <f t="shared" si="362"/>
        <v>0</v>
      </c>
    </row>
    <row r="283" spans="2:19" ht="12.6" customHeight="1" x14ac:dyDescent="0.2">
      <c r="B283" s="189" t="s">
        <v>664</v>
      </c>
      <c r="C283" s="61"/>
      <c r="D283" s="288">
        <v>0</v>
      </c>
      <c r="E283" s="288">
        <v>0</v>
      </c>
      <c r="F283" s="288">
        <v>0</v>
      </c>
      <c r="G283" s="288">
        <v>0</v>
      </c>
      <c r="H283" s="288">
        <v>0</v>
      </c>
      <c r="I283" s="288">
        <v>0</v>
      </c>
      <c r="J283" s="288">
        <v>0</v>
      </c>
      <c r="K283" s="288">
        <v>0</v>
      </c>
      <c r="L283" s="303">
        <f t="shared" si="363"/>
        <v>0</v>
      </c>
      <c r="M283" s="303">
        <f t="shared" si="363"/>
        <v>0</v>
      </c>
      <c r="N283" s="303">
        <f t="shared" si="363"/>
        <v>0</v>
      </c>
      <c r="O283" s="303">
        <f t="shared" si="363"/>
        <v>0</v>
      </c>
      <c r="P283" s="303">
        <f t="shared" si="363"/>
        <v>2681.25</v>
      </c>
      <c r="Q283" s="37">
        <f t="shared" si="360"/>
        <v>0</v>
      </c>
      <c r="R283" s="37">
        <f t="shared" si="361"/>
        <v>0</v>
      </c>
      <c r="S283" s="362">
        <f t="shared" si="362"/>
        <v>2681.25</v>
      </c>
    </row>
    <row r="284" spans="2:19" ht="12.6" customHeight="1" x14ac:dyDescent="0.2">
      <c r="B284" s="189" t="s">
        <v>1866</v>
      </c>
      <c r="C284" s="61"/>
      <c r="D284" s="288">
        <v>0</v>
      </c>
      <c r="E284" s="288">
        <v>0</v>
      </c>
      <c r="F284" s="288">
        <v>0</v>
      </c>
      <c r="G284" s="288">
        <v>0</v>
      </c>
      <c r="H284" s="288">
        <v>0</v>
      </c>
      <c r="I284" s="288">
        <v>0</v>
      </c>
      <c r="J284" s="288">
        <v>0</v>
      </c>
      <c r="K284" s="288">
        <v>0</v>
      </c>
      <c r="L284" s="303">
        <f t="shared" si="363"/>
        <v>0</v>
      </c>
      <c r="M284" s="303">
        <f t="shared" si="363"/>
        <v>0</v>
      </c>
      <c r="N284" s="303">
        <f t="shared" si="363"/>
        <v>0</v>
      </c>
      <c r="O284" s="303">
        <f t="shared" si="363"/>
        <v>0</v>
      </c>
      <c r="P284" s="303">
        <f t="shared" si="363"/>
        <v>3222.4959000000003</v>
      </c>
      <c r="Q284" s="37">
        <f t="shared" si="360"/>
        <v>0</v>
      </c>
      <c r="R284" s="37">
        <f t="shared" si="361"/>
        <v>0</v>
      </c>
      <c r="S284" s="362">
        <f t="shared" si="362"/>
        <v>3222.4959000000003</v>
      </c>
    </row>
    <row r="285" spans="2:19" ht="12.6" customHeight="1" x14ac:dyDescent="0.2">
      <c r="B285" s="189" t="s">
        <v>1767</v>
      </c>
      <c r="C285" s="61"/>
      <c r="D285" s="288">
        <v>0</v>
      </c>
      <c r="E285" s="288">
        <v>0</v>
      </c>
      <c r="F285" s="288">
        <v>0</v>
      </c>
      <c r="G285" s="288">
        <v>0</v>
      </c>
      <c r="H285" s="288">
        <v>0</v>
      </c>
      <c r="I285" s="288">
        <v>0</v>
      </c>
      <c r="J285" s="288">
        <v>0</v>
      </c>
      <c r="K285" s="288">
        <v>0</v>
      </c>
      <c r="L285" s="303">
        <f>L339*L227</f>
        <v>0</v>
      </c>
      <c r="M285" s="303">
        <f t="shared" si="363"/>
        <v>0</v>
      </c>
      <c r="N285" s="303">
        <f t="shared" si="363"/>
        <v>158.57757478747646</v>
      </c>
      <c r="O285" s="303">
        <f t="shared" si="363"/>
        <v>285.43963461745773</v>
      </c>
      <c r="P285" s="303">
        <f t="shared" si="363"/>
        <v>336.34303612423759</v>
      </c>
      <c r="Q285" s="37">
        <f t="shared" si="360"/>
        <v>158.57757478747646</v>
      </c>
      <c r="R285" s="37">
        <f t="shared" si="361"/>
        <v>0</v>
      </c>
      <c r="S285" s="37">
        <f t="shared" si="362"/>
        <v>50.903401506779858</v>
      </c>
    </row>
    <row r="286" spans="2:19" ht="12.6" customHeight="1" x14ac:dyDescent="0.2">
      <c r="B286" s="189" t="s">
        <v>2045</v>
      </c>
      <c r="C286" s="61"/>
      <c r="D286" s="288">
        <v>0</v>
      </c>
      <c r="E286" s="288">
        <v>0</v>
      </c>
      <c r="F286" s="288">
        <v>0</v>
      </c>
      <c r="G286" s="288">
        <v>0</v>
      </c>
      <c r="H286" s="288">
        <v>0</v>
      </c>
      <c r="I286" s="288">
        <v>0</v>
      </c>
      <c r="J286" s="288">
        <v>0</v>
      </c>
      <c r="K286" s="288">
        <v>0</v>
      </c>
      <c r="L286" s="303">
        <f t="shared" si="363"/>
        <v>0</v>
      </c>
      <c r="M286" s="303">
        <f t="shared" si="363"/>
        <v>0</v>
      </c>
      <c r="N286" s="303">
        <f t="shared" si="363"/>
        <v>0</v>
      </c>
      <c r="O286" s="303">
        <f>O340*O228</f>
        <v>226.53939255353785</v>
      </c>
      <c r="P286" s="303">
        <f t="shared" si="363"/>
        <v>457.60957295814649</v>
      </c>
      <c r="Q286" s="37">
        <f t="shared" si="360"/>
        <v>0</v>
      </c>
      <c r="R286" s="37">
        <f t="shared" si="361"/>
        <v>0</v>
      </c>
      <c r="S286" s="37">
        <f t="shared" si="362"/>
        <v>231.07018040460864</v>
      </c>
    </row>
    <row r="287" spans="2:19" ht="12.6" customHeight="1" x14ac:dyDescent="0.2">
      <c r="B287" s="189" t="s">
        <v>472</v>
      </c>
      <c r="C287" s="61"/>
      <c r="D287" s="288">
        <v>0</v>
      </c>
      <c r="E287" s="288">
        <v>0</v>
      </c>
      <c r="F287" s="288">
        <v>0</v>
      </c>
      <c r="G287" s="288">
        <v>0</v>
      </c>
      <c r="H287" s="288">
        <v>0</v>
      </c>
      <c r="I287" s="288">
        <v>0</v>
      </c>
      <c r="J287" s="288">
        <v>0</v>
      </c>
      <c r="K287" s="288">
        <v>0</v>
      </c>
      <c r="L287" s="303">
        <f t="shared" si="363"/>
        <v>0</v>
      </c>
      <c r="M287" s="303">
        <f t="shared" si="363"/>
        <v>0</v>
      </c>
      <c r="N287" s="303">
        <f t="shared" si="363"/>
        <v>0</v>
      </c>
      <c r="O287" s="303">
        <f t="shared" si="363"/>
        <v>0</v>
      </c>
      <c r="P287" s="303">
        <f>P341*P229</f>
        <v>0</v>
      </c>
      <c r="Q287" s="37">
        <f t="shared" si="360"/>
        <v>0</v>
      </c>
      <c r="R287" s="37">
        <f t="shared" si="361"/>
        <v>0</v>
      </c>
      <c r="S287" s="37">
        <f t="shared" si="362"/>
        <v>0</v>
      </c>
    </row>
    <row r="288" spans="2:19" ht="12.6" customHeight="1" x14ac:dyDescent="0.2">
      <c r="B288" s="189" t="s">
        <v>472</v>
      </c>
      <c r="C288" s="61"/>
      <c r="D288" s="288"/>
      <c r="E288" s="288"/>
      <c r="F288" s="288"/>
      <c r="G288" s="288"/>
      <c r="H288" s="288"/>
      <c r="I288" s="288"/>
      <c r="J288" s="288"/>
      <c r="K288" s="288"/>
      <c r="L288" s="303"/>
      <c r="M288" s="303"/>
      <c r="N288" s="303"/>
      <c r="O288" s="303"/>
      <c r="P288" s="303"/>
      <c r="Q288" s="37">
        <f t="shared" si="360"/>
        <v>0</v>
      </c>
      <c r="R288" s="37">
        <f t="shared" si="361"/>
        <v>0</v>
      </c>
      <c r="S288" s="37">
        <f t="shared" si="362"/>
        <v>0</v>
      </c>
    </row>
    <row r="289" spans="2:20" ht="12.6" customHeight="1" x14ac:dyDescent="0.2">
      <c r="B289" s="364" t="s">
        <v>551</v>
      </c>
      <c r="C289" s="61"/>
      <c r="D289" s="307">
        <f>Consol!G23</f>
        <v>5878.3559999999979</v>
      </c>
      <c r="E289" s="307">
        <f>[3]Consol!H23</f>
        <v>6121.4070000000011</v>
      </c>
      <c r="F289" s="307">
        <f>Consol!I23</f>
        <v>6191.9619999999995</v>
      </c>
      <c r="G289" s="307">
        <f>Consol!J23</f>
        <v>8164.3949999999995</v>
      </c>
      <c r="H289" s="307">
        <f>Consol!K23</f>
        <v>11094.307999999995</v>
      </c>
      <c r="I289" s="307">
        <f>Consol!L23</f>
        <v>16201.896000000001</v>
      </c>
      <c r="J289" s="307">
        <f>Consol!M23</f>
        <v>19645.599999999995</v>
      </c>
      <c r="K289" s="307">
        <f t="shared" ref="K289" si="364">SUM(K265:K288)</f>
        <v>21477.273538235298</v>
      </c>
      <c r="L289" s="308">
        <f ca="1">SUM(L265:L288)</f>
        <v>23824.446295988149</v>
      </c>
      <c r="M289" s="308">
        <f ca="1">SUM(M265:M288)</f>
        <v>25596.740006134336</v>
      </c>
      <c r="N289" s="308">
        <f ca="1">SUM(N265:N288)</f>
        <v>40884.776385041034</v>
      </c>
      <c r="O289" s="308">
        <f ca="1">SUM(O265:O288)</f>
        <v>46551.629050293181</v>
      </c>
      <c r="P289" s="308">
        <f ca="1">SUM(P265:P288)</f>
        <v>59196.16572258254</v>
      </c>
      <c r="Q289" s="38">
        <f t="shared" ca="1" si="360"/>
        <v>15288.036378906698</v>
      </c>
      <c r="R289" s="38">
        <f t="shared" ca="1" si="361"/>
        <v>1772.2937101461866</v>
      </c>
      <c r="S289" s="38">
        <f t="shared" ca="1" si="362"/>
        <v>12644.53667228936</v>
      </c>
      <c r="T289" s="352"/>
    </row>
    <row r="290" spans="2:20" ht="12.6" customHeight="1" x14ac:dyDescent="0.2">
      <c r="B290" s="59"/>
      <c r="C290" s="61"/>
      <c r="D290" s="307"/>
      <c r="E290" s="307"/>
      <c r="F290" s="307"/>
      <c r="G290" s="307"/>
      <c r="H290" s="307"/>
      <c r="I290" s="307"/>
      <c r="J290" s="307"/>
      <c r="K290" s="307"/>
      <c r="L290" s="308"/>
      <c r="M290" s="308"/>
      <c r="N290" s="308"/>
      <c r="O290" s="308"/>
      <c r="P290" s="308"/>
    </row>
    <row r="291" spans="2:20" ht="12.6" customHeight="1" x14ac:dyDescent="0.2">
      <c r="B291" s="116" t="s">
        <v>787</v>
      </c>
      <c r="C291" s="61"/>
      <c r="D291" s="307"/>
      <c r="E291" s="307"/>
      <c r="F291" s="307"/>
      <c r="G291" s="307"/>
      <c r="H291" s="307"/>
      <c r="I291" s="307"/>
      <c r="J291" s="307"/>
      <c r="K291" s="307"/>
      <c r="L291" s="308"/>
      <c r="M291" s="308"/>
      <c r="N291" s="308"/>
      <c r="O291" s="308"/>
      <c r="P291" s="308"/>
    </row>
    <row r="292" spans="2:20" ht="12.6" customHeight="1" x14ac:dyDescent="0.2">
      <c r="B292" s="369" t="s">
        <v>213</v>
      </c>
      <c r="C292" s="326"/>
      <c r="D292" s="113" t="str">
        <f t="shared" ref="D292:I307" si="365">IFERROR(D265/C265-1,"--")</f>
        <v>--</v>
      </c>
      <c r="E292" s="113">
        <f t="shared" si="365"/>
        <v>-0.13756191970769838</v>
      </c>
      <c r="F292" s="113">
        <f t="shared" si="365"/>
        <v>8.0517429830268217E-2</v>
      </c>
      <c r="G292" s="113">
        <f t="shared" si="365"/>
        <v>4.7283229745298527E-4</v>
      </c>
      <c r="H292" s="113">
        <f t="shared" si="365"/>
        <v>0.2981778019660275</v>
      </c>
      <c r="I292" s="113">
        <f t="shared" si="365"/>
        <v>7.3162356951786078E-2</v>
      </c>
      <c r="J292" s="113">
        <f>IFERROR(J265/I265-1,"--")</f>
        <v>-6.1385231426587028E-2</v>
      </c>
      <c r="K292" s="113">
        <f t="shared" ref="K292:P292" si="366">IFERROR(K265/J265-1,"--")</f>
        <v>-0.1096004303809851</v>
      </c>
      <c r="L292" s="197">
        <f>IFERROR(L265/K265-1,"--")</f>
        <v>0.21086455014830285</v>
      </c>
      <c r="M292" s="197">
        <f t="shared" si="366"/>
        <v>0.18868821001448155</v>
      </c>
      <c r="N292" s="197">
        <f t="shared" si="366"/>
        <v>7.1000000000000174E-2</v>
      </c>
      <c r="O292" s="197">
        <f t="shared" si="366"/>
        <v>7.1000000000000174E-2</v>
      </c>
      <c r="P292" s="197">
        <f t="shared" si="366"/>
        <v>7.0999999999999952E-2</v>
      </c>
    </row>
    <row r="293" spans="2:20" ht="12.6" customHeight="1" x14ac:dyDescent="0.2">
      <c r="B293" s="369" t="s">
        <v>217</v>
      </c>
      <c r="C293" s="326"/>
      <c r="D293" s="113" t="str">
        <f t="shared" ref="D293:I293" si="367">IFERROR(D266/C266-1,"--")</f>
        <v>--</v>
      </c>
      <c r="E293" s="113">
        <f t="shared" si="365"/>
        <v>1.4068998268405686E-2</v>
      </c>
      <c r="F293" s="113">
        <f t="shared" si="367"/>
        <v>-4.5809135517205113E-2</v>
      </c>
      <c r="G293" s="113">
        <f t="shared" si="367"/>
        <v>0.11954679167322624</v>
      </c>
      <c r="H293" s="113">
        <f t="shared" si="367"/>
        <v>0.48297593100588987</v>
      </c>
      <c r="I293" s="113">
        <f t="shared" si="367"/>
        <v>0.42892654637710059</v>
      </c>
      <c r="J293" s="113">
        <f>IFERROR(J266/I266-1,"--")</f>
        <v>0.15220557856538464</v>
      </c>
      <c r="K293" s="113">
        <f t="shared" ref="K293" si="368">IFERROR(K266/J266-1,"--")</f>
        <v>-6.0914683336822928E-2</v>
      </c>
      <c r="L293" s="197">
        <f ca="1">IFERROR(L266/K266-1,"--")</f>
        <v>7.548437108158379E-2</v>
      </c>
      <c r="M293" s="197">
        <f ca="1">IFERROR(M266/L266-1,"--")</f>
        <v>5.5146669148802951E-2</v>
      </c>
      <c r="N293" s="197">
        <f ca="1">IFERROR(N266/M266-1,"--")</f>
        <v>0.22876880891040852</v>
      </c>
      <c r="O293" s="197">
        <f ca="1">IFERROR(O266/N266-1,"--")</f>
        <v>0.11369478903583641</v>
      </c>
      <c r="P293" s="197">
        <f ca="1">IFERROR(P266/O266-1,"--")</f>
        <v>6.7112829977400867E-2</v>
      </c>
    </row>
    <row r="294" spans="2:20" ht="12.6" customHeight="1" x14ac:dyDescent="0.2">
      <c r="B294" s="369" t="s">
        <v>218</v>
      </c>
      <c r="C294" s="326"/>
      <c r="D294" s="113" t="str">
        <f t="shared" ref="D294:P294" si="369">IFERROR(D267/C267-1,"--")</f>
        <v>--</v>
      </c>
      <c r="E294" s="113">
        <f t="shared" si="365"/>
        <v>1.7415757511795693E-2</v>
      </c>
      <c r="F294" s="113">
        <f t="shared" si="369"/>
        <v>-2.8054691737674942E-2</v>
      </c>
      <c r="G294" s="113">
        <f t="shared" si="369"/>
        <v>-5.8952945701789883E-2</v>
      </c>
      <c r="H294" s="113">
        <f t="shared" si="369"/>
        <v>0.89011264227954423</v>
      </c>
      <c r="I294" s="113">
        <f t="shared" si="369"/>
        <v>0.66940633218996504</v>
      </c>
      <c r="J294" s="113">
        <f t="shared" si="369"/>
        <v>4.3819661022026057E-2</v>
      </c>
      <c r="K294" s="113">
        <f t="shared" si="369"/>
        <v>-7.1025544734220736E-2</v>
      </c>
      <c r="L294" s="197">
        <f t="shared" si="369"/>
        <v>8.7783510710012669E-2</v>
      </c>
      <c r="M294" s="197">
        <f t="shared" si="369"/>
        <v>6.9770996450786216E-2</v>
      </c>
      <c r="N294" s="197">
        <f t="shared" si="369"/>
        <v>0.25876238681906583</v>
      </c>
      <c r="O294" s="197">
        <f t="shared" si="369"/>
        <v>0.13027313518842099</v>
      </c>
      <c r="P294" s="197">
        <f t="shared" si="369"/>
        <v>6.0141014916003099E-2</v>
      </c>
    </row>
    <row r="295" spans="2:20" ht="12.6" customHeight="1" x14ac:dyDescent="0.2">
      <c r="B295" s="369" t="s">
        <v>219</v>
      </c>
      <c r="C295" s="326"/>
      <c r="D295" s="113" t="str">
        <f t="shared" ref="D295:P295" si="370">IFERROR(D268/C268-1,"--")</f>
        <v>--</v>
      </c>
      <c r="E295" s="113" t="str">
        <f t="shared" si="365"/>
        <v>--</v>
      </c>
      <c r="F295" s="113" t="str">
        <f t="shared" si="370"/>
        <v>--</v>
      </c>
      <c r="G295" s="113">
        <f t="shared" si="370"/>
        <v>0.97366473475089244</v>
      </c>
      <c r="H295" s="113">
        <f t="shared" si="370"/>
        <v>4.9380994510098031E-2</v>
      </c>
      <c r="I295" s="113">
        <f t="shared" si="370"/>
        <v>-2.0812349390190721E-2</v>
      </c>
      <c r="J295" s="113">
        <f t="shared" si="370"/>
        <v>-3.1290198976379191E-2</v>
      </c>
      <c r="K295" s="113">
        <f t="shared" si="370"/>
        <v>0.3207475425275168</v>
      </c>
      <c r="L295" s="197">
        <f t="shared" ca="1" si="370"/>
        <v>0.3272933934559572</v>
      </c>
      <c r="M295" s="197">
        <f t="shared" ca="1" si="370"/>
        <v>0.12259480143737989</v>
      </c>
      <c r="N295" s="197">
        <f t="shared" ca="1" si="370"/>
        <v>0.17170716702596733</v>
      </c>
      <c r="O295" s="197">
        <f t="shared" ca="1" si="370"/>
        <v>7.3226158661382046E-2</v>
      </c>
      <c r="P295" s="197">
        <f t="shared" ca="1" si="370"/>
        <v>7.4168493861759055E-2</v>
      </c>
    </row>
    <row r="296" spans="2:20" ht="12.6" customHeight="1" x14ac:dyDescent="0.2">
      <c r="B296" s="369" t="s">
        <v>220</v>
      </c>
      <c r="C296" s="326"/>
      <c r="D296" s="113" t="str">
        <f t="shared" ref="D296:P296" si="371">IFERROR(D269/C269-1,"--")</f>
        <v>--</v>
      </c>
      <c r="E296" s="113" t="str">
        <f t="shared" si="365"/>
        <v>--</v>
      </c>
      <c r="F296" s="113" t="str">
        <f t="shared" si="371"/>
        <v>--</v>
      </c>
      <c r="G296" s="113">
        <f t="shared" si="371"/>
        <v>-229.07756354075548</v>
      </c>
      <c r="H296" s="113">
        <f t="shared" si="371"/>
        <v>-0.21159502990548962</v>
      </c>
      <c r="I296" s="113">
        <f t="shared" si="371"/>
        <v>0.23896564707373202</v>
      </c>
      <c r="J296" s="113">
        <f t="shared" si="371"/>
        <v>0.62265915816534712</v>
      </c>
      <c r="K296" s="113">
        <f t="shared" si="371"/>
        <v>-0.12782504559147401</v>
      </c>
      <c r="L296" s="197">
        <f t="shared" ca="1" si="371"/>
        <v>-0.28228396290100044</v>
      </c>
      <c r="M296" s="197">
        <f t="shared" ca="1" si="371"/>
        <v>0.30707174694423123</v>
      </c>
      <c r="N296" s="197">
        <f t="shared" ca="1" si="371"/>
        <v>5.005263324624365E-2</v>
      </c>
      <c r="O296" s="197">
        <f t="shared" ca="1" si="371"/>
        <v>5.0515292024327252E-2</v>
      </c>
      <c r="P296" s="197">
        <f t="shared" ca="1" si="371"/>
        <v>5.0961447828514528E-2</v>
      </c>
    </row>
    <row r="297" spans="2:20" ht="12.6" customHeight="1" x14ac:dyDescent="0.2">
      <c r="B297" s="369" t="s">
        <v>221</v>
      </c>
      <c r="C297" s="326"/>
      <c r="D297" s="113" t="str">
        <f t="shared" ref="D297:P297" si="372">IFERROR(D270/C270-1,"--")</f>
        <v>--</v>
      </c>
      <c r="E297" s="113" t="str">
        <f t="shared" si="365"/>
        <v>--</v>
      </c>
      <c r="F297" s="113" t="str">
        <f t="shared" si="372"/>
        <v>--</v>
      </c>
      <c r="G297" s="113" t="str">
        <f t="shared" si="372"/>
        <v>--</v>
      </c>
      <c r="H297" s="113" t="str">
        <f t="shared" si="372"/>
        <v>--</v>
      </c>
      <c r="I297" s="113">
        <f t="shared" si="372"/>
        <v>-10.806149478460345</v>
      </c>
      <c r="J297" s="113">
        <f t="shared" si="372"/>
        <v>0.98600776771808851</v>
      </c>
      <c r="K297" s="113">
        <f t="shared" si="372"/>
        <v>0.11683036097784516</v>
      </c>
      <c r="L297" s="197">
        <f t="shared" si="372"/>
        <v>5.2863604396929498E-2</v>
      </c>
      <c r="M297" s="197">
        <f t="shared" si="372"/>
        <v>6.7407100381424723E-2</v>
      </c>
      <c r="N297" s="197">
        <f t="shared" si="372"/>
        <v>0.10828462858060761</v>
      </c>
      <c r="O297" s="197">
        <f t="shared" si="372"/>
        <v>0.10867605455175133</v>
      </c>
      <c r="P297" s="197">
        <f t="shared" si="372"/>
        <v>0.1090336558733731</v>
      </c>
    </row>
    <row r="298" spans="2:20" ht="12.6" customHeight="1" x14ac:dyDescent="0.2">
      <c r="B298" s="369" t="s">
        <v>222</v>
      </c>
      <c r="C298" s="326"/>
      <c r="D298" s="113" t="str">
        <f t="shared" ref="D298:P298" si="373">IFERROR(D271/C271-1,"--")</f>
        <v>--</v>
      </c>
      <c r="E298" s="113" t="str">
        <f t="shared" si="365"/>
        <v>--</v>
      </c>
      <c r="F298" s="113" t="str">
        <f t="shared" si="373"/>
        <v>--</v>
      </c>
      <c r="G298" s="113">
        <f t="shared" si="373"/>
        <v>0.10594315245478136</v>
      </c>
      <c r="H298" s="113">
        <f t="shared" si="373"/>
        <v>0.11900534045393929</v>
      </c>
      <c r="I298" s="113">
        <f t="shared" si="373"/>
        <v>0.52195052109743556</v>
      </c>
      <c r="J298" s="113">
        <f t="shared" si="373"/>
        <v>0.44949435559736561</v>
      </c>
      <c r="K298" s="113">
        <f t="shared" si="373"/>
        <v>0.21646587974418252</v>
      </c>
      <c r="L298" s="197">
        <f t="shared" ca="1" si="373"/>
        <v>5.9367489872838242E-2</v>
      </c>
      <c r="M298" s="197">
        <f t="shared" ca="1" si="373"/>
        <v>5.2073978792787079E-2</v>
      </c>
      <c r="N298" s="197">
        <f t="shared" ca="1" si="373"/>
        <v>5.2431334093916204E-2</v>
      </c>
      <c r="O298" s="197">
        <f t="shared" ca="1" si="373"/>
        <v>5.2776012766245772E-2</v>
      </c>
      <c r="P298" s="197">
        <f t="shared" ca="1" si="373"/>
        <v>5.310825069208458E-2</v>
      </c>
    </row>
    <row r="299" spans="2:20" ht="12.6" customHeight="1" x14ac:dyDescent="0.2">
      <c r="B299" s="369" t="s">
        <v>223</v>
      </c>
      <c r="C299" s="326"/>
      <c r="D299" s="113" t="str">
        <f t="shared" ref="D299:P299" si="374">IFERROR(D272/C272-1,"--")</f>
        <v>--</v>
      </c>
      <c r="E299" s="113" t="str">
        <f t="shared" si="365"/>
        <v>--</v>
      </c>
      <c r="F299" s="113" t="str">
        <f t="shared" si="374"/>
        <v>--</v>
      </c>
      <c r="G299" s="113" t="str">
        <f t="shared" si="374"/>
        <v>--</v>
      </c>
      <c r="H299" s="113" t="str">
        <f t="shared" si="374"/>
        <v>--</v>
      </c>
      <c r="I299" s="113" t="str">
        <f t="shared" si="374"/>
        <v>--</v>
      </c>
      <c r="J299" s="113">
        <f t="shared" si="374"/>
        <v>0.64308566385348875</v>
      </c>
      <c r="K299" s="113">
        <f t="shared" si="374"/>
        <v>2.8526059588753623</v>
      </c>
      <c r="L299" s="197">
        <f t="shared" si="374"/>
        <v>-3.0326579758919725E-2</v>
      </c>
      <c r="M299" s="197">
        <f t="shared" si="374"/>
        <v>5.9485212104821494E-2</v>
      </c>
      <c r="N299" s="197">
        <f t="shared" si="374"/>
        <v>5.9984117469542353E-2</v>
      </c>
      <c r="O299" s="197">
        <f t="shared" si="374"/>
        <v>6.0461295596346165E-2</v>
      </c>
      <c r="P299" s="197">
        <f t="shared" si="374"/>
        <v>6.091738646235112E-2</v>
      </c>
    </row>
    <row r="300" spans="2:20" ht="12.6" customHeight="1" x14ac:dyDescent="0.2">
      <c r="B300" s="369" t="s">
        <v>224</v>
      </c>
      <c r="C300" s="326"/>
      <c r="D300" s="113" t="str">
        <f t="shared" ref="D300:P300" si="375">IFERROR(D273/C273-1,"--")</f>
        <v>--</v>
      </c>
      <c r="E300" s="113" t="str">
        <f t="shared" si="365"/>
        <v>--</v>
      </c>
      <c r="F300" s="113" t="str">
        <f t="shared" si="375"/>
        <v>--</v>
      </c>
      <c r="G300" s="113">
        <f t="shared" si="375"/>
        <v>0.87019026180270709</v>
      </c>
      <c r="H300" s="113">
        <f t="shared" si="375"/>
        <v>0.49356289696018352</v>
      </c>
      <c r="I300" s="113">
        <f t="shared" si="375"/>
        <v>0.51545667912680426</v>
      </c>
      <c r="J300" s="113">
        <f t="shared" si="375"/>
        <v>0.21735893479727308</v>
      </c>
      <c r="K300" s="113">
        <f t="shared" si="375"/>
        <v>0.45726253807349626</v>
      </c>
      <c r="L300" s="197">
        <f t="shared" ca="1" si="375"/>
        <v>3.0944291978869831E-2</v>
      </c>
      <c r="M300" s="197">
        <f t="shared" ca="1" si="375"/>
        <v>9.1438894445012409E-2</v>
      </c>
      <c r="N300" s="197">
        <f t="shared" ca="1" si="375"/>
        <v>9.2365575057582916E-2</v>
      </c>
      <c r="O300" s="197">
        <f t="shared" ca="1" si="375"/>
        <v>9.3222496960889023E-2</v>
      </c>
      <c r="P300" s="197">
        <f t="shared" ca="1" si="375"/>
        <v>9.401361862301405E-2</v>
      </c>
    </row>
    <row r="301" spans="2:20" ht="12.6" customHeight="1" x14ac:dyDescent="0.2">
      <c r="B301" s="369" t="s">
        <v>225</v>
      </c>
      <c r="C301" s="326"/>
      <c r="D301" s="113" t="str">
        <f t="shared" ref="D301:P301" si="376">IFERROR(D274/C274-1,"--")</f>
        <v>--</v>
      </c>
      <c r="E301" s="113" t="str">
        <f t="shared" si="365"/>
        <v>--</v>
      </c>
      <c r="F301" s="113" t="str">
        <f t="shared" si="376"/>
        <v>--</v>
      </c>
      <c r="G301" s="113" t="str">
        <f t="shared" si="376"/>
        <v>--</v>
      </c>
      <c r="H301" s="113" t="str">
        <f t="shared" si="376"/>
        <v>--</v>
      </c>
      <c r="I301" s="113" t="str">
        <f t="shared" si="376"/>
        <v>--</v>
      </c>
      <c r="J301" s="113">
        <f t="shared" si="376"/>
        <v>0.14438830194457242</v>
      </c>
      <c r="K301" s="113">
        <f t="shared" si="376"/>
        <v>-0.19420486747219401</v>
      </c>
      <c r="L301" s="197">
        <f t="shared" si="376"/>
        <v>6.210734493974468E-2</v>
      </c>
      <c r="M301" s="197">
        <f t="shared" si="376"/>
        <v>0.20102517553403754</v>
      </c>
      <c r="N301" s="197">
        <f t="shared" si="376"/>
        <v>0.11126736755044786</v>
      </c>
      <c r="O301" s="197">
        <f t="shared" si="376"/>
        <v>8.5444619429057456E-2</v>
      </c>
      <c r="P301" s="197">
        <f t="shared" si="376"/>
        <v>8.728118748606617E-2</v>
      </c>
    </row>
    <row r="302" spans="2:20" ht="12.6" customHeight="1" x14ac:dyDescent="0.2">
      <c r="B302" s="369" t="s">
        <v>492</v>
      </c>
      <c r="C302" s="326"/>
      <c r="D302" s="113" t="str">
        <f t="shared" ref="D302:P302" si="377">IFERROR(D275/C275-1,"--")</f>
        <v>--</v>
      </c>
      <c r="E302" s="113" t="str">
        <f t="shared" si="365"/>
        <v>--</v>
      </c>
      <c r="F302" s="113" t="str">
        <f t="shared" si="377"/>
        <v>--</v>
      </c>
      <c r="G302" s="113" t="str">
        <f t="shared" si="377"/>
        <v>--</v>
      </c>
      <c r="H302" s="113" t="str">
        <f t="shared" si="377"/>
        <v>--</v>
      </c>
      <c r="I302" s="113" t="str">
        <f t="shared" si="377"/>
        <v>--</v>
      </c>
      <c r="J302" s="113">
        <f t="shared" si="377"/>
        <v>1.7161873478198642E-2</v>
      </c>
      <c r="K302" s="113">
        <f t="shared" si="377"/>
        <v>7.2302250676784752E-2</v>
      </c>
      <c r="L302" s="197">
        <f t="shared" si="377"/>
        <v>0.98217517340007854</v>
      </c>
      <c r="M302" s="197">
        <f t="shared" si="377"/>
        <v>0.13903112875332813</v>
      </c>
      <c r="N302" s="197">
        <f t="shared" si="377"/>
        <v>0.24492481960465406</v>
      </c>
      <c r="O302" s="197">
        <f t="shared" si="377"/>
        <v>5.3301122222597863E-2</v>
      </c>
      <c r="P302" s="197">
        <f t="shared" si="377"/>
        <v>5.366541336041597E-2</v>
      </c>
    </row>
    <row r="303" spans="2:20" ht="12.6" customHeight="1" x14ac:dyDescent="0.2">
      <c r="B303" s="369" t="s">
        <v>493</v>
      </c>
      <c r="C303" s="326"/>
      <c r="D303" s="113" t="str">
        <f t="shared" ref="D303:P303" si="378">IFERROR(D276/C276-1,"--")</f>
        <v>--</v>
      </c>
      <c r="E303" s="113" t="str">
        <f t="shared" si="365"/>
        <v>--</v>
      </c>
      <c r="F303" s="113" t="str">
        <f t="shared" si="378"/>
        <v>--</v>
      </c>
      <c r="G303" s="113" t="str">
        <f t="shared" si="378"/>
        <v>--</v>
      </c>
      <c r="H303" s="113" t="str">
        <f t="shared" si="378"/>
        <v>--</v>
      </c>
      <c r="I303" s="113" t="str">
        <f t="shared" si="378"/>
        <v>--</v>
      </c>
      <c r="J303" s="113" t="str">
        <f t="shared" si="378"/>
        <v>--</v>
      </c>
      <c r="K303" s="113" t="str">
        <f t="shared" si="378"/>
        <v>--</v>
      </c>
      <c r="L303" s="197">
        <f t="shared" si="378"/>
        <v>6.9411764705882728E-2</v>
      </c>
      <c r="M303" s="197">
        <f t="shared" si="378"/>
        <v>-0.1246666666666667</v>
      </c>
      <c r="N303" s="197">
        <f t="shared" si="378"/>
        <v>9.9999999999997868E-3</v>
      </c>
      <c r="O303" s="197">
        <f t="shared" si="378"/>
        <v>-6.7692307692307496E-2</v>
      </c>
      <c r="P303" s="197">
        <f t="shared" si="378"/>
        <v>1.0000000000000009E-2</v>
      </c>
    </row>
    <row r="304" spans="2:20" ht="12.6" customHeight="1" x14ac:dyDescent="0.2">
      <c r="B304" s="369" t="s">
        <v>553</v>
      </c>
      <c r="C304" s="326"/>
      <c r="D304" s="113" t="str">
        <f t="shared" ref="D304:P304" si="379">IFERROR(D277/C277-1,"--")</f>
        <v>--</v>
      </c>
      <c r="E304" s="113" t="str">
        <f t="shared" si="365"/>
        <v>--</v>
      </c>
      <c r="F304" s="113" t="str">
        <f t="shared" si="379"/>
        <v>--</v>
      </c>
      <c r="G304" s="113" t="str">
        <f t="shared" si="379"/>
        <v>--</v>
      </c>
      <c r="H304" s="113" t="str">
        <f t="shared" si="379"/>
        <v>--</v>
      </c>
      <c r="I304" s="113" t="str">
        <f t="shared" si="379"/>
        <v>--</v>
      </c>
      <c r="J304" s="113" t="str">
        <f t="shared" si="379"/>
        <v>--</v>
      </c>
      <c r="K304" s="113" t="str">
        <f t="shared" si="379"/>
        <v>--</v>
      </c>
      <c r="L304" s="197">
        <f t="shared" ca="1" si="379"/>
        <v>5.7878611111111109</v>
      </c>
      <c r="M304" s="197">
        <f t="shared" ca="1" si="379"/>
        <v>0.1053739723280529</v>
      </c>
      <c r="N304" s="197">
        <f t="shared" ca="1" si="379"/>
        <v>5.0000000000000266E-2</v>
      </c>
      <c r="O304" s="197">
        <f t="shared" ca="1" si="379"/>
        <v>5.0000000000000044E-2</v>
      </c>
      <c r="P304" s="197">
        <f t="shared" ca="1" si="379"/>
        <v>5.0000000000000266E-2</v>
      </c>
    </row>
    <row r="305" spans="2:16" ht="12.6" customHeight="1" x14ac:dyDescent="0.2">
      <c r="B305" s="369" t="s">
        <v>554</v>
      </c>
      <c r="C305" s="326"/>
      <c r="D305" s="113" t="str">
        <f t="shared" ref="D305:K305" si="380">IFERROR(D278/C278-1,"--")</f>
        <v>--</v>
      </c>
      <c r="E305" s="113" t="str">
        <f t="shared" si="365"/>
        <v>--</v>
      </c>
      <c r="F305" s="113" t="str">
        <f t="shared" si="380"/>
        <v>--</v>
      </c>
      <c r="G305" s="113" t="str">
        <f t="shared" si="380"/>
        <v>--</v>
      </c>
      <c r="H305" s="113" t="str">
        <f t="shared" si="380"/>
        <v>--</v>
      </c>
      <c r="I305" s="113" t="str">
        <f t="shared" si="380"/>
        <v>--</v>
      </c>
      <c r="J305" s="113" t="str">
        <f t="shared" si="380"/>
        <v>--</v>
      </c>
      <c r="K305" s="113" t="str">
        <f t="shared" si="380"/>
        <v>--</v>
      </c>
      <c r="L305" s="197" t="str">
        <f>IFERROR(L278/K278-1,"--")</f>
        <v>--</v>
      </c>
      <c r="M305" s="197">
        <f>IFERROR(M278/L278-1,"--")</f>
        <v>1.3625000000000003</v>
      </c>
      <c r="N305" s="197">
        <f>IFERROR(N278/M278-1,"--")</f>
        <v>-5.523076923076923</v>
      </c>
      <c r="O305" s="197">
        <f>IFERROR(O278/N278-1,"--")</f>
        <v>0.12500000000000022</v>
      </c>
      <c r="P305" s="197">
        <f>IFERROR(P278/O278-1,"--")</f>
        <v>4.9999999999999822E-2</v>
      </c>
    </row>
    <row r="306" spans="2:16" ht="12.6" customHeight="1" x14ac:dyDescent="0.2">
      <c r="B306" s="369" t="s">
        <v>552</v>
      </c>
      <c r="C306" s="326"/>
      <c r="D306" s="113" t="str">
        <f t="shared" ref="D306:P306" si="381">IFERROR(D279/C279-1,"--")</f>
        <v>--</v>
      </c>
      <c r="E306" s="113" t="str">
        <f t="shared" si="365"/>
        <v>--</v>
      </c>
      <c r="F306" s="113" t="str">
        <f t="shared" si="381"/>
        <v>--</v>
      </c>
      <c r="G306" s="113" t="str">
        <f t="shared" si="381"/>
        <v>--</v>
      </c>
      <c r="H306" s="113" t="str">
        <f t="shared" si="381"/>
        <v>--</v>
      </c>
      <c r="I306" s="113" t="str">
        <f t="shared" si="381"/>
        <v>--</v>
      </c>
      <c r="J306" s="113" t="str">
        <f t="shared" si="381"/>
        <v>--</v>
      </c>
      <c r="K306" s="113" t="str">
        <f t="shared" si="381"/>
        <v>--</v>
      </c>
      <c r="L306" s="197" t="str">
        <f t="shared" si="381"/>
        <v>--</v>
      </c>
      <c r="M306" s="197" t="str">
        <f t="shared" si="381"/>
        <v>--</v>
      </c>
      <c r="N306" s="197" t="str">
        <f t="shared" si="381"/>
        <v>--</v>
      </c>
      <c r="O306" s="197" t="str">
        <f t="shared" si="381"/>
        <v>--</v>
      </c>
      <c r="P306" s="197">
        <f t="shared" si="381"/>
        <v>5</v>
      </c>
    </row>
    <row r="307" spans="2:16" ht="12.6" customHeight="1" x14ac:dyDescent="0.2">
      <c r="B307" s="369" t="s">
        <v>573</v>
      </c>
      <c r="C307" s="326"/>
      <c r="D307" s="113" t="str">
        <f t="shared" ref="D307:P307" si="382">IFERROR(D280/C280-1,"--")</f>
        <v>--</v>
      </c>
      <c r="E307" s="113" t="str">
        <f t="shared" si="365"/>
        <v>--</v>
      </c>
      <c r="F307" s="113" t="str">
        <f t="shared" si="382"/>
        <v>--</v>
      </c>
      <c r="G307" s="113" t="str">
        <f t="shared" si="382"/>
        <v>--</v>
      </c>
      <c r="H307" s="113" t="str">
        <f t="shared" si="382"/>
        <v>--</v>
      </c>
      <c r="I307" s="113" t="str">
        <f t="shared" si="382"/>
        <v>--</v>
      </c>
      <c r="J307" s="113" t="str">
        <f t="shared" si="382"/>
        <v>--</v>
      </c>
      <c r="K307" s="113" t="str">
        <f t="shared" si="382"/>
        <v>--</v>
      </c>
      <c r="L307" s="197" t="str">
        <f t="shared" si="382"/>
        <v>--</v>
      </c>
      <c r="M307" s="197" t="str">
        <f t="shared" si="382"/>
        <v>--</v>
      </c>
      <c r="N307" s="197" t="str">
        <f t="shared" si="382"/>
        <v>--</v>
      </c>
      <c r="O307" s="197">
        <f t="shared" si="382"/>
        <v>0.79639303482587054</v>
      </c>
      <c r="P307" s="197">
        <f t="shared" si="382"/>
        <v>0.28545454545454541</v>
      </c>
    </row>
    <row r="308" spans="2:16" ht="12.6" customHeight="1" x14ac:dyDescent="0.2">
      <c r="B308" s="369" t="s">
        <v>760</v>
      </c>
      <c r="C308" s="326"/>
      <c r="D308" s="113" t="str">
        <f t="shared" ref="D308:P314" si="383">IFERROR(D281/C281-1,"--")</f>
        <v>--</v>
      </c>
      <c r="E308" s="113" t="str">
        <f t="shared" si="383"/>
        <v>--</v>
      </c>
      <c r="F308" s="113" t="str">
        <f t="shared" si="383"/>
        <v>--</v>
      </c>
      <c r="G308" s="113" t="str">
        <f t="shared" si="383"/>
        <v>--</v>
      </c>
      <c r="H308" s="113" t="str">
        <f t="shared" si="383"/>
        <v>--</v>
      </c>
      <c r="I308" s="113" t="str">
        <f t="shared" si="383"/>
        <v>--</v>
      </c>
      <c r="J308" s="113" t="str">
        <f t="shared" si="383"/>
        <v>--</v>
      </c>
      <c r="K308" s="113" t="str">
        <f t="shared" si="383"/>
        <v>--</v>
      </c>
      <c r="L308" s="197" t="str">
        <f t="shared" si="383"/>
        <v>--</v>
      </c>
      <c r="M308" s="197" t="str">
        <f t="shared" si="383"/>
        <v>--</v>
      </c>
      <c r="N308" s="197" t="str">
        <f t="shared" si="383"/>
        <v>--</v>
      </c>
      <c r="O308" s="197">
        <f t="shared" si="383"/>
        <v>0</v>
      </c>
      <c r="P308" s="197">
        <f t="shared" si="383"/>
        <v>0</v>
      </c>
    </row>
    <row r="309" spans="2:16" ht="12.6" customHeight="1" x14ac:dyDescent="0.2">
      <c r="B309" s="369" t="s">
        <v>761</v>
      </c>
      <c r="C309" s="326"/>
      <c r="D309" s="113" t="str">
        <f t="shared" ref="D309:P309" si="384">IFERROR(D282/C282-1,"--")</f>
        <v>--</v>
      </c>
      <c r="E309" s="113" t="str">
        <f t="shared" si="383"/>
        <v>--</v>
      </c>
      <c r="F309" s="113" t="str">
        <f t="shared" si="384"/>
        <v>--</v>
      </c>
      <c r="G309" s="113" t="str">
        <f t="shared" si="384"/>
        <v>--</v>
      </c>
      <c r="H309" s="113" t="str">
        <f t="shared" si="384"/>
        <v>--</v>
      </c>
      <c r="I309" s="113" t="str">
        <f t="shared" si="384"/>
        <v>--</v>
      </c>
      <c r="J309" s="113" t="str">
        <f t="shared" si="384"/>
        <v>--</v>
      </c>
      <c r="K309" s="113" t="str">
        <f t="shared" si="384"/>
        <v>--</v>
      </c>
      <c r="L309" s="197" t="str">
        <f t="shared" si="384"/>
        <v>--</v>
      </c>
      <c r="M309" s="197" t="str">
        <f t="shared" si="384"/>
        <v>--</v>
      </c>
      <c r="N309" s="197" t="str">
        <f t="shared" si="384"/>
        <v>--</v>
      </c>
      <c r="O309" s="197" t="str">
        <f t="shared" si="384"/>
        <v>--</v>
      </c>
      <c r="P309" s="197" t="str">
        <f t="shared" si="384"/>
        <v>--</v>
      </c>
    </row>
    <row r="310" spans="2:16" ht="12.6" customHeight="1" x14ac:dyDescent="0.2">
      <c r="B310" s="369" t="s">
        <v>766</v>
      </c>
      <c r="C310" s="326"/>
      <c r="D310" s="113" t="str">
        <f t="shared" ref="D310:P310" si="385">IFERROR(D283/C283-1,"--")</f>
        <v>--</v>
      </c>
      <c r="E310" s="113" t="str">
        <f t="shared" si="383"/>
        <v>--</v>
      </c>
      <c r="F310" s="113" t="str">
        <f t="shared" si="385"/>
        <v>--</v>
      </c>
      <c r="G310" s="113" t="str">
        <f t="shared" si="385"/>
        <v>--</v>
      </c>
      <c r="H310" s="113" t="str">
        <f t="shared" si="385"/>
        <v>--</v>
      </c>
      <c r="I310" s="113" t="str">
        <f t="shared" si="385"/>
        <v>--</v>
      </c>
      <c r="J310" s="113" t="str">
        <f t="shared" si="385"/>
        <v>--</v>
      </c>
      <c r="K310" s="113" t="str">
        <f t="shared" si="385"/>
        <v>--</v>
      </c>
      <c r="L310" s="197" t="str">
        <f t="shared" si="385"/>
        <v>--</v>
      </c>
      <c r="M310" s="197" t="str">
        <f t="shared" si="385"/>
        <v>--</v>
      </c>
      <c r="N310" s="197" t="str">
        <f t="shared" si="385"/>
        <v>--</v>
      </c>
      <c r="O310" s="197" t="str">
        <f t="shared" si="385"/>
        <v>--</v>
      </c>
      <c r="P310" s="197" t="str">
        <f t="shared" si="385"/>
        <v>--</v>
      </c>
    </row>
    <row r="311" spans="2:16" ht="12.6" customHeight="1" x14ac:dyDescent="0.2">
      <c r="B311" s="369" t="s">
        <v>1866</v>
      </c>
      <c r="C311" s="326"/>
      <c r="D311" s="113" t="str">
        <f t="shared" ref="D311:P311" si="386">IFERROR(D284/C284-1,"--")</f>
        <v>--</v>
      </c>
      <c r="E311" s="113" t="str">
        <f t="shared" si="383"/>
        <v>--</v>
      </c>
      <c r="F311" s="113" t="str">
        <f t="shared" si="386"/>
        <v>--</v>
      </c>
      <c r="G311" s="113" t="str">
        <f t="shared" si="386"/>
        <v>--</v>
      </c>
      <c r="H311" s="113" t="str">
        <f t="shared" si="386"/>
        <v>--</v>
      </c>
      <c r="I311" s="113" t="str">
        <f t="shared" si="386"/>
        <v>--</v>
      </c>
      <c r="J311" s="113" t="str">
        <f t="shared" si="386"/>
        <v>--</v>
      </c>
      <c r="K311" s="113" t="str">
        <f t="shared" si="386"/>
        <v>--</v>
      </c>
      <c r="L311" s="197" t="str">
        <f t="shared" si="386"/>
        <v>--</v>
      </c>
      <c r="M311" s="197" t="str">
        <f t="shared" si="386"/>
        <v>--</v>
      </c>
      <c r="N311" s="197" t="str">
        <f t="shared" si="386"/>
        <v>--</v>
      </c>
      <c r="O311" s="197" t="str">
        <f t="shared" si="386"/>
        <v>--</v>
      </c>
      <c r="P311" s="197" t="str">
        <f t="shared" si="386"/>
        <v>--</v>
      </c>
    </row>
    <row r="312" spans="2:16" ht="12.6" customHeight="1" x14ac:dyDescent="0.2">
      <c r="B312" s="369" t="s">
        <v>1767</v>
      </c>
      <c r="C312" s="326"/>
      <c r="D312" s="113" t="str">
        <f t="shared" ref="D312:P312" si="387">IFERROR(D285/C285-1,"--")</f>
        <v>--</v>
      </c>
      <c r="E312" s="113" t="str">
        <f t="shared" si="383"/>
        <v>--</v>
      </c>
      <c r="F312" s="113" t="str">
        <f t="shared" si="387"/>
        <v>--</v>
      </c>
      <c r="G312" s="113" t="str">
        <f t="shared" si="387"/>
        <v>--</v>
      </c>
      <c r="H312" s="113" t="str">
        <f t="shared" si="387"/>
        <v>--</v>
      </c>
      <c r="I312" s="113" t="str">
        <f t="shared" si="387"/>
        <v>--</v>
      </c>
      <c r="J312" s="113" t="str">
        <f t="shared" si="387"/>
        <v>--</v>
      </c>
      <c r="K312" s="113" t="str">
        <f t="shared" si="387"/>
        <v>--</v>
      </c>
      <c r="L312" s="197" t="str">
        <f t="shared" si="387"/>
        <v>--</v>
      </c>
      <c r="M312" s="197" t="str">
        <f t="shared" si="387"/>
        <v>--</v>
      </c>
      <c r="N312" s="197" t="str">
        <f t="shared" si="387"/>
        <v>--</v>
      </c>
      <c r="O312" s="197">
        <f t="shared" si="387"/>
        <v>0.80000000000000049</v>
      </c>
      <c r="P312" s="197">
        <f t="shared" si="387"/>
        <v>0.17833333333333301</v>
      </c>
    </row>
    <row r="313" spans="2:16" ht="12.6" customHeight="1" x14ac:dyDescent="0.2">
      <c r="B313" s="369" t="s">
        <v>2045</v>
      </c>
      <c r="C313" s="326"/>
      <c r="D313" s="113" t="str">
        <f t="shared" ref="D313:P313" si="388">IFERROR(D286/C286-1,"--")</f>
        <v>--</v>
      </c>
      <c r="E313" s="113" t="str">
        <f t="shared" si="383"/>
        <v>--</v>
      </c>
      <c r="F313" s="113" t="str">
        <f t="shared" si="388"/>
        <v>--</v>
      </c>
      <c r="G313" s="113" t="str">
        <f t="shared" si="388"/>
        <v>--</v>
      </c>
      <c r="H313" s="113" t="str">
        <f t="shared" si="388"/>
        <v>--</v>
      </c>
      <c r="I313" s="113" t="str">
        <f t="shared" si="388"/>
        <v>--</v>
      </c>
      <c r="J313" s="113" t="str">
        <f t="shared" si="388"/>
        <v>--</v>
      </c>
      <c r="K313" s="113" t="str">
        <f t="shared" si="388"/>
        <v>--</v>
      </c>
      <c r="L313" s="197" t="str">
        <f t="shared" si="388"/>
        <v>--</v>
      </c>
      <c r="M313" s="197" t="str">
        <f t="shared" si="388"/>
        <v>--</v>
      </c>
      <c r="N313" s="197" t="str">
        <f t="shared" si="388"/>
        <v>--</v>
      </c>
      <c r="O313" s="197" t="str">
        <f t="shared" si="388"/>
        <v>--</v>
      </c>
      <c r="P313" s="197">
        <f t="shared" si="388"/>
        <v>1.02</v>
      </c>
    </row>
    <row r="314" spans="2:16" ht="12.6" customHeight="1" x14ac:dyDescent="0.2">
      <c r="B314" s="369" t="s">
        <v>472</v>
      </c>
      <c r="C314" s="326"/>
      <c r="D314" s="113" t="str">
        <f t="shared" ref="D314:P314" si="389">IFERROR(D287/C287-1,"--")</f>
        <v>--</v>
      </c>
      <c r="E314" s="113" t="str">
        <f t="shared" si="383"/>
        <v>--</v>
      </c>
      <c r="F314" s="113" t="str">
        <f t="shared" si="389"/>
        <v>--</v>
      </c>
      <c r="G314" s="113" t="str">
        <f t="shared" si="389"/>
        <v>--</v>
      </c>
      <c r="H314" s="113" t="str">
        <f t="shared" si="389"/>
        <v>--</v>
      </c>
      <c r="I314" s="113" t="str">
        <f t="shared" si="389"/>
        <v>--</v>
      </c>
      <c r="J314" s="113" t="str">
        <f t="shared" si="389"/>
        <v>--</v>
      </c>
      <c r="K314" s="113" t="str">
        <f t="shared" si="389"/>
        <v>--</v>
      </c>
      <c r="L314" s="197" t="str">
        <f t="shared" si="389"/>
        <v>--</v>
      </c>
      <c r="M314" s="197" t="str">
        <f t="shared" si="389"/>
        <v>--</v>
      </c>
      <c r="N314" s="197" t="str">
        <f t="shared" si="389"/>
        <v>--</v>
      </c>
      <c r="O314" s="197" t="str">
        <f t="shared" si="389"/>
        <v>--</v>
      </c>
      <c r="P314" s="197" t="str">
        <f t="shared" si="389"/>
        <v>--</v>
      </c>
    </row>
    <row r="315" spans="2:16" ht="12.6" customHeight="1" x14ac:dyDescent="0.2">
      <c r="B315" s="369" t="s">
        <v>472</v>
      </c>
      <c r="C315" s="326"/>
      <c r="D315" s="113"/>
      <c r="E315" s="113"/>
      <c r="F315" s="113"/>
      <c r="G315" s="113"/>
      <c r="H315" s="113"/>
      <c r="I315" s="113"/>
      <c r="J315" s="113"/>
      <c r="K315" s="113"/>
      <c r="L315" s="197"/>
      <c r="M315" s="197"/>
      <c r="N315" s="197"/>
      <c r="O315" s="197"/>
      <c r="P315" s="197"/>
    </row>
    <row r="316" spans="2:16" ht="12.6" customHeight="1" x14ac:dyDescent="0.2">
      <c r="B316" s="368" t="s">
        <v>551</v>
      </c>
      <c r="C316" s="326"/>
      <c r="D316" s="117" t="str">
        <f t="shared" ref="D316:J316" si="390">IFERROR(D289/C289-1,"--")</f>
        <v>--</v>
      </c>
      <c r="E316" s="117">
        <f t="shared" si="390"/>
        <v>4.1346764299406757E-2</v>
      </c>
      <c r="F316" s="117">
        <f t="shared" si="390"/>
        <v>1.1525944933901355E-2</v>
      </c>
      <c r="G316" s="117">
        <f t="shared" si="390"/>
        <v>0.31854733604631291</v>
      </c>
      <c r="H316" s="117">
        <f t="shared" si="390"/>
        <v>0.35886468011408024</v>
      </c>
      <c r="I316" s="117">
        <f t="shared" si="390"/>
        <v>0.46037914216912013</v>
      </c>
      <c r="J316" s="117">
        <f t="shared" si="390"/>
        <v>0.21254944483040705</v>
      </c>
      <c r="K316" s="117">
        <f t="shared" ref="K316" si="391">IFERROR(K289/J289-1,"--")</f>
        <v>9.3235815563551316E-2</v>
      </c>
      <c r="L316" s="1030">
        <f ca="1">IFERROR(L289/K289-1,"--")</f>
        <v>0.10928634649897506</v>
      </c>
      <c r="M316" s="1030">
        <f ca="1">IFERROR(M289/L289-1,"--")</f>
        <v>7.4389712488076798E-2</v>
      </c>
      <c r="N316" s="1030">
        <f ca="1">IFERROR(N289/M289-1,"--")</f>
        <v>0.59726497887007768</v>
      </c>
      <c r="O316" s="1030">
        <f ca="1">IFERROR(O289/N289-1,"--")</f>
        <v>0.13860544599494351</v>
      </c>
      <c r="P316" s="1030">
        <f ca="1">IFERROR(P289/O289-1,"--")</f>
        <v>0.27162393519308492</v>
      </c>
    </row>
    <row r="318" spans="2:16" ht="12.6" customHeight="1" x14ac:dyDescent="0.2">
      <c r="B318" s="372" t="s">
        <v>678</v>
      </c>
      <c r="C318" s="50"/>
      <c r="D318" s="348"/>
      <c r="E318" s="348"/>
      <c r="F318" s="348"/>
      <c r="G318" s="317"/>
      <c r="H318" s="317"/>
      <c r="I318" s="317"/>
      <c r="J318" s="317"/>
      <c r="K318" s="317"/>
      <c r="L318" s="318"/>
      <c r="M318" s="318"/>
      <c r="N318" s="318"/>
      <c r="O318" s="318"/>
      <c r="P318" s="318"/>
    </row>
    <row r="319" spans="2:16" ht="12.6" customHeight="1" x14ac:dyDescent="0.2">
      <c r="B319" s="322" t="s">
        <v>213</v>
      </c>
      <c r="C319" s="326"/>
      <c r="D319" s="113">
        <f t="shared" ref="D319:P334" si="392">IFERROR(D265/D207,"--")</f>
        <v>0.73069329016135465</v>
      </c>
      <c r="E319" s="113">
        <f t="shared" si="392"/>
        <v>0.53407629930429557</v>
      </c>
      <c r="F319" s="113">
        <f t="shared" si="392"/>
        <v>0.54922001945383092</v>
      </c>
      <c r="G319" s="113">
        <f t="shared" si="392"/>
        <v>0.48824903851227863</v>
      </c>
      <c r="H319" s="115">
        <f t="shared" si="392"/>
        <v>0.42912587411848252</v>
      </c>
      <c r="I319" s="113">
        <f t="shared" si="392"/>
        <v>0.40980022449982761</v>
      </c>
      <c r="J319" s="113">
        <f t="shared" si="392"/>
        <v>0.38263033796175011</v>
      </c>
      <c r="K319" s="113" t="str">
        <f t="shared" ref="K319" si="393">IFERROR(K265/K207,"--")</f>
        <v>--</v>
      </c>
      <c r="L319" s="197">
        <f t="shared" si="392"/>
        <v>0.36693964512800026</v>
      </c>
      <c r="M319" s="197">
        <f t="shared" si="392"/>
        <v>0.36693964512800031</v>
      </c>
      <c r="N319" s="197">
        <f t="shared" si="392"/>
        <v>0.36693964512800026</v>
      </c>
      <c r="O319" s="197">
        <f t="shared" si="392"/>
        <v>0.36693964512800026</v>
      </c>
      <c r="P319" s="197">
        <f t="shared" si="392"/>
        <v>0.36693964512800026</v>
      </c>
    </row>
    <row r="320" spans="2:16" ht="12.6" customHeight="1" x14ac:dyDescent="0.2">
      <c r="B320" s="322" t="s">
        <v>3</v>
      </c>
      <c r="C320" s="326"/>
      <c r="D320" s="113">
        <f t="shared" ref="D320:I320" si="394">IFERROR(D266/D208,"--")</f>
        <v>0.58085804016458997</v>
      </c>
      <c r="E320" s="113">
        <f t="shared" si="392"/>
        <v>0.52639085472805947</v>
      </c>
      <c r="F320" s="113">
        <f t="shared" si="394"/>
        <v>0.49433608317098021</v>
      </c>
      <c r="G320" s="113">
        <f t="shared" si="394"/>
        <v>0.50074161562751041</v>
      </c>
      <c r="H320" s="115">
        <f t="shared" si="394"/>
        <v>0.53570674610429803</v>
      </c>
      <c r="I320" s="113">
        <f t="shared" si="394"/>
        <v>0.58463238518451321</v>
      </c>
      <c r="J320" s="113">
        <f t="shared" ref="J320" si="395">IFERROR(J266/J208,"--")</f>
        <v>0.62449252015191414</v>
      </c>
      <c r="K320" s="113">
        <f t="shared" ref="K320" si="396">IFERROR(K266/K208,"--")</f>
        <v>0.62453989028141832</v>
      </c>
      <c r="L320" s="197">
        <f ca="1">IFERROR(L266/L208,"--")</f>
        <v>0.63953989028141833</v>
      </c>
      <c r="M320" s="197">
        <f ca="1">IFERROR(M266/M208,"--")</f>
        <v>0.63953989028141833</v>
      </c>
      <c r="N320" s="197">
        <f ca="1">IFERROR(N266/N208,"--")</f>
        <v>0.62953989028141832</v>
      </c>
      <c r="O320" s="197">
        <f ca="1">IFERROR(O266/O208,"--")</f>
        <v>0.62953989028141832</v>
      </c>
      <c r="P320" s="197">
        <f ca="1">IFERROR(P266/P208,"--")</f>
        <v>0.62953989028141832</v>
      </c>
    </row>
    <row r="321" spans="2:19" ht="12.6" customHeight="1" x14ac:dyDescent="0.2">
      <c r="B321" s="322" t="s">
        <v>790</v>
      </c>
      <c r="C321" s="326"/>
      <c r="D321" s="113">
        <f t="shared" ref="D321:P321" si="397">IFERROR(D267/D209,"--")</f>
        <v>0.623245820183979</v>
      </c>
      <c r="E321" s="113">
        <f t="shared" si="392"/>
        <v>0.56590487313462501</v>
      </c>
      <c r="F321" s="113">
        <f t="shared" si="397"/>
        <v>0.55729518713860782</v>
      </c>
      <c r="G321" s="113">
        <f t="shared" si="397"/>
        <v>0.50922455727058025</v>
      </c>
      <c r="H321" s="113">
        <f t="shared" si="397"/>
        <v>0.54779557025517778</v>
      </c>
      <c r="I321" s="113">
        <f t="shared" si="397"/>
        <v>0.60797131963808115</v>
      </c>
      <c r="J321" s="113">
        <f t="shared" si="397"/>
        <v>0.62156136132994</v>
      </c>
      <c r="K321" s="113">
        <f t="shared" ref="K321" si="398">IFERROR(K267/K209,"--")</f>
        <v>0.61487333921303078</v>
      </c>
      <c r="L321" s="197">
        <f t="shared" si="397"/>
        <v>0.62987333921303079</v>
      </c>
      <c r="M321" s="197">
        <f t="shared" si="397"/>
        <v>0.62987333921303079</v>
      </c>
      <c r="N321" s="197">
        <f t="shared" si="397"/>
        <v>0.61987333921303078</v>
      </c>
      <c r="O321" s="197">
        <f t="shared" si="397"/>
        <v>0.61987333921303078</v>
      </c>
      <c r="P321" s="197">
        <f t="shared" si="397"/>
        <v>0.61987333921303078</v>
      </c>
    </row>
    <row r="322" spans="2:19" ht="12.6" customHeight="1" x14ac:dyDescent="0.2">
      <c r="B322" s="322" t="s">
        <v>214</v>
      </c>
      <c r="C322" s="326"/>
      <c r="D322" s="113" t="str">
        <f t="shared" ref="D322:P322" si="399">IFERROR(D268/D210,"--")</f>
        <v>--</v>
      </c>
      <c r="E322" s="113" t="str">
        <f t="shared" si="392"/>
        <v>--</v>
      </c>
      <c r="F322" s="113">
        <f t="shared" si="399"/>
        <v>0.21641601670521479</v>
      </c>
      <c r="G322" s="113">
        <f t="shared" si="399"/>
        <v>0.34918053245443365</v>
      </c>
      <c r="H322" s="113">
        <f t="shared" si="399"/>
        <v>0.34670157197787982</v>
      </c>
      <c r="I322" s="113">
        <f t="shared" si="399"/>
        <v>0.31407444550900349</v>
      </c>
      <c r="J322" s="113">
        <f t="shared" si="399"/>
        <v>0.28444498319348571</v>
      </c>
      <c r="K322" s="113">
        <f t="shared" ref="K322" si="400">IFERROR(K268/K210,"--")</f>
        <v>0.37974803941711738</v>
      </c>
      <c r="L322" s="197">
        <f t="shared" ca="1" si="399"/>
        <v>0.37974803941711738</v>
      </c>
      <c r="M322" s="197">
        <f t="shared" ca="1" si="399"/>
        <v>0.37974803941711738</v>
      </c>
      <c r="N322" s="197">
        <f t="shared" ca="1" si="399"/>
        <v>0.37974803941711738</v>
      </c>
      <c r="O322" s="197">
        <f t="shared" ca="1" si="399"/>
        <v>0.37974803941711738</v>
      </c>
      <c r="P322" s="197">
        <f t="shared" ca="1" si="399"/>
        <v>0.37974803941711738</v>
      </c>
    </row>
    <row r="323" spans="2:19" ht="12.6" customHeight="1" x14ac:dyDescent="0.2">
      <c r="B323" s="322" t="s">
        <v>10</v>
      </c>
      <c r="C323" s="326"/>
      <c r="D323" s="113" t="str">
        <f t="shared" ref="D323:P323" si="401">IFERROR(D269/D211,"--")</f>
        <v>--</v>
      </c>
      <c r="E323" s="113" t="str">
        <f t="shared" si="392"/>
        <v>--</v>
      </c>
      <c r="F323" s="113">
        <f t="shared" si="401"/>
        <v>-8.126057153031184E-3</v>
      </c>
      <c r="G323" s="113">
        <f t="shared" si="401"/>
        <v>0.40500914527743004</v>
      </c>
      <c r="H323" s="113">
        <f t="shared" si="401"/>
        <v>0.32087127294508355</v>
      </c>
      <c r="I323" s="113">
        <f t="shared" si="401"/>
        <v>0.33705558549975767</v>
      </c>
      <c r="J323" s="113">
        <f t="shared" si="401"/>
        <v>0.41652017109914841</v>
      </c>
      <c r="K323" s="113">
        <f t="shared" ref="K323" si="402">IFERROR(K269/K211,"--")</f>
        <v>0.39169388156172047</v>
      </c>
      <c r="L323" s="197">
        <f t="shared" ca="1" si="401"/>
        <v>0.40169388156172048</v>
      </c>
      <c r="M323" s="197">
        <f t="shared" ca="1" si="401"/>
        <v>0.40169388156172048</v>
      </c>
      <c r="N323" s="197">
        <f t="shared" ca="1" si="401"/>
        <v>0.40169388156172048</v>
      </c>
      <c r="O323" s="197">
        <f t="shared" ca="1" si="401"/>
        <v>0.40169388156172048</v>
      </c>
      <c r="P323" s="197">
        <f t="shared" ca="1" si="401"/>
        <v>0.40169388156172048</v>
      </c>
    </row>
    <row r="324" spans="2:19" ht="12.6" customHeight="1" x14ac:dyDescent="0.2">
      <c r="B324" s="322" t="s">
        <v>568</v>
      </c>
      <c r="C324" s="326"/>
      <c r="D324" s="113" t="str">
        <f t="shared" ref="D324:P324" si="403">IFERROR(D270/D212,"--")</f>
        <v>--</v>
      </c>
      <c r="E324" s="113" t="str">
        <f t="shared" si="392"/>
        <v>--</v>
      </c>
      <c r="F324" s="113" t="str">
        <f t="shared" si="403"/>
        <v>--</v>
      </c>
      <c r="G324" s="113" t="str">
        <f t="shared" si="403"/>
        <v>--</v>
      </c>
      <c r="H324" s="113">
        <f t="shared" si="403"/>
        <v>-0.82428959465106544</v>
      </c>
      <c r="I324" s="113">
        <f t="shared" si="403"/>
        <v>0.32439139534649697</v>
      </c>
      <c r="J324" s="113">
        <f t="shared" si="403"/>
        <v>0.42559112725407466</v>
      </c>
      <c r="K324" s="113">
        <f t="shared" ref="K324" si="404">IFERROR(K270/K212,"--")</f>
        <v>0.41289325736591043</v>
      </c>
      <c r="L324" s="197">
        <f t="shared" si="403"/>
        <v>0.41289325736591043</v>
      </c>
      <c r="M324" s="197">
        <f t="shared" si="403"/>
        <v>0.41289325736591043</v>
      </c>
      <c r="N324" s="197">
        <f t="shared" si="403"/>
        <v>0.41289325736591043</v>
      </c>
      <c r="O324" s="197">
        <f t="shared" si="403"/>
        <v>0.41289325736591043</v>
      </c>
      <c r="P324" s="197">
        <f t="shared" si="403"/>
        <v>0.41289325736591043</v>
      </c>
    </row>
    <row r="325" spans="2:19" ht="12.6" customHeight="1" x14ac:dyDescent="0.2">
      <c r="B325" s="322" t="s">
        <v>8</v>
      </c>
      <c r="C325" s="326"/>
      <c r="D325" s="113" t="str">
        <f t="shared" ref="D325:P325" si="405">IFERROR(D271/D213,"--")</f>
        <v>--</v>
      </c>
      <c r="E325" s="113" t="str">
        <f t="shared" si="392"/>
        <v>--</v>
      </c>
      <c r="F325" s="113">
        <f t="shared" si="405"/>
        <v>0.12910451317733398</v>
      </c>
      <c r="G325" s="113">
        <f t="shared" si="405"/>
        <v>0.16765528819250147</v>
      </c>
      <c r="H325" s="113">
        <f t="shared" si="405"/>
        <v>0.12764850836739802</v>
      </c>
      <c r="I325" s="113">
        <f t="shared" si="405"/>
        <v>0.15945757423477622</v>
      </c>
      <c r="J325" s="113">
        <f t="shared" si="405"/>
        <v>0.20499739176373874</v>
      </c>
      <c r="K325" s="113">
        <f t="shared" ref="K325" si="406">IFERROR(K271/K213,"--")</f>
        <v>0.22918625513206123</v>
      </c>
      <c r="L325" s="197">
        <f t="shared" ca="1" si="405"/>
        <v>0.22918625513206123</v>
      </c>
      <c r="M325" s="197">
        <f t="shared" ca="1" si="405"/>
        <v>0.22918625513206123</v>
      </c>
      <c r="N325" s="197">
        <f t="shared" ca="1" si="405"/>
        <v>0.2291862551320612</v>
      </c>
      <c r="O325" s="197">
        <f t="shared" ca="1" si="405"/>
        <v>0.22918625513206126</v>
      </c>
      <c r="P325" s="197">
        <f t="shared" ca="1" si="405"/>
        <v>0.22918625513206126</v>
      </c>
    </row>
    <row r="326" spans="2:19" ht="12.6" customHeight="1" x14ac:dyDescent="0.2">
      <c r="B326" s="322" t="s">
        <v>9</v>
      </c>
      <c r="C326" s="326"/>
      <c r="D326" s="113" t="str">
        <f t="shared" ref="D326:J341" si="407">IFERROR(D272/D214,"--")</f>
        <v>--</v>
      </c>
      <c r="E326" s="113" t="str">
        <f t="shared" si="392"/>
        <v>--</v>
      </c>
      <c r="F326" s="113" t="str">
        <f t="shared" si="407"/>
        <v>--</v>
      </c>
      <c r="G326" s="113" t="str">
        <f t="shared" si="407"/>
        <v>--</v>
      </c>
      <c r="H326" s="113">
        <f t="shared" si="407"/>
        <v>0</v>
      </c>
      <c r="I326" s="113">
        <f t="shared" si="407"/>
        <v>6.4320420642565837E-2</v>
      </c>
      <c r="J326" s="113">
        <f t="shared" si="407"/>
        <v>0.11776415146555345</v>
      </c>
      <c r="K326" s="113">
        <f t="shared" ref="K326" si="408">IFERROR(K272/K214,"--")</f>
        <v>0.26723182391870293</v>
      </c>
      <c r="L326" s="197">
        <f t="shared" ref="L326:P329" si="409">IFERROR(L272/L214,"--")</f>
        <v>0.31723182391870292</v>
      </c>
      <c r="M326" s="197">
        <f t="shared" si="409"/>
        <v>0.31723182391870292</v>
      </c>
      <c r="N326" s="197">
        <f t="shared" si="409"/>
        <v>0.31723182391870292</v>
      </c>
      <c r="O326" s="197">
        <f t="shared" si="409"/>
        <v>0.31723182391870292</v>
      </c>
      <c r="P326" s="197">
        <f t="shared" si="409"/>
        <v>0.31723182391870292</v>
      </c>
    </row>
    <row r="327" spans="2:19" ht="12.6" customHeight="1" x14ac:dyDescent="0.2">
      <c r="B327" s="322" t="s">
        <v>215</v>
      </c>
      <c r="C327" s="326"/>
      <c r="D327" s="113" t="str">
        <f t="shared" si="407"/>
        <v>--</v>
      </c>
      <c r="E327" s="113" t="str">
        <f t="shared" si="392"/>
        <v>--</v>
      </c>
      <c r="F327" s="113">
        <f t="shared" si="407"/>
        <v>0.42186150339789158</v>
      </c>
      <c r="G327" s="113">
        <f t="shared" si="407"/>
        <v>0.34960121928443127</v>
      </c>
      <c r="H327" s="113">
        <f t="shared" si="407"/>
        <v>0.40090411463330866</v>
      </c>
      <c r="I327" s="113">
        <f t="shared" si="407"/>
        <v>0.44429189516692813</v>
      </c>
      <c r="J327" s="113">
        <f t="shared" si="407"/>
        <v>0.450992658290432</v>
      </c>
      <c r="K327" s="113">
        <f t="shared" ref="K327" si="410">IFERROR(K273/K215,"--")</f>
        <v>0.49040514045717654</v>
      </c>
      <c r="L327" s="197">
        <f t="shared" ca="1" si="409"/>
        <v>0.49040514045717654</v>
      </c>
      <c r="M327" s="197">
        <f t="shared" ca="1" si="409"/>
        <v>0.49040514045717654</v>
      </c>
      <c r="N327" s="197">
        <f t="shared" ca="1" si="409"/>
        <v>0.49040514045717648</v>
      </c>
      <c r="O327" s="197">
        <f t="shared" ca="1" si="409"/>
        <v>0.49040514045717654</v>
      </c>
      <c r="P327" s="197">
        <f t="shared" ca="1" si="409"/>
        <v>0.49040514045717654</v>
      </c>
    </row>
    <row r="328" spans="2:19" ht="12.6" customHeight="1" x14ac:dyDescent="0.2">
      <c r="B328" s="322" t="s">
        <v>216</v>
      </c>
      <c r="C328" s="326"/>
      <c r="D328" s="113" t="str">
        <f t="shared" si="407"/>
        <v>--</v>
      </c>
      <c r="E328" s="113" t="str">
        <f t="shared" si="392"/>
        <v>--</v>
      </c>
      <c r="F328" s="113" t="str">
        <f t="shared" si="407"/>
        <v>--</v>
      </c>
      <c r="G328" s="113" t="str">
        <f t="shared" si="407"/>
        <v>--</v>
      </c>
      <c r="H328" s="113" t="str">
        <f t="shared" si="407"/>
        <v>--</v>
      </c>
      <c r="I328" s="113" t="str">
        <f t="shared" si="407"/>
        <v>--</v>
      </c>
      <c r="J328" s="113">
        <f t="shared" si="407"/>
        <v>0.33128717214917386</v>
      </c>
      <c r="K328" s="113">
        <f t="shared" ref="K328" si="411">IFERROR(K274/K216,"--")</f>
        <v>0.29338039850510628</v>
      </c>
      <c r="L328" s="197">
        <f t="shared" si="409"/>
        <v>0.29338039850510628</v>
      </c>
      <c r="M328" s="197">
        <f t="shared" si="409"/>
        <v>0.29338039850510628</v>
      </c>
      <c r="N328" s="197">
        <f t="shared" si="409"/>
        <v>0.29338039850510628</v>
      </c>
      <c r="O328" s="197">
        <f t="shared" si="409"/>
        <v>0.29338039850510628</v>
      </c>
      <c r="P328" s="197">
        <f t="shared" si="409"/>
        <v>0.29338039850510628</v>
      </c>
    </row>
    <row r="329" spans="2:19" ht="12.6" customHeight="1" x14ac:dyDescent="0.2">
      <c r="B329" s="322" t="s">
        <v>2</v>
      </c>
      <c r="C329" s="326"/>
      <c r="D329" s="113" t="str">
        <f t="shared" si="407"/>
        <v>--</v>
      </c>
      <c r="E329" s="113" t="str">
        <f t="shared" si="392"/>
        <v>--</v>
      </c>
      <c r="F329" s="113" t="str">
        <f t="shared" si="407"/>
        <v>--</v>
      </c>
      <c r="G329" s="113" t="str">
        <f t="shared" si="407"/>
        <v>--</v>
      </c>
      <c r="H329" s="113" t="str">
        <f t="shared" si="407"/>
        <v>--</v>
      </c>
      <c r="I329" s="113" t="str">
        <f t="shared" si="407"/>
        <v>--</v>
      </c>
      <c r="J329" s="113" t="str">
        <f t="shared" si="407"/>
        <v>--</v>
      </c>
      <c r="K329" s="113">
        <f t="shared" ref="K329" si="412">IFERROR(K275/K217,"--")</f>
        <v>0.1349925442829788</v>
      </c>
      <c r="L329" s="197">
        <f t="shared" si="409"/>
        <v>0.2349925442829788</v>
      </c>
      <c r="M329" s="197">
        <f t="shared" si="409"/>
        <v>0.2349925442829788</v>
      </c>
      <c r="N329" s="197">
        <f t="shared" si="409"/>
        <v>0.28499254428297882</v>
      </c>
      <c r="O329" s="197">
        <f t="shared" si="409"/>
        <v>0.28499254428297882</v>
      </c>
      <c r="P329" s="197">
        <f t="shared" si="409"/>
        <v>0.28499254428297882</v>
      </c>
    </row>
    <row r="330" spans="2:19" ht="12.6" customHeight="1" x14ac:dyDescent="0.2">
      <c r="B330" s="322" t="s">
        <v>791</v>
      </c>
      <c r="C330" s="326"/>
      <c r="D330" s="113" t="str">
        <f t="shared" si="407"/>
        <v>--</v>
      </c>
      <c r="E330" s="113" t="str">
        <f t="shared" si="392"/>
        <v>--</v>
      </c>
      <c r="F330" s="113" t="str">
        <f t="shared" si="407"/>
        <v>--</v>
      </c>
      <c r="G330" s="113" t="str">
        <f t="shared" si="407"/>
        <v>--</v>
      </c>
      <c r="H330" s="113" t="str">
        <f t="shared" si="407"/>
        <v>--</v>
      </c>
      <c r="I330" s="113" t="str">
        <f t="shared" si="407"/>
        <v>--</v>
      </c>
      <c r="J330" s="113">
        <f t="shared" si="407"/>
        <v>0</v>
      </c>
      <c r="K330" s="113">
        <v>0.85</v>
      </c>
      <c r="L330" s="356">
        <v>0.9</v>
      </c>
      <c r="M330" s="356">
        <v>0.9</v>
      </c>
      <c r="N330" s="356">
        <v>0.9</v>
      </c>
      <c r="O330" s="356">
        <v>0.9</v>
      </c>
      <c r="P330" s="356">
        <v>0.9</v>
      </c>
    </row>
    <row r="331" spans="2:19" ht="12.6" customHeight="1" x14ac:dyDescent="0.2">
      <c r="B331" s="322" t="s">
        <v>553</v>
      </c>
      <c r="C331" s="326"/>
      <c r="D331" s="113" t="str">
        <f t="shared" si="407"/>
        <v>--</v>
      </c>
      <c r="E331" s="113" t="str">
        <f t="shared" si="392"/>
        <v>--</v>
      </c>
      <c r="F331" s="113" t="str">
        <f t="shared" si="407"/>
        <v>--</v>
      </c>
      <c r="G331" s="113" t="str">
        <f t="shared" si="407"/>
        <v>--</v>
      </c>
      <c r="H331" s="113" t="str">
        <f t="shared" si="407"/>
        <v>--</v>
      </c>
      <c r="I331" s="113" t="str">
        <f t="shared" si="407"/>
        <v>--</v>
      </c>
      <c r="J331" s="113" t="str">
        <f t="shared" si="407"/>
        <v>--</v>
      </c>
      <c r="K331" s="113">
        <v>0.3</v>
      </c>
      <c r="L331" s="356">
        <v>0.35</v>
      </c>
      <c r="M331" s="356">
        <v>0.35</v>
      </c>
      <c r="N331" s="356">
        <v>0.35</v>
      </c>
      <c r="O331" s="356">
        <v>0.35</v>
      </c>
      <c r="P331" s="356">
        <v>0.35</v>
      </c>
    </row>
    <row r="332" spans="2:19" ht="12.6" customHeight="1" x14ac:dyDescent="0.2">
      <c r="B332" s="370" t="s">
        <v>788</v>
      </c>
      <c r="C332" s="326"/>
      <c r="D332" s="113" t="str">
        <f t="shared" si="407"/>
        <v>--</v>
      </c>
      <c r="E332" s="113" t="str">
        <f t="shared" si="392"/>
        <v>--</v>
      </c>
      <c r="F332" s="113" t="str">
        <f t="shared" si="407"/>
        <v>--</v>
      </c>
      <c r="G332" s="113" t="str">
        <f t="shared" si="407"/>
        <v>--</v>
      </c>
      <c r="H332" s="113" t="str">
        <f t="shared" si="407"/>
        <v>--</v>
      </c>
      <c r="I332" s="113" t="str">
        <f t="shared" si="407"/>
        <v>--</v>
      </c>
      <c r="J332" s="113" t="str">
        <f t="shared" si="407"/>
        <v>--</v>
      </c>
      <c r="K332" s="113">
        <f t="shared" ref="K332" si="413">IFERROR(K278/K220,"--")</f>
        <v>0</v>
      </c>
      <c r="L332" s="356">
        <v>-0.05</v>
      </c>
      <c r="M332" s="356">
        <v>-0.05</v>
      </c>
      <c r="N332" s="356">
        <v>0.2</v>
      </c>
      <c r="O332" s="356">
        <v>0.2</v>
      </c>
      <c r="P332" s="356">
        <v>0.2</v>
      </c>
    </row>
    <row r="333" spans="2:19" ht="12.6" customHeight="1" x14ac:dyDescent="0.2">
      <c r="B333" s="370" t="s">
        <v>789</v>
      </c>
      <c r="C333" s="326"/>
      <c r="D333" s="113" t="str">
        <f t="shared" si="407"/>
        <v>--</v>
      </c>
      <c r="E333" s="113" t="str">
        <f t="shared" si="392"/>
        <v>--</v>
      </c>
      <c r="F333" s="113" t="str">
        <f t="shared" si="407"/>
        <v>--</v>
      </c>
      <c r="G333" s="113" t="str">
        <f t="shared" si="407"/>
        <v>--</v>
      </c>
      <c r="H333" s="113" t="str">
        <f t="shared" si="407"/>
        <v>--</v>
      </c>
      <c r="I333" s="113" t="str">
        <f t="shared" si="407"/>
        <v>--</v>
      </c>
      <c r="J333" s="113" t="str">
        <f t="shared" si="407"/>
        <v>--</v>
      </c>
      <c r="K333" s="113" t="str">
        <f t="shared" ref="K333" si="414">IFERROR(K279/K221,"--")</f>
        <v>--</v>
      </c>
      <c r="L333" s="356">
        <v>0.6</v>
      </c>
      <c r="M333" s="356">
        <v>0.6</v>
      </c>
      <c r="N333" s="356">
        <v>0.65</v>
      </c>
      <c r="O333" s="356">
        <v>0.65</v>
      </c>
      <c r="P333" s="356">
        <v>0.65</v>
      </c>
    </row>
    <row r="334" spans="2:19" ht="12.6" customHeight="1" x14ac:dyDescent="0.2">
      <c r="B334" s="370" t="s">
        <v>558</v>
      </c>
      <c r="C334" s="326"/>
      <c r="D334" s="113" t="str">
        <f t="shared" si="407"/>
        <v>--</v>
      </c>
      <c r="E334" s="113" t="str">
        <f t="shared" si="392"/>
        <v>--</v>
      </c>
      <c r="F334" s="113" t="str">
        <f t="shared" si="407"/>
        <v>--</v>
      </c>
      <c r="G334" s="113" t="str">
        <f t="shared" si="407"/>
        <v>--</v>
      </c>
      <c r="H334" s="113" t="str">
        <f t="shared" si="407"/>
        <v>--</v>
      </c>
      <c r="I334" s="113" t="str">
        <f t="shared" si="407"/>
        <v>--</v>
      </c>
      <c r="J334" s="113" t="str">
        <f t="shared" si="407"/>
        <v>--</v>
      </c>
      <c r="K334" s="113" t="str">
        <f t="shared" ref="K334" si="415">IFERROR(K280/K222,"--")</f>
        <v>--</v>
      </c>
      <c r="L334" s="356">
        <v>0.6</v>
      </c>
      <c r="M334" s="356">
        <v>0.6</v>
      </c>
      <c r="N334" s="356">
        <v>0.6</v>
      </c>
      <c r="O334" s="356">
        <v>0.65</v>
      </c>
      <c r="P334" s="356">
        <v>0.65</v>
      </c>
    </row>
    <row r="335" spans="2:19" ht="12.6" customHeight="1" x14ac:dyDescent="0.2">
      <c r="B335" s="370" t="s">
        <v>760</v>
      </c>
      <c r="C335" s="326"/>
      <c r="D335" s="113" t="str">
        <f t="shared" si="407"/>
        <v>--</v>
      </c>
      <c r="E335" s="113" t="str">
        <f t="shared" si="407"/>
        <v>--</v>
      </c>
      <c r="F335" s="113" t="str">
        <f t="shared" si="407"/>
        <v>--</v>
      </c>
      <c r="G335" s="113" t="str">
        <f t="shared" si="407"/>
        <v>--</v>
      </c>
      <c r="H335" s="113" t="str">
        <f t="shared" si="407"/>
        <v>--</v>
      </c>
      <c r="I335" s="113" t="str">
        <f t="shared" si="407"/>
        <v>--</v>
      </c>
      <c r="J335" s="113" t="str">
        <f t="shared" si="407"/>
        <v>--</v>
      </c>
      <c r="K335" s="113" t="str">
        <f t="shared" ref="K335" si="416">IFERROR(K281/K223,"--")</f>
        <v>--</v>
      </c>
      <c r="L335" s="356">
        <v>0.73</v>
      </c>
      <c r="M335" s="356">
        <v>0.73</v>
      </c>
      <c r="N335" s="356">
        <v>0.73</v>
      </c>
      <c r="O335" s="356">
        <v>0.73</v>
      </c>
      <c r="P335" s="356">
        <v>0.73</v>
      </c>
    </row>
    <row r="336" spans="2:19" ht="12.6" customHeight="1" x14ac:dyDescent="0.2">
      <c r="B336" s="370" t="s">
        <v>761</v>
      </c>
      <c r="C336" s="326"/>
      <c r="D336" s="113" t="str">
        <f t="shared" ref="D336:J341" si="417">IFERROR(D282/D224,"--")</f>
        <v>--</v>
      </c>
      <c r="E336" s="113" t="str">
        <f t="shared" si="407"/>
        <v>--</v>
      </c>
      <c r="F336" s="113" t="str">
        <f t="shared" si="417"/>
        <v>--</v>
      </c>
      <c r="G336" s="113" t="str">
        <f t="shared" si="417"/>
        <v>--</v>
      </c>
      <c r="H336" s="113" t="str">
        <f t="shared" si="417"/>
        <v>--</v>
      </c>
      <c r="I336" s="113" t="str">
        <f t="shared" si="417"/>
        <v>--</v>
      </c>
      <c r="J336" s="113" t="str">
        <f t="shared" si="417"/>
        <v>--</v>
      </c>
      <c r="K336" s="113" t="str">
        <f t="shared" ref="K336" si="418">IFERROR(K282/K224,"--")</f>
        <v>--</v>
      </c>
      <c r="L336" s="356">
        <v>0.73</v>
      </c>
      <c r="M336" s="356">
        <v>0.73</v>
      </c>
      <c r="N336" s="356">
        <v>0.73</v>
      </c>
      <c r="O336" s="356">
        <v>0.73</v>
      </c>
      <c r="P336" s="356">
        <v>0.73</v>
      </c>
      <c r="S336" s="37">
        <v>4000</v>
      </c>
    </row>
    <row r="337" spans="2:19" ht="12.6" customHeight="1" x14ac:dyDescent="0.2">
      <c r="B337" s="370" t="s">
        <v>664</v>
      </c>
      <c r="C337" s="326"/>
      <c r="D337" s="113" t="str">
        <f t="shared" si="417"/>
        <v>--</v>
      </c>
      <c r="E337" s="113" t="str">
        <f t="shared" si="407"/>
        <v>--</v>
      </c>
      <c r="F337" s="113" t="str">
        <f t="shared" si="417"/>
        <v>--</v>
      </c>
      <c r="G337" s="113" t="str">
        <f t="shared" si="417"/>
        <v>--</v>
      </c>
      <c r="H337" s="113" t="str">
        <f t="shared" si="417"/>
        <v>--</v>
      </c>
      <c r="I337" s="113" t="str">
        <f t="shared" si="417"/>
        <v>--</v>
      </c>
      <c r="J337" s="113" t="str">
        <f t="shared" si="417"/>
        <v>--</v>
      </c>
      <c r="K337" s="113" t="str">
        <f t="shared" ref="K337" si="419">IFERROR(K283/K225,"--")</f>
        <v>--</v>
      </c>
      <c r="L337" s="356">
        <v>0.65</v>
      </c>
      <c r="M337" s="356">
        <v>0.65</v>
      </c>
      <c r="N337" s="356">
        <v>0.65</v>
      </c>
      <c r="O337" s="356">
        <v>0.65</v>
      </c>
      <c r="P337" s="356">
        <v>0.65</v>
      </c>
      <c r="S337" s="37">
        <v>300</v>
      </c>
    </row>
    <row r="338" spans="2:19" ht="12.6" customHeight="1" x14ac:dyDescent="0.2">
      <c r="B338" s="370" t="s">
        <v>1866</v>
      </c>
      <c r="C338" s="326"/>
      <c r="D338" s="113" t="str">
        <f t="shared" si="417"/>
        <v>--</v>
      </c>
      <c r="E338" s="113" t="str">
        <f t="shared" si="407"/>
        <v>--</v>
      </c>
      <c r="F338" s="113" t="str">
        <f t="shared" si="417"/>
        <v>--</v>
      </c>
      <c r="G338" s="113" t="str">
        <f t="shared" si="417"/>
        <v>--</v>
      </c>
      <c r="H338" s="113" t="str">
        <f t="shared" si="417"/>
        <v>--</v>
      </c>
      <c r="I338" s="113" t="str">
        <f t="shared" si="417"/>
        <v>--</v>
      </c>
      <c r="J338" s="113" t="str">
        <f t="shared" si="417"/>
        <v>--</v>
      </c>
      <c r="K338" s="113" t="str">
        <f t="shared" ref="K338" si="420">IFERROR(K284/K226,"--")</f>
        <v>--</v>
      </c>
      <c r="L338" s="356">
        <v>0.65</v>
      </c>
      <c r="M338" s="356">
        <v>0.65</v>
      </c>
      <c r="N338" s="356">
        <v>0.65</v>
      </c>
      <c r="O338" s="356">
        <v>0.65</v>
      </c>
      <c r="P338" s="356">
        <v>0.65</v>
      </c>
      <c r="S338" s="37">
        <f>S336/S337</f>
        <v>13.333333333333334</v>
      </c>
    </row>
    <row r="339" spans="2:19" ht="12.6" customHeight="1" x14ac:dyDescent="0.2">
      <c r="B339" s="370" t="s">
        <v>1767</v>
      </c>
      <c r="C339" s="326"/>
      <c r="D339" s="113" t="str">
        <f t="shared" si="417"/>
        <v>--</v>
      </c>
      <c r="E339" s="113" t="str">
        <f t="shared" si="407"/>
        <v>--</v>
      </c>
      <c r="F339" s="113" t="str">
        <f t="shared" si="417"/>
        <v>--</v>
      </c>
      <c r="G339" s="113" t="str">
        <f t="shared" si="417"/>
        <v>--</v>
      </c>
      <c r="H339" s="113" t="str">
        <f t="shared" si="417"/>
        <v>--</v>
      </c>
      <c r="I339" s="113" t="str">
        <f t="shared" si="417"/>
        <v>--</v>
      </c>
      <c r="J339" s="113" t="str">
        <f t="shared" si="417"/>
        <v>--</v>
      </c>
      <c r="K339" s="113" t="str">
        <f t="shared" ref="K339" si="421">IFERROR(K285/K227,"--")</f>
        <v>--</v>
      </c>
      <c r="L339" s="356">
        <f>L328</f>
        <v>0.29338039850510628</v>
      </c>
      <c r="M339" s="356">
        <f t="shared" ref="M339:P339" si="422">M328</f>
        <v>0.29338039850510628</v>
      </c>
      <c r="N339" s="356">
        <f t="shared" si="422"/>
        <v>0.29338039850510628</v>
      </c>
      <c r="O339" s="356">
        <f t="shared" si="422"/>
        <v>0.29338039850510628</v>
      </c>
      <c r="P339" s="356">
        <f t="shared" si="422"/>
        <v>0.29338039850510628</v>
      </c>
    </row>
    <row r="340" spans="2:19" ht="12.6" customHeight="1" x14ac:dyDescent="0.2">
      <c r="B340" s="370" t="s">
        <v>2045</v>
      </c>
      <c r="C340" s="326"/>
      <c r="D340" s="113" t="str">
        <f t="shared" si="417"/>
        <v>--</v>
      </c>
      <c r="E340" s="113" t="str">
        <f t="shared" si="407"/>
        <v>--</v>
      </c>
      <c r="F340" s="113" t="str">
        <f t="shared" si="417"/>
        <v>--</v>
      </c>
      <c r="G340" s="113" t="str">
        <f t="shared" si="417"/>
        <v>--</v>
      </c>
      <c r="H340" s="113" t="str">
        <f t="shared" si="417"/>
        <v>--</v>
      </c>
      <c r="I340" s="113" t="str">
        <f t="shared" si="417"/>
        <v>--</v>
      </c>
      <c r="J340" s="113" t="str">
        <f t="shared" si="417"/>
        <v>--</v>
      </c>
      <c r="K340" s="113" t="str">
        <f t="shared" ref="K340" si="423">IFERROR(K286/K228,"--")</f>
        <v>--</v>
      </c>
      <c r="L340" s="356">
        <f>L339</f>
        <v>0.29338039850510628</v>
      </c>
      <c r="M340" s="356">
        <f t="shared" ref="M340:P340" si="424">M339</f>
        <v>0.29338039850510628</v>
      </c>
      <c r="N340" s="356">
        <f t="shared" si="424"/>
        <v>0.29338039850510628</v>
      </c>
      <c r="O340" s="356">
        <f t="shared" si="424"/>
        <v>0.29338039850510628</v>
      </c>
      <c r="P340" s="356">
        <f t="shared" si="424"/>
        <v>0.29338039850510628</v>
      </c>
    </row>
    <row r="341" spans="2:19" ht="12.6" customHeight="1" x14ac:dyDescent="0.2">
      <c r="B341" s="370" t="s">
        <v>472</v>
      </c>
      <c r="C341" s="326"/>
      <c r="D341" s="113" t="str">
        <f t="shared" si="417"/>
        <v>--</v>
      </c>
      <c r="E341" s="113" t="str">
        <f t="shared" si="407"/>
        <v>--</v>
      </c>
      <c r="F341" s="113" t="str">
        <f t="shared" si="417"/>
        <v>--</v>
      </c>
      <c r="G341" s="113" t="str">
        <f t="shared" si="417"/>
        <v>--</v>
      </c>
      <c r="H341" s="113" t="str">
        <f t="shared" si="417"/>
        <v>--</v>
      </c>
      <c r="I341" s="113" t="str">
        <f t="shared" si="417"/>
        <v>--</v>
      </c>
      <c r="J341" s="113" t="str">
        <f t="shared" si="417"/>
        <v>--</v>
      </c>
      <c r="K341" s="113" t="str">
        <f t="shared" ref="K341" si="425">IFERROR(K287/K229,"--")</f>
        <v>--</v>
      </c>
      <c r="L341" s="356"/>
      <c r="M341" s="356"/>
      <c r="N341" s="356"/>
      <c r="O341" s="356"/>
      <c r="P341" s="356"/>
    </row>
    <row r="342" spans="2:19" ht="12.6" customHeight="1" x14ac:dyDescent="0.2">
      <c r="B342" s="370" t="s">
        <v>472</v>
      </c>
      <c r="C342" s="326"/>
      <c r="D342" s="113"/>
      <c r="E342" s="113"/>
      <c r="F342" s="113"/>
      <c r="G342" s="113"/>
      <c r="H342" s="113"/>
      <c r="I342" s="113"/>
      <c r="J342" s="113"/>
      <c r="K342" s="113"/>
      <c r="L342" s="356"/>
      <c r="M342" s="356"/>
      <c r="N342" s="356"/>
      <c r="O342" s="356"/>
      <c r="P342" s="356"/>
    </row>
    <row r="343" spans="2:19" ht="12.6" customHeight="1" x14ac:dyDescent="0.2">
      <c r="B343" s="371" t="s">
        <v>551</v>
      </c>
      <c r="C343" s="326"/>
      <c r="D343" s="117">
        <f>IFERROR(D289/D233,"--")</f>
        <v>0.58895839027522057</v>
      </c>
      <c r="E343" s="117">
        <f t="shared" ref="E343" si="426">IFERROR(E289/E233,"--")</f>
        <v>0.56666042125776739</v>
      </c>
      <c r="F343" s="117">
        <f t="shared" ref="F343:J343" si="427">IFERROR(F289/F233,"--")</f>
        <v>0.54166010217598759</v>
      </c>
      <c r="G343" s="117">
        <f t="shared" si="427"/>
        <v>0.50913851308688951</v>
      </c>
      <c r="H343" s="114">
        <f t="shared" si="427"/>
        <v>0.48807835503419433</v>
      </c>
      <c r="I343" s="117">
        <f t="shared" si="427"/>
        <v>0.50579018282487598</v>
      </c>
      <c r="J343" s="117">
        <f t="shared" si="427"/>
        <v>0.52208807592036965</v>
      </c>
      <c r="K343" s="117">
        <f t="shared" ref="K343" si="428">IFERROR(K289/K233,"--")</f>
        <v>0.50816824534854166</v>
      </c>
      <c r="L343" s="204">
        <f ca="1">IFERROR(L289/L233,"--")</f>
        <v>0.46191183003613689</v>
      </c>
      <c r="M343" s="204">
        <f ca="1">IFERROR(M289/M233,"--")</f>
        <v>0.45081845675601412</v>
      </c>
      <c r="N343" s="204">
        <f ca="1">IFERROR(N289/N233,"--")</f>
        <v>0.5069850341958525</v>
      </c>
      <c r="O343" s="204">
        <f ca="1">IFERROR(O289/O233,"--")</f>
        <v>0.51130059440641795</v>
      </c>
      <c r="P343" s="204">
        <f ca="1">IFERROR(P289/P233,"--")</f>
        <v>0.52695697674060382</v>
      </c>
    </row>
    <row r="345" spans="2:19" ht="12.6" customHeight="1" x14ac:dyDescent="0.2">
      <c r="B345" s="50" t="s">
        <v>679</v>
      </c>
      <c r="C345" s="50"/>
      <c r="D345" s="348"/>
      <c r="E345" s="348"/>
      <c r="F345" s="348"/>
      <c r="G345" s="317"/>
      <c r="H345" s="317"/>
      <c r="I345" s="317"/>
      <c r="J345" s="317"/>
      <c r="K345" s="317"/>
      <c r="L345" s="318"/>
      <c r="M345" s="318"/>
      <c r="N345" s="318"/>
      <c r="O345" s="318"/>
      <c r="P345" s="318"/>
    </row>
    <row r="346" spans="2:19" ht="12.6" customHeight="1" x14ac:dyDescent="0.2">
      <c r="B346" s="56" t="s">
        <v>213</v>
      </c>
      <c r="C346" s="61"/>
      <c r="D346" s="288" t="str">
        <f t="shared" ref="D346:P361" si="429">IFERROR(D207/D3,"--")</f>
        <v>--</v>
      </c>
      <c r="E346" s="288">
        <f t="shared" si="429"/>
        <v>646.38042959427207</v>
      </c>
      <c r="F346" s="288">
        <f t="shared" si="429"/>
        <v>896.02414741675886</v>
      </c>
      <c r="G346" s="288">
        <f t="shared" si="429"/>
        <v>892.08607242339838</v>
      </c>
      <c r="H346" s="311">
        <f t="shared" si="429"/>
        <v>1562.3426415237921</v>
      </c>
      <c r="I346" s="288">
        <f t="shared" si="429"/>
        <v>1968.8211111111109</v>
      </c>
      <c r="J346" s="288">
        <f t="shared" si="429"/>
        <v>2016.5283018867926</v>
      </c>
      <c r="K346" s="288" t="str">
        <f t="shared" si="429"/>
        <v>--</v>
      </c>
      <c r="L346" s="303">
        <f t="shared" si="429"/>
        <v>2009.2976588628762</v>
      </c>
      <c r="M346" s="303">
        <f t="shared" si="429"/>
        <v>2388.4284375000002</v>
      </c>
      <c r="N346" s="303">
        <f t="shared" si="429"/>
        <v>2507.8498593750005</v>
      </c>
      <c r="O346" s="303">
        <f t="shared" si="429"/>
        <v>2633.2423523437506</v>
      </c>
      <c r="P346" s="303">
        <f t="shared" si="429"/>
        <v>2764.9044699609381</v>
      </c>
    </row>
    <row r="347" spans="2:19" ht="12.6" customHeight="1" x14ac:dyDescent="0.2">
      <c r="B347" s="56" t="s">
        <v>3</v>
      </c>
      <c r="C347" s="61"/>
      <c r="D347" s="288">
        <f t="shared" ref="D347:I347" si="430">IFERROR(D208/D4,"--")</f>
        <v>553.57430519140007</v>
      </c>
      <c r="E347" s="288">
        <f t="shared" si="429"/>
        <v>452.60076628352488</v>
      </c>
      <c r="F347" s="288">
        <f t="shared" si="430"/>
        <v>578.701980759859</v>
      </c>
      <c r="G347" s="288">
        <f t="shared" si="430"/>
        <v>717.99263909937224</v>
      </c>
      <c r="H347" s="311">
        <f t="shared" si="430"/>
        <v>655.82292472390577</v>
      </c>
      <c r="I347" s="288">
        <f t="shared" si="430"/>
        <v>594.87626624499671</v>
      </c>
      <c r="J347" s="288">
        <f t="shared" ref="J347:K347" si="431">IFERROR(J208/J4,"--")</f>
        <v>603.69553695955369</v>
      </c>
      <c r="K347" s="288">
        <f t="shared" si="431"/>
        <v>612.74165829145738</v>
      </c>
      <c r="L347" s="303">
        <f ca="1">IFERROR(L208/L4,"--")</f>
        <v>631.79092502317974</v>
      </c>
      <c r="M347" s="303">
        <f ca="1">IFERROR(M208/M4,"--")</f>
        <v>640.9923943621626</v>
      </c>
      <c r="N347" s="303">
        <f ca="1">IFERROR(N208/N4,"--")</f>
        <v>641.27331197842864</v>
      </c>
      <c r="O347" s="303">
        <f ca="1">IFERROR(O208/O4,"--")</f>
        <v>649.25704172557107</v>
      </c>
      <c r="P347" s="303">
        <f ca="1">IFERROR(P208/P4,"--")</f>
        <v>659.83858969383755</v>
      </c>
    </row>
    <row r="348" spans="2:19" ht="12.6" customHeight="1" x14ac:dyDescent="0.2">
      <c r="B348" s="56" t="s">
        <v>790</v>
      </c>
      <c r="C348" s="61"/>
      <c r="D348" s="288">
        <f t="shared" ref="D348:P348" si="432">IFERROR(D209/D5,"--")</f>
        <v>125.17272727272729</v>
      </c>
      <c r="E348" s="288">
        <f t="shared" si="429"/>
        <v>126.9716614906832</v>
      </c>
      <c r="F348" s="288">
        <f t="shared" si="432"/>
        <v>125.70425162298545</v>
      </c>
      <c r="G348" s="288">
        <f t="shared" si="432"/>
        <v>128.86062015503876</v>
      </c>
      <c r="H348" s="288">
        <f t="shared" si="432"/>
        <v>169.71504881074526</v>
      </c>
      <c r="I348" s="288">
        <f t="shared" si="432"/>
        <v>182.82355389096961</v>
      </c>
      <c r="J348" s="288">
        <f t="shared" si="432"/>
        <v>178.42068416865553</v>
      </c>
      <c r="K348" s="288">
        <f t="shared" si="432"/>
        <v>182.34783549783552</v>
      </c>
      <c r="L348" s="303">
        <f t="shared" si="432"/>
        <v>182.34335937971525</v>
      </c>
      <c r="M348" s="303">
        <f t="shared" si="432"/>
        <v>187.79307667607912</v>
      </c>
      <c r="N348" s="303">
        <f t="shared" si="432"/>
        <v>193.38524295861041</v>
      </c>
      <c r="O348" s="303">
        <f t="shared" si="432"/>
        <v>199.16909794954819</v>
      </c>
      <c r="P348" s="303">
        <f t="shared" si="432"/>
        <v>205.1362319262301</v>
      </c>
    </row>
    <row r="349" spans="2:19" ht="12.6" customHeight="1" x14ac:dyDescent="0.2">
      <c r="B349" s="56" t="s">
        <v>214</v>
      </c>
      <c r="C349" s="61"/>
      <c r="D349" s="288">
        <f t="shared" ref="D349:P349" si="433">IFERROR(D210/D6,"--")</f>
        <v>0</v>
      </c>
      <c r="E349" s="288">
        <f t="shared" si="429"/>
        <v>0</v>
      </c>
      <c r="F349" s="288">
        <f t="shared" si="433"/>
        <v>302.21529973094761</v>
      </c>
      <c r="G349" s="288">
        <f t="shared" si="433"/>
        <v>357.82796486090768</v>
      </c>
      <c r="H349" s="288">
        <f t="shared" si="433"/>
        <v>372.9618719946576</v>
      </c>
      <c r="I349" s="288">
        <f t="shared" si="433"/>
        <v>395.01627051499719</v>
      </c>
      <c r="J349" s="288">
        <f t="shared" si="433"/>
        <v>417.32001117942997</v>
      </c>
      <c r="K349" s="288">
        <f>IFERROR(K210/K6,"--")</f>
        <v>461.61734374999997</v>
      </c>
      <c r="L349" s="303">
        <f t="shared" ca="1" si="433"/>
        <v>458.63047535087719</v>
      </c>
      <c r="M349" s="303">
        <f t="shared" ca="1" si="433"/>
        <v>468.70891653916186</v>
      </c>
      <c r="N349" s="303">
        <f t="shared" ca="1" si="433"/>
        <v>477.5561710938365</v>
      </c>
      <c r="O349" s="303">
        <f t="shared" ca="1" si="433"/>
        <v>491.02654195159374</v>
      </c>
      <c r="P349" s="303">
        <f t="shared" ca="1" si="433"/>
        <v>505.30926230919169</v>
      </c>
    </row>
    <row r="350" spans="2:19" ht="12.6" customHeight="1" x14ac:dyDescent="0.2">
      <c r="B350" s="56" t="s">
        <v>10</v>
      </c>
      <c r="C350" s="61"/>
      <c r="D350" s="288" t="str">
        <f t="shared" ref="D350:P350" si="434">IFERROR(D211/D7,"--")</f>
        <v>--</v>
      </c>
      <c r="E350" s="288" t="str">
        <f t="shared" si="429"/>
        <v>--</v>
      </c>
      <c r="F350" s="288">
        <f t="shared" si="434"/>
        <v>554.44225074037513</v>
      </c>
      <c r="G350" s="288">
        <f t="shared" si="434"/>
        <v>304.88481613285887</v>
      </c>
      <c r="H350" s="288">
        <f t="shared" si="434"/>
        <v>340.29322329421518</v>
      </c>
      <c r="I350" s="288">
        <f t="shared" si="434"/>
        <v>316.88256302521012</v>
      </c>
      <c r="J350" s="288">
        <f t="shared" si="434"/>
        <v>320.22732417138235</v>
      </c>
      <c r="K350" s="288">
        <f t="shared" si="434"/>
        <v>322.26719298245615</v>
      </c>
      <c r="L350" s="303">
        <f t="shared" ca="1" si="434"/>
        <v>354.15106191097584</v>
      </c>
      <c r="M350" s="303">
        <f t="shared" ca="1" si="434"/>
        <v>356.07757474933368</v>
      </c>
      <c r="N350" s="303">
        <f t="shared" ca="1" si="434"/>
        <v>370.19821287670698</v>
      </c>
      <c r="O350" s="303">
        <f t="shared" ca="1" si="434"/>
        <v>385.04839970995829</v>
      </c>
      <c r="P350" s="303">
        <f t="shared" ca="1" si="434"/>
        <v>400.66437984478245</v>
      </c>
    </row>
    <row r="351" spans="2:19" ht="12.6" customHeight="1" x14ac:dyDescent="0.2">
      <c r="B351" s="56" t="s">
        <v>568</v>
      </c>
      <c r="C351" s="61"/>
      <c r="D351" s="288" t="str">
        <f t="shared" ref="D351:P351" si="435">IFERROR(D212/D8,"--")</f>
        <v>--</v>
      </c>
      <c r="E351" s="288" t="str">
        <f t="shared" si="429"/>
        <v>--</v>
      </c>
      <c r="F351" s="288" t="str">
        <f t="shared" si="435"/>
        <v>--</v>
      </c>
      <c r="G351" s="288" t="str">
        <f t="shared" si="435"/>
        <v>--</v>
      </c>
      <c r="H351" s="288">
        <f t="shared" si="435"/>
        <v>341.03500489890439</v>
      </c>
      <c r="I351" s="288">
        <f t="shared" si="435"/>
        <v>198.19910254279537</v>
      </c>
      <c r="J351" s="288">
        <f t="shared" si="435"/>
        <v>215.29618366129995</v>
      </c>
      <c r="K351" s="288">
        <f t="shared" si="435"/>
        <v>219.91232804232811</v>
      </c>
      <c r="L351" s="303">
        <f t="shared" si="435"/>
        <v>230.19791015728291</v>
      </c>
      <c r="M351" s="303">
        <f t="shared" si="435"/>
        <v>240.89694489691081</v>
      </c>
      <c r="N351" s="303">
        <f t="shared" si="435"/>
        <v>251.87017085026028</v>
      </c>
      <c r="O351" s="303">
        <f t="shared" si="435"/>
        <v>263.43625214862459</v>
      </c>
      <c r="P351" s="303">
        <f t="shared" si="435"/>
        <v>275.62233000940461</v>
      </c>
    </row>
    <row r="352" spans="2:19" ht="12.6" customHeight="1" x14ac:dyDescent="0.2">
      <c r="B352" s="56" t="s">
        <v>8</v>
      </c>
      <c r="C352" s="61"/>
      <c r="D352" s="288" t="str">
        <f t="shared" ref="D352:P352" si="436">IFERROR(D213/D9,"--")</f>
        <v>--</v>
      </c>
      <c r="E352" s="288" t="str">
        <f t="shared" si="429"/>
        <v>--</v>
      </c>
      <c r="F352" s="288" t="str">
        <f t="shared" si="436"/>
        <v>--</v>
      </c>
      <c r="G352" s="288">
        <f t="shared" si="436"/>
        <v>569.10828025477701</v>
      </c>
      <c r="H352" s="288">
        <f t="shared" si="436"/>
        <v>326.97310497862668</v>
      </c>
      <c r="I352" s="288">
        <f t="shared" si="436"/>
        <v>367.62959558823525</v>
      </c>
      <c r="J352" s="288">
        <f t="shared" si="436"/>
        <v>387.51901181525238</v>
      </c>
      <c r="K352" s="288">
        <f t="shared" si="436"/>
        <v>384.85950980392158</v>
      </c>
      <c r="L352" s="303">
        <f t="shared" ca="1" si="436"/>
        <v>400.63757794967705</v>
      </c>
      <c r="M352" s="303">
        <f t="shared" ca="1" si="436"/>
        <v>417.32709969051695</v>
      </c>
      <c r="N352" s="303">
        <f t="shared" ca="1" si="436"/>
        <v>434.85952107013424</v>
      </c>
      <c r="O352" s="303">
        <f t="shared" ca="1" si="436"/>
        <v>453.27690366896547</v>
      </c>
      <c r="P352" s="303">
        <f t="shared" ca="1" si="436"/>
        <v>472.62341297222645</v>
      </c>
    </row>
    <row r="353" spans="2:16" ht="12.6" customHeight="1" x14ac:dyDescent="0.2">
      <c r="B353" s="56" t="s">
        <v>9</v>
      </c>
      <c r="C353" s="61"/>
      <c r="D353" s="288" t="str">
        <f t="shared" ref="D353:P353" si="437">IFERROR(D214/D10,"--")</f>
        <v>--</v>
      </c>
      <c r="E353" s="288" t="str">
        <f t="shared" si="429"/>
        <v>--</v>
      </c>
      <c r="F353" s="288" t="str">
        <f t="shared" si="437"/>
        <v>--</v>
      </c>
      <c r="G353" s="288">
        <f t="shared" si="437"/>
        <v>0</v>
      </c>
      <c r="H353" s="288">
        <f t="shared" si="437"/>
        <v>303.34197210007545</v>
      </c>
      <c r="I353" s="288">
        <f t="shared" si="437"/>
        <v>298.2587301587302</v>
      </c>
      <c r="J353" s="288">
        <f t="shared" si="437"/>
        <v>346.49589041095891</v>
      </c>
      <c r="K353" s="288">
        <f t="shared" si="437"/>
        <v>408.98857142857139</v>
      </c>
      <c r="L353" s="303">
        <f t="shared" si="437"/>
        <v>425.19039172294373</v>
      </c>
      <c r="M353" s="303">
        <f t="shared" si="437"/>
        <v>429.81284204654924</v>
      </c>
      <c r="N353" s="303">
        <f t="shared" si="437"/>
        <v>433.89979624170223</v>
      </c>
      <c r="O353" s="303">
        <f t="shared" si="437"/>
        <v>438.22280007758673</v>
      </c>
      <c r="P353" s="303">
        <f t="shared" si="437"/>
        <v>442.77922642526357</v>
      </c>
    </row>
    <row r="354" spans="2:16" ht="12.6" customHeight="1" x14ac:dyDescent="0.2">
      <c r="B354" s="56" t="s">
        <v>215</v>
      </c>
      <c r="C354" s="61"/>
      <c r="D354" s="288" t="str">
        <f t="shared" ref="D354:P354" si="438">IFERROR(D215/D11,"--")</f>
        <v>--</v>
      </c>
      <c r="E354" s="288" t="str">
        <f t="shared" si="429"/>
        <v>--</v>
      </c>
      <c r="F354" s="288" t="str">
        <f t="shared" si="438"/>
        <v>--</v>
      </c>
      <c r="G354" s="288">
        <f t="shared" si="438"/>
        <v>850.38627450980391</v>
      </c>
      <c r="H354" s="288">
        <f t="shared" si="438"/>
        <v>298.00932881594622</v>
      </c>
      <c r="I354" s="288">
        <f t="shared" si="438"/>
        <v>346.84687920969918</v>
      </c>
      <c r="J354" s="288">
        <f t="shared" si="438"/>
        <v>388.40712788259964</v>
      </c>
      <c r="K354" s="288">
        <f t="shared" si="438"/>
        <v>394.1098412698413</v>
      </c>
      <c r="L354" s="303">
        <f t="shared" ca="1" si="438"/>
        <v>408.24933572567789</v>
      </c>
      <c r="M354" s="303">
        <f t="shared" ca="1" si="438"/>
        <v>424.36114632604244</v>
      </c>
      <c r="N354" s="303">
        <f t="shared" ca="1" si="438"/>
        <v>441.48334060813573</v>
      </c>
      <c r="O354" s="303">
        <f t="shared" ca="1" si="438"/>
        <v>459.65668570120073</v>
      </c>
      <c r="P354" s="303">
        <f t="shared" ca="1" si="438"/>
        <v>478.92445147450667</v>
      </c>
    </row>
    <row r="355" spans="2:16" ht="12.6" customHeight="1" x14ac:dyDescent="0.2">
      <c r="B355" s="56" t="s">
        <v>216</v>
      </c>
      <c r="C355" s="61"/>
      <c r="D355" s="288" t="str">
        <f t="shared" ref="D355:P355" si="439">IFERROR(D216/D12,"--")</f>
        <v>--</v>
      </c>
      <c r="E355" s="288" t="str">
        <f t="shared" si="429"/>
        <v>--</v>
      </c>
      <c r="F355" s="288" t="str">
        <f t="shared" si="439"/>
        <v>--</v>
      </c>
      <c r="G355" s="288" t="str">
        <f t="shared" si="439"/>
        <v>--</v>
      </c>
      <c r="H355" s="288" t="str">
        <f t="shared" si="439"/>
        <v>--</v>
      </c>
      <c r="I355" s="288">
        <f t="shared" si="439"/>
        <v>0</v>
      </c>
      <c r="J355" s="288">
        <f t="shared" si="439"/>
        <v>340.74502240084826</v>
      </c>
      <c r="K355" s="288">
        <f t="shared" si="439"/>
        <v>333.58</v>
      </c>
      <c r="L355" s="303">
        <f t="shared" si="439"/>
        <v>341.4918246987952</v>
      </c>
      <c r="M355" s="303">
        <f t="shared" si="439"/>
        <v>327.58598042301526</v>
      </c>
      <c r="N355" s="303">
        <f t="shared" si="439"/>
        <v>330.94146373737885</v>
      </c>
      <c r="O355" s="303">
        <f t="shared" si="439"/>
        <v>338.88550109407015</v>
      </c>
      <c r="P355" s="303">
        <f t="shared" si="439"/>
        <v>347.60738684091621</v>
      </c>
    </row>
    <row r="356" spans="2:16" ht="12.6" customHeight="1" x14ac:dyDescent="0.2">
      <c r="B356" s="56" t="s">
        <v>2</v>
      </c>
      <c r="C356" s="61"/>
      <c r="D356" s="288" t="str">
        <f t="shared" ref="D356:P356" si="440">IFERROR(D217/D13,"--")</f>
        <v>--</v>
      </c>
      <c r="E356" s="288" t="str">
        <f t="shared" si="429"/>
        <v>--</v>
      </c>
      <c r="F356" s="288" t="str">
        <f t="shared" si="440"/>
        <v>--</v>
      </c>
      <c r="G356" s="288" t="str">
        <f t="shared" si="440"/>
        <v>--</v>
      </c>
      <c r="H356" s="288" t="str">
        <f t="shared" si="440"/>
        <v>--</v>
      </c>
      <c r="I356" s="288" t="str">
        <f t="shared" si="440"/>
        <v>--</v>
      </c>
      <c r="J356" s="288">
        <f t="shared" si="440"/>
        <v>0</v>
      </c>
      <c r="K356" s="288">
        <f t="shared" si="440"/>
        <v>511.62690909090907</v>
      </c>
      <c r="L356" s="303">
        <f t="shared" si="440"/>
        <v>600.02941669186237</v>
      </c>
      <c r="M356" s="303">
        <f t="shared" si="440"/>
        <v>594.52891677126661</v>
      </c>
      <c r="N356" s="303">
        <f t="shared" si="440"/>
        <v>598.32413450212596</v>
      </c>
      <c r="O356" s="303">
        <f t="shared" si="440"/>
        <v>600.2052212609085</v>
      </c>
      <c r="P356" s="303">
        <f t="shared" si="440"/>
        <v>602.30045958186179</v>
      </c>
    </row>
    <row r="357" spans="2:16" ht="12.6" customHeight="1" x14ac:dyDescent="0.2">
      <c r="B357" s="56" t="s">
        <v>791</v>
      </c>
      <c r="C357" s="61"/>
      <c r="D357" s="288" t="str">
        <f t="shared" ref="D357:P357" si="441">IFERROR(D218/D14,"--")</f>
        <v>--</v>
      </c>
      <c r="E357" s="288" t="str">
        <f t="shared" si="429"/>
        <v>--</v>
      </c>
      <c r="F357" s="288" t="str">
        <f t="shared" si="441"/>
        <v>--</v>
      </c>
      <c r="G357" s="288" t="str">
        <f t="shared" si="441"/>
        <v>--</v>
      </c>
      <c r="H357" s="288" t="str">
        <f t="shared" si="441"/>
        <v>--</v>
      </c>
      <c r="I357" s="288" t="str">
        <f t="shared" si="441"/>
        <v>--</v>
      </c>
      <c r="J357" s="288">
        <f>IFERROR(J218/J14,"--")</f>
        <v>1237.5</v>
      </c>
      <c r="K357" s="288">
        <f t="shared" si="441"/>
        <v>342.4315068493151</v>
      </c>
      <c r="L357" s="303">
        <f t="shared" si="441"/>
        <v>442.16243432574436</v>
      </c>
      <c r="M357" s="303">
        <f t="shared" si="441"/>
        <v>774.07903502626982</v>
      </c>
      <c r="N357" s="303">
        <f t="shared" si="441"/>
        <v>446.75418592944715</v>
      </c>
      <c r="O357" s="303">
        <f t="shared" si="441"/>
        <v>347.09363676057052</v>
      </c>
      <c r="P357" s="303">
        <f t="shared" si="441"/>
        <v>337.08132031555408</v>
      </c>
    </row>
    <row r="358" spans="2:16" ht="12.6" customHeight="1" x14ac:dyDescent="0.2">
      <c r="B358" s="56" t="s">
        <v>553</v>
      </c>
      <c r="C358" s="61"/>
      <c r="D358" s="288" t="str">
        <f t="shared" ref="D358:P358" si="442">IFERROR(D219/D15,"--")</f>
        <v>--</v>
      </c>
      <c r="E358" s="288" t="str">
        <f t="shared" si="429"/>
        <v>--</v>
      </c>
      <c r="F358" s="288" t="str">
        <f t="shared" si="442"/>
        <v>--</v>
      </c>
      <c r="G358" s="288" t="str">
        <f t="shared" si="442"/>
        <v>--</v>
      </c>
      <c r="H358" s="288" t="str">
        <f t="shared" si="442"/>
        <v>--</v>
      </c>
      <c r="I358" s="288" t="str">
        <f t="shared" si="442"/>
        <v>--</v>
      </c>
      <c r="J358" s="288" t="str">
        <f t="shared" si="442"/>
        <v>--</v>
      </c>
      <c r="K358" s="288">
        <f t="shared" si="442"/>
        <v>325.57421568627456</v>
      </c>
      <c r="L358" s="303">
        <f t="shared" ca="1" si="442"/>
        <v>341.64740366910297</v>
      </c>
      <c r="M358" s="303">
        <f t="shared" ca="1" si="442"/>
        <v>358.94557279411771</v>
      </c>
      <c r="N358" s="303">
        <f t="shared" ca="1" si="442"/>
        <v>376.89285143382364</v>
      </c>
      <c r="O358" s="303">
        <f t="shared" ca="1" si="442"/>
        <v>395.73749400551486</v>
      </c>
      <c r="P358" s="303">
        <f t="shared" ca="1" si="442"/>
        <v>415.52436870579066</v>
      </c>
    </row>
    <row r="359" spans="2:16" ht="12.6" customHeight="1" x14ac:dyDescent="0.2">
      <c r="B359" s="56" t="s">
        <v>788</v>
      </c>
      <c r="C359" s="61"/>
      <c r="D359" s="288" t="str">
        <f t="shared" ref="D359:K359" si="443">IFERROR(D220/D16,"--")</f>
        <v>--</v>
      </c>
      <c r="E359" s="288" t="str">
        <f t="shared" si="429"/>
        <v>--</v>
      </c>
      <c r="F359" s="288" t="str">
        <f t="shared" si="443"/>
        <v>--</v>
      </c>
      <c r="G359" s="288" t="str">
        <f t="shared" si="443"/>
        <v>--</v>
      </c>
      <c r="H359" s="288" t="str">
        <f t="shared" si="443"/>
        <v>--</v>
      </c>
      <c r="I359" s="288" t="str">
        <f t="shared" si="443"/>
        <v>--</v>
      </c>
      <c r="J359" s="288" t="str">
        <f t="shared" si="443"/>
        <v>--</v>
      </c>
      <c r="K359" s="288">
        <f t="shared" si="443"/>
        <v>274.04737620634194</v>
      </c>
      <c r="L359" s="303">
        <f>IFERROR(L220/L16,"--")</f>
        <v>287.74974501665906</v>
      </c>
      <c r="M359" s="303">
        <f>IFERROR(M220/M16,"--")</f>
        <v>302.13723226749204</v>
      </c>
      <c r="N359" s="303">
        <f>IFERROR(N220/N16,"--")</f>
        <v>317.24409388086667</v>
      </c>
      <c r="O359" s="303">
        <f>IFERROR(O220/O16,"--")</f>
        <v>333.10629857491</v>
      </c>
      <c r="P359" s="303">
        <f>IFERROR(P220/P16,"--")</f>
        <v>349.7616135036555</v>
      </c>
    </row>
    <row r="360" spans="2:16" ht="12.6" customHeight="1" x14ac:dyDescent="0.2">
      <c r="B360" s="56" t="s">
        <v>789</v>
      </c>
      <c r="C360" s="61"/>
      <c r="D360" s="288" t="str">
        <f t="shared" ref="D360:P360" si="444">IFERROR(D221/D17,"--")</f>
        <v>--</v>
      </c>
      <c r="E360" s="288" t="str">
        <f t="shared" si="429"/>
        <v>--</v>
      </c>
      <c r="F360" s="288" t="str">
        <f t="shared" si="444"/>
        <v>--</v>
      </c>
      <c r="G360" s="288" t="str">
        <f t="shared" si="444"/>
        <v>--</v>
      </c>
      <c r="H360" s="288" t="str">
        <f t="shared" si="444"/>
        <v>--</v>
      </c>
      <c r="I360" s="288" t="str">
        <f t="shared" si="444"/>
        <v>--</v>
      </c>
      <c r="J360" s="288" t="str">
        <f t="shared" si="444"/>
        <v>--</v>
      </c>
      <c r="K360" s="288" t="str">
        <f t="shared" si="444"/>
        <v>--</v>
      </c>
      <c r="L360" s="303" t="str">
        <f t="shared" si="444"/>
        <v>--</v>
      </c>
      <c r="M360" s="303" t="str">
        <f t="shared" si="444"/>
        <v>--</v>
      </c>
      <c r="N360" s="303" t="str">
        <f t="shared" si="444"/>
        <v>--</v>
      </c>
      <c r="O360" s="303">
        <f t="shared" si="444"/>
        <v>600</v>
      </c>
      <c r="P360" s="303">
        <f t="shared" si="444"/>
        <v>600</v>
      </c>
    </row>
    <row r="361" spans="2:16" ht="12.6" customHeight="1" x14ac:dyDescent="0.2">
      <c r="B361" s="56" t="s">
        <v>558</v>
      </c>
      <c r="C361" s="61"/>
      <c r="D361" s="288" t="str">
        <f t="shared" ref="D361:P361" si="445">IFERROR(D222/D18,"--")</f>
        <v>--</v>
      </c>
      <c r="E361" s="288" t="str">
        <f t="shared" si="429"/>
        <v>--</v>
      </c>
      <c r="F361" s="288" t="str">
        <f t="shared" si="445"/>
        <v>--</v>
      </c>
      <c r="G361" s="288" t="str">
        <f t="shared" si="445"/>
        <v>--</v>
      </c>
      <c r="H361" s="288" t="str">
        <f t="shared" si="445"/>
        <v>--</v>
      </c>
      <c r="I361" s="288" t="str">
        <f t="shared" si="445"/>
        <v>--</v>
      </c>
      <c r="J361" s="288" t="str">
        <f t="shared" si="445"/>
        <v>--</v>
      </c>
      <c r="K361" s="288" t="str">
        <f t="shared" si="445"/>
        <v>--</v>
      </c>
      <c r="L361" s="303" t="str">
        <f t="shared" si="445"/>
        <v>--</v>
      </c>
      <c r="M361" s="303" t="str">
        <f t="shared" si="445"/>
        <v>--</v>
      </c>
      <c r="N361" s="303">
        <f t="shared" si="445"/>
        <v>449.99999999999994</v>
      </c>
      <c r="O361" s="303">
        <f t="shared" si="445"/>
        <v>454.5</v>
      </c>
      <c r="P361" s="303">
        <f t="shared" si="445"/>
        <v>459.04499999999996</v>
      </c>
    </row>
    <row r="362" spans="2:16" ht="12.6" customHeight="1" x14ac:dyDescent="0.2">
      <c r="B362" s="56" t="s">
        <v>760</v>
      </c>
      <c r="C362" s="61"/>
      <c r="D362" s="288" t="str">
        <f t="shared" ref="D362:P369" si="446">IFERROR(D223/D19,"--")</f>
        <v>--</v>
      </c>
      <c r="E362" s="288" t="str">
        <f t="shared" si="446"/>
        <v>--</v>
      </c>
      <c r="F362" s="288" t="str">
        <f t="shared" si="446"/>
        <v>--</v>
      </c>
      <c r="G362" s="288" t="str">
        <f t="shared" si="446"/>
        <v>--</v>
      </c>
      <c r="H362" s="288" t="str">
        <f t="shared" si="446"/>
        <v>--</v>
      </c>
      <c r="I362" s="288" t="str">
        <f t="shared" si="446"/>
        <v>--</v>
      </c>
      <c r="J362" s="288" t="str">
        <f t="shared" si="446"/>
        <v>--</v>
      </c>
      <c r="K362" s="288" t="str">
        <f t="shared" si="446"/>
        <v>--</v>
      </c>
      <c r="L362" s="303" t="str">
        <f t="shared" si="446"/>
        <v>--</v>
      </c>
      <c r="M362" s="303" t="str">
        <f t="shared" si="446"/>
        <v>--</v>
      </c>
      <c r="N362" s="303">
        <f t="shared" si="446"/>
        <v>933.33333333333337</v>
      </c>
      <c r="O362" s="303">
        <f t="shared" si="446"/>
        <v>622.22222222222217</v>
      </c>
      <c r="P362" s="303">
        <f t="shared" si="446"/>
        <v>622.22222222222217</v>
      </c>
    </row>
    <row r="363" spans="2:16" ht="12.6" customHeight="1" x14ac:dyDescent="0.2">
      <c r="B363" s="56" t="s">
        <v>761</v>
      </c>
      <c r="C363" s="61"/>
      <c r="D363" s="288" t="str">
        <f t="shared" ref="D363:P363" si="447">IFERROR(D224/D20,"--")</f>
        <v>--</v>
      </c>
      <c r="E363" s="288" t="str">
        <f t="shared" si="446"/>
        <v>--</v>
      </c>
      <c r="F363" s="288" t="str">
        <f t="shared" si="447"/>
        <v>--</v>
      </c>
      <c r="G363" s="288" t="str">
        <f t="shared" si="447"/>
        <v>--</v>
      </c>
      <c r="H363" s="288" t="str">
        <f t="shared" si="447"/>
        <v>--</v>
      </c>
      <c r="I363" s="288" t="str">
        <f t="shared" si="447"/>
        <v>--</v>
      </c>
      <c r="J363" s="288" t="str">
        <f t="shared" si="447"/>
        <v>--</v>
      </c>
      <c r="K363" s="288" t="str">
        <f t="shared" si="447"/>
        <v>--</v>
      </c>
      <c r="L363" s="303" t="str">
        <f t="shared" si="447"/>
        <v>--</v>
      </c>
      <c r="M363" s="303" t="str">
        <f t="shared" si="447"/>
        <v>--</v>
      </c>
      <c r="N363" s="303" t="str">
        <f t="shared" si="447"/>
        <v>--</v>
      </c>
      <c r="O363" s="303" t="str">
        <f t="shared" si="447"/>
        <v>--</v>
      </c>
      <c r="P363" s="303" t="str">
        <f t="shared" si="447"/>
        <v>--</v>
      </c>
    </row>
    <row r="364" spans="2:16" ht="12.6" customHeight="1" x14ac:dyDescent="0.2">
      <c r="B364" s="56" t="s">
        <v>664</v>
      </c>
      <c r="C364" s="61"/>
      <c r="D364" s="288" t="str">
        <f t="shared" ref="D364:P364" si="448">IFERROR(D225/D21,"--")</f>
        <v>--</v>
      </c>
      <c r="E364" s="288" t="str">
        <f t="shared" si="446"/>
        <v>--</v>
      </c>
      <c r="F364" s="288" t="str">
        <f t="shared" si="448"/>
        <v>--</v>
      </c>
      <c r="G364" s="288" t="str">
        <f t="shared" si="448"/>
        <v>--</v>
      </c>
      <c r="H364" s="288" t="str">
        <f t="shared" si="448"/>
        <v>--</v>
      </c>
      <c r="I364" s="288" t="str">
        <f t="shared" si="448"/>
        <v>--</v>
      </c>
      <c r="J364" s="288" t="str">
        <f t="shared" si="448"/>
        <v>--</v>
      </c>
      <c r="K364" s="288" t="str">
        <f t="shared" si="448"/>
        <v>--</v>
      </c>
      <c r="L364" s="303" t="str">
        <f t="shared" si="448"/>
        <v>--</v>
      </c>
      <c r="M364" s="303" t="str">
        <f t="shared" si="448"/>
        <v>--</v>
      </c>
      <c r="N364" s="303" t="str">
        <f t="shared" si="448"/>
        <v>--</v>
      </c>
      <c r="O364" s="303" t="str">
        <f t="shared" si="448"/>
        <v>--</v>
      </c>
      <c r="P364" s="303">
        <f t="shared" si="448"/>
        <v>500</v>
      </c>
    </row>
    <row r="365" spans="2:16" ht="12.6" customHeight="1" x14ac:dyDescent="0.2">
      <c r="B365" s="56" t="s">
        <v>1866</v>
      </c>
      <c r="C365" s="61"/>
      <c r="D365" s="288" t="str">
        <f t="shared" ref="D365:P365" si="449">IFERROR(D226/D22,"--")</f>
        <v>--</v>
      </c>
      <c r="E365" s="288" t="str">
        <f t="shared" si="446"/>
        <v>--</v>
      </c>
      <c r="F365" s="288" t="str">
        <f t="shared" si="449"/>
        <v>--</v>
      </c>
      <c r="G365" s="288" t="str">
        <f t="shared" si="449"/>
        <v>--</v>
      </c>
      <c r="H365" s="288" t="str">
        <f t="shared" si="449"/>
        <v>--</v>
      </c>
      <c r="I365" s="288" t="str">
        <f t="shared" si="449"/>
        <v>--</v>
      </c>
      <c r="J365" s="288" t="str">
        <f t="shared" si="449"/>
        <v>--</v>
      </c>
      <c r="K365" s="288" t="str">
        <f t="shared" si="449"/>
        <v>--</v>
      </c>
      <c r="L365" s="303" t="str">
        <f t="shared" si="449"/>
        <v>--</v>
      </c>
      <c r="M365" s="303" t="str">
        <f t="shared" si="449"/>
        <v>--</v>
      </c>
      <c r="N365" s="303" t="str">
        <f t="shared" si="449"/>
        <v>--</v>
      </c>
      <c r="O365" s="303" t="str">
        <f t="shared" si="449"/>
        <v>--</v>
      </c>
      <c r="P365" s="303">
        <f t="shared" si="449"/>
        <v>459.04500000000002</v>
      </c>
    </row>
    <row r="366" spans="2:16" ht="12.6" customHeight="1" x14ac:dyDescent="0.2">
      <c r="B366" s="56" t="s">
        <v>1637</v>
      </c>
      <c r="C366" s="61"/>
      <c r="D366" s="288" t="str">
        <f t="shared" ref="D366:P366" si="450">IFERROR(D227/D23,"--")</f>
        <v>--</v>
      </c>
      <c r="E366" s="288" t="str">
        <f t="shared" si="446"/>
        <v>--</v>
      </c>
      <c r="F366" s="288" t="str">
        <f t="shared" si="450"/>
        <v>--</v>
      </c>
      <c r="G366" s="288" t="str">
        <f t="shared" si="450"/>
        <v>--</v>
      </c>
      <c r="H366" s="288" t="str">
        <f t="shared" si="450"/>
        <v>--</v>
      </c>
      <c r="I366" s="288" t="str">
        <f t="shared" si="450"/>
        <v>--</v>
      </c>
      <c r="J366" s="288" t="str">
        <f t="shared" si="450"/>
        <v>--</v>
      </c>
      <c r="K366" s="288" t="str">
        <f t="shared" si="450"/>
        <v>--</v>
      </c>
      <c r="L366" s="303" t="str">
        <f t="shared" si="450"/>
        <v>--</v>
      </c>
      <c r="M366" s="303">
        <f t="shared" si="450"/>
        <v>0</v>
      </c>
      <c r="N366" s="303">
        <f t="shared" si="450"/>
        <v>245.13317128125004</v>
      </c>
      <c r="O366" s="303">
        <f t="shared" si="450"/>
        <v>257.38982984531253</v>
      </c>
      <c r="P366" s="303">
        <f t="shared" si="450"/>
        <v>259.96372814376565</v>
      </c>
    </row>
    <row r="367" spans="2:16" ht="12.6" customHeight="1" x14ac:dyDescent="0.2">
      <c r="B367" s="56" t="s">
        <v>472</v>
      </c>
      <c r="C367" s="61"/>
      <c r="D367" s="288" t="str">
        <f t="shared" ref="D367:J367" si="451">IFERROR(D228/D24,"--")</f>
        <v>--</v>
      </c>
      <c r="E367" s="288" t="str">
        <f t="shared" si="446"/>
        <v>--</v>
      </c>
      <c r="F367" s="288" t="str">
        <f t="shared" si="451"/>
        <v>--</v>
      </c>
      <c r="G367" s="288" t="str">
        <f t="shared" si="451"/>
        <v>--</v>
      </c>
      <c r="H367" s="288" t="str">
        <f t="shared" si="451"/>
        <v>--</v>
      </c>
      <c r="I367" s="288" t="str">
        <f t="shared" si="451"/>
        <v>--</v>
      </c>
      <c r="J367" s="288" t="str">
        <f t="shared" si="451"/>
        <v>--</v>
      </c>
      <c r="K367" s="288" t="str">
        <f t="shared" ref="K367:L367" si="452">IFERROR(K228/K24,"--")</f>
        <v>--</v>
      </c>
      <c r="L367" s="303" t="str">
        <f t="shared" si="452"/>
        <v>--</v>
      </c>
      <c r="M367" s="303" t="str">
        <f ca="1">IFERROR(M228/M24,"--")</f>
        <v>--</v>
      </c>
      <c r="N367" s="303" t="str">
        <f ca="1">IFERROR(N228/N24,"--")</f>
        <v>--</v>
      </c>
      <c r="O367" s="303">
        <f>IFERROR(O228/O24,"--")</f>
        <v>257.38982984531253</v>
      </c>
      <c r="P367" s="303">
        <f>IFERROR(P228/P24,"--")</f>
        <v>259.96372814376565</v>
      </c>
    </row>
    <row r="368" spans="2:16" ht="12.6" customHeight="1" x14ac:dyDescent="0.2">
      <c r="B368" s="56" t="s">
        <v>472</v>
      </c>
      <c r="C368" s="61"/>
      <c r="D368" s="288" t="str">
        <f t="shared" ref="D368:P368" si="453">IFERROR(D229/D25,"--")</f>
        <v>--</v>
      </c>
      <c r="E368" s="288" t="str">
        <f t="shared" si="446"/>
        <v>--</v>
      </c>
      <c r="F368" s="288" t="str">
        <f t="shared" si="453"/>
        <v>--</v>
      </c>
      <c r="G368" s="288" t="str">
        <f t="shared" si="453"/>
        <v>--</v>
      </c>
      <c r="H368" s="288" t="str">
        <f t="shared" si="453"/>
        <v>--</v>
      </c>
      <c r="I368" s="288" t="str">
        <f t="shared" si="453"/>
        <v>--</v>
      </c>
      <c r="J368" s="288" t="str">
        <f t="shared" si="453"/>
        <v>--</v>
      </c>
      <c r="K368" s="288" t="str">
        <f t="shared" si="453"/>
        <v>--</v>
      </c>
      <c r="L368" s="303" t="str">
        <f t="shared" si="453"/>
        <v>--</v>
      </c>
      <c r="M368" s="303" t="str">
        <f t="shared" si="453"/>
        <v>--</v>
      </c>
      <c r="N368" s="303" t="str">
        <f t="shared" si="453"/>
        <v>--</v>
      </c>
      <c r="O368" s="303" t="str">
        <f t="shared" si="453"/>
        <v>--</v>
      </c>
      <c r="P368" s="303" t="str">
        <f t="shared" si="453"/>
        <v>--</v>
      </c>
    </row>
    <row r="369" spans="2:17" ht="12.6" customHeight="1" x14ac:dyDescent="0.2">
      <c r="B369" s="56" t="s">
        <v>472</v>
      </c>
      <c r="C369" s="61"/>
      <c r="D369" s="288" t="str">
        <f t="shared" ref="D369:P369" si="454">IFERROR(D230/D26,"--")</f>
        <v>--</v>
      </c>
      <c r="E369" s="288" t="str">
        <f t="shared" si="446"/>
        <v>--</v>
      </c>
      <c r="F369" s="288" t="str">
        <f t="shared" si="454"/>
        <v>--</v>
      </c>
      <c r="G369" s="288" t="str">
        <f t="shared" si="454"/>
        <v>--</v>
      </c>
      <c r="H369" s="288" t="str">
        <f t="shared" si="454"/>
        <v>--</v>
      </c>
      <c r="I369" s="288" t="str">
        <f t="shared" si="454"/>
        <v>--</v>
      </c>
      <c r="J369" s="288" t="str">
        <f t="shared" si="454"/>
        <v>--</v>
      </c>
      <c r="K369" s="288" t="str">
        <f t="shared" si="454"/>
        <v>--</v>
      </c>
      <c r="L369" s="303" t="str">
        <f t="shared" si="454"/>
        <v>--</v>
      </c>
      <c r="M369" s="303" t="str">
        <f t="shared" si="454"/>
        <v>--</v>
      </c>
      <c r="N369" s="303" t="str">
        <f t="shared" si="454"/>
        <v>--</v>
      </c>
      <c r="O369" s="303" t="str">
        <f t="shared" si="454"/>
        <v>--</v>
      </c>
      <c r="P369" s="303" t="str">
        <f t="shared" si="454"/>
        <v>--</v>
      </c>
    </row>
    <row r="370" spans="2:17" ht="12.6" customHeight="1" x14ac:dyDescent="0.2">
      <c r="B370" s="364" t="s">
        <v>551</v>
      </c>
      <c r="C370" s="61"/>
      <c r="D370" s="307">
        <f t="shared" ref="D370:I370" si="455">IFERROR(D233/D27,"--")</f>
        <v>310.9810250817884</v>
      </c>
      <c r="E370" s="307">
        <f t="shared" si="455"/>
        <v>305.41707661860335</v>
      </c>
      <c r="F370" s="307">
        <f t="shared" si="455"/>
        <v>336.11584025708476</v>
      </c>
      <c r="G370" s="307">
        <f t="shared" si="455"/>
        <v>352.13898282752865</v>
      </c>
      <c r="H370" s="307">
        <f t="shared" si="455"/>
        <v>366.84338529100262</v>
      </c>
      <c r="I370" s="307">
        <f t="shared" si="455"/>
        <v>345.14056307565369</v>
      </c>
      <c r="J370" s="307">
        <f>IFERROR(J233/J27,"--")</f>
        <v>351.54658058993141</v>
      </c>
      <c r="K370" s="307">
        <f t="shared" ref="K370" si="456">IFERROR(K233/K27,"--")</f>
        <v>361.23162393162391</v>
      </c>
      <c r="L370" s="308">
        <f ca="1">IFERROR(L233/L27,"--")</f>
        <v>427.18162095564458</v>
      </c>
      <c r="M370" s="308">
        <f ca="1">IFERROR(M233/M27,"--")</f>
        <v>443.73321724508804</v>
      </c>
      <c r="N370" s="308">
        <f ca="1">IFERROR(N233/N27,"--")</f>
        <v>478.4597087245553</v>
      </c>
      <c r="O370" s="308">
        <f ca="1">IFERROR(O233/O27,"--")</f>
        <v>462.31415919190408</v>
      </c>
      <c r="P370" s="308">
        <f ca="1">IFERROR(P233/P27,"--")</f>
        <v>473.21196592813391</v>
      </c>
      <c r="Q370" s="328"/>
    </row>
    <row r="371" spans="2:17" ht="12.6" customHeight="1" x14ac:dyDescent="0.2">
      <c r="B371" s="59"/>
      <c r="C371" s="61"/>
      <c r="D371" s="307"/>
      <c r="E371" s="307"/>
      <c r="F371" s="307"/>
      <c r="G371" s="307"/>
      <c r="H371" s="307"/>
      <c r="I371" s="307"/>
      <c r="J371" s="307"/>
      <c r="K371" s="307"/>
      <c r="L371" s="308"/>
      <c r="M371" s="308"/>
      <c r="N371" s="308"/>
      <c r="O371" s="308"/>
      <c r="P371" s="308"/>
    </row>
    <row r="372" spans="2:17" ht="12.6" customHeight="1" x14ac:dyDescent="0.2">
      <c r="B372" s="116" t="s">
        <v>285</v>
      </c>
      <c r="C372" s="61"/>
      <c r="D372" s="307"/>
      <c r="E372" s="307"/>
      <c r="F372" s="307"/>
      <c r="G372" s="307"/>
      <c r="H372" s="307"/>
      <c r="I372" s="307"/>
      <c r="J372" s="307"/>
      <c r="K372" s="307"/>
      <c r="L372" s="308"/>
      <c r="M372" s="308"/>
      <c r="N372" s="308"/>
      <c r="O372" s="308"/>
      <c r="P372" s="308"/>
    </row>
    <row r="373" spans="2:17" ht="12.6" customHeight="1" x14ac:dyDescent="0.2">
      <c r="B373" s="322" t="s">
        <v>213</v>
      </c>
      <c r="C373" s="61"/>
      <c r="D373" s="307"/>
      <c r="E373" s="113" t="str">
        <f>IFERROR(E346/D346-1,"--")</f>
        <v>--</v>
      </c>
      <c r="F373" s="113">
        <f t="shared" ref="F373:P373" si="457">IFERROR(F346/E346-1,"--")</f>
        <v>0.38621793976526519</v>
      </c>
      <c r="G373" s="113">
        <f t="shared" si="457"/>
        <v>-4.3950545358782955E-3</v>
      </c>
      <c r="H373" s="113">
        <f t="shared" si="457"/>
        <v>0.75133621050669097</v>
      </c>
      <c r="I373" s="113">
        <f t="shared" si="457"/>
        <v>0.26017242235088078</v>
      </c>
      <c r="J373" s="113">
        <f t="shared" si="457"/>
        <v>2.4231348651456708E-2</v>
      </c>
      <c r="K373" s="113" t="str">
        <f t="shared" si="457"/>
        <v>--</v>
      </c>
      <c r="L373" s="197" t="str">
        <f t="shared" si="457"/>
        <v>--</v>
      </c>
      <c r="M373" s="197">
        <f t="shared" si="457"/>
        <v>0.18868821001448133</v>
      </c>
      <c r="N373" s="197">
        <f t="shared" si="457"/>
        <v>5.0000000000000044E-2</v>
      </c>
      <c r="O373" s="197">
        <f t="shared" si="457"/>
        <v>5.0000000000000044E-2</v>
      </c>
      <c r="P373" s="197">
        <f t="shared" si="457"/>
        <v>5.0000000000000044E-2</v>
      </c>
    </row>
    <row r="374" spans="2:17" ht="12.6" customHeight="1" x14ac:dyDescent="0.2">
      <c r="B374" s="322" t="s">
        <v>3</v>
      </c>
      <c r="C374" s="61"/>
      <c r="D374" s="307"/>
      <c r="E374" s="113">
        <f>IFERROR(E347/D347-1,"--")</f>
        <v>-0.18240286436879194</v>
      </c>
      <c r="F374" s="113">
        <f>IFERROR(F347/E347-1,"--")</f>
        <v>0.27861467295293951</v>
      </c>
      <c r="G374" s="113">
        <f>IFERROR(G347/F347-1,"--")</f>
        <v>0.24069497421906005</v>
      </c>
      <c r="H374" s="113">
        <f>IFERROR(H347/G347-1,"--")</f>
        <v>-8.65882336251389E-2</v>
      </c>
      <c r="I374" s="113">
        <f>IFERROR(I347/H347-1,"--")</f>
        <v>-9.2931576773664815E-2</v>
      </c>
      <c r="J374" s="113">
        <f t="shared" ref="J374:K374" si="458">IFERROR(J347/I347-1,"--")</f>
        <v>1.4825386748451574E-2</v>
      </c>
      <c r="K374" s="113">
        <f t="shared" si="458"/>
        <v>1.4984575465744721E-2</v>
      </c>
      <c r="L374" s="197">
        <f ca="1">IFERROR(L347/K347-1,"--")</f>
        <v>3.1088577827135921E-2</v>
      </c>
      <c r="M374" s="197">
        <f ca="1">IFERROR(M347/L347-1,"--")</f>
        <v>1.4564104950771872E-2</v>
      </c>
      <c r="N374" s="197">
        <f ca="1">IFERROR(N347/M347-1,"--")</f>
        <v>4.3825421133991682E-4</v>
      </c>
      <c r="O374" s="197">
        <f ca="1">IFERROR(O347/N347-1,"--")</f>
        <v>1.2449808214396674E-2</v>
      </c>
      <c r="P374" s="197">
        <f ca="1">IFERROR(P347/O347-1,"--")</f>
        <v>1.6297933311810064E-2</v>
      </c>
    </row>
    <row r="375" spans="2:17" ht="12.6" customHeight="1" x14ac:dyDescent="0.2">
      <c r="B375" s="322" t="s">
        <v>790</v>
      </c>
      <c r="C375" s="61"/>
      <c r="D375" s="307"/>
      <c r="E375" s="113">
        <f t="shared" ref="E375:E397" si="459">IFERROR(E348/D348-1,"--")</f>
        <v>1.4371614785035236E-2</v>
      </c>
      <c r="F375" s="113">
        <f t="shared" ref="F375:P375" si="460">IFERROR(F348/E348-1,"--")</f>
        <v>-9.9818325823101128E-3</v>
      </c>
      <c r="G375" s="113">
        <f t="shared" si="460"/>
        <v>2.5109481113812615E-2</v>
      </c>
      <c r="H375" s="113">
        <f t="shared" si="460"/>
        <v>0.31704355144769947</v>
      </c>
      <c r="I375" s="113">
        <f t="shared" si="460"/>
        <v>7.7238319006360356E-2</v>
      </c>
      <c r="J375" s="113">
        <f t="shared" si="460"/>
        <v>-2.4082617521699712E-2</v>
      </c>
      <c r="K375" s="113">
        <f t="shared" si="460"/>
        <v>2.2010628125760157E-2</v>
      </c>
      <c r="L375" s="197">
        <f t="shared" si="460"/>
        <v>-2.4547141500463887E-5</v>
      </c>
      <c r="M375" s="197">
        <f t="shared" si="460"/>
        <v>2.9887116892561405E-2</v>
      </c>
      <c r="N375" s="197">
        <f t="shared" si="460"/>
        <v>2.9778341041704737E-2</v>
      </c>
      <c r="O375" s="197">
        <f t="shared" si="460"/>
        <v>2.9908460968635975E-2</v>
      </c>
      <c r="P375" s="197">
        <f t="shared" si="460"/>
        <v>2.996013959049737E-2</v>
      </c>
    </row>
    <row r="376" spans="2:17" ht="12.6" customHeight="1" x14ac:dyDescent="0.2">
      <c r="B376" s="322" t="s">
        <v>214</v>
      </c>
      <c r="C376" s="61"/>
      <c r="D376" s="307"/>
      <c r="E376" s="113" t="str">
        <f t="shared" si="459"/>
        <v>--</v>
      </c>
      <c r="F376" s="113" t="str">
        <f t="shared" ref="F376:F397" si="461">IFERROR(F349/E349-1,"--")</f>
        <v>--</v>
      </c>
      <c r="G376" s="113">
        <f t="shared" ref="G376:G397" si="462">IFERROR(G349/F349-1,"--")</f>
        <v>0.18401670987362384</v>
      </c>
      <c r="H376" s="113">
        <f t="shared" ref="H376:H397" si="463">IFERROR(H349/G349-1,"--")</f>
        <v>4.2293807695082286E-2</v>
      </c>
      <c r="I376" s="113">
        <f t="shared" ref="I376:I397" si="464">IFERROR(I349/H349-1,"--")</f>
        <v>5.913311835976498E-2</v>
      </c>
      <c r="J376" s="113">
        <f t="shared" ref="J376:J396" si="465">IFERROR(J349/I349-1,"--")</f>
        <v>5.6462840468202824E-2</v>
      </c>
      <c r="K376" s="113">
        <f t="shared" ref="K376:K396" si="466">IFERROR(K349/J349-1,"--")</f>
        <v>0.10614715657985552</v>
      </c>
      <c r="L376" s="197">
        <f t="shared" ref="L376:L396" ca="1" si="467">IFERROR(L349/K349-1,"--")</f>
        <v>-6.470442325365422E-3</v>
      </c>
      <c r="M376" s="197">
        <f t="shared" ref="M376:M396" ca="1" si="468">IFERROR(M349/L349-1,"--")</f>
        <v>2.1975079568304023E-2</v>
      </c>
      <c r="N376" s="197">
        <f t="shared" ref="N376:N396" ca="1" si="469">IFERROR(N349/M349-1,"--")</f>
        <v>1.8875797413884676E-2</v>
      </c>
      <c r="O376" s="197">
        <f t="shared" ref="O376:O396" ca="1" si="470">IFERROR(O349/N349-1,"--")</f>
        <v>2.8206882610067652E-2</v>
      </c>
      <c r="P376" s="197">
        <f t="shared" ref="P376:P396" ca="1" si="471">IFERROR(P349/O349-1,"--")</f>
        <v>2.908747111883403E-2</v>
      </c>
    </row>
    <row r="377" spans="2:17" ht="12.6" customHeight="1" x14ac:dyDescent="0.2">
      <c r="B377" s="322" t="s">
        <v>10</v>
      </c>
      <c r="C377" s="61"/>
      <c r="D377" s="307"/>
      <c r="E377" s="113" t="str">
        <f t="shared" si="459"/>
        <v>--</v>
      </c>
      <c r="F377" s="113" t="str">
        <f t="shared" si="461"/>
        <v>--</v>
      </c>
      <c r="G377" s="113">
        <f t="shared" si="462"/>
        <v>-0.45010537035059905</v>
      </c>
      <c r="H377" s="113">
        <f t="shared" si="463"/>
        <v>0.11613699760609419</v>
      </c>
      <c r="I377" s="113">
        <f t="shared" si="464"/>
        <v>-6.879555238384627E-2</v>
      </c>
      <c r="J377" s="113">
        <f t="shared" si="465"/>
        <v>1.0555207311631509E-2</v>
      </c>
      <c r="K377" s="113">
        <f t="shared" si="466"/>
        <v>6.3700648167739349E-3</v>
      </c>
      <c r="L377" s="197">
        <f t="shared" ca="1" si="467"/>
        <v>9.8936130089591234E-2</v>
      </c>
      <c r="M377" s="197">
        <f t="shared" ca="1" si="468"/>
        <v>5.4398053417163972E-3</v>
      </c>
      <c r="N377" s="197">
        <f t="shared" ca="1" si="469"/>
        <v>3.9656072521033536E-2</v>
      </c>
      <c r="O377" s="197">
        <f t="shared" ca="1" si="470"/>
        <v>4.0114150519135805E-2</v>
      </c>
      <c r="P377" s="197">
        <f t="shared" ca="1" si="471"/>
        <v>4.0555888939123097E-2</v>
      </c>
    </row>
    <row r="378" spans="2:17" ht="12.6" customHeight="1" x14ac:dyDescent="0.2">
      <c r="B378" s="322" t="s">
        <v>568</v>
      </c>
      <c r="C378" s="61"/>
      <c r="D378" s="307"/>
      <c r="E378" s="113" t="str">
        <f t="shared" si="459"/>
        <v>--</v>
      </c>
      <c r="F378" s="113" t="str">
        <f t="shared" si="461"/>
        <v>--</v>
      </c>
      <c r="G378" s="113" t="str">
        <f t="shared" si="462"/>
        <v>--</v>
      </c>
      <c r="H378" s="113" t="str">
        <f t="shared" si="463"/>
        <v>--</v>
      </c>
      <c r="I378" s="113">
        <f t="shared" si="464"/>
        <v>-0.41883061945049005</v>
      </c>
      <c r="J378" s="113">
        <f t="shared" si="465"/>
        <v>8.6262152043866891E-2</v>
      </c>
      <c r="K378" s="113">
        <f t="shared" si="466"/>
        <v>2.1440902028668551E-2</v>
      </c>
      <c r="L378" s="197">
        <f t="shared" si="467"/>
        <v>4.6771284750234843E-2</v>
      </c>
      <c r="M378" s="197">
        <f t="shared" si="468"/>
        <v>4.6477549393553419E-2</v>
      </c>
      <c r="N378" s="197">
        <f t="shared" si="469"/>
        <v>4.5551536396799541E-2</v>
      </c>
      <c r="O378" s="197">
        <f t="shared" si="470"/>
        <v>4.5920806180897333E-2</v>
      </c>
      <c r="P378" s="197">
        <f t="shared" si="471"/>
        <v>4.6258165918276584E-2</v>
      </c>
    </row>
    <row r="379" spans="2:17" ht="12.6" customHeight="1" x14ac:dyDescent="0.2">
      <c r="B379" s="322" t="s">
        <v>8</v>
      </c>
      <c r="C379" s="61"/>
      <c r="D379" s="307"/>
      <c r="E379" s="113" t="str">
        <f t="shared" si="459"/>
        <v>--</v>
      </c>
      <c r="F379" s="113" t="str">
        <f t="shared" si="461"/>
        <v>--</v>
      </c>
      <c r="G379" s="113" t="str">
        <f t="shared" si="462"/>
        <v>--</v>
      </c>
      <c r="H379" s="113">
        <f t="shared" si="463"/>
        <v>-0.42546415801181425</v>
      </c>
      <c r="I379" s="113">
        <f t="shared" si="464"/>
        <v>0.12434200241719018</v>
      </c>
      <c r="J379" s="113">
        <f t="shared" si="465"/>
        <v>5.4101781972130336E-2</v>
      </c>
      <c r="K379" s="113">
        <f t="shared" si="466"/>
        <v>-6.8628942845228025E-3</v>
      </c>
      <c r="L379" s="197">
        <f t="shared" ca="1" si="467"/>
        <v>4.0996955366372712E-2</v>
      </c>
      <c r="M379" s="197">
        <f t="shared" ca="1" si="468"/>
        <v>4.1657404745333748E-2</v>
      </c>
      <c r="N379" s="197">
        <f t="shared" ca="1" si="469"/>
        <v>4.2011221875164706E-2</v>
      </c>
      <c r="O379" s="197">
        <f t="shared" ca="1" si="470"/>
        <v>4.2352487887372003E-2</v>
      </c>
      <c r="P379" s="197">
        <f t="shared" ca="1" si="471"/>
        <v>4.2681436328796396E-2</v>
      </c>
    </row>
    <row r="380" spans="2:17" ht="12.6" customHeight="1" x14ac:dyDescent="0.2">
      <c r="B380" s="322" t="s">
        <v>9</v>
      </c>
      <c r="C380" s="61"/>
      <c r="D380" s="307"/>
      <c r="E380" s="113" t="str">
        <f t="shared" si="459"/>
        <v>--</v>
      </c>
      <c r="F380" s="113" t="str">
        <f t="shared" si="461"/>
        <v>--</v>
      </c>
      <c r="G380" s="113" t="str">
        <f t="shared" si="462"/>
        <v>--</v>
      </c>
      <c r="H380" s="113" t="str">
        <f t="shared" si="463"/>
        <v>--</v>
      </c>
      <c r="I380" s="113">
        <f t="shared" si="464"/>
        <v>-1.6757463222623947E-2</v>
      </c>
      <c r="J380" s="113">
        <f t="shared" si="465"/>
        <v>0.16172924838296399</v>
      </c>
      <c r="K380" s="113">
        <f t="shared" si="466"/>
        <v>0.18035619684693383</v>
      </c>
      <c r="L380" s="197">
        <f t="shared" si="467"/>
        <v>3.9614359486330963E-2</v>
      </c>
      <c r="M380" s="197">
        <f t="shared" si="468"/>
        <v>1.0871483489724554E-2</v>
      </c>
      <c r="N380" s="197">
        <f t="shared" si="469"/>
        <v>9.5086833043260821E-3</v>
      </c>
      <c r="O380" s="197">
        <f t="shared" si="470"/>
        <v>9.9631386631866548E-3</v>
      </c>
      <c r="P380" s="197">
        <f t="shared" si="471"/>
        <v>1.0397510916525077E-2</v>
      </c>
    </row>
    <row r="381" spans="2:17" ht="12.6" customHeight="1" x14ac:dyDescent="0.2">
      <c r="B381" s="322" t="s">
        <v>215</v>
      </c>
      <c r="C381" s="61"/>
      <c r="D381" s="307"/>
      <c r="E381" s="113" t="str">
        <f t="shared" si="459"/>
        <v>--</v>
      </c>
      <c r="F381" s="113" t="str">
        <f t="shared" si="461"/>
        <v>--</v>
      </c>
      <c r="G381" s="113" t="str">
        <f t="shared" si="462"/>
        <v>--</v>
      </c>
      <c r="H381" s="113">
        <f t="shared" si="463"/>
        <v>-0.64956004377218979</v>
      </c>
      <c r="I381" s="113">
        <f t="shared" si="464"/>
        <v>0.1638792670947411</v>
      </c>
      <c r="J381" s="113">
        <f t="shared" si="465"/>
        <v>0.11982304343518013</v>
      </c>
      <c r="K381" s="113">
        <f t="shared" si="466"/>
        <v>1.4682308788538379E-2</v>
      </c>
      <c r="L381" s="197">
        <f t="shared" ca="1" si="467"/>
        <v>3.5877039787381326E-2</v>
      </c>
      <c r="M381" s="197">
        <f t="shared" ca="1" si="468"/>
        <v>3.9465613757154516E-2</v>
      </c>
      <c r="N381" s="197">
        <f t="shared" ca="1" si="469"/>
        <v>4.0348166721507761E-2</v>
      </c>
      <c r="O381" s="197">
        <f t="shared" ca="1" si="470"/>
        <v>4.1164282819894149E-2</v>
      </c>
      <c r="P381" s="197">
        <f t="shared" ca="1" si="471"/>
        <v>4.1917732021917953E-2</v>
      </c>
    </row>
    <row r="382" spans="2:17" ht="12.6" customHeight="1" x14ac:dyDescent="0.2">
      <c r="B382" s="322" t="s">
        <v>216</v>
      </c>
      <c r="C382" s="61"/>
      <c r="D382" s="307"/>
      <c r="E382" s="113" t="str">
        <f t="shared" si="459"/>
        <v>--</v>
      </c>
      <c r="F382" s="113" t="str">
        <f t="shared" si="461"/>
        <v>--</v>
      </c>
      <c r="G382" s="113" t="str">
        <f t="shared" si="462"/>
        <v>--</v>
      </c>
      <c r="H382" s="113" t="str">
        <f t="shared" si="463"/>
        <v>--</v>
      </c>
      <c r="I382" s="113" t="str">
        <f t="shared" si="464"/>
        <v>--</v>
      </c>
      <c r="J382" s="113" t="str">
        <f t="shared" si="465"/>
        <v>--</v>
      </c>
      <c r="K382" s="113">
        <f t="shared" si="466"/>
        <v>-2.1027518906554743E-2</v>
      </c>
      <c r="L382" s="197">
        <f t="shared" si="467"/>
        <v>2.3717922833488947E-2</v>
      </c>
      <c r="M382" s="197">
        <f t="shared" si="468"/>
        <v>-4.0720870223014183E-2</v>
      </c>
      <c r="N382" s="197">
        <f t="shared" si="469"/>
        <v>1.0243061409498155E-2</v>
      </c>
      <c r="O382" s="197">
        <f t="shared" si="470"/>
        <v>2.4004357951940891E-2</v>
      </c>
      <c r="P382" s="197">
        <f t="shared" si="471"/>
        <v>2.573696932647751E-2</v>
      </c>
    </row>
    <row r="383" spans="2:17" ht="12.6" customHeight="1" x14ac:dyDescent="0.2">
      <c r="B383" s="322" t="s">
        <v>2</v>
      </c>
      <c r="C383" s="61"/>
      <c r="D383" s="307"/>
      <c r="E383" s="113" t="str">
        <f t="shared" si="459"/>
        <v>--</v>
      </c>
      <c r="F383" s="113" t="str">
        <f t="shared" si="461"/>
        <v>--</v>
      </c>
      <c r="G383" s="113" t="str">
        <f t="shared" si="462"/>
        <v>--</v>
      </c>
      <c r="H383" s="113" t="str">
        <f t="shared" si="463"/>
        <v>--</v>
      </c>
      <c r="I383" s="113" t="str">
        <f t="shared" si="464"/>
        <v>--</v>
      </c>
      <c r="J383" s="113" t="str">
        <f t="shared" si="465"/>
        <v>--</v>
      </c>
      <c r="K383" s="113" t="str">
        <f t="shared" si="466"/>
        <v>--</v>
      </c>
      <c r="L383" s="197">
        <f t="shared" si="467"/>
        <v>0.17278705640802294</v>
      </c>
      <c r="M383" s="197">
        <f t="shared" si="468"/>
        <v>-9.1670504271633702E-3</v>
      </c>
      <c r="N383" s="197">
        <f t="shared" si="469"/>
        <v>6.383571301241675E-3</v>
      </c>
      <c r="O383" s="197">
        <f t="shared" si="470"/>
        <v>3.1439259262837638E-3</v>
      </c>
      <c r="P383" s="197">
        <f t="shared" si="471"/>
        <v>3.4908698670625959E-3</v>
      </c>
    </row>
    <row r="384" spans="2:17" ht="12.6" customHeight="1" x14ac:dyDescent="0.2">
      <c r="B384" s="322" t="s">
        <v>791</v>
      </c>
      <c r="C384" s="61"/>
      <c r="D384" s="307"/>
      <c r="E384" s="113" t="str">
        <f t="shared" si="459"/>
        <v>--</v>
      </c>
      <c r="F384" s="113" t="str">
        <f t="shared" si="461"/>
        <v>--</v>
      </c>
      <c r="G384" s="113" t="str">
        <f t="shared" si="462"/>
        <v>--</v>
      </c>
      <c r="H384" s="113" t="str">
        <f t="shared" si="463"/>
        <v>--</v>
      </c>
      <c r="I384" s="113" t="str">
        <f t="shared" si="464"/>
        <v>--</v>
      </c>
      <c r="J384" s="113" t="str">
        <f t="shared" si="465"/>
        <v>--</v>
      </c>
      <c r="K384" s="113">
        <f t="shared" si="466"/>
        <v>-0.72328767123287663</v>
      </c>
      <c r="L384" s="197">
        <f t="shared" si="467"/>
        <v>0.29124343257443086</v>
      </c>
      <c r="M384" s="197">
        <f t="shared" si="468"/>
        <v>0.75066666666666682</v>
      </c>
      <c r="N384" s="197">
        <f t="shared" si="469"/>
        <v>-0.42285714285714282</v>
      </c>
      <c r="O384" s="197">
        <f t="shared" si="470"/>
        <v>-0.22307692307692295</v>
      </c>
      <c r="P384" s="197">
        <f t="shared" si="471"/>
        <v>-2.8846153846153744E-2</v>
      </c>
    </row>
    <row r="385" spans="2:16" ht="12.6" customHeight="1" x14ac:dyDescent="0.2">
      <c r="B385" s="322" t="s">
        <v>553</v>
      </c>
      <c r="C385" s="61"/>
      <c r="D385" s="307"/>
      <c r="E385" s="113" t="str">
        <f t="shared" si="459"/>
        <v>--</v>
      </c>
      <c r="F385" s="113" t="str">
        <f t="shared" si="461"/>
        <v>--</v>
      </c>
      <c r="G385" s="113" t="str">
        <f t="shared" si="462"/>
        <v>--</v>
      </c>
      <c r="H385" s="113" t="str">
        <f t="shared" si="463"/>
        <v>--</v>
      </c>
      <c r="I385" s="113" t="str">
        <f t="shared" si="464"/>
        <v>--</v>
      </c>
      <c r="J385" s="113" t="str">
        <f t="shared" si="465"/>
        <v>--</v>
      </c>
      <c r="K385" s="113" t="str">
        <f t="shared" si="466"/>
        <v>--</v>
      </c>
      <c r="L385" s="197">
        <f t="shared" ca="1" si="467"/>
        <v>4.9368737474949853E-2</v>
      </c>
      <c r="M385" s="197">
        <f t="shared" ca="1" si="468"/>
        <v>5.06316422699018E-2</v>
      </c>
      <c r="N385" s="197">
        <f t="shared" ca="1" si="469"/>
        <v>5.0000000000000044E-2</v>
      </c>
      <c r="O385" s="197">
        <f t="shared" ca="1" si="470"/>
        <v>5.0000000000000044E-2</v>
      </c>
      <c r="P385" s="197">
        <f t="shared" ca="1" si="471"/>
        <v>5.0000000000000044E-2</v>
      </c>
    </row>
    <row r="386" spans="2:16" ht="12.6" customHeight="1" x14ac:dyDescent="0.2">
      <c r="B386" s="370" t="s">
        <v>788</v>
      </c>
      <c r="C386" s="61"/>
      <c r="D386" s="307"/>
      <c r="E386" s="113" t="str">
        <f t="shared" si="459"/>
        <v>--</v>
      </c>
      <c r="F386" s="113" t="str">
        <f t="shared" si="461"/>
        <v>--</v>
      </c>
      <c r="G386" s="113" t="str">
        <f t="shared" si="462"/>
        <v>--</v>
      </c>
      <c r="H386" s="113" t="str">
        <f t="shared" si="463"/>
        <v>--</v>
      </c>
      <c r="I386" s="113" t="str">
        <f t="shared" si="464"/>
        <v>--</v>
      </c>
      <c r="J386" s="113" t="str">
        <f t="shared" si="465"/>
        <v>--</v>
      </c>
      <c r="K386" s="113" t="str">
        <f t="shared" si="466"/>
        <v>--</v>
      </c>
      <c r="L386" s="197">
        <f>IFERROR(L359/K359-1,"--")</f>
        <v>5.0000000000000044E-2</v>
      </c>
      <c r="M386" s="197">
        <f>IFERROR(M359/L359-1,"--")</f>
        <v>5.0000000000000044E-2</v>
      </c>
      <c r="N386" s="197">
        <f>IFERROR(N359/M359-1,"--")</f>
        <v>5.0000000000000044E-2</v>
      </c>
      <c r="O386" s="197">
        <f>IFERROR(O359/N359-1,"--")</f>
        <v>5.0000000000000044E-2</v>
      </c>
      <c r="P386" s="197">
        <f>IFERROR(P359/O359-1,"--")</f>
        <v>5.0000000000000044E-2</v>
      </c>
    </row>
    <row r="387" spans="2:16" ht="12.6" customHeight="1" x14ac:dyDescent="0.2">
      <c r="B387" s="370" t="s">
        <v>789</v>
      </c>
      <c r="C387" s="61"/>
      <c r="D387" s="307"/>
      <c r="E387" s="113" t="str">
        <f t="shared" si="459"/>
        <v>--</v>
      </c>
      <c r="F387" s="113" t="str">
        <f t="shared" si="461"/>
        <v>--</v>
      </c>
      <c r="G387" s="113" t="str">
        <f t="shared" si="462"/>
        <v>--</v>
      </c>
      <c r="H387" s="113" t="str">
        <f t="shared" si="463"/>
        <v>--</v>
      </c>
      <c r="I387" s="113" t="str">
        <f t="shared" si="464"/>
        <v>--</v>
      </c>
      <c r="J387" s="113" t="str">
        <f t="shared" si="465"/>
        <v>--</v>
      </c>
      <c r="K387" s="113" t="str">
        <f t="shared" si="466"/>
        <v>--</v>
      </c>
      <c r="L387" s="197" t="str">
        <f t="shared" si="467"/>
        <v>--</v>
      </c>
      <c r="M387" s="197" t="str">
        <f t="shared" si="468"/>
        <v>--</v>
      </c>
      <c r="N387" s="197" t="str">
        <f t="shared" si="469"/>
        <v>--</v>
      </c>
      <c r="O387" s="197" t="str">
        <f t="shared" si="470"/>
        <v>--</v>
      </c>
      <c r="P387" s="197">
        <f t="shared" si="471"/>
        <v>0</v>
      </c>
    </row>
    <row r="388" spans="2:16" ht="12.6" customHeight="1" x14ac:dyDescent="0.2">
      <c r="B388" s="370" t="s">
        <v>558</v>
      </c>
      <c r="C388" s="61"/>
      <c r="D388" s="307"/>
      <c r="E388" s="113" t="str">
        <f t="shared" si="459"/>
        <v>--</v>
      </c>
      <c r="F388" s="113" t="str">
        <f t="shared" si="461"/>
        <v>--</v>
      </c>
      <c r="G388" s="113" t="str">
        <f t="shared" si="462"/>
        <v>--</v>
      </c>
      <c r="H388" s="113" t="str">
        <f t="shared" si="463"/>
        <v>--</v>
      </c>
      <c r="I388" s="113" t="str">
        <f t="shared" si="464"/>
        <v>--</v>
      </c>
      <c r="J388" s="113" t="str">
        <f t="shared" si="465"/>
        <v>--</v>
      </c>
      <c r="K388" s="113" t="str">
        <f t="shared" si="466"/>
        <v>--</v>
      </c>
      <c r="L388" s="197" t="str">
        <f t="shared" si="467"/>
        <v>--</v>
      </c>
      <c r="M388" s="197" t="str">
        <f t="shared" si="468"/>
        <v>--</v>
      </c>
      <c r="N388" s="197" t="str">
        <f t="shared" si="469"/>
        <v>--</v>
      </c>
      <c r="O388" s="197">
        <f t="shared" si="470"/>
        <v>1.0000000000000231E-2</v>
      </c>
      <c r="P388" s="197">
        <f t="shared" si="471"/>
        <v>1.0000000000000009E-2</v>
      </c>
    </row>
    <row r="389" spans="2:16" ht="12.6" customHeight="1" x14ac:dyDescent="0.2">
      <c r="B389" s="370" t="s">
        <v>760</v>
      </c>
      <c r="C389" s="61"/>
      <c r="D389" s="307"/>
      <c r="E389" s="113" t="str">
        <f t="shared" si="459"/>
        <v>--</v>
      </c>
      <c r="F389" s="113" t="str">
        <f t="shared" si="461"/>
        <v>--</v>
      </c>
      <c r="G389" s="113" t="str">
        <f t="shared" si="462"/>
        <v>--</v>
      </c>
      <c r="H389" s="113" t="str">
        <f t="shared" si="463"/>
        <v>--</v>
      </c>
      <c r="I389" s="113" t="str">
        <f t="shared" si="464"/>
        <v>--</v>
      </c>
      <c r="J389" s="113" t="str">
        <f t="shared" si="465"/>
        <v>--</v>
      </c>
      <c r="K389" s="113" t="str">
        <f t="shared" si="466"/>
        <v>--</v>
      </c>
      <c r="L389" s="197" t="str">
        <f t="shared" si="467"/>
        <v>--</v>
      </c>
      <c r="M389" s="197" t="str">
        <f t="shared" si="468"/>
        <v>--</v>
      </c>
      <c r="N389" s="197" t="str">
        <f t="shared" si="469"/>
        <v>--</v>
      </c>
      <c r="O389" s="197">
        <f t="shared" si="470"/>
        <v>-0.33333333333333337</v>
      </c>
      <c r="P389" s="197">
        <f t="shared" si="471"/>
        <v>0</v>
      </c>
    </row>
    <row r="390" spans="2:16" ht="12.6" customHeight="1" x14ac:dyDescent="0.2">
      <c r="B390" s="370" t="s">
        <v>761</v>
      </c>
      <c r="C390" s="61"/>
      <c r="D390" s="307"/>
      <c r="E390" s="113" t="str">
        <f t="shared" si="459"/>
        <v>--</v>
      </c>
      <c r="F390" s="113" t="str">
        <f t="shared" si="461"/>
        <v>--</v>
      </c>
      <c r="G390" s="113" t="str">
        <f t="shared" si="462"/>
        <v>--</v>
      </c>
      <c r="H390" s="113" t="str">
        <f t="shared" si="463"/>
        <v>--</v>
      </c>
      <c r="I390" s="113" t="str">
        <f t="shared" si="464"/>
        <v>--</v>
      </c>
      <c r="J390" s="113" t="str">
        <f t="shared" si="465"/>
        <v>--</v>
      </c>
      <c r="K390" s="113" t="str">
        <f t="shared" si="466"/>
        <v>--</v>
      </c>
      <c r="L390" s="197" t="str">
        <f t="shared" si="467"/>
        <v>--</v>
      </c>
      <c r="M390" s="197" t="str">
        <f t="shared" si="468"/>
        <v>--</v>
      </c>
      <c r="N390" s="197" t="str">
        <f t="shared" si="469"/>
        <v>--</v>
      </c>
      <c r="O390" s="197" t="str">
        <f t="shared" si="470"/>
        <v>--</v>
      </c>
      <c r="P390" s="197" t="str">
        <f t="shared" si="471"/>
        <v>--</v>
      </c>
    </row>
    <row r="391" spans="2:16" ht="12.6" customHeight="1" x14ac:dyDescent="0.2">
      <c r="B391" s="370" t="s">
        <v>664</v>
      </c>
      <c r="C391" s="61"/>
      <c r="D391" s="307"/>
      <c r="E391" s="113" t="str">
        <f t="shared" si="459"/>
        <v>--</v>
      </c>
      <c r="F391" s="113" t="str">
        <f t="shared" si="461"/>
        <v>--</v>
      </c>
      <c r="G391" s="113" t="str">
        <f t="shared" si="462"/>
        <v>--</v>
      </c>
      <c r="H391" s="113" t="str">
        <f t="shared" si="463"/>
        <v>--</v>
      </c>
      <c r="I391" s="113" t="str">
        <f t="shared" si="464"/>
        <v>--</v>
      </c>
      <c r="J391" s="113" t="str">
        <f t="shared" si="465"/>
        <v>--</v>
      </c>
      <c r="K391" s="113" t="str">
        <f t="shared" si="466"/>
        <v>--</v>
      </c>
      <c r="L391" s="197" t="str">
        <f t="shared" si="467"/>
        <v>--</v>
      </c>
      <c r="M391" s="197" t="str">
        <f t="shared" si="468"/>
        <v>--</v>
      </c>
      <c r="N391" s="197" t="str">
        <f t="shared" si="469"/>
        <v>--</v>
      </c>
      <c r="O391" s="197" t="str">
        <f t="shared" si="470"/>
        <v>--</v>
      </c>
      <c r="P391" s="197" t="str">
        <f t="shared" si="471"/>
        <v>--</v>
      </c>
    </row>
    <row r="392" spans="2:16" ht="12.6" customHeight="1" x14ac:dyDescent="0.2">
      <c r="B392" s="370" t="s">
        <v>1866</v>
      </c>
      <c r="C392" s="61"/>
      <c r="D392" s="307"/>
      <c r="E392" s="113" t="str">
        <f t="shared" si="459"/>
        <v>--</v>
      </c>
      <c r="F392" s="113" t="str">
        <f t="shared" si="461"/>
        <v>--</v>
      </c>
      <c r="G392" s="113" t="str">
        <f t="shared" si="462"/>
        <v>--</v>
      </c>
      <c r="H392" s="113" t="str">
        <f t="shared" si="463"/>
        <v>--</v>
      </c>
      <c r="I392" s="113" t="str">
        <f t="shared" si="464"/>
        <v>--</v>
      </c>
      <c r="J392" s="113" t="str">
        <f t="shared" si="465"/>
        <v>--</v>
      </c>
      <c r="K392" s="113" t="str">
        <f t="shared" si="466"/>
        <v>--</v>
      </c>
      <c r="L392" s="197" t="str">
        <f t="shared" si="467"/>
        <v>--</v>
      </c>
      <c r="M392" s="197" t="str">
        <f t="shared" si="468"/>
        <v>--</v>
      </c>
      <c r="N392" s="197" t="str">
        <f t="shared" si="469"/>
        <v>--</v>
      </c>
      <c r="O392" s="197" t="str">
        <f t="shared" si="470"/>
        <v>--</v>
      </c>
      <c r="P392" s="197" t="str">
        <f t="shared" si="471"/>
        <v>--</v>
      </c>
    </row>
    <row r="393" spans="2:16" ht="12.6" customHeight="1" x14ac:dyDescent="0.2">
      <c r="B393" s="370" t="s">
        <v>1767</v>
      </c>
      <c r="C393" s="61"/>
      <c r="D393" s="307"/>
      <c r="E393" s="113" t="str">
        <f t="shared" si="459"/>
        <v>--</v>
      </c>
      <c r="F393" s="113" t="str">
        <f t="shared" si="461"/>
        <v>--</v>
      </c>
      <c r="G393" s="113" t="str">
        <f t="shared" si="462"/>
        <v>--</v>
      </c>
      <c r="H393" s="113" t="str">
        <f t="shared" si="463"/>
        <v>--</v>
      </c>
      <c r="I393" s="113" t="str">
        <f t="shared" si="464"/>
        <v>--</v>
      </c>
      <c r="J393" s="113" t="str">
        <f t="shared" si="465"/>
        <v>--</v>
      </c>
      <c r="K393" s="113" t="str">
        <f t="shared" si="466"/>
        <v>--</v>
      </c>
      <c r="L393" s="197" t="str">
        <f t="shared" si="467"/>
        <v>--</v>
      </c>
      <c r="M393" s="197" t="str">
        <f t="shared" si="468"/>
        <v>--</v>
      </c>
      <c r="N393" s="197" t="str">
        <f t="shared" si="469"/>
        <v>--</v>
      </c>
      <c r="O393" s="197">
        <f t="shared" si="470"/>
        <v>5.0000000000000044E-2</v>
      </c>
      <c r="P393" s="197">
        <f t="shared" si="471"/>
        <v>1.0000000000000009E-2</v>
      </c>
    </row>
    <row r="394" spans="2:16" ht="12.6" customHeight="1" x14ac:dyDescent="0.2">
      <c r="B394" s="370" t="s">
        <v>2045</v>
      </c>
      <c r="C394" s="61"/>
      <c r="D394" s="307"/>
      <c r="E394" s="113" t="str">
        <f t="shared" si="459"/>
        <v>--</v>
      </c>
      <c r="F394" s="113" t="str">
        <f t="shared" si="461"/>
        <v>--</v>
      </c>
      <c r="G394" s="113" t="str">
        <f t="shared" si="462"/>
        <v>--</v>
      </c>
      <c r="H394" s="113" t="str">
        <f t="shared" si="463"/>
        <v>--</v>
      </c>
      <c r="I394" s="113" t="str">
        <f t="shared" si="464"/>
        <v>--</v>
      </c>
      <c r="J394" s="113" t="str">
        <f t="shared" si="465"/>
        <v>--</v>
      </c>
      <c r="K394" s="113" t="str">
        <f t="shared" ref="K394:L394" si="472">IFERROR(K367/J367-1,"--")</f>
        <v>--</v>
      </c>
      <c r="L394" s="197" t="str">
        <f t="shared" si="472"/>
        <v>--</v>
      </c>
      <c r="M394" s="197" t="str">
        <f ca="1">IFERROR(M367/L367-1,"--")</f>
        <v>--</v>
      </c>
      <c r="N394" s="197" t="str">
        <f ca="1">IFERROR(N367/M367-1,"--")</f>
        <v>--</v>
      </c>
      <c r="O394" s="197" t="str">
        <f ca="1">IFERROR(O367/N367-1,"--")</f>
        <v>--</v>
      </c>
      <c r="P394" s="197">
        <f>IFERROR(P367/O367-1,"--")</f>
        <v>1.0000000000000009E-2</v>
      </c>
    </row>
    <row r="395" spans="2:16" ht="12.6" customHeight="1" x14ac:dyDescent="0.2">
      <c r="B395" s="370" t="s">
        <v>472</v>
      </c>
      <c r="C395" s="61"/>
      <c r="D395" s="307"/>
      <c r="E395" s="113" t="str">
        <f t="shared" si="459"/>
        <v>--</v>
      </c>
      <c r="F395" s="113" t="str">
        <f t="shared" si="461"/>
        <v>--</v>
      </c>
      <c r="G395" s="113" t="str">
        <f t="shared" si="462"/>
        <v>--</v>
      </c>
      <c r="H395" s="113" t="str">
        <f t="shared" si="463"/>
        <v>--</v>
      </c>
      <c r="I395" s="113" t="str">
        <f t="shared" si="464"/>
        <v>--</v>
      </c>
      <c r="J395" s="113" t="str">
        <f t="shared" si="465"/>
        <v>--</v>
      </c>
      <c r="K395" s="113" t="str">
        <f t="shared" si="466"/>
        <v>--</v>
      </c>
      <c r="L395" s="197" t="str">
        <f t="shared" si="467"/>
        <v>--</v>
      </c>
      <c r="M395" s="197" t="str">
        <f t="shared" si="468"/>
        <v>--</v>
      </c>
      <c r="N395" s="197" t="str">
        <f t="shared" si="469"/>
        <v>--</v>
      </c>
      <c r="O395" s="197" t="str">
        <f t="shared" si="470"/>
        <v>--</v>
      </c>
      <c r="P395" s="197" t="str">
        <f t="shared" si="471"/>
        <v>--</v>
      </c>
    </row>
    <row r="396" spans="2:16" ht="12.6" customHeight="1" x14ac:dyDescent="0.2">
      <c r="B396" s="370" t="s">
        <v>472</v>
      </c>
      <c r="C396" s="61"/>
      <c r="D396" s="307"/>
      <c r="E396" s="113" t="str">
        <f t="shared" si="459"/>
        <v>--</v>
      </c>
      <c r="F396" s="113" t="str">
        <f t="shared" si="461"/>
        <v>--</v>
      </c>
      <c r="G396" s="113" t="str">
        <f t="shared" si="462"/>
        <v>--</v>
      </c>
      <c r="H396" s="113" t="str">
        <f t="shared" si="463"/>
        <v>--</v>
      </c>
      <c r="I396" s="113" t="str">
        <f t="shared" si="464"/>
        <v>--</v>
      </c>
      <c r="J396" s="113" t="str">
        <f t="shared" si="465"/>
        <v>--</v>
      </c>
      <c r="K396" s="113" t="str">
        <f t="shared" si="466"/>
        <v>--</v>
      </c>
      <c r="L396" s="197" t="str">
        <f t="shared" si="467"/>
        <v>--</v>
      </c>
      <c r="M396" s="197" t="str">
        <f t="shared" si="468"/>
        <v>--</v>
      </c>
      <c r="N396" s="197" t="str">
        <f t="shared" si="469"/>
        <v>--</v>
      </c>
      <c r="O396" s="197" t="str">
        <f t="shared" si="470"/>
        <v>--</v>
      </c>
      <c r="P396" s="197" t="str">
        <f t="shared" si="471"/>
        <v>--</v>
      </c>
    </row>
    <row r="397" spans="2:16" ht="12.6" customHeight="1" x14ac:dyDescent="0.2">
      <c r="B397" s="371" t="s">
        <v>551</v>
      </c>
      <c r="C397" s="61"/>
      <c r="D397" s="307"/>
      <c r="E397" s="117">
        <f t="shared" si="459"/>
        <v>-1.7891601141007629E-2</v>
      </c>
      <c r="F397" s="117">
        <f t="shared" si="461"/>
        <v>0.10051423443102747</v>
      </c>
      <c r="G397" s="117">
        <f t="shared" si="462"/>
        <v>4.7671488966983144E-2</v>
      </c>
      <c r="H397" s="117">
        <f t="shared" si="463"/>
        <v>4.1757383250794256E-2</v>
      </c>
      <c r="I397" s="117">
        <f t="shared" si="464"/>
        <v>-5.9161001903122568E-2</v>
      </c>
      <c r="J397" s="117">
        <f t="shared" ref="J397:K397" si="473">IFERROR(J370/I370-1,"--")</f>
        <v>1.8560604575688533E-2</v>
      </c>
      <c r="K397" s="117">
        <f t="shared" si="473"/>
        <v>2.7549815234840347E-2</v>
      </c>
      <c r="L397" s="204">
        <f ca="1">IFERROR(L370/K370-1,"--")</f>
        <v>0.18256983235915158</v>
      </c>
      <c r="M397" s="204">
        <f ca="1">IFERROR(M370/L370-1,"--")</f>
        <v>3.8746040273024862E-2</v>
      </c>
      <c r="N397" s="204">
        <f ca="1">IFERROR(N370/M370-1,"--")</f>
        <v>7.8259842017386561E-2</v>
      </c>
      <c r="O397" s="204">
        <f ca="1">IFERROR(O370/N370-1,"--")</f>
        <v>-3.374484672009459E-2</v>
      </c>
      <c r="P397" s="204">
        <f ca="1">IFERROR(P370/O370-1,"--")</f>
        <v>2.3572297148065857E-2</v>
      </c>
    </row>
    <row r="399" spans="2:16" ht="12.6" customHeight="1" x14ac:dyDescent="0.2">
      <c r="B399" s="50" t="s">
        <v>680</v>
      </c>
      <c r="C399" s="50"/>
      <c r="D399" s="348"/>
      <c r="E399" s="348"/>
      <c r="F399" s="348"/>
      <c r="G399" s="317"/>
      <c r="H399" s="317"/>
      <c r="I399" s="317"/>
      <c r="J399" s="317"/>
      <c r="K399" s="317"/>
      <c r="L399" s="318"/>
      <c r="M399" s="318"/>
      <c r="N399" s="318"/>
      <c r="O399" s="318"/>
      <c r="P399" s="318"/>
    </row>
    <row r="400" spans="2:16" ht="12.6" customHeight="1" x14ac:dyDescent="0.2">
      <c r="B400" s="56" t="s">
        <v>213</v>
      </c>
      <c r="C400" s="61"/>
      <c r="D400" s="288" t="str">
        <f t="shared" ref="D400:P415" si="474">IFERROR(D265/D3,"--")</f>
        <v>--</v>
      </c>
      <c r="E400" s="288">
        <f t="shared" si="474"/>
        <v>345.21646778042958</v>
      </c>
      <c r="F400" s="288">
        <f t="shared" si="474"/>
        <v>492.1143996753346</v>
      </c>
      <c r="G400" s="288">
        <f t="shared" si="474"/>
        <v>435.56016713091918</v>
      </c>
      <c r="H400" s="311">
        <f t="shared" si="474"/>
        <v>670.44165171647626</v>
      </c>
      <c r="I400" s="288">
        <f t="shared" si="474"/>
        <v>806.82333333333338</v>
      </c>
      <c r="J400" s="288">
        <f t="shared" si="474"/>
        <v>771.58490566037744</v>
      </c>
      <c r="K400" s="288">
        <f t="shared" si="474"/>
        <v>758.58333333333337</v>
      </c>
      <c r="L400" s="303">
        <f t="shared" si="474"/>
        <v>737.29096989966547</v>
      </c>
      <c r="M400" s="303">
        <f t="shared" si="474"/>
        <v>876.40908326987426</v>
      </c>
      <c r="N400" s="303">
        <f t="shared" si="474"/>
        <v>920.22953743336802</v>
      </c>
      <c r="O400" s="303">
        <f t="shared" si="474"/>
        <v>966.2410143050364</v>
      </c>
      <c r="P400" s="303">
        <f t="shared" si="474"/>
        <v>1014.5530650202883</v>
      </c>
    </row>
    <row r="401" spans="2:16" ht="12.6" customHeight="1" x14ac:dyDescent="0.2">
      <c r="B401" s="56" t="s">
        <v>3</v>
      </c>
      <c r="C401" s="61"/>
      <c r="D401" s="288">
        <f t="shared" ref="D401:I401" si="475">IFERROR(D266/D4,"--")</f>
        <v>321.54808599895125</v>
      </c>
      <c r="E401" s="288">
        <f t="shared" si="474"/>
        <v>238.24490421455934</v>
      </c>
      <c r="F401" s="288">
        <f t="shared" si="475"/>
        <v>286.07327049211665</v>
      </c>
      <c r="G401" s="288">
        <f t="shared" si="475"/>
        <v>359.52879411127964</v>
      </c>
      <c r="H401" s="311">
        <f t="shared" si="475"/>
        <v>351.32876502444753</v>
      </c>
      <c r="I401" s="288">
        <f t="shared" si="475"/>
        <v>347.78393042446993</v>
      </c>
      <c r="J401" s="288">
        <f t="shared" ref="J401:K401" si="476">IFERROR(J266/J4,"--")</f>
        <v>377.00334728033471</v>
      </c>
      <c r="K401" s="288">
        <f t="shared" si="476"/>
        <v>382.68160804020113</v>
      </c>
      <c r="L401" s="303">
        <f ca="1">IFERROR(L266/L4,"--")</f>
        <v>404.05549887012018</v>
      </c>
      <c r="M401" s="303">
        <f ca="1">IFERROR(M266/M4,"--")</f>
        <v>409.94020556160115</v>
      </c>
      <c r="N401" s="303">
        <f ca="1">IFERROR(N266/N4,"--")</f>
        <v>403.70713046330167</v>
      </c>
      <c r="O401" s="303">
        <f ca="1">IFERROR(O266/O4,"--")</f>
        <v>408.73320681235424</v>
      </c>
      <c r="P401" s="303">
        <f ca="1">IFERROR(P266/P4,"--")</f>
        <v>415.39471335930432</v>
      </c>
    </row>
    <row r="402" spans="2:16" ht="12.6" customHeight="1" x14ac:dyDescent="0.2">
      <c r="B402" s="56" t="s">
        <v>790</v>
      </c>
      <c r="C402" s="61"/>
      <c r="D402" s="288">
        <f t="shared" ref="D402:P402" si="477">IFERROR(D267/D5,"--")</f>
        <v>78.01337907375644</v>
      </c>
      <c r="E402" s="288">
        <f t="shared" si="474"/>
        <v>71.853881987577623</v>
      </c>
      <c r="F402" s="288">
        <f t="shared" si="477"/>
        <v>70.054374432350329</v>
      </c>
      <c r="G402" s="288">
        <f t="shared" si="477"/>
        <v>65.618992248062028</v>
      </c>
      <c r="H402" s="311">
        <f t="shared" si="477"/>
        <v>92.969151944167535</v>
      </c>
      <c r="I402" s="288">
        <f t="shared" si="477"/>
        <v>111.15147732001662</v>
      </c>
      <c r="J402" s="288">
        <f t="shared" si="477"/>
        <v>110.8994033412888</v>
      </c>
      <c r="K402" s="288">
        <f t="shared" si="477"/>
        <v>112.12082251082255</v>
      </c>
      <c r="L402" s="303">
        <f t="shared" si="477"/>
        <v>114.85322065582297</v>
      </c>
      <c r="M402" s="303">
        <f t="shared" si="477"/>
        <v>118.28585228705069</v>
      </c>
      <c r="N402" s="303">
        <f t="shared" si="477"/>
        <v>119.87435630727708</v>
      </c>
      <c r="O402" s="303">
        <f t="shared" si="477"/>
        <v>123.45961381403363</v>
      </c>
      <c r="P402" s="303">
        <f t="shared" si="477"/>
        <v>127.15848107769098</v>
      </c>
    </row>
    <row r="403" spans="2:16" ht="12.6" customHeight="1" x14ac:dyDescent="0.2">
      <c r="B403" s="56" t="s">
        <v>214</v>
      </c>
      <c r="C403" s="61"/>
      <c r="D403" s="288">
        <f t="shared" ref="D403:P403" si="478">IFERROR(D268/D6,"--")</f>
        <v>0</v>
      </c>
      <c r="E403" s="288">
        <f t="shared" si="474"/>
        <v>0</v>
      </c>
      <c r="F403" s="288">
        <f t="shared" si="478"/>
        <v>65.404231355144248</v>
      </c>
      <c r="G403" s="288">
        <f t="shared" si="478"/>
        <v>124.94655929721812</v>
      </c>
      <c r="H403" s="311">
        <f t="shared" si="478"/>
        <v>129.3064673083606</v>
      </c>
      <c r="I403" s="288">
        <f t="shared" si="478"/>
        <v>124.06451612903226</v>
      </c>
      <c r="J403" s="288">
        <f t="shared" si="478"/>
        <v>118.70458356623823</v>
      </c>
      <c r="K403" s="288">
        <f t="shared" si="478"/>
        <v>175.29828125</v>
      </c>
      <c r="L403" s="303">
        <f t="shared" ca="1" si="478"/>
        <v>174.1640238314362</v>
      </c>
      <c r="M403" s="303">
        <f t="shared" ca="1" si="478"/>
        <v>177.991292113068</v>
      </c>
      <c r="N403" s="303">
        <f t="shared" ca="1" si="478"/>
        <v>181.35101968442987</v>
      </c>
      <c r="O403" s="303">
        <f t="shared" ca="1" si="478"/>
        <v>186.46636660788465</v>
      </c>
      <c r="P403" s="303">
        <f t="shared" ca="1" si="478"/>
        <v>191.89020166122546</v>
      </c>
    </row>
    <row r="404" spans="2:16" ht="12.6" customHeight="1" x14ac:dyDescent="0.2">
      <c r="B404" s="56" t="s">
        <v>10</v>
      </c>
      <c r="C404" s="61"/>
      <c r="D404" s="288" t="str">
        <f t="shared" ref="D404:P404" si="479">IFERROR(D269/D7,"--")</f>
        <v>--</v>
      </c>
      <c r="E404" s="288" t="str">
        <f t="shared" si="474"/>
        <v>--</v>
      </c>
      <c r="F404" s="288">
        <f t="shared" si="479"/>
        <v>-4.505429417571535</v>
      </c>
      <c r="G404" s="288">
        <f t="shared" si="479"/>
        <v>123.48113879003559</v>
      </c>
      <c r="H404" s="311">
        <f t="shared" si="479"/>
        <v>109.19031973300038</v>
      </c>
      <c r="I404" s="288">
        <f t="shared" si="479"/>
        <v>106.80703781512607</v>
      </c>
      <c r="J404" s="288">
        <f t="shared" si="479"/>
        <v>133.38113985448663</v>
      </c>
      <c r="K404" s="288">
        <f t="shared" si="479"/>
        <v>126.2300877192983</v>
      </c>
      <c r="L404" s="303">
        <f t="shared" ca="1" si="479"/>
        <v>142.26031471822509</v>
      </c>
      <c r="M404" s="303">
        <f t="shared" ca="1" si="479"/>
        <v>143.03418313814353</v>
      </c>
      <c r="N404" s="303">
        <f t="shared" ca="1" si="479"/>
        <v>148.70635707765652</v>
      </c>
      <c r="O404" s="303">
        <f t="shared" ca="1" si="479"/>
        <v>154.67158626862198</v>
      </c>
      <c r="P404" s="303">
        <f t="shared" ca="1" si="479"/>
        <v>160.94442994337024</v>
      </c>
    </row>
    <row r="405" spans="2:16" ht="12.6" customHeight="1" x14ac:dyDescent="0.2">
      <c r="B405" s="56" t="s">
        <v>568</v>
      </c>
      <c r="C405" s="61"/>
      <c r="D405" s="288" t="str">
        <f t="shared" ref="D405:P405" si="480">IFERROR(D270/D8,"--")</f>
        <v>--</v>
      </c>
      <c r="E405" s="288" t="str">
        <f t="shared" si="474"/>
        <v>--</v>
      </c>
      <c r="F405" s="288" t="str">
        <f t="shared" si="480"/>
        <v>--</v>
      </c>
      <c r="G405" s="288" t="str">
        <f t="shared" si="480"/>
        <v>--</v>
      </c>
      <c r="H405" s="311">
        <f t="shared" si="480"/>
        <v>-281.11160594994203</v>
      </c>
      <c r="I405" s="288">
        <f t="shared" si="480"/>
        <v>64.294083430280821</v>
      </c>
      <c r="J405" s="288">
        <f t="shared" si="480"/>
        <v>91.628145497912925</v>
      </c>
      <c r="K405" s="288">
        <f t="shared" si="480"/>
        <v>90.800317460317501</v>
      </c>
      <c r="L405" s="303">
        <f t="shared" si="480"/>
        <v>95.047164963665722</v>
      </c>
      <c r="M405" s="303">
        <f t="shared" si="480"/>
        <v>99.464724267981737</v>
      </c>
      <c r="N405" s="303">
        <f t="shared" si="480"/>
        <v>103.99549527567234</v>
      </c>
      <c r="O405" s="303">
        <f t="shared" si="480"/>
        <v>108.77105225791293</v>
      </c>
      <c r="P405" s="303">
        <f t="shared" si="480"/>
        <v>113.80260164036498</v>
      </c>
    </row>
    <row r="406" spans="2:16" ht="12.6" customHeight="1" x14ac:dyDescent="0.2">
      <c r="B406" s="56" t="s">
        <v>8</v>
      </c>
      <c r="C406" s="61"/>
      <c r="D406" s="288" t="str">
        <f t="shared" ref="D406:P406" si="481">IFERROR(D271/D9,"--")</f>
        <v>--</v>
      </c>
      <c r="E406" s="288" t="str">
        <f t="shared" si="474"/>
        <v>--</v>
      </c>
      <c r="F406" s="288" t="str">
        <f t="shared" si="481"/>
        <v>--</v>
      </c>
      <c r="G406" s="288">
        <f t="shared" si="481"/>
        <v>95.414012738853543</v>
      </c>
      <c r="H406" s="311">
        <f t="shared" si="481"/>
        <v>41.737629126778344</v>
      </c>
      <c r="I406" s="288">
        <f t="shared" si="481"/>
        <v>58.621323529411789</v>
      </c>
      <c r="J406" s="288">
        <f t="shared" si="481"/>
        <v>79.440386680988198</v>
      </c>
      <c r="K406" s="288">
        <f t="shared" si="481"/>
        <v>88.204509803921596</v>
      </c>
      <c r="L406" s="303">
        <f t="shared" ca="1" si="481"/>
        <v>91.82062615546576</v>
      </c>
      <c r="M406" s="303">
        <f t="shared" ca="1" si="481"/>
        <v>95.645635143193971</v>
      </c>
      <c r="N406" s="303">
        <f t="shared" ca="1" si="481"/>
        <v>99.663825142585736</v>
      </c>
      <c r="O406" s="303">
        <f t="shared" ca="1" si="481"/>
        <v>103.88483608974626</v>
      </c>
      <c r="P406" s="303">
        <f t="shared" ca="1" si="481"/>
        <v>108.31879010683824</v>
      </c>
    </row>
    <row r="407" spans="2:16" ht="12.6" customHeight="1" x14ac:dyDescent="0.2">
      <c r="B407" s="56" t="s">
        <v>9</v>
      </c>
      <c r="C407" s="61"/>
      <c r="D407" s="288" t="str">
        <f t="shared" ref="D407:P407" si="482">IFERROR(D272/D10,"--")</f>
        <v>--</v>
      </c>
      <c r="E407" s="288" t="str">
        <f t="shared" si="474"/>
        <v>--</v>
      </c>
      <c r="F407" s="288" t="str">
        <f t="shared" si="482"/>
        <v>--</v>
      </c>
      <c r="G407" s="288">
        <f t="shared" si="482"/>
        <v>0</v>
      </c>
      <c r="H407" s="311">
        <f t="shared" si="482"/>
        <v>0</v>
      </c>
      <c r="I407" s="288">
        <f t="shared" si="482"/>
        <v>19.184126984127065</v>
      </c>
      <c r="J407" s="288">
        <f t="shared" si="482"/>
        <v>40.804794520547979</v>
      </c>
      <c r="K407" s="288">
        <f t="shared" si="482"/>
        <v>109.29476190476184</v>
      </c>
      <c r="L407" s="303">
        <f t="shared" si="482"/>
        <v>134.88392347897721</v>
      </c>
      <c r="M407" s="303">
        <f t="shared" si="482"/>
        <v>136.3503118261082</v>
      </c>
      <c r="N407" s="303">
        <f t="shared" si="482"/>
        <v>137.64682375970875</v>
      </c>
      <c r="O407" s="303">
        <f t="shared" si="482"/>
        <v>139.01821815137396</v>
      </c>
      <c r="P407" s="303">
        <f t="shared" si="482"/>
        <v>140.46366159219869</v>
      </c>
    </row>
    <row r="408" spans="2:16" ht="12.6" customHeight="1" x14ac:dyDescent="0.2">
      <c r="B408" s="56" t="s">
        <v>215</v>
      </c>
      <c r="C408" s="61"/>
      <c r="D408" s="288" t="str">
        <f t="shared" ref="D408:P408" si="483">IFERROR(D273/D11,"--")</f>
        <v>--</v>
      </c>
      <c r="E408" s="288" t="str">
        <f t="shared" si="474"/>
        <v>--</v>
      </c>
      <c r="F408" s="288" t="str">
        <f t="shared" si="483"/>
        <v>--</v>
      </c>
      <c r="G408" s="288">
        <f t="shared" si="483"/>
        <v>297.29607843137251</v>
      </c>
      <c r="H408" s="311">
        <f t="shared" si="483"/>
        <v>119.47316612142346</v>
      </c>
      <c r="I408" s="288">
        <f t="shared" si="483"/>
        <v>154.10125729681187</v>
      </c>
      <c r="J408" s="288">
        <f t="shared" si="483"/>
        <v>175.16876310272536</v>
      </c>
      <c r="K408" s="288">
        <f t="shared" si="483"/>
        <v>193.27349206349209</v>
      </c>
      <c r="L408" s="303">
        <f t="shared" ca="1" si="483"/>
        <v>200.2075728281001</v>
      </c>
      <c r="M408" s="303">
        <f t="shared" ca="1" si="483"/>
        <v>208.10888756859131</v>
      </c>
      <c r="N408" s="303">
        <f t="shared" ca="1" si="483"/>
        <v>216.50569966043631</v>
      </c>
      <c r="O408" s="303">
        <f t="shared" ca="1" si="483"/>
        <v>225.41800151337759</v>
      </c>
      <c r="P408" s="303">
        <f t="shared" ca="1" si="483"/>
        <v>234.86701289373167</v>
      </c>
    </row>
    <row r="409" spans="2:16" ht="12.6" customHeight="1" x14ac:dyDescent="0.2">
      <c r="B409" s="56" t="s">
        <v>216</v>
      </c>
      <c r="C409" s="61"/>
      <c r="D409" s="288" t="str">
        <f t="shared" ref="D409:P409" si="484">IFERROR(D274/D12,"--")</f>
        <v>--</v>
      </c>
      <c r="E409" s="288" t="str">
        <f t="shared" si="474"/>
        <v>--</v>
      </c>
      <c r="F409" s="288" t="str">
        <f t="shared" si="484"/>
        <v>--</v>
      </c>
      <c r="G409" s="288" t="str">
        <f t="shared" si="484"/>
        <v>--</v>
      </c>
      <c r="H409" s="311" t="str">
        <f t="shared" si="484"/>
        <v>--</v>
      </c>
      <c r="I409" s="288">
        <f t="shared" si="484"/>
        <v>117.16157839812014</v>
      </c>
      <c r="J409" s="288">
        <f t="shared" si="484"/>
        <v>112.88445489508392</v>
      </c>
      <c r="K409" s="288">
        <f t="shared" si="484"/>
        <v>97.865833333333356</v>
      </c>
      <c r="L409" s="303">
        <f t="shared" si="484"/>
        <v>100.18700761636843</v>
      </c>
      <c r="M409" s="303">
        <f t="shared" si="484"/>
        <v>96.107305481190167</v>
      </c>
      <c r="N409" s="303">
        <f t="shared" si="484"/>
        <v>97.091738513135383</v>
      </c>
      <c r="O409" s="303">
        <f t="shared" si="484"/>
        <v>99.422363358580924</v>
      </c>
      <c r="P409" s="303">
        <f t="shared" si="484"/>
        <v>101.98119367470663</v>
      </c>
    </row>
    <row r="410" spans="2:16" ht="12.6" customHeight="1" x14ac:dyDescent="0.2">
      <c r="B410" s="56" t="s">
        <v>2</v>
      </c>
      <c r="C410" s="61"/>
      <c r="D410" s="288" t="str">
        <f t="shared" ref="D410:P410" si="485">IFERROR(D275/D13,"--")</f>
        <v>--</v>
      </c>
      <c r="E410" s="288" t="str">
        <f t="shared" si="474"/>
        <v>--</v>
      </c>
      <c r="F410" s="288" t="str">
        <f t="shared" si="485"/>
        <v>--</v>
      </c>
      <c r="G410" s="288" t="str">
        <f t="shared" si="485"/>
        <v>--</v>
      </c>
      <c r="H410" s="311" t="str">
        <f t="shared" si="485"/>
        <v>--</v>
      </c>
      <c r="I410" s="288" t="str">
        <f t="shared" si="485"/>
        <v>--</v>
      </c>
      <c r="J410" s="288">
        <f t="shared" si="485"/>
        <v>268.37045454545404</v>
      </c>
      <c r="K410" s="288">
        <f t="shared" si="485"/>
        <v>69.065818181818116</v>
      </c>
      <c r="L410" s="303">
        <f t="shared" si="485"/>
        <v>141.0024392730524</v>
      </c>
      <c r="M410" s="303">
        <f t="shared" si="485"/>
        <v>139.7098628018833</v>
      </c>
      <c r="N410" s="303">
        <f t="shared" si="485"/>
        <v>170.51791739767211</v>
      </c>
      <c r="O410" s="303">
        <f t="shared" si="485"/>
        <v>171.05401309907455</v>
      </c>
      <c r="P410" s="303">
        <f t="shared" si="485"/>
        <v>171.65114039904225</v>
      </c>
    </row>
    <row r="411" spans="2:16" ht="12.6" customHeight="1" x14ac:dyDescent="0.2">
      <c r="B411" s="56" t="s">
        <v>791</v>
      </c>
      <c r="C411" s="61"/>
      <c r="D411" s="288" t="str">
        <f t="shared" ref="D411:P411" si="486">IFERROR(D276/D14,"--")</f>
        <v>--</v>
      </c>
      <c r="E411" s="288" t="str">
        <f t="shared" si="474"/>
        <v>--</v>
      </c>
      <c r="F411" s="288" t="str">
        <f t="shared" si="486"/>
        <v>--</v>
      </c>
      <c r="G411" s="288" t="str">
        <f t="shared" si="486"/>
        <v>--</v>
      </c>
      <c r="H411" s="311" t="str">
        <f t="shared" si="486"/>
        <v>--</v>
      </c>
      <c r="I411" s="288" t="str">
        <f t="shared" si="486"/>
        <v>--</v>
      </c>
      <c r="J411" s="288">
        <f t="shared" si="486"/>
        <v>0</v>
      </c>
      <c r="K411" s="288">
        <f t="shared" si="486"/>
        <v>291.0667808219178</v>
      </c>
      <c r="L411" s="303">
        <f t="shared" si="486"/>
        <v>397.94619089316996</v>
      </c>
      <c r="M411" s="303">
        <f t="shared" si="486"/>
        <v>696.67113152364288</v>
      </c>
      <c r="N411" s="303">
        <f t="shared" si="486"/>
        <v>402.07876733650244</v>
      </c>
      <c r="O411" s="303">
        <f t="shared" si="486"/>
        <v>312.3842730845135</v>
      </c>
      <c r="P411" s="303">
        <f t="shared" si="486"/>
        <v>303.37318828399867</v>
      </c>
    </row>
    <row r="412" spans="2:16" ht="12.6" customHeight="1" x14ac:dyDescent="0.2">
      <c r="B412" s="56" t="s">
        <v>553</v>
      </c>
      <c r="C412" s="61"/>
      <c r="D412" s="288" t="str">
        <f t="shared" ref="D412:P412" si="487">IFERROR(D277/D15,"--")</f>
        <v>--</v>
      </c>
      <c r="E412" s="288" t="str">
        <f t="shared" si="474"/>
        <v>--</v>
      </c>
      <c r="F412" s="288" t="str">
        <f t="shared" si="487"/>
        <v>--</v>
      </c>
      <c r="G412" s="288" t="str">
        <f t="shared" si="487"/>
        <v>--</v>
      </c>
      <c r="H412" s="311" t="str">
        <f t="shared" si="487"/>
        <v>--</v>
      </c>
      <c r="I412" s="288" t="str">
        <f t="shared" si="487"/>
        <v>--</v>
      </c>
      <c r="J412" s="288" t="str">
        <f t="shared" si="487"/>
        <v>--</v>
      </c>
      <c r="K412" s="288">
        <f t="shared" si="487"/>
        <v>97.672264705882355</v>
      </c>
      <c r="L412" s="303">
        <f t="shared" ca="1" si="487"/>
        <v>119.57659128418602</v>
      </c>
      <c r="M412" s="303">
        <f t="shared" ca="1" si="487"/>
        <v>125.6309504779412</v>
      </c>
      <c r="N412" s="303">
        <f t="shared" ca="1" si="487"/>
        <v>131.91249800183829</v>
      </c>
      <c r="O412" s="303">
        <f t="shared" ca="1" si="487"/>
        <v>138.50812290193019</v>
      </c>
      <c r="P412" s="303">
        <f t="shared" ca="1" si="487"/>
        <v>145.43352904702672</v>
      </c>
    </row>
    <row r="413" spans="2:16" ht="12.6" customHeight="1" x14ac:dyDescent="0.2">
      <c r="B413" s="56" t="s">
        <v>788</v>
      </c>
      <c r="C413" s="61"/>
      <c r="D413" s="288" t="str">
        <f t="shared" ref="D413:K413" si="488">IFERROR(D278/D16,"--")</f>
        <v>--</v>
      </c>
      <c r="E413" s="288" t="str">
        <f t="shared" si="474"/>
        <v>--</v>
      </c>
      <c r="F413" s="288" t="str">
        <f t="shared" si="488"/>
        <v>--</v>
      </c>
      <c r="G413" s="288" t="str">
        <f t="shared" si="488"/>
        <v>--</v>
      </c>
      <c r="H413" s="311" t="str">
        <f t="shared" si="488"/>
        <v>--</v>
      </c>
      <c r="I413" s="288" t="str">
        <f t="shared" si="488"/>
        <v>--</v>
      </c>
      <c r="J413" s="288" t="str">
        <f t="shared" si="488"/>
        <v>--</v>
      </c>
      <c r="K413" s="288">
        <f t="shared" si="488"/>
        <v>0</v>
      </c>
      <c r="L413" s="303">
        <f>IFERROR(L278/L16,"--")</f>
        <v>-14.387487250832955</v>
      </c>
      <c r="M413" s="303">
        <f>IFERROR(M278/M16,"--")</f>
        <v>-15.106861613374603</v>
      </c>
      <c r="N413" s="303">
        <f>IFERROR(N278/N16,"--")</f>
        <v>63.448818776173333</v>
      </c>
      <c r="O413" s="303">
        <f>IFERROR(O278/O16,"--")</f>
        <v>66.621259714982003</v>
      </c>
      <c r="P413" s="303">
        <f>IFERROR(P278/P16,"--")</f>
        <v>69.952322700731102</v>
      </c>
    </row>
    <row r="414" spans="2:16" ht="12.6" customHeight="1" x14ac:dyDescent="0.2">
      <c r="B414" s="56" t="s">
        <v>789</v>
      </c>
      <c r="C414" s="61"/>
      <c r="D414" s="288" t="str">
        <f t="shared" ref="D414:P414" si="489">IFERROR(D279/D17,"--")</f>
        <v>--</v>
      </c>
      <c r="E414" s="288" t="str">
        <f t="shared" si="474"/>
        <v>--</v>
      </c>
      <c r="F414" s="288" t="str">
        <f t="shared" si="489"/>
        <v>--</v>
      </c>
      <c r="G414" s="288" t="str">
        <f t="shared" si="489"/>
        <v>--</v>
      </c>
      <c r="H414" s="311" t="str">
        <f t="shared" si="489"/>
        <v>--</v>
      </c>
      <c r="I414" s="288" t="str">
        <f t="shared" si="489"/>
        <v>--</v>
      </c>
      <c r="J414" s="288" t="str">
        <f t="shared" si="489"/>
        <v>--</v>
      </c>
      <c r="K414" s="288" t="str">
        <f t="shared" si="489"/>
        <v>--</v>
      </c>
      <c r="L414" s="303" t="str">
        <f t="shared" si="489"/>
        <v>--</v>
      </c>
      <c r="M414" s="303" t="str">
        <f t="shared" si="489"/>
        <v>--</v>
      </c>
      <c r="N414" s="303" t="str">
        <f t="shared" si="489"/>
        <v>--</v>
      </c>
      <c r="O414" s="303">
        <f t="shared" si="489"/>
        <v>390</v>
      </c>
      <c r="P414" s="303">
        <f t="shared" si="489"/>
        <v>390</v>
      </c>
    </row>
    <row r="415" spans="2:16" ht="12.6" customHeight="1" x14ac:dyDescent="0.2">
      <c r="B415" s="56" t="s">
        <v>558</v>
      </c>
      <c r="C415" s="61"/>
      <c r="D415" s="288" t="str">
        <f t="shared" ref="D415:P415" si="490">IFERROR(D280/D18,"--")</f>
        <v>--</v>
      </c>
      <c r="E415" s="288" t="str">
        <f t="shared" si="474"/>
        <v>--</v>
      </c>
      <c r="F415" s="288" t="str">
        <f t="shared" si="490"/>
        <v>--</v>
      </c>
      <c r="G415" s="288" t="str">
        <f t="shared" si="490"/>
        <v>--</v>
      </c>
      <c r="H415" s="311" t="str">
        <f t="shared" si="490"/>
        <v>--</v>
      </c>
      <c r="I415" s="288" t="str">
        <f t="shared" si="490"/>
        <v>--</v>
      </c>
      <c r="J415" s="288" t="str">
        <f t="shared" si="490"/>
        <v>--</v>
      </c>
      <c r="K415" s="288" t="str">
        <f t="shared" si="490"/>
        <v>--</v>
      </c>
      <c r="L415" s="303" t="str">
        <f t="shared" si="490"/>
        <v>--</v>
      </c>
      <c r="M415" s="303" t="str">
        <f t="shared" si="490"/>
        <v>--</v>
      </c>
      <c r="N415" s="303">
        <f t="shared" si="490"/>
        <v>270</v>
      </c>
      <c r="O415" s="303">
        <f t="shared" si="490"/>
        <v>295.42500000000001</v>
      </c>
      <c r="P415" s="303">
        <f t="shared" si="490"/>
        <v>298.37925000000001</v>
      </c>
    </row>
    <row r="416" spans="2:16" ht="12.6" customHeight="1" x14ac:dyDescent="0.2">
      <c r="B416" s="56" t="s">
        <v>760</v>
      </c>
      <c r="C416" s="61"/>
      <c r="D416" s="288" t="str">
        <f t="shared" ref="D416:P424" si="491">IFERROR(D281/D19,"--")</f>
        <v>--</v>
      </c>
      <c r="E416" s="288" t="str">
        <f t="shared" si="491"/>
        <v>--</v>
      </c>
      <c r="F416" s="288" t="str">
        <f t="shared" si="491"/>
        <v>--</v>
      </c>
      <c r="G416" s="288" t="str">
        <f t="shared" si="491"/>
        <v>--</v>
      </c>
      <c r="H416" s="311" t="str">
        <f t="shared" si="491"/>
        <v>--</v>
      </c>
      <c r="I416" s="288" t="str">
        <f t="shared" si="491"/>
        <v>--</v>
      </c>
      <c r="J416" s="288" t="str">
        <f t="shared" si="491"/>
        <v>--</v>
      </c>
      <c r="K416" s="288" t="str">
        <f t="shared" si="491"/>
        <v>--</v>
      </c>
      <c r="L416" s="303" t="str">
        <f t="shared" si="491"/>
        <v>--</v>
      </c>
      <c r="M416" s="303" t="str">
        <f t="shared" si="491"/>
        <v>--</v>
      </c>
      <c r="N416" s="303">
        <f t="shared" si="491"/>
        <v>681.33333333333337</v>
      </c>
      <c r="O416" s="303">
        <f t="shared" si="491"/>
        <v>454.22222222222223</v>
      </c>
      <c r="P416" s="303">
        <f t="shared" si="491"/>
        <v>454.22222222222223</v>
      </c>
    </row>
    <row r="417" spans="2:16" ht="12.6" customHeight="1" x14ac:dyDescent="0.2">
      <c r="B417" s="56" t="s">
        <v>761</v>
      </c>
      <c r="C417" s="61"/>
      <c r="D417" s="288" t="str">
        <f t="shared" ref="D417:P417" si="492">IFERROR(D282/D20,"--")</f>
        <v>--</v>
      </c>
      <c r="E417" s="288" t="str">
        <f t="shared" si="491"/>
        <v>--</v>
      </c>
      <c r="F417" s="288" t="str">
        <f t="shared" si="492"/>
        <v>--</v>
      </c>
      <c r="G417" s="288" t="str">
        <f t="shared" si="492"/>
        <v>--</v>
      </c>
      <c r="H417" s="311" t="str">
        <f t="shared" si="492"/>
        <v>--</v>
      </c>
      <c r="I417" s="288" t="str">
        <f t="shared" si="492"/>
        <v>--</v>
      </c>
      <c r="J417" s="288" t="str">
        <f t="shared" si="492"/>
        <v>--</v>
      </c>
      <c r="K417" s="288" t="str">
        <f t="shared" si="492"/>
        <v>--</v>
      </c>
      <c r="L417" s="303" t="str">
        <f t="shared" si="492"/>
        <v>--</v>
      </c>
      <c r="M417" s="303" t="str">
        <f t="shared" si="492"/>
        <v>--</v>
      </c>
      <c r="N417" s="303" t="str">
        <f t="shared" si="492"/>
        <v>--</v>
      </c>
      <c r="O417" s="303" t="str">
        <f t="shared" si="492"/>
        <v>--</v>
      </c>
      <c r="P417" s="303" t="str">
        <f t="shared" si="492"/>
        <v>--</v>
      </c>
    </row>
    <row r="418" spans="2:16" ht="12.6" customHeight="1" x14ac:dyDescent="0.2">
      <c r="B418" s="56" t="s">
        <v>664</v>
      </c>
      <c r="C418" s="61"/>
      <c r="D418" s="288" t="str">
        <f t="shared" ref="D418:P418" si="493">IFERROR(D283/D21,"--")</f>
        <v>--</v>
      </c>
      <c r="E418" s="288" t="str">
        <f t="shared" si="491"/>
        <v>--</v>
      </c>
      <c r="F418" s="288" t="str">
        <f t="shared" si="493"/>
        <v>--</v>
      </c>
      <c r="G418" s="288" t="str">
        <f t="shared" si="493"/>
        <v>--</v>
      </c>
      <c r="H418" s="311" t="str">
        <f t="shared" si="493"/>
        <v>--</v>
      </c>
      <c r="I418" s="288" t="str">
        <f t="shared" si="493"/>
        <v>--</v>
      </c>
      <c r="J418" s="288" t="str">
        <f t="shared" si="493"/>
        <v>--</v>
      </c>
      <c r="K418" s="288" t="str">
        <f t="shared" si="493"/>
        <v>--</v>
      </c>
      <c r="L418" s="303" t="str">
        <f t="shared" si="493"/>
        <v>--</v>
      </c>
      <c r="M418" s="303" t="str">
        <f t="shared" si="493"/>
        <v>--</v>
      </c>
      <c r="N418" s="303" t="str">
        <f t="shared" si="493"/>
        <v>--</v>
      </c>
      <c r="O418" s="303" t="str">
        <f t="shared" si="493"/>
        <v>--</v>
      </c>
      <c r="P418" s="303">
        <f t="shared" si="493"/>
        <v>325</v>
      </c>
    </row>
    <row r="419" spans="2:16" ht="12.6" customHeight="1" x14ac:dyDescent="0.2">
      <c r="B419" s="56" t="s">
        <v>1866</v>
      </c>
      <c r="C419" s="61"/>
      <c r="D419" s="288" t="str">
        <f t="shared" ref="D419:P419" si="494">IFERROR(D284/D22,"--")</f>
        <v>--</v>
      </c>
      <c r="E419" s="288" t="str">
        <f t="shared" si="491"/>
        <v>--</v>
      </c>
      <c r="F419" s="288" t="str">
        <f t="shared" si="494"/>
        <v>--</v>
      </c>
      <c r="G419" s="288" t="str">
        <f t="shared" si="494"/>
        <v>--</v>
      </c>
      <c r="H419" s="311" t="str">
        <f t="shared" si="494"/>
        <v>--</v>
      </c>
      <c r="I419" s="288" t="str">
        <f t="shared" si="494"/>
        <v>--</v>
      </c>
      <c r="J419" s="288" t="str">
        <f t="shared" si="494"/>
        <v>--</v>
      </c>
      <c r="K419" s="288" t="str">
        <f t="shared" si="494"/>
        <v>--</v>
      </c>
      <c r="L419" s="303" t="str">
        <f t="shared" si="494"/>
        <v>--</v>
      </c>
      <c r="M419" s="303" t="str">
        <f t="shared" si="494"/>
        <v>--</v>
      </c>
      <c r="N419" s="303" t="str">
        <f t="shared" si="494"/>
        <v>--</v>
      </c>
      <c r="O419" s="303" t="str">
        <f t="shared" si="494"/>
        <v>--</v>
      </c>
      <c r="P419" s="303">
        <f t="shared" si="494"/>
        <v>298.37925000000001</v>
      </c>
    </row>
    <row r="420" spans="2:16" ht="12.6" customHeight="1" x14ac:dyDescent="0.2">
      <c r="B420" s="56" t="s">
        <v>1767</v>
      </c>
      <c r="C420" s="61"/>
      <c r="D420" s="288" t="str">
        <f t="shared" ref="D420:P420" si="495">IFERROR(D285/D23,"--")</f>
        <v>--</v>
      </c>
      <c r="E420" s="288" t="str">
        <f t="shared" si="491"/>
        <v>--</v>
      </c>
      <c r="F420" s="288" t="str">
        <f t="shared" si="495"/>
        <v>--</v>
      </c>
      <c r="G420" s="288" t="str">
        <f t="shared" si="495"/>
        <v>--</v>
      </c>
      <c r="H420" s="311" t="str">
        <f t="shared" si="495"/>
        <v>--</v>
      </c>
      <c r="I420" s="288" t="str">
        <f t="shared" si="495"/>
        <v>--</v>
      </c>
      <c r="J420" s="288" t="str">
        <f t="shared" si="495"/>
        <v>--</v>
      </c>
      <c r="K420" s="288" t="str">
        <f t="shared" si="495"/>
        <v>--</v>
      </c>
      <c r="L420" s="303" t="str">
        <f t="shared" si="495"/>
        <v>--</v>
      </c>
      <c r="M420" s="303">
        <f t="shared" si="495"/>
        <v>0</v>
      </c>
      <c r="N420" s="303">
        <f t="shared" si="495"/>
        <v>71.917267477313601</v>
      </c>
      <c r="O420" s="303">
        <f t="shared" si="495"/>
        <v>75.513130851179298</v>
      </c>
      <c r="P420" s="303">
        <f t="shared" si="495"/>
        <v>76.268262159691076</v>
      </c>
    </row>
    <row r="421" spans="2:16" ht="12.6" customHeight="1" x14ac:dyDescent="0.2">
      <c r="B421" s="56" t="s">
        <v>2045</v>
      </c>
      <c r="C421" s="61"/>
      <c r="D421" s="288" t="str">
        <f t="shared" ref="D421:J421" si="496">IFERROR(D286/D24,"--")</f>
        <v>--</v>
      </c>
      <c r="E421" s="288" t="str">
        <f t="shared" si="491"/>
        <v>--</v>
      </c>
      <c r="F421" s="288" t="str">
        <f t="shared" si="496"/>
        <v>--</v>
      </c>
      <c r="G421" s="288" t="str">
        <f t="shared" si="496"/>
        <v>--</v>
      </c>
      <c r="H421" s="311" t="str">
        <f t="shared" si="496"/>
        <v>--</v>
      </c>
      <c r="I421" s="288" t="str">
        <f t="shared" si="496"/>
        <v>--</v>
      </c>
      <c r="J421" s="288" t="str">
        <f t="shared" si="496"/>
        <v>--</v>
      </c>
      <c r="K421" s="288" t="str">
        <f t="shared" ref="K421:L421" si="497">IFERROR(K286/K24,"--")</f>
        <v>--</v>
      </c>
      <c r="L421" s="303" t="str">
        <f t="shared" si="497"/>
        <v>--</v>
      </c>
      <c r="M421" s="303" t="str">
        <f ca="1">IFERROR(M286/M24,"--")</f>
        <v>--</v>
      </c>
      <c r="N421" s="303" t="str">
        <f ca="1">IFERROR(N286/N24,"--")</f>
        <v>--</v>
      </c>
      <c r="O421" s="303">
        <f>IFERROR(O286/O24,"--")</f>
        <v>75.513130851179284</v>
      </c>
      <c r="P421" s="303">
        <f>IFERROR(P286/P24,"--")</f>
        <v>76.268262159691076</v>
      </c>
    </row>
    <row r="422" spans="2:16" ht="12.6" customHeight="1" x14ac:dyDescent="0.2">
      <c r="B422" s="56" t="s">
        <v>472</v>
      </c>
      <c r="C422" s="61"/>
      <c r="D422" s="288" t="str">
        <f t="shared" ref="D422:P422" si="498">IFERROR(D287/D25,"--")</f>
        <v>--</v>
      </c>
      <c r="E422" s="288" t="str">
        <f t="shared" si="491"/>
        <v>--</v>
      </c>
      <c r="F422" s="288" t="str">
        <f t="shared" si="498"/>
        <v>--</v>
      </c>
      <c r="G422" s="288" t="str">
        <f t="shared" si="498"/>
        <v>--</v>
      </c>
      <c r="H422" s="311" t="str">
        <f t="shared" si="498"/>
        <v>--</v>
      </c>
      <c r="I422" s="288" t="str">
        <f t="shared" si="498"/>
        <v>--</v>
      </c>
      <c r="J422" s="288" t="str">
        <f t="shared" si="498"/>
        <v>--</v>
      </c>
      <c r="K422" s="288" t="str">
        <f t="shared" si="498"/>
        <v>--</v>
      </c>
      <c r="L422" s="303" t="str">
        <f t="shared" si="498"/>
        <v>--</v>
      </c>
      <c r="M422" s="303" t="str">
        <f t="shared" si="498"/>
        <v>--</v>
      </c>
      <c r="N422" s="303" t="str">
        <f t="shared" si="498"/>
        <v>--</v>
      </c>
      <c r="O422" s="303" t="str">
        <f t="shared" si="498"/>
        <v>--</v>
      </c>
      <c r="P422" s="303" t="str">
        <f t="shared" si="498"/>
        <v>--</v>
      </c>
    </row>
    <row r="423" spans="2:16" ht="12.6" customHeight="1" x14ac:dyDescent="0.2">
      <c r="B423" s="56" t="s">
        <v>472</v>
      </c>
      <c r="C423" s="61"/>
      <c r="D423" s="288" t="str">
        <f t="shared" ref="D423:P423" si="499">IFERROR(D288/D26,"--")</f>
        <v>--</v>
      </c>
      <c r="E423" s="288" t="str">
        <f t="shared" si="491"/>
        <v>--</v>
      </c>
      <c r="F423" s="288" t="str">
        <f t="shared" si="499"/>
        <v>--</v>
      </c>
      <c r="G423" s="288" t="str">
        <f t="shared" si="499"/>
        <v>--</v>
      </c>
      <c r="H423" s="311" t="str">
        <f t="shared" si="499"/>
        <v>--</v>
      </c>
      <c r="I423" s="288" t="str">
        <f t="shared" si="499"/>
        <v>--</v>
      </c>
      <c r="J423" s="288" t="str">
        <f t="shared" si="499"/>
        <v>--</v>
      </c>
      <c r="K423" s="288" t="str">
        <f t="shared" si="499"/>
        <v>--</v>
      </c>
      <c r="L423" s="303" t="str">
        <f t="shared" si="499"/>
        <v>--</v>
      </c>
      <c r="M423" s="303" t="str">
        <f t="shared" si="499"/>
        <v>--</v>
      </c>
      <c r="N423" s="303" t="str">
        <f t="shared" si="499"/>
        <v>--</v>
      </c>
      <c r="O423" s="303" t="str">
        <f t="shared" si="499"/>
        <v>--</v>
      </c>
      <c r="P423" s="303" t="str">
        <f t="shared" si="499"/>
        <v>--</v>
      </c>
    </row>
    <row r="424" spans="2:16" ht="12.6" customHeight="1" x14ac:dyDescent="0.2">
      <c r="B424" s="72" t="s">
        <v>551</v>
      </c>
      <c r="C424" s="61"/>
      <c r="D424" s="307">
        <f t="shared" ref="D424:J424" si="500">IFERROR(D289/D27,"--")</f>
        <v>183.1548839383081</v>
      </c>
      <c r="E424" s="307">
        <f t="shared" si="491"/>
        <v>173.06776929601358</v>
      </c>
      <c r="F424" s="307">
        <f t="shared" si="500"/>
        <v>182.06054037662045</v>
      </c>
      <c r="G424" s="307">
        <f t="shared" si="500"/>
        <v>179.28751811673766</v>
      </c>
      <c r="H424" s="307">
        <f t="shared" si="500"/>
        <v>179.04831604800773</v>
      </c>
      <c r="I424" s="307">
        <f t="shared" si="500"/>
        <v>174.56870849831552</v>
      </c>
      <c r="J424" s="307">
        <f t="shared" si="500"/>
        <v>183.53827785658245</v>
      </c>
      <c r="K424" s="307">
        <f t="shared" ref="K424" si="501">IFERROR(K289/K27,"--")</f>
        <v>183.5664404977376</v>
      </c>
      <c r="L424" s="308">
        <f ca="1">IFERROR(L289/L27,"--")</f>
        <v>197.32024429342516</v>
      </c>
      <c r="M424" s="308">
        <f ca="1">IFERROR(M289/M27,"--")</f>
        <v>200.04312420981171</v>
      </c>
      <c r="N424" s="308">
        <f ca="1">IFERROR(N289/N27,"--")</f>
        <v>242.57191178905629</v>
      </c>
      <c r="O424" s="308">
        <f ca="1">IFERROR(O289/O27,"--")</f>
        <v>236.38150439732391</v>
      </c>
      <c r="P424" s="308">
        <f ca="1">IFERROR(P289/P27,"--")</f>
        <v>249.36234692296708</v>
      </c>
    </row>
    <row r="425" spans="2:16" ht="12.6" customHeight="1" x14ac:dyDescent="0.2">
      <c r="B425" s="59"/>
      <c r="C425" s="61"/>
      <c r="D425" s="307"/>
      <c r="E425" s="307"/>
      <c r="F425" s="307"/>
      <c r="G425" s="307"/>
      <c r="H425" s="307"/>
      <c r="I425" s="307"/>
      <c r="J425" s="307"/>
      <c r="K425" s="307"/>
      <c r="L425" s="308"/>
      <c r="M425" s="308"/>
      <c r="N425" s="308"/>
      <c r="O425" s="308"/>
      <c r="P425" s="308"/>
    </row>
    <row r="426" spans="2:16" ht="12.6" customHeight="1" x14ac:dyDescent="0.2">
      <c r="B426" s="116" t="s">
        <v>285</v>
      </c>
      <c r="C426" s="61"/>
      <c r="D426" s="307"/>
      <c r="E426" s="307"/>
      <c r="F426" s="307"/>
      <c r="G426" s="307"/>
      <c r="H426" s="307"/>
      <c r="I426" s="307"/>
      <c r="J426" s="307"/>
      <c r="K426" s="307"/>
      <c r="L426" s="308"/>
      <c r="M426" s="308"/>
      <c r="N426" s="308"/>
      <c r="O426" s="308"/>
      <c r="P426" s="308"/>
    </row>
    <row r="427" spans="2:16" ht="12.6" customHeight="1" x14ac:dyDescent="0.2">
      <c r="B427" s="322" t="s">
        <v>213</v>
      </c>
      <c r="C427" s="61"/>
      <c r="D427" s="307"/>
      <c r="E427" s="113" t="str">
        <f t="shared" ref="E427" si="502">IFERROR(E400/D400-1,"--")</f>
        <v>--</v>
      </c>
      <c r="F427" s="113">
        <f t="shared" ref="F427:P427" si="503">IFERROR(F400/E400-1,"--")</f>
        <v>0.42552411488184716</v>
      </c>
      <c r="G427" s="113">
        <f t="shared" si="503"/>
        <v>-0.11492090575225244</v>
      </c>
      <c r="H427" s="113">
        <f t="shared" si="503"/>
        <v>0.53926300500054047</v>
      </c>
      <c r="I427" s="113">
        <f t="shared" si="503"/>
        <v>0.20342065751387972</v>
      </c>
      <c r="J427" s="113">
        <f t="shared" si="503"/>
        <v>-4.3675518811994274E-2</v>
      </c>
      <c r="K427" s="113">
        <f t="shared" si="503"/>
        <v>-1.6850475212337623E-2</v>
      </c>
      <c r="L427" s="197">
        <f t="shared" si="503"/>
        <v>-2.8068588509723713E-2</v>
      </c>
      <c r="M427" s="197">
        <f t="shared" si="503"/>
        <v>0.18868821001448133</v>
      </c>
      <c r="N427" s="197">
        <f t="shared" si="503"/>
        <v>5.0000000000000044E-2</v>
      </c>
      <c r="O427" s="197">
        <f t="shared" si="503"/>
        <v>5.0000000000000044E-2</v>
      </c>
      <c r="P427" s="197">
        <f t="shared" si="503"/>
        <v>5.0000000000000044E-2</v>
      </c>
    </row>
    <row r="428" spans="2:16" ht="12.6" customHeight="1" x14ac:dyDescent="0.2">
      <c r="B428" s="322" t="s">
        <v>3</v>
      </c>
      <c r="C428" s="61"/>
      <c r="D428" s="307"/>
      <c r="E428" s="113">
        <f>IFERROR(E401/D401-1,"--")</f>
        <v>-0.2590691265525481</v>
      </c>
      <c r="F428" s="113">
        <f>IFERROR(F401/E401-1,"--")</f>
        <v>0.20075294552568423</v>
      </c>
      <c r="G428" s="113">
        <f>IFERROR(G401/F401-1,"--")</f>
        <v>0.25677171269025356</v>
      </c>
      <c r="H428" s="113">
        <f>IFERROR(H401/G401-1,"--")</f>
        <v>-2.280771170804774E-2</v>
      </c>
      <c r="I428" s="113">
        <f>IFERROR(I401/H401-1,"--")</f>
        <v>-1.0089793244600798E-2</v>
      </c>
      <c r="J428" s="113">
        <f t="shared" ref="J428:K428" si="504">IFERROR(J401/I401-1,"--")</f>
        <v>8.4016006203053939E-2</v>
      </c>
      <c r="K428" s="113">
        <f t="shared" si="504"/>
        <v>1.5061565900750917E-2</v>
      </c>
      <c r="L428" s="197">
        <f ca="1">IFERROR(L401/K401-1,"--")</f>
        <v>5.5852934608954907E-2</v>
      </c>
      <c r="M428" s="197">
        <f ca="1">IFERROR(M401/L401-1,"--")</f>
        <v>1.4564104950772094E-2</v>
      </c>
      <c r="N428" s="197">
        <f ca="1">IFERROR(N401/M401-1,"--")</f>
        <v>-1.5204839666215331E-2</v>
      </c>
      <c r="O428" s="197">
        <f ca="1">IFERROR(O401/N401-1,"--")</f>
        <v>1.2449808214396896E-2</v>
      </c>
      <c r="P428" s="197">
        <f ca="1">IFERROR(P401/O401-1,"--")</f>
        <v>1.6297933311810286E-2</v>
      </c>
    </row>
    <row r="429" spans="2:16" ht="12.6" customHeight="1" x14ac:dyDescent="0.2">
      <c r="B429" s="322" t="s">
        <v>790</v>
      </c>
      <c r="C429" s="61"/>
      <c r="D429" s="307"/>
      <c r="E429" s="113">
        <f t="shared" ref="E429:E451" si="505">IFERROR(E402/D402-1,"--")</f>
        <v>-7.8954368587924151E-2</v>
      </c>
      <c r="F429" s="113">
        <f t="shared" ref="F429:P429" si="506">IFERROR(F402/E402-1,"--")</f>
        <v>-2.5043985174501793E-2</v>
      </c>
      <c r="G429" s="113">
        <f t="shared" si="506"/>
        <v>-6.3313422184241075E-2</v>
      </c>
      <c r="H429" s="113">
        <f t="shared" si="506"/>
        <v>0.41680249511776468</v>
      </c>
      <c r="I429" s="113">
        <f t="shared" si="506"/>
        <v>0.19557374672803784</v>
      </c>
      <c r="J429" s="113">
        <f t="shared" si="506"/>
        <v>-2.2678419109273262E-3</v>
      </c>
      <c r="K429" s="113">
        <f t="shared" si="506"/>
        <v>1.1013757808731262E-2</v>
      </c>
      <c r="L429" s="197">
        <f t="shared" si="506"/>
        <v>2.4370122193285493E-2</v>
      </c>
      <c r="M429" s="197">
        <f t="shared" si="506"/>
        <v>2.9887116892561405E-2</v>
      </c>
      <c r="N429" s="197">
        <f t="shared" si="506"/>
        <v>1.3429366145762511E-2</v>
      </c>
      <c r="O429" s="197">
        <f t="shared" si="506"/>
        <v>2.9908460968635975E-2</v>
      </c>
      <c r="P429" s="197">
        <f t="shared" si="506"/>
        <v>2.996013959049737E-2</v>
      </c>
    </row>
    <row r="430" spans="2:16" ht="12.6" customHeight="1" x14ac:dyDescent="0.2">
      <c r="B430" s="322" t="s">
        <v>214</v>
      </c>
      <c r="C430" s="61"/>
      <c r="D430" s="307"/>
      <c r="E430" s="113" t="str">
        <f t="shared" si="505"/>
        <v>--</v>
      </c>
      <c r="F430" s="113" t="str">
        <f t="shared" ref="F430:P430" si="507">IFERROR(F403/E403-1,"--")</f>
        <v>--</v>
      </c>
      <c r="G430" s="113">
        <f t="shared" si="507"/>
        <v>0.91037424809351686</v>
      </c>
      <c r="H430" s="113">
        <f t="shared" si="507"/>
        <v>3.4894182246117733E-2</v>
      </c>
      <c r="I430" s="113">
        <f t="shared" si="507"/>
        <v>-4.0538971394429302E-2</v>
      </c>
      <c r="J430" s="113">
        <f t="shared" si="507"/>
        <v>-4.3202784567502595E-2</v>
      </c>
      <c r="K430" s="113">
        <f t="shared" si="507"/>
        <v>0.47676084598857948</v>
      </c>
      <c r="L430" s="197">
        <f t="shared" ca="1" si="507"/>
        <v>-6.470442325365422E-3</v>
      </c>
      <c r="M430" s="197">
        <f t="shared" ca="1" si="507"/>
        <v>2.1975079568304023E-2</v>
      </c>
      <c r="N430" s="197">
        <f t="shared" ca="1" si="507"/>
        <v>1.8875797413884898E-2</v>
      </c>
      <c r="O430" s="197">
        <f t="shared" ca="1" si="507"/>
        <v>2.8206882610067652E-2</v>
      </c>
      <c r="P430" s="197">
        <f t="shared" ca="1" si="507"/>
        <v>2.9087471118834252E-2</v>
      </c>
    </row>
    <row r="431" spans="2:16" ht="12.6" customHeight="1" x14ac:dyDescent="0.2">
      <c r="B431" s="322" t="s">
        <v>10</v>
      </c>
      <c r="C431" s="61"/>
      <c r="D431" s="307"/>
      <c r="E431" s="113" t="str">
        <f t="shared" si="505"/>
        <v>--</v>
      </c>
      <c r="F431" s="113" t="str">
        <f t="shared" ref="F431:P431" si="508">IFERROR(F404/E404-1,"--")</f>
        <v>--</v>
      </c>
      <c r="G431" s="113">
        <f t="shared" si="508"/>
        <v>-28.407185274826251</v>
      </c>
      <c r="H431" s="113">
        <f t="shared" si="508"/>
        <v>-0.11573280905138861</v>
      </c>
      <c r="I431" s="113">
        <f t="shared" si="508"/>
        <v>-2.1826860876514309E-2</v>
      </c>
      <c r="J431" s="113">
        <f t="shared" si="508"/>
        <v>0.24880478461876354</v>
      </c>
      <c r="K431" s="113">
        <f t="shared" si="508"/>
        <v>-5.361366789180122E-2</v>
      </c>
      <c r="L431" s="197">
        <f t="shared" ca="1" si="508"/>
        <v>0.12699212437033003</v>
      </c>
      <c r="M431" s="197">
        <f t="shared" ca="1" si="508"/>
        <v>5.4398053417163972E-3</v>
      </c>
      <c r="N431" s="197">
        <f t="shared" ca="1" si="508"/>
        <v>3.9656072521033314E-2</v>
      </c>
      <c r="O431" s="197">
        <f t="shared" ca="1" si="508"/>
        <v>4.0114150519135805E-2</v>
      </c>
      <c r="P431" s="197">
        <f t="shared" ca="1" si="508"/>
        <v>4.0555888939123319E-2</v>
      </c>
    </row>
    <row r="432" spans="2:16" ht="12.6" customHeight="1" x14ac:dyDescent="0.2">
      <c r="B432" s="322" t="s">
        <v>568</v>
      </c>
      <c r="C432" s="61"/>
      <c r="D432" s="307"/>
      <c r="E432" s="113" t="str">
        <f t="shared" si="505"/>
        <v>--</v>
      </c>
      <c r="F432" s="113" t="str">
        <f t="shared" ref="F432:P432" si="509">IFERROR(F405/E405-1,"--")</f>
        <v>--</v>
      </c>
      <c r="G432" s="113" t="str">
        <f t="shared" si="509"/>
        <v>--</v>
      </c>
      <c r="H432" s="113" t="str">
        <f t="shared" si="509"/>
        <v>--</v>
      </c>
      <c r="I432" s="113">
        <f t="shared" si="509"/>
        <v>-1.2287137281757401</v>
      </c>
      <c r="J432" s="113">
        <f t="shared" si="509"/>
        <v>0.42514117332853174</v>
      </c>
      <c r="K432" s="113">
        <f t="shared" si="509"/>
        <v>-9.0346479577531058E-3</v>
      </c>
      <c r="L432" s="197">
        <f t="shared" si="509"/>
        <v>4.6771284750234843E-2</v>
      </c>
      <c r="M432" s="197">
        <f t="shared" si="509"/>
        <v>4.6477549393553641E-2</v>
      </c>
      <c r="N432" s="197">
        <f t="shared" si="509"/>
        <v>4.5551536396799541E-2</v>
      </c>
      <c r="O432" s="197">
        <f t="shared" si="509"/>
        <v>4.5920806180897555E-2</v>
      </c>
      <c r="P432" s="197">
        <f t="shared" si="509"/>
        <v>4.6258165918276362E-2</v>
      </c>
    </row>
    <row r="433" spans="2:16" ht="12.6" customHeight="1" x14ac:dyDescent="0.2">
      <c r="B433" s="322" t="s">
        <v>8</v>
      </c>
      <c r="C433" s="61"/>
      <c r="D433" s="307"/>
      <c r="E433" s="113" t="str">
        <f t="shared" si="505"/>
        <v>--</v>
      </c>
      <c r="F433" s="113" t="str">
        <f t="shared" ref="F433:P433" si="510">IFERROR(F406/E406-1,"--")</f>
        <v>--</v>
      </c>
      <c r="G433" s="113" t="str">
        <f t="shared" si="510"/>
        <v>--</v>
      </c>
      <c r="H433" s="113">
        <f t="shared" si="510"/>
        <v>-0.56256289900506018</v>
      </c>
      <c r="I433" s="113">
        <f t="shared" si="510"/>
        <v>0.4045197285008475</v>
      </c>
      <c r="J433" s="113">
        <f t="shared" si="510"/>
        <v>0.35514488411594747</v>
      </c>
      <c r="K433" s="113">
        <f t="shared" si="510"/>
        <v>0.11032326866846476</v>
      </c>
      <c r="L433" s="197">
        <f t="shared" ca="1" si="510"/>
        <v>4.0996955366372712E-2</v>
      </c>
      <c r="M433" s="197">
        <f t="shared" ca="1" si="510"/>
        <v>4.1657404745333748E-2</v>
      </c>
      <c r="N433" s="197">
        <f t="shared" ca="1" si="510"/>
        <v>4.2011221875164706E-2</v>
      </c>
      <c r="O433" s="197">
        <f t="shared" ca="1" si="510"/>
        <v>4.2352487887372003E-2</v>
      </c>
      <c r="P433" s="197">
        <f t="shared" ca="1" si="510"/>
        <v>4.2681436328796618E-2</v>
      </c>
    </row>
    <row r="434" spans="2:16" ht="12.6" customHeight="1" x14ac:dyDescent="0.2">
      <c r="B434" s="322" t="s">
        <v>9</v>
      </c>
      <c r="C434" s="61"/>
      <c r="D434" s="307"/>
      <c r="E434" s="113" t="str">
        <f t="shared" si="505"/>
        <v>--</v>
      </c>
      <c r="F434" s="113" t="str">
        <f t="shared" ref="F434:P434" si="511">IFERROR(F407/E407-1,"--")</f>
        <v>--</v>
      </c>
      <c r="G434" s="113" t="str">
        <f t="shared" si="511"/>
        <v>--</v>
      </c>
      <c r="H434" s="113" t="str">
        <f t="shared" si="511"/>
        <v>--</v>
      </c>
      <c r="I434" s="113" t="str">
        <f t="shared" si="511"/>
        <v>--</v>
      </c>
      <c r="J434" s="113">
        <f t="shared" si="511"/>
        <v>1.1270081538925298</v>
      </c>
      <c r="K434" s="113">
        <f t="shared" si="511"/>
        <v>1.678478428551442</v>
      </c>
      <c r="L434" s="197">
        <f t="shared" si="511"/>
        <v>0.23412980757955681</v>
      </c>
      <c r="M434" s="197">
        <f t="shared" si="511"/>
        <v>1.0871483489724776E-2</v>
      </c>
      <c r="N434" s="197">
        <f t="shared" si="511"/>
        <v>9.5086833043260821E-3</v>
      </c>
      <c r="O434" s="197">
        <f t="shared" si="511"/>
        <v>9.9631386631866548E-3</v>
      </c>
      <c r="P434" s="197">
        <f t="shared" si="511"/>
        <v>1.0397510916524855E-2</v>
      </c>
    </row>
    <row r="435" spans="2:16" ht="12.6" customHeight="1" x14ac:dyDescent="0.2">
      <c r="B435" s="322" t="s">
        <v>215</v>
      </c>
      <c r="C435" s="61"/>
      <c r="D435" s="307"/>
      <c r="E435" s="113" t="str">
        <f t="shared" si="505"/>
        <v>--</v>
      </c>
      <c r="F435" s="113" t="str">
        <f t="shared" ref="F435:P435" si="512">IFERROR(F408/E408-1,"--")</f>
        <v>--</v>
      </c>
      <c r="G435" s="113" t="str">
        <f t="shared" si="512"/>
        <v>--</v>
      </c>
      <c r="H435" s="113">
        <f t="shared" si="512"/>
        <v>-0.598134066376518</v>
      </c>
      <c r="I435" s="113">
        <f t="shared" si="512"/>
        <v>0.28983990547463212</v>
      </c>
      <c r="J435" s="113">
        <f t="shared" si="512"/>
        <v>0.1367120955109129</v>
      </c>
      <c r="K435" s="113">
        <f t="shared" si="512"/>
        <v>0.10335592168421859</v>
      </c>
      <c r="L435" s="197">
        <f t="shared" ca="1" si="512"/>
        <v>3.5877039787381104E-2</v>
      </c>
      <c r="M435" s="197">
        <f t="shared" ca="1" si="512"/>
        <v>3.9465613757154738E-2</v>
      </c>
      <c r="N435" s="197">
        <f t="shared" ca="1" si="512"/>
        <v>4.0348166721507539E-2</v>
      </c>
      <c r="O435" s="197">
        <f t="shared" ca="1" si="512"/>
        <v>4.1164282819894149E-2</v>
      </c>
      <c r="P435" s="197">
        <f t="shared" ca="1" si="512"/>
        <v>4.1917732021917953E-2</v>
      </c>
    </row>
    <row r="436" spans="2:16" ht="12.6" customHeight="1" x14ac:dyDescent="0.2">
      <c r="B436" s="322" t="s">
        <v>216</v>
      </c>
      <c r="C436" s="61"/>
      <c r="D436" s="307"/>
      <c r="E436" s="113" t="str">
        <f t="shared" si="505"/>
        <v>--</v>
      </c>
      <c r="F436" s="113" t="str">
        <f t="shared" ref="F436:P436" si="513">IFERROR(F409/E409-1,"--")</f>
        <v>--</v>
      </c>
      <c r="G436" s="113" t="str">
        <f t="shared" si="513"/>
        <v>--</v>
      </c>
      <c r="H436" s="113" t="str">
        <f t="shared" si="513"/>
        <v>--</v>
      </c>
      <c r="I436" s="113" t="str">
        <f t="shared" si="513"/>
        <v>--</v>
      </c>
      <c r="J436" s="113">
        <f t="shared" si="513"/>
        <v>-3.6506195644636752E-2</v>
      </c>
      <c r="K436" s="113">
        <f t="shared" si="513"/>
        <v>-0.13304419617128893</v>
      </c>
      <c r="L436" s="197">
        <f t="shared" si="513"/>
        <v>2.3717922833488725E-2</v>
      </c>
      <c r="M436" s="197">
        <f t="shared" si="513"/>
        <v>-4.0720870223014072E-2</v>
      </c>
      <c r="N436" s="197">
        <f t="shared" si="513"/>
        <v>1.0243061409497933E-2</v>
      </c>
      <c r="O436" s="197">
        <f t="shared" si="513"/>
        <v>2.4004357951940891E-2</v>
      </c>
      <c r="P436" s="197">
        <f t="shared" si="513"/>
        <v>2.573696932647751E-2</v>
      </c>
    </row>
    <row r="437" spans="2:16" ht="12.6" customHeight="1" x14ac:dyDescent="0.2">
      <c r="B437" s="322" t="s">
        <v>2</v>
      </c>
      <c r="C437" s="61"/>
      <c r="D437" s="307"/>
      <c r="E437" s="113" t="str">
        <f t="shared" si="505"/>
        <v>--</v>
      </c>
      <c r="F437" s="113" t="str">
        <f t="shared" ref="F437:P437" si="514">IFERROR(F410/E410-1,"--")</f>
        <v>--</v>
      </c>
      <c r="G437" s="113" t="str">
        <f t="shared" si="514"/>
        <v>--</v>
      </c>
      <c r="H437" s="113" t="str">
        <f t="shared" si="514"/>
        <v>--</v>
      </c>
      <c r="I437" s="113" t="str">
        <f t="shared" si="514"/>
        <v>--</v>
      </c>
      <c r="J437" s="113" t="str">
        <f t="shared" si="514"/>
        <v>--</v>
      </c>
      <c r="K437" s="113">
        <f t="shared" si="514"/>
        <v>-0.74264745983757163</v>
      </c>
      <c r="L437" s="197">
        <f t="shared" si="514"/>
        <v>1.0415661898315411</v>
      </c>
      <c r="M437" s="197">
        <f t="shared" si="514"/>
        <v>-9.1670504271632591E-3</v>
      </c>
      <c r="N437" s="197">
        <f t="shared" si="514"/>
        <v>0.22051452902417079</v>
      </c>
      <c r="O437" s="197">
        <f t="shared" si="514"/>
        <v>3.1439259262837638E-3</v>
      </c>
      <c r="P437" s="197">
        <f t="shared" si="514"/>
        <v>3.4908698670625959E-3</v>
      </c>
    </row>
    <row r="438" spans="2:16" ht="12.6" customHeight="1" x14ac:dyDescent="0.2">
      <c r="B438" s="322" t="s">
        <v>791</v>
      </c>
      <c r="C438" s="61"/>
      <c r="D438" s="307"/>
      <c r="E438" s="113" t="str">
        <f t="shared" si="505"/>
        <v>--</v>
      </c>
      <c r="F438" s="113" t="str">
        <f t="shared" ref="F438:P438" si="515">IFERROR(F411/E411-1,"--")</f>
        <v>--</v>
      </c>
      <c r="G438" s="113" t="str">
        <f t="shared" si="515"/>
        <v>--</v>
      </c>
      <c r="H438" s="113" t="str">
        <f t="shared" si="515"/>
        <v>--</v>
      </c>
      <c r="I438" s="113" t="str">
        <f t="shared" si="515"/>
        <v>--</v>
      </c>
      <c r="J438" s="113" t="str">
        <f t="shared" si="515"/>
        <v>--</v>
      </c>
      <c r="K438" s="113" t="str">
        <f t="shared" si="515"/>
        <v>--</v>
      </c>
      <c r="L438" s="197">
        <f t="shared" si="515"/>
        <v>0.36719892860822112</v>
      </c>
      <c r="M438" s="197">
        <f t="shared" si="515"/>
        <v>0.75066666666666682</v>
      </c>
      <c r="N438" s="197">
        <f t="shared" si="515"/>
        <v>-0.42285714285714293</v>
      </c>
      <c r="O438" s="197">
        <f t="shared" si="515"/>
        <v>-0.22307692307692295</v>
      </c>
      <c r="P438" s="197">
        <f t="shared" si="515"/>
        <v>-2.8846153846153855E-2</v>
      </c>
    </row>
    <row r="439" spans="2:16" ht="12.6" customHeight="1" x14ac:dyDescent="0.2">
      <c r="B439" s="322" t="s">
        <v>553</v>
      </c>
      <c r="C439" s="61"/>
      <c r="D439" s="307"/>
      <c r="E439" s="113" t="str">
        <f t="shared" si="505"/>
        <v>--</v>
      </c>
      <c r="F439" s="113" t="str">
        <f t="shared" ref="F439:P439" si="516">IFERROR(F412/E412-1,"--")</f>
        <v>--</v>
      </c>
      <c r="G439" s="113" t="str">
        <f t="shared" si="516"/>
        <v>--</v>
      </c>
      <c r="H439" s="113" t="str">
        <f t="shared" si="516"/>
        <v>--</v>
      </c>
      <c r="I439" s="113" t="str">
        <f t="shared" si="516"/>
        <v>--</v>
      </c>
      <c r="J439" s="113" t="str">
        <f t="shared" si="516"/>
        <v>--</v>
      </c>
      <c r="K439" s="113" t="str">
        <f t="shared" si="516"/>
        <v>--</v>
      </c>
      <c r="L439" s="197">
        <f t="shared" ca="1" si="516"/>
        <v>0.22426352705410824</v>
      </c>
      <c r="M439" s="197">
        <f t="shared" ca="1" si="516"/>
        <v>5.06316422699018E-2</v>
      </c>
      <c r="N439" s="197">
        <f t="shared" ca="1" si="516"/>
        <v>5.0000000000000266E-2</v>
      </c>
      <c r="O439" s="197">
        <f t="shared" ca="1" si="516"/>
        <v>5.0000000000000044E-2</v>
      </c>
      <c r="P439" s="197">
        <f t="shared" ca="1" si="516"/>
        <v>5.0000000000000044E-2</v>
      </c>
    </row>
    <row r="440" spans="2:16" ht="12.6" customHeight="1" x14ac:dyDescent="0.2">
      <c r="B440" s="370" t="s">
        <v>788</v>
      </c>
      <c r="C440" s="61"/>
      <c r="D440" s="307"/>
      <c r="E440" s="113" t="str">
        <f t="shared" si="505"/>
        <v>--</v>
      </c>
      <c r="F440" s="113" t="str">
        <f t="shared" ref="F440:K440" si="517">IFERROR(F413/E413-1,"--")</f>
        <v>--</v>
      </c>
      <c r="G440" s="113" t="str">
        <f t="shared" si="517"/>
        <v>--</v>
      </c>
      <c r="H440" s="113" t="str">
        <f t="shared" si="517"/>
        <v>--</v>
      </c>
      <c r="I440" s="113" t="str">
        <f t="shared" si="517"/>
        <v>--</v>
      </c>
      <c r="J440" s="113" t="str">
        <f t="shared" si="517"/>
        <v>--</v>
      </c>
      <c r="K440" s="113" t="str">
        <f t="shared" si="517"/>
        <v>--</v>
      </c>
      <c r="L440" s="197" t="str">
        <f>IFERROR(L413/K413-1,"--")</f>
        <v>--</v>
      </c>
      <c r="M440" s="197">
        <f>IFERROR(M413/L413-1,"--")</f>
        <v>5.0000000000000044E-2</v>
      </c>
      <c r="N440" s="197">
        <f>IFERROR(N413/M413-1,"--")</f>
        <v>-5.2</v>
      </c>
      <c r="O440" s="197">
        <f>IFERROR(O413/N413-1,"--")</f>
        <v>5.0000000000000044E-2</v>
      </c>
      <c r="P440" s="197">
        <f>IFERROR(P413/O413-1,"--")</f>
        <v>5.0000000000000044E-2</v>
      </c>
    </row>
    <row r="441" spans="2:16" ht="12.6" customHeight="1" x14ac:dyDescent="0.2">
      <c r="B441" s="370" t="s">
        <v>789</v>
      </c>
      <c r="C441" s="61"/>
      <c r="D441" s="307"/>
      <c r="E441" s="113" t="str">
        <f t="shared" si="505"/>
        <v>--</v>
      </c>
      <c r="F441" s="113" t="str">
        <f t="shared" ref="F441:P441" si="518">IFERROR(F414/E414-1,"--")</f>
        <v>--</v>
      </c>
      <c r="G441" s="113" t="str">
        <f t="shared" si="518"/>
        <v>--</v>
      </c>
      <c r="H441" s="113" t="str">
        <f t="shared" si="518"/>
        <v>--</v>
      </c>
      <c r="I441" s="113" t="str">
        <f t="shared" si="518"/>
        <v>--</v>
      </c>
      <c r="J441" s="113" t="str">
        <f t="shared" si="518"/>
        <v>--</v>
      </c>
      <c r="K441" s="113" t="str">
        <f t="shared" si="518"/>
        <v>--</v>
      </c>
      <c r="L441" s="197" t="str">
        <f t="shared" si="518"/>
        <v>--</v>
      </c>
      <c r="M441" s="197" t="str">
        <f t="shared" si="518"/>
        <v>--</v>
      </c>
      <c r="N441" s="197" t="str">
        <f t="shared" si="518"/>
        <v>--</v>
      </c>
      <c r="O441" s="197" t="str">
        <f t="shared" si="518"/>
        <v>--</v>
      </c>
      <c r="P441" s="197">
        <f t="shared" si="518"/>
        <v>0</v>
      </c>
    </row>
    <row r="442" spans="2:16" ht="12.6" customHeight="1" x14ac:dyDescent="0.2">
      <c r="B442" s="370" t="s">
        <v>558</v>
      </c>
      <c r="C442" s="61"/>
      <c r="D442" s="307"/>
      <c r="E442" s="113" t="str">
        <f t="shared" si="505"/>
        <v>--</v>
      </c>
      <c r="F442" s="113" t="str">
        <f t="shared" ref="F442:P442" si="519">IFERROR(F415/E415-1,"--")</f>
        <v>--</v>
      </c>
      <c r="G442" s="113" t="str">
        <f t="shared" si="519"/>
        <v>--</v>
      </c>
      <c r="H442" s="113" t="str">
        <f t="shared" si="519"/>
        <v>--</v>
      </c>
      <c r="I442" s="113" t="str">
        <f t="shared" si="519"/>
        <v>--</v>
      </c>
      <c r="J442" s="113" t="str">
        <f t="shared" si="519"/>
        <v>--</v>
      </c>
      <c r="K442" s="113" t="str">
        <f t="shared" si="519"/>
        <v>--</v>
      </c>
      <c r="L442" s="197" t="str">
        <f t="shared" si="519"/>
        <v>--</v>
      </c>
      <c r="M442" s="197" t="str">
        <f t="shared" si="519"/>
        <v>--</v>
      </c>
      <c r="N442" s="197" t="str">
        <f t="shared" si="519"/>
        <v>--</v>
      </c>
      <c r="O442" s="197">
        <f t="shared" si="519"/>
        <v>9.4166666666666732E-2</v>
      </c>
      <c r="P442" s="197">
        <f t="shared" si="519"/>
        <v>1.0000000000000009E-2</v>
      </c>
    </row>
    <row r="443" spans="2:16" ht="12.6" customHeight="1" x14ac:dyDescent="0.2">
      <c r="B443" s="370" t="s">
        <v>760</v>
      </c>
      <c r="C443" s="61"/>
      <c r="D443" s="307"/>
      <c r="E443" s="113" t="str">
        <f t="shared" si="505"/>
        <v>--</v>
      </c>
      <c r="F443" s="113" t="str">
        <f t="shared" ref="F443:P443" si="520">IFERROR(F416/E416-1,"--")</f>
        <v>--</v>
      </c>
      <c r="G443" s="113" t="str">
        <f t="shared" si="520"/>
        <v>--</v>
      </c>
      <c r="H443" s="113" t="str">
        <f t="shared" si="520"/>
        <v>--</v>
      </c>
      <c r="I443" s="113" t="str">
        <f t="shared" si="520"/>
        <v>--</v>
      </c>
      <c r="J443" s="113" t="str">
        <f t="shared" si="520"/>
        <v>--</v>
      </c>
      <c r="K443" s="113" t="str">
        <f t="shared" si="520"/>
        <v>--</v>
      </c>
      <c r="L443" s="197" t="str">
        <f t="shared" si="520"/>
        <v>--</v>
      </c>
      <c r="M443" s="197" t="str">
        <f t="shared" si="520"/>
        <v>--</v>
      </c>
      <c r="N443" s="197" t="str">
        <f t="shared" si="520"/>
        <v>--</v>
      </c>
      <c r="O443" s="197">
        <f t="shared" si="520"/>
        <v>-0.33333333333333337</v>
      </c>
      <c r="P443" s="197">
        <f t="shared" si="520"/>
        <v>0</v>
      </c>
    </row>
    <row r="444" spans="2:16" ht="12.6" customHeight="1" x14ac:dyDescent="0.2">
      <c r="B444" s="370" t="s">
        <v>761</v>
      </c>
      <c r="C444" s="61"/>
      <c r="D444" s="307"/>
      <c r="E444" s="113" t="str">
        <f t="shared" si="505"/>
        <v>--</v>
      </c>
      <c r="F444" s="113" t="str">
        <f t="shared" ref="F444:P444" si="521">IFERROR(F417/E417-1,"--")</f>
        <v>--</v>
      </c>
      <c r="G444" s="113" t="str">
        <f t="shared" si="521"/>
        <v>--</v>
      </c>
      <c r="H444" s="113" t="str">
        <f t="shared" si="521"/>
        <v>--</v>
      </c>
      <c r="I444" s="113" t="str">
        <f t="shared" si="521"/>
        <v>--</v>
      </c>
      <c r="J444" s="113" t="str">
        <f t="shared" si="521"/>
        <v>--</v>
      </c>
      <c r="K444" s="113" t="str">
        <f t="shared" si="521"/>
        <v>--</v>
      </c>
      <c r="L444" s="197" t="str">
        <f t="shared" si="521"/>
        <v>--</v>
      </c>
      <c r="M444" s="197" t="str">
        <f t="shared" si="521"/>
        <v>--</v>
      </c>
      <c r="N444" s="197" t="str">
        <f t="shared" si="521"/>
        <v>--</v>
      </c>
      <c r="O444" s="197" t="str">
        <f t="shared" si="521"/>
        <v>--</v>
      </c>
      <c r="P444" s="197" t="str">
        <f t="shared" si="521"/>
        <v>--</v>
      </c>
    </row>
    <row r="445" spans="2:16" ht="12.6" customHeight="1" x14ac:dyDescent="0.2">
      <c r="B445" s="370" t="s">
        <v>664</v>
      </c>
      <c r="C445" s="61"/>
      <c r="D445" s="307"/>
      <c r="E445" s="113" t="str">
        <f t="shared" si="505"/>
        <v>--</v>
      </c>
      <c r="F445" s="113" t="str">
        <f t="shared" ref="F445:P445" si="522">IFERROR(F418/E418-1,"--")</f>
        <v>--</v>
      </c>
      <c r="G445" s="113" t="str">
        <f t="shared" si="522"/>
        <v>--</v>
      </c>
      <c r="H445" s="113" t="str">
        <f t="shared" si="522"/>
        <v>--</v>
      </c>
      <c r="I445" s="113" t="str">
        <f t="shared" si="522"/>
        <v>--</v>
      </c>
      <c r="J445" s="113" t="str">
        <f t="shared" si="522"/>
        <v>--</v>
      </c>
      <c r="K445" s="113" t="str">
        <f t="shared" si="522"/>
        <v>--</v>
      </c>
      <c r="L445" s="197" t="str">
        <f t="shared" si="522"/>
        <v>--</v>
      </c>
      <c r="M445" s="197" t="str">
        <f t="shared" si="522"/>
        <v>--</v>
      </c>
      <c r="N445" s="197" t="str">
        <f t="shared" si="522"/>
        <v>--</v>
      </c>
      <c r="O445" s="197" t="str">
        <f t="shared" si="522"/>
        <v>--</v>
      </c>
      <c r="P445" s="197" t="str">
        <f t="shared" si="522"/>
        <v>--</v>
      </c>
    </row>
    <row r="446" spans="2:16" ht="12.6" customHeight="1" x14ac:dyDescent="0.2">
      <c r="B446" s="370" t="s">
        <v>1866</v>
      </c>
      <c r="C446" s="61"/>
      <c r="D446" s="307"/>
      <c r="E446" s="113" t="str">
        <f t="shared" si="505"/>
        <v>--</v>
      </c>
      <c r="F446" s="113" t="str">
        <f t="shared" ref="F446:P446" si="523">IFERROR(F419/E419-1,"--")</f>
        <v>--</v>
      </c>
      <c r="G446" s="113" t="str">
        <f t="shared" si="523"/>
        <v>--</v>
      </c>
      <c r="H446" s="113" t="str">
        <f t="shared" si="523"/>
        <v>--</v>
      </c>
      <c r="I446" s="113" t="str">
        <f t="shared" si="523"/>
        <v>--</v>
      </c>
      <c r="J446" s="113" t="str">
        <f t="shared" si="523"/>
        <v>--</v>
      </c>
      <c r="K446" s="113" t="str">
        <f t="shared" si="523"/>
        <v>--</v>
      </c>
      <c r="L446" s="197" t="str">
        <f t="shared" si="523"/>
        <v>--</v>
      </c>
      <c r="M446" s="197" t="str">
        <f t="shared" si="523"/>
        <v>--</v>
      </c>
      <c r="N446" s="197" t="str">
        <f t="shared" si="523"/>
        <v>--</v>
      </c>
      <c r="O446" s="197" t="str">
        <f t="shared" si="523"/>
        <v>--</v>
      </c>
      <c r="P446" s="197" t="str">
        <f t="shared" si="523"/>
        <v>--</v>
      </c>
    </row>
    <row r="447" spans="2:16" ht="12.6" customHeight="1" x14ac:dyDescent="0.2">
      <c r="B447" s="370" t="s">
        <v>1767</v>
      </c>
      <c r="C447" s="61"/>
      <c r="D447" s="307"/>
      <c r="E447" s="113" t="str">
        <f t="shared" si="505"/>
        <v>--</v>
      </c>
      <c r="F447" s="113" t="str">
        <f t="shared" ref="F447:P447" si="524">IFERROR(F420/E420-1,"--")</f>
        <v>--</v>
      </c>
      <c r="G447" s="113" t="str">
        <f t="shared" si="524"/>
        <v>--</v>
      </c>
      <c r="H447" s="113" t="str">
        <f t="shared" si="524"/>
        <v>--</v>
      </c>
      <c r="I447" s="113" t="str">
        <f t="shared" si="524"/>
        <v>--</v>
      </c>
      <c r="J447" s="113" t="str">
        <f t="shared" si="524"/>
        <v>--</v>
      </c>
      <c r="K447" s="113" t="str">
        <f t="shared" si="524"/>
        <v>--</v>
      </c>
      <c r="L447" s="197" t="str">
        <f t="shared" si="524"/>
        <v>--</v>
      </c>
      <c r="M447" s="197" t="str">
        <f t="shared" si="524"/>
        <v>--</v>
      </c>
      <c r="N447" s="197" t="str">
        <f t="shared" si="524"/>
        <v>--</v>
      </c>
      <c r="O447" s="197">
        <f t="shared" si="524"/>
        <v>5.0000000000000266E-2</v>
      </c>
      <c r="P447" s="197">
        <f t="shared" si="524"/>
        <v>9.9999999999997868E-3</v>
      </c>
    </row>
    <row r="448" spans="2:16" ht="12.6" customHeight="1" x14ac:dyDescent="0.2">
      <c r="B448" s="370" t="s">
        <v>2045</v>
      </c>
      <c r="C448" s="61"/>
      <c r="D448" s="307"/>
      <c r="E448" s="113" t="str">
        <f t="shared" si="505"/>
        <v>--</v>
      </c>
      <c r="F448" s="113" t="str">
        <f t="shared" ref="F448:J448" si="525">IFERROR(F421/E421-1,"--")</f>
        <v>--</v>
      </c>
      <c r="G448" s="113" t="str">
        <f t="shared" si="525"/>
        <v>--</v>
      </c>
      <c r="H448" s="113" t="str">
        <f t="shared" si="525"/>
        <v>--</v>
      </c>
      <c r="I448" s="113" t="str">
        <f t="shared" si="525"/>
        <v>--</v>
      </c>
      <c r="J448" s="113" t="str">
        <f t="shared" si="525"/>
        <v>--</v>
      </c>
      <c r="K448" s="113" t="str">
        <f t="shared" ref="K448:L448" si="526">IFERROR(K421/J421-1,"--")</f>
        <v>--</v>
      </c>
      <c r="L448" s="197" t="str">
        <f t="shared" si="526"/>
        <v>--</v>
      </c>
      <c r="M448" s="197" t="str">
        <f ca="1">IFERROR(M421/L421-1,"--")</f>
        <v>--</v>
      </c>
      <c r="N448" s="197" t="str">
        <f ca="1">IFERROR(N421/M421-1,"--")</f>
        <v>--</v>
      </c>
      <c r="O448" s="197" t="str">
        <f ca="1">IFERROR(O421/N421-1,"--")</f>
        <v>--</v>
      </c>
      <c r="P448" s="197">
        <f>IFERROR(P421/O421-1,"--")</f>
        <v>1.0000000000000009E-2</v>
      </c>
    </row>
    <row r="449" spans="2:20" ht="12.6" customHeight="1" x14ac:dyDescent="0.2">
      <c r="B449" s="370" t="s">
        <v>472</v>
      </c>
      <c r="C449" s="61"/>
      <c r="D449" s="307"/>
      <c r="E449" s="113" t="str">
        <f t="shared" si="505"/>
        <v>--</v>
      </c>
      <c r="F449" s="113" t="str">
        <f t="shared" ref="F449:P449" si="527">IFERROR(F422/E422-1,"--")</f>
        <v>--</v>
      </c>
      <c r="G449" s="113" t="str">
        <f t="shared" si="527"/>
        <v>--</v>
      </c>
      <c r="H449" s="113" t="str">
        <f t="shared" si="527"/>
        <v>--</v>
      </c>
      <c r="I449" s="113" t="str">
        <f t="shared" si="527"/>
        <v>--</v>
      </c>
      <c r="J449" s="113" t="str">
        <f t="shared" si="527"/>
        <v>--</v>
      </c>
      <c r="K449" s="113" t="str">
        <f t="shared" si="527"/>
        <v>--</v>
      </c>
      <c r="L449" s="197" t="str">
        <f t="shared" si="527"/>
        <v>--</v>
      </c>
      <c r="M449" s="197" t="str">
        <f t="shared" si="527"/>
        <v>--</v>
      </c>
      <c r="N449" s="197" t="str">
        <f t="shared" si="527"/>
        <v>--</v>
      </c>
      <c r="O449" s="197" t="str">
        <f t="shared" si="527"/>
        <v>--</v>
      </c>
      <c r="P449" s="197" t="str">
        <f t="shared" si="527"/>
        <v>--</v>
      </c>
    </row>
    <row r="450" spans="2:20" ht="12.6" customHeight="1" x14ac:dyDescent="0.2">
      <c r="B450" s="370" t="s">
        <v>472</v>
      </c>
      <c r="C450" s="61"/>
      <c r="D450" s="307"/>
      <c r="E450" s="113" t="str">
        <f t="shared" si="505"/>
        <v>--</v>
      </c>
      <c r="F450" s="113" t="str">
        <f t="shared" ref="F450:P450" si="528">IFERROR(F423/E423-1,"--")</f>
        <v>--</v>
      </c>
      <c r="G450" s="113" t="str">
        <f t="shared" si="528"/>
        <v>--</v>
      </c>
      <c r="H450" s="113" t="str">
        <f t="shared" si="528"/>
        <v>--</v>
      </c>
      <c r="I450" s="113" t="str">
        <f t="shared" si="528"/>
        <v>--</v>
      </c>
      <c r="J450" s="113" t="str">
        <f t="shared" si="528"/>
        <v>--</v>
      </c>
      <c r="K450" s="113" t="str">
        <f t="shared" si="528"/>
        <v>--</v>
      </c>
      <c r="L450" s="197" t="str">
        <f t="shared" si="528"/>
        <v>--</v>
      </c>
      <c r="M450" s="197" t="str">
        <f t="shared" si="528"/>
        <v>--</v>
      </c>
      <c r="N450" s="197" t="str">
        <f t="shared" si="528"/>
        <v>--</v>
      </c>
      <c r="O450" s="197" t="str">
        <f t="shared" si="528"/>
        <v>--</v>
      </c>
      <c r="P450" s="197" t="str">
        <f t="shared" si="528"/>
        <v>--</v>
      </c>
    </row>
    <row r="451" spans="2:20" ht="12.6" customHeight="1" x14ac:dyDescent="0.2">
      <c r="B451" s="371" t="s">
        <v>551</v>
      </c>
      <c r="C451" s="61"/>
      <c r="D451" s="307"/>
      <c r="E451" s="117">
        <f t="shared" si="505"/>
        <v>-5.5074232394982992E-2</v>
      </c>
      <c r="F451" s="117">
        <f t="shared" ref="F451:J451" si="529">IFERROR(F424/E424-1,"--")</f>
        <v>5.1960981049138599E-2</v>
      </c>
      <c r="G451" s="117">
        <f t="shared" si="529"/>
        <v>-1.5231319505843333E-2</v>
      </c>
      <c r="H451" s="117">
        <f t="shared" si="529"/>
        <v>-1.3341813821873272E-3</v>
      </c>
      <c r="I451" s="117">
        <f t="shared" si="529"/>
        <v>-2.5018987324578412E-2</v>
      </c>
      <c r="J451" s="117">
        <f t="shared" si="529"/>
        <v>5.1381312466738605E-2</v>
      </c>
      <c r="K451" s="117">
        <f t="shared" ref="K451" si="530">IFERROR(K424/J424-1,"--")</f>
        <v>1.534428756988504E-4</v>
      </c>
      <c r="L451" s="204">
        <f ca="1">IFERROR(L424/K424-1,"--")</f>
        <v>7.4925480705483771E-2</v>
      </c>
      <c r="M451" s="204">
        <f ca="1">IFERROR(M424/L424-1,"--")</f>
        <v>1.3799293256182565E-2</v>
      </c>
      <c r="N451" s="204">
        <f ca="1">IFERROR(N424/M424-1,"--")</f>
        <v>0.21259809727146139</v>
      </c>
      <c r="O451" s="204">
        <f ca="1">IFERROR(O424/N424-1,"--")</f>
        <v>-2.5519885406665055E-2</v>
      </c>
      <c r="P451" s="204">
        <f ca="1">IFERROR(P424/O424-1,"--")</f>
        <v>5.4914797833861773E-2</v>
      </c>
    </row>
    <row r="453" spans="2:20" ht="12.6" customHeight="1" x14ac:dyDescent="0.2">
      <c r="B453" s="50" t="s">
        <v>3</v>
      </c>
      <c r="C453" s="50" t="s">
        <v>475</v>
      </c>
      <c r="D453" s="163"/>
      <c r="E453" s="163"/>
      <c r="F453" s="163"/>
      <c r="G453" s="51"/>
      <c r="H453" s="51"/>
      <c r="I453" s="51"/>
      <c r="J453" s="51"/>
      <c r="K453" s="51"/>
      <c r="L453" s="54"/>
      <c r="M453" s="54"/>
      <c r="N453" s="54"/>
      <c r="O453" s="54"/>
      <c r="P453" s="54"/>
    </row>
    <row r="454" spans="2:20" ht="12.6" customHeight="1" x14ac:dyDescent="0.2">
      <c r="B454" s="61" t="s">
        <v>411</v>
      </c>
      <c r="C454" s="61" t="s">
        <v>549</v>
      </c>
      <c r="D454" s="63"/>
      <c r="E454" s="63"/>
      <c r="F454" s="311">
        <f>Jaigarh!E7</f>
        <v>3395.029</v>
      </c>
      <c r="G454" s="301">
        <f>Jaigarh!F7</f>
        <v>3616.7130000000002</v>
      </c>
      <c r="H454" s="301">
        <f>Jaigarh!G7</f>
        <v>4623.143</v>
      </c>
      <c r="I454" s="301">
        <f>Jaigarh!H7</f>
        <v>5963.3879999999999</v>
      </c>
      <c r="J454" s="301">
        <f>Jaigarh!I7</f>
        <v>7947.0280000000002</v>
      </c>
      <c r="K454" s="301">
        <f>Jaigarh!J7</f>
        <v>7252.8450000000003</v>
      </c>
      <c r="L454" s="302">
        <f t="shared" ref="L454:P454" si="531">L455*L468</f>
        <v>7796.733809013821</v>
      </c>
      <c r="M454" s="302">
        <f t="shared" si="531"/>
        <v>8351.861256215605</v>
      </c>
      <c r="N454" s="302">
        <f t="shared" si="531"/>
        <v>10733.584233539372</v>
      </c>
      <c r="O454" s="302">
        <f t="shared" si="531"/>
        <v>12161.150936600108</v>
      </c>
      <c r="P454" s="302">
        <f t="shared" si="531"/>
        <v>13152.28473793302</v>
      </c>
      <c r="R454" s="38" t="s">
        <v>3</v>
      </c>
      <c r="S454" s="545" t="str">
        <f>IF(ISERROR((J454/D454)^(1/6)-1)," ",(J454/D454)^(1/6)-1)</f>
        <v xml:space="preserve"> </v>
      </c>
      <c r="T454" s="545">
        <f>IF(ISERROR((P454/J454)^(1/6)-1)," ",(P454/J454)^(1/6)-1)</f>
        <v>8.7592180711673073E-2</v>
      </c>
    </row>
    <row r="455" spans="2:20" ht="12.6" customHeight="1" x14ac:dyDescent="0.2">
      <c r="B455" s="59" t="s">
        <v>474</v>
      </c>
      <c r="C455" s="61" t="s">
        <v>476</v>
      </c>
      <c r="D455" s="57"/>
      <c r="E455" s="57"/>
      <c r="F455" s="57">
        <f t="shared" ref="F455:K455" si="532">F454/F530</f>
        <v>327.37942611283177</v>
      </c>
      <c r="G455" s="57">
        <f t="shared" si="532"/>
        <v>391.50389694739124</v>
      </c>
      <c r="H455" s="57">
        <f t="shared" si="532"/>
        <v>329.76556055843423</v>
      </c>
      <c r="I455" s="57">
        <f t="shared" si="532"/>
        <v>294.6774719573059</v>
      </c>
      <c r="J455" s="288">
        <f t="shared" si="532"/>
        <v>361.06442526124493</v>
      </c>
      <c r="K455" s="288">
        <f t="shared" si="532"/>
        <v>366.32761571235091</v>
      </c>
      <c r="L455" s="303">
        <f t="shared" ref="L455:P455" si="533">K455*(1+L456)</f>
        <v>384.64399649796849</v>
      </c>
      <c r="M455" s="303">
        <f t="shared" si="533"/>
        <v>396.18331639290756</v>
      </c>
      <c r="N455" s="303">
        <f t="shared" si="533"/>
        <v>408.0688158846948</v>
      </c>
      <c r="O455" s="303">
        <f t="shared" si="533"/>
        <v>420.31088036123566</v>
      </c>
      <c r="P455" s="303">
        <f t="shared" si="533"/>
        <v>432.92020677207273</v>
      </c>
      <c r="R455" s="37" t="s">
        <v>912</v>
      </c>
      <c r="S455" s="545" t="str">
        <f>IF(ISERROR((J455/D455)^(1/6)-1)," ",(J455/D455)^(1/6)-1)</f>
        <v xml:space="preserve"> </v>
      </c>
      <c r="T455" s="545">
        <f>IF(ISERROR((P455/J455)^(1/6)-1)," ",(P455/J455)^(1/6)-1)</f>
        <v>3.0711668783486967E-2</v>
      </c>
    </row>
    <row r="456" spans="2:20" s="352" customFormat="1" ht="12.6" customHeight="1" x14ac:dyDescent="0.2">
      <c r="B456" s="322" t="s">
        <v>227</v>
      </c>
      <c r="C456" s="323" t="s">
        <v>477</v>
      </c>
      <c r="D456" s="58"/>
      <c r="E456" s="58"/>
      <c r="F456" s="339"/>
      <c r="G456" s="330">
        <f>G455/F455-1</f>
        <v>0.19587202407905413</v>
      </c>
      <c r="H456" s="330">
        <f>H455/G455-1</f>
        <v>-0.15769533041775363</v>
      </c>
      <c r="I456" s="330">
        <f>I455/H455-1</f>
        <v>-0.10640313240020938</v>
      </c>
      <c r="J456" s="330">
        <f>J455/I455-1</f>
        <v>0.22528682923395471</v>
      </c>
      <c r="K456" s="330">
        <f>K455/J455-1</f>
        <v>1.4576873496462195E-2</v>
      </c>
      <c r="L456" s="354">
        <v>0.05</v>
      </c>
      <c r="M456" s="354">
        <v>0.03</v>
      </c>
      <c r="N456" s="354">
        <v>0.03</v>
      </c>
      <c r="O456" s="354">
        <v>0.03</v>
      </c>
      <c r="P456" s="354">
        <v>0.03</v>
      </c>
      <c r="R456" s="352" t="s">
        <v>913</v>
      </c>
    </row>
    <row r="457" spans="2:20" ht="12.6" customHeight="1" x14ac:dyDescent="0.2">
      <c r="B457" s="59"/>
      <c r="C457" s="61"/>
      <c r="D457" s="57"/>
      <c r="E457" s="57"/>
      <c r="F457" s="288"/>
      <c r="G457" s="57"/>
      <c r="H457" s="57"/>
      <c r="I457" s="57"/>
      <c r="J457" s="57"/>
      <c r="K457" s="57"/>
      <c r="L457" s="57"/>
      <c r="M457" s="68"/>
      <c r="N457" s="68"/>
      <c r="O457" s="68"/>
      <c r="P457" s="68"/>
      <c r="R457" s="37" t="s">
        <v>914</v>
      </c>
    </row>
    <row r="458" spans="2:20" ht="12.6" customHeight="1" x14ac:dyDescent="0.2">
      <c r="B458" s="72" t="s">
        <v>303</v>
      </c>
      <c r="C458" s="61" t="s">
        <v>4</v>
      </c>
      <c r="D458" s="57"/>
      <c r="E458" s="57"/>
      <c r="F458" s="288">
        <f t="shared" ref="F458:P458" si="534">F88</f>
        <v>45</v>
      </c>
      <c r="G458" s="288">
        <f t="shared" si="534"/>
        <v>50</v>
      </c>
      <c r="H458" s="288">
        <f t="shared" si="534"/>
        <v>55</v>
      </c>
      <c r="I458" s="288">
        <f t="shared" si="534"/>
        <v>55</v>
      </c>
      <c r="J458" s="288">
        <f>J88</f>
        <v>55</v>
      </c>
      <c r="K458" s="288">
        <f t="shared" ref="K458" si="535">K88</f>
        <v>55</v>
      </c>
      <c r="L458" s="288">
        <f t="shared" si="534"/>
        <v>55</v>
      </c>
      <c r="M458" s="68">
        <f t="shared" si="534"/>
        <v>57</v>
      </c>
      <c r="N458" s="68">
        <f t="shared" si="534"/>
        <v>77</v>
      </c>
      <c r="O458" s="68">
        <f t="shared" si="534"/>
        <v>77</v>
      </c>
      <c r="P458" s="68">
        <f t="shared" si="534"/>
        <v>77</v>
      </c>
      <c r="S458" s="545" t="str">
        <f>IF(ISERROR((J458/D458)^(1/6)-1)," ",(J458/D458)^(1/6)-1)</f>
        <v xml:space="preserve"> </v>
      </c>
      <c r="T458" s="545">
        <f>IF(ISERROR((P458/J458)^(1/6)-1)," ",(P458/J458)^(1/6)-1)</f>
        <v>5.7680926405216493E-2</v>
      </c>
    </row>
    <row r="459" spans="2:20" s="352" customFormat="1" ht="12.6" customHeight="1" x14ac:dyDescent="0.2">
      <c r="B459" s="202" t="s">
        <v>555</v>
      </c>
      <c r="C459" s="326" t="s">
        <v>4</v>
      </c>
      <c r="D459" s="58"/>
      <c r="E459" s="58"/>
      <c r="F459" s="330">
        <f>F468/F458</f>
        <v>0.23045152771111113</v>
      </c>
      <c r="G459" s="330">
        <f t="shared" ref="G459:P459" si="536">G468/G458</f>
        <v>0.18475999999999998</v>
      </c>
      <c r="H459" s="330">
        <f t="shared" si="536"/>
        <v>0.25489970909090909</v>
      </c>
      <c r="I459" s="330">
        <f t="shared" si="536"/>
        <v>0.36794545454545458</v>
      </c>
      <c r="J459" s="330">
        <f t="shared" si="536"/>
        <v>0.3910909090909091</v>
      </c>
      <c r="K459" s="330">
        <f t="shared" ref="K459" si="537">K468/K458</f>
        <v>0.36181818181818182</v>
      </c>
      <c r="L459" s="330">
        <f t="shared" si="536"/>
        <v>0.36854545454545456</v>
      </c>
      <c r="M459" s="324">
        <f t="shared" si="536"/>
        <v>0.36983859649122808</v>
      </c>
      <c r="N459" s="324">
        <f t="shared" si="536"/>
        <v>0.3416021818181818</v>
      </c>
      <c r="O459" s="324">
        <f t="shared" si="536"/>
        <v>0.37576239999999994</v>
      </c>
      <c r="P459" s="324">
        <f t="shared" si="536"/>
        <v>0.39455052000000002</v>
      </c>
    </row>
    <row r="460" spans="2:20" ht="12.6" customHeight="1" x14ac:dyDescent="0.2">
      <c r="B460" s="59"/>
      <c r="C460" s="61"/>
      <c r="D460" s="57"/>
      <c r="E460" s="57"/>
      <c r="F460" s="288"/>
      <c r="G460" s="57"/>
      <c r="H460" s="57"/>
      <c r="I460" s="57"/>
      <c r="J460" s="57"/>
      <c r="K460" s="57"/>
      <c r="L460" s="57"/>
      <c r="M460" s="68"/>
      <c r="N460" s="68"/>
      <c r="O460" s="68"/>
      <c r="P460" s="68"/>
    </row>
    <row r="461" spans="2:20" ht="12.6" customHeight="1" x14ac:dyDescent="0.2">
      <c r="B461" s="72" t="s">
        <v>489</v>
      </c>
      <c r="C461" s="61"/>
      <c r="D461" s="57"/>
      <c r="E461" s="57"/>
      <c r="F461" s="288"/>
      <c r="G461" s="57"/>
      <c r="H461" s="57"/>
      <c r="I461" s="57"/>
      <c r="J461" s="57"/>
      <c r="K461" s="57"/>
      <c r="L461" s="57"/>
      <c r="M461" s="68"/>
      <c r="N461" s="68"/>
      <c r="O461" s="68"/>
      <c r="P461" s="68"/>
    </row>
    <row r="462" spans="2:20" ht="12.6" customHeight="1" x14ac:dyDescent="0.2">
      <c r="B462" s="56" t="s">
        <v>279</v>
      </c>
      <c r="C462" s="61"/>
      <c r="D462" s="288">
        <f t="shared" ref="D462:I462" si="538">D506+D519</f>
        <v>0.1</v>
      </c>
      <c r="E462" s="288">
        <f t="shared" si="538"/>
        <v>4.3899999999999997</v>
      </c>
      <c r="F462" s="288">
        <f t="shared" si="538"/>
        <v>0.39006206200000004</v>
      </c>
      <c r="G462" s="288">
        <f t="shared" si="538"/>
        <v>0</v>
      </c>
      <c r="H462" s="288">
        <f t="shared" si="538"/>
        <v>5.3007629999999999</v>
      </c>
      <c r="I462" s="288">
        <f t="shared" si="538"/>
        <v>6.76</v>
      </c>
      <c r="J462" s="288">
        <f>J506+J519</f>
        <v>9.1129999999999995</v>
      </c>
      <c r="K462" s="288">
        <f>K506+K519</f>
        <v>7.9649999999999999</v>
      </c>
      <c r="L462" s="288">
        <f>L506+L519</f>
        <v>7.72</v>
      </c>
      <c r="M462" s="303">
        <f t="shared" ref="M462:M467" si="539">L462*(1+M471)</f>
        <v>8.0288000000000004</v>
      </c>
      <c r="N462" s="303">
        <f t="shared" ref="N462:P467" si="540">M462*(1+N471)</f>
        <v>10.036000000000001</v>
      </c>
      <c r="O462" s="303">
        <f t="shared" si="540"/>
        <v>11.039600000000002</v>
      </c>
      <c r="P462" s="303">
        <f t="shared" si="540"/>
        <v>11.591580000000002</v>
      </c>
      <c r="S462" s="545">
        <f t="shared" ref="S462:S468" si="541">IF(ISERROR((J462/D462)^(1/6)-1)," ",(J462/D462)^(1/6)-1)</f>
        <v>1.1213397424791376</v>
      </c>
      <c r="T462" s="545">
        <f t="shared" ref="T462:T468" si="542">IF(ISERROR((P462/J462)^(1/6)-1)," ",(P462/J462)^(1/6)-1)</f>
        <v>4.0910871516191438E-2</v>
      </c>
    </row>
    <row r="463" spans="2:20" ht="12.6" customHeight="1" x14ac:dyDescent="0.2">
      <c r="B463" s="56" t="s">
        <v>280</v>
      </c>
      <c r="C463" s="61"/>
      <c r="D463" s="288">
        <f t="shared" ref="D463:I463" si="543">D504+D503+D509</f>
        <v>3.92</v>
      </c>
      <c r="E463" s="288">
        <f t="shared" si="543"/>
        <v>4.57</v>
      </c>
      <c r="F463" s="288">
        <f t="shared" si="543"/>
        <v>4.7045567159999999</v>
      </c>
      <c r="G463" s="288">
        <f t="shared" si="543"/>
        <v>3.3999999999999995</v>
      </c>
      <c r="H463" s="288">
        <f t="shared" si="543"/>
        <v>4.0991719999999994</v>
      </c>
      <c r="I463" s="288">
        <f t="shared" si="543"/>
        <v>4.0890000000000004</v>
      </c>
      <c r="J463" s="288">
        <f>J504+J503+J509</f>
        <v>4.9400000000000004</v>
      </c>
      <c r="K463" s="288">
        <f>K504+K503+K509</f>
        <v>5.1349990000000005</v>
      </c>
      <c r="L463" s="288">
        <f>L504+L503+L509</f>
        <v>4.37</v>
      </c>
      <c r="M463" s="303">
        <f t="shared" si="539"/>
        <v>4.5448000000000004</v>
      </c>
      <c r="N463" s="303">
        <f t="shared" si="540"/>
        <v>5.6810000000000009</v>
      </c>
      <c r="O463" s="303">
        <f t="shared" si="540"/>
        <v>6.2491000000000012</v>
      </c>
      <c r="P463" s="303">
        <f t="shared" si="540"/>
        <v>6.5615550000000011</v>
      </c>
      <c r="S463" s="545">
        <f t="shared" si="541"/>
        <v>3.9298132678207587E-2</v>
      </c>
      <c r="T463" s="545">
        <f t="shared" si="542"/>
        <v>4.8447376789281682E-2</v>
      </c>
    </row>
    <row r="464" spans="2:20" ht="12.6" customHeight="1" x14ac:dyDescent="0.2">
      <c r="B464" s="56" t="s">
        <v>281</v>
      </c>
      <c r="C464" s="61"/>
      <c r="D464" s="288">
        <f t="shared" ref="D464:I464" si="544">D505+D508+D524</f>
        <v>4.8099999999999996</v>
      </c>
      <c r="E464" s="288">
        <f t="shared" si="544"/>
        <v>3.23</v>
      </c>
      <c r="F464" s="288">
        <f t="shared" si="544"/>
        <v>4.1270289689999995</v>
      </c>
      <c r="G464" s="288">
        <f t="shared" si="544"/>
        <v>4.5699999999999994</v>
      </c>
      <c r="H464" s="288">
        <f t="shared" si="544"/>
        <v>2.4521829999999998</v>
      </c>
      <c r="I464" s="288">
        <f t="shared" si="544"/>
        <v>7.01</v>
      </c>
      <c r="J464" s="288">
        <f>J505+J508+J524</f>
        <v>6.6449999999999996</v>
      </c>
      <c r="K464" s="288">
        <f>K505+K508+K524</f>
        <v>5.4119999999999999</v>
      </c>
      <c r="L464" s="288">
        <f>L505+L508+L524</f>
        <v>6.76</v>
      </c>
      <c r="M464" s="303">
        <f t="shared" si="539"/>
        <v>7.0304000000000002</v>
      </c>
      <c r="N464" s="303">
        <f t="shared" si="540"/>
        <v>8.7880000000000003</v>
      </c>
      <c r="O464" s="303">
        <f t="shared" si="540"/>
        <v>9.6668000000000003</v>
      </c>
      <c r="P464" s="303">
        <f t="shared" si="540"/>
        <v>10.15014</v>
      </c>
      <c r="S464" s="545">
        <f t="shared" si="541"/>
        <v>5.5338182830373839E-2</v>
      </c>
      <c r="T464" s="545">
        <f t="shared" si="542"/>
        <v>7.3155958370289653E-2</v>
      </c>
    </row>
    <row r="465" spans="2:20" ht="12.6" customHeight="1" x14ac:dyDescent="0.2">
      <c r="B465" s="56" t="s">
        <v>282</v>
      </c>
      <c r="C465" s="61"/>
      <c r="D465" s="288">
        <f t="shared" ref="D465:I465" si="545">D528+D527+D521+D517</f>
        <v>0.01</v>
      </c>
      <c r="E465" s="288">
        <f t="shared" si="545"/>
        <v>0</v>
      </c>
      <c r="F465" s="288">
        <f t="shared" si="545"/>
        <v>2.6363000000000001E-2</v>
      </c>
      <c r="G465" s="288">
        <f t="shared" si="545"/>
        <v>0</v>
      </c>
      <c r="H465" s="288">
        <f t="shared" si="545"/>
        <v>0</v>
      </c>
      <c r="I465" s="288">
        <f t="shared" si="545"/>
        <v>0.19</v>
      </c>
      <c r="J465" s="288">
        <f>J528+J527+J521+J517</f>
        <v>0.22</v>
      </c>
      <c r="K465" s="288">
        <f>K528+K527+K521+K517</f>
        <v>0.37035700000000005</v>
      </c>
      <c r="L465" s="288">
        <f>L528+L527+L521+L517</f>
        <v>0.22899999999999998</v>
      </c>
      <c r="M465" s="303">
        <f t="shared" si="539"/>
        <v>0.23815999999999998</v>
      </c>
      <c r="N465" s="303">
        <f t="shared" si="540"/>
        <v>0.25006800000000001</v>
      </c>
      <c r="O465" s="303">
        <f t="shared" si="540"/>
        <v>0.27507480000000006</v>
      </c>
      <c r="P465" s="303">
        <f t="shared" si="540"/>
        <v>0.28882854000000008</v>
      </c>
      <c r="S465" s="545">
        <f t="shared" si="541"/>
        <v>0.67392930873898838</v>
      </c>
      <c r="T465" s="545">
        <f t="shared" si="542"/>
        <v>4.6412464123702035E-2</v>
      </c>
    </row>
    <row r="466" spans="2:20" ht="12.6" customHeight="1" x14ac:dyDescent="0.2">
      <c r="B466" s="56" t="s">
        <v>283</v>
      </c>
      <c r="C466" s="61"/>
      <c r="D466" s="288">
        <f t="shared" ref="D466:I466" si="546">D525</f>
        <v>0</v>
      </c>
      <c r="E466" s="288">
        <f t="shared" si="546"/>
        <v>0</v>
      </c>
      <c r="F466" s="288">
        <f t="shared" si="546"/>
        <v>0</v>
      </c>
      <c r="G466" s="288">
        <f t="shared" si="546"/>
        <v>0</v>
      </c>
      <c r="H466" s="288">
        <f t="shared" si="546"/>
        <v>0</v>
      </c>
      <c r="I466" s="288">
        <f t="shared" si="546"/>
        <v>0</v>
      </c>
      <c r="J466" s="288">
        <f>J525</f>
        <v>0.01</v>
      </c>
      <c r="K466" s="288">
        <f>K525</f>
        <v>9.9430000000000004E-3</v>
      </c>
      <c r="L466" s="288">
        <f>L525</f>
        <v>0</v>
      </c>
      <c r="M466" s="303">
        <f t="shared" si="539"/>
        <v>0</v>
      </c>
      <c r="N466" s="303">
        <f>M466*(1+N475)</f>
        <v>0</v>
      </c>
      <c r="O466" s="303">
        <f t="shared" si="540"/>
        <v>0</v>
      </c>
      <c r="P466" s="303">
        <f t="shared" si="540"/>
        <v>0</v>
      </c>
      <c r="S466" s="545" t="str">
        <f t="shared" si="541"/>
        <v xml:space="preserve"> </v>
      </c>
      <c r="T466" s="545">
        <f t="shared" si="542"/>
        <v>-1</v>
      </c>
    </row>
    <row r="467" spans="2:20" ht="12.6" customHeight="1" x14ac:dyDescent="0.2">
      <c r="B467" s="56" t="s">
        <v>284</v>
      </c>
      <c r="C467" s="61"/>
      <c r="D467" s="288">
        <f t="shared" ref="D467:I467" si="547">D468-SUM(D462:D466)</f>
        <v>0.69500000000000206</v>
      </c>
      <c r="E467" s="288">
        <f t="shared" si="547"/>
        <v>0.85999999999999943</v>
      </c>
      <c r="F467" s="288">
        <f t="shared" si="547"/>
        <v>1.1223080000000021</v>
      </c>
      <c r="G467" s="288">
        <f t="shared" si="547"/>
        <v>1.2680000000000007</v>
      </c>
      <c r="H467" s="288">
        <f t="shared" si="547"/>
        <v>2.1673659999999995</v>
      </c>
      <c r="I467" s="288">
        <f t="shared" si="547"/>
        <v>2.1879999999999988</v>
      </c>
      <c r="J467" s="288">
        <f>J468-SUM(J462:J466)</f>
        <v>0.58200000000000074</v>
      </c>
      <c r="K467" s="288">
        <f>K468-SUM(K462:K466)</f>
        <v>1.0077010000000008</v>
      </c>
      <c r="L467" s="288">
        <f>L468-SUM(L462:L466)</f>
        <v>1.1909999999999989</v>
      </c>
      <c r="M467" s="303">
        <f t="shared" si="539"/>
        <v>1.2386399999999989</v>
      </c>
      <c r="N467" s="303">
        <f t="shared" si="540"/>
        <v>1.5482999999999985</v>
      </c>
      <c r="O467" s="303">
        <f t="shared" si="540"/>
        <v>1.7031299999999985</v>
      </c>
      <c r="P467" s="303">
        <f t="shared" si="540"/>
        <v>1.7882864999999986</v>
      </c>
      <c r="S467" s="545">
        <f t="shared" si="541"/>
        <v>-2.9140547529152072E-2</v>
      </c>
      <c r="T467" s="545">
        <f t="shared" si="542"/>
        <v>0.20573634501151217</v>
      </c>
    </row>
    <row r="468" spans="2:20" s="38" customFormat="1" ht="12.6" customHeight="1" x14ac:dyDescent="0.2">
      <c r="B468" s="72" t="s">
        <v>551</v>
      </c>
      <c r="C468" s="95"/>
      <c r="D468" s="63">
        <f t="shared" ref="D468:K468" si="548">D4</f>
        <v>9.5350000000000001</v>
      </c>
      <c r="E468" s="63">
        <f t="shared" si="548"/>
        <v>13.05</v>
      </c>
      <c r="F468" s="63">
        <f t="shared" si="548"/>
        <v>10.370318747000001</v>
      </c>
      <c r="G468" s="63">
        <f t="shared" si="548"/>
        <v>9.2379999999999995</v>
      </c>
      <c r="H468" s="63">
        <f t="shared" si="548"/>
        <v>14.019483999999999</v>
      </c>
      <c r="I468" s="63">
        <f t="shared" si="548"/>
        <v>20.237000000000002</v>
      </c>
      <c r="J468" s="63">
        <f t="shared" si="548"/>
        <v>21.51</v>
      </c>
      <c r="K468" s="63">
        <f t="shared" si="548"/>
        <v>19.899999999999999</v>
      </c>
      <c r="L468" s="63">
        <f t="shared" ref="L468" si="549">L4</f>
        <v>20.27</v>
      </c>
      <c r="M468" s="64">
        <f>SUM(M462:M467)</f>
        <v>21.0808</v>
      </c>
      <c r="N468" s="64">
        <f t="shared" ref="N468:P468" si="550">SUM(N462:N467)</f>
        <v>26.303367999999999</v>
      </c>
      <c r="O468" s="64">
        <f t="shared" si="550"/>
        <v>28.933704799999997</v>
      </c>
      <c r="P468" s="64">
        <f t="shared" si="550"/>
        <v>30.380390040000002</v>
      </c>
      <c r="Q468" s="1001"/>
      <c r="S468" s="367">
        <f t="shared" si="541"/>
        <v>0.14521392166572555</v>
      </c>
      <c r="T468" s="545">
        <f t="shared" si="542"/>
        <v>5.9234593209233299E-2</v>
      </c>
    </row>
    <row r="469" spans="2:20" s="38" customFormat="1" ht="12.6" customHeight="1" x14ac:dyDescent="0.2">
      <c r="B469" s="72"/>
      <c r="C469" s="95"/>
      <c r="D469" s="63"/>
      <c r="E469" s="63"/>
      <c r="F469" s="63"/>
      <c r="G469" s="63"/>
      <c r="H469" s="63"/>
      <c r="I469" s="63"/>
      <c r="J469" s="63"/>
      <c r="K469" s="63"/>
      <c r="L469" s="63"/>
      <c r="M469" s="64"/>
      <c r="N469" s="64"/>
      <c r="O469" s="64"/>
      <c r="P469" s="64"/>
    </row>
    <row r="470" spans="2:20" ht="12.6" customHeight="1" x14ac:dyDescent="0.2">
      <c r="B470" s="116" t="s">
        <v>227</v>
      </c>
      <c r="C470" s="61"/>
      <c r="D470" s="63"/>
      <c r="E470" s="63"/>
      <c r="F470" s="63"/>
      <c r="G470" s="63"/>
      <c r="H470" s="63"/>
      <c r="I470" s="63"/>
      <c r="J470" s="63"/>
      <c r="K470" s="63"/>
      <c r="L470" s="63"/>
      <c r="M470" s="68"/>
      <c r="N470" s="68"/>
      <c r="O470" s="68"/>
      <c r="P470" s="68"/>
    </row>
    <row r="471" spans="2:20" ht="12.6" customHeight="1" x14ac:dyDescent="0.2">
      <c r="B471" s="322" t="s">
        <v>279</v>
      </c>
      <c r="C471" s="355"/>
      <c r="D471" s="113"/>
      <c r="E471" s="113">
        <f t="shared" ref="E471:E477" si="551">IFERROR(E462/D462-1,"--")</f>
        <v>42.899999999999991</v>
      </c>
      <c r="F471" s="113">
        <f t="shared" ref="F471:L477" si="552">IFERROR(F462/E462-1,"--")</f>
        <v>-0.91114759407744872</v>
      </c>
      <c r="G471" s="113">
        <f t="shared" si="552"/>
        <v>-1</v>
      </c>
      <c r="H471" s="113" t="str">
        <f t="shared" si="552"/>
        <v>--</v>
      </c>
      <c r="I471" s="113">
        <f t="shared" si="552"/>
        <v>0.27528810475020293</v>
      </c>
      <c r="J471" s="113">
        <f t="shared" si="552"/>
        <v>0.34807692307692295</v>
      </c>
      <c r="K471" s="113">
        <f t="shared" si="552"/>
        <v>-0.12597388346318439</v>
      </c>
      <c r="L471" s="113">
        <f t="shared" si="552"/>
        <v>-3.0759573132454476E-2</v>
      </c>
      <c r="M471" s="356">
        <v>0.04</v>
      </c>
      <c r="N471" s="356">
        <v>0.25</v>
      </c>
      <c r="O471" s="356">
        <v>0.1</v>
      </c>
      <c r="P471" s="356">
        <v>0.05</v>
      </c>
      <c r="Q471" s="196" t="s">
        <v>917</v>
      </c>
    </row>
    <row r="472" spans="2:20" ht="12.6" customHeight="1" x14ac:dyDescent="0.2">
      <c r="B472" s="322" t="s">
        <v>280</v>
      </c>
      <c r="C472" s="355"/>
      <c r="D472" s="113"/>
      <c r="E472" s="113">
        <f t="shared" si="551"/>
        <v>0.16581632653061229</v>
      </c>
      <c r="F472" s="113">
        <f t="shared" si="552"/>
        <v>2.9443482713347846E-2</v>
      </c>
      <c r="G472" s="113">
        <f t="shared" si="552"/>
        <v>-0.27729641595418708</v>
      </c>
      <c r="H472" s="113">
        <f t="shared" si="552"/>
        <v>0.20563882352941176</v>
      </c>
      <c r="I472" s="113">
        <f t="shared" si="552"/>
        <v>-2.4814767470110466E-3</v>
      </c>
      <c r="J472" s="113">
        <f t="shared" si="552"/>
        <v>0.20811934458302761</v>
      </c>
      <c r="K472" s="113">
        <f t="shared" si="552"/>
        <v>3.947348178137644E-2</v>
      </c>
      <c r="L472" s="113">
        <f t="shared" si="552"/>
        <v>-0.14897743894399984</v>
      </c>
      <c r="M472" s="356">
        <v>0.04</v>
      </c>
      <c r="N472" s="356">
        <v>0.25</v>
      </c>
      <c r="O472" s="356">
        <v>0.1</v>
      </c>
      <c r="P472" s="356">
        <v>0.05</v>
      </c>
      <c r="Q472" s="196" t="s">
        <v>917</v>
      </c>
    </row>
    <row r="473" spans="2:20" ht="12.6" customHeight="1" x14ac:dyDescent="0.2">
      <c r="B473" s="322" t="s">
        <v>281</v>
      </c>
      <c r="C473" s="355"/>
      <c r="D473" s="113"/>
      <c r="E473" s="113">
        <f t="shared" si="551"/>
        <v>-0.32848232848232839</v>
      </c>
      <c r="F473" s="113">
        <f t="shared" si="552"/>
        <v>0.27771794705882336</v>
      </c>
      <c r="G473" s="113">
        <f t="shared" si="552"/>
        <v>0.10733412203484827</v>
      </c>
      <c r="H473" s="113">
        <f t="shared" si="552"/>
        <v>-0.46341728665207871</v>
      </c>
      <c r="I473" s="113">
        <f t="shared" si="552"/>
        <v>1.8586773499367708</v>
      </c>
      <c r="J473" s="113">
        <f t="shared" si="552"/>
        <v>-5.2068473609129806E-2</v>
      </c>
      <c r="K473" s="113">
        <f>IFERROR(K464/J464-1,"--")</f>
        <v>-0.1855530474040632</v>
      </c>
      <c r="L473" s="113">
        <f>IFERROR(L464/K464-1,"--")</f>
        <v>0.24907612712490756</v>
      </c>
      <c r="M473" s="356">
        <v>0.04</v>
      </c>
      <c r="N473" s="356">
        <v>0.25</v>
      </c>
      <c r="O473" s="356">
        <v>0.1</v>
      </c>
      <c r="P473" s="356">
        <v>0.05</v>
      </c>
      <c r="Q473" s="196" t="s">
        <v>917</v>
      </c>
    </row>
    <row r="474" spans="2:20" ht="12.6" customHeight="1" x14ac:dyDescent="0.2">
      <c r="B474" s="322" t="s">
        <v>282</v>
      </c>
      <c r="C474" s="355"/>
      <c r="D474" s="113"/>
      <c r="E474" s="113">
        <f t="shared" si="551"/>
        <v>-1</v>
      </c>
      <c r="F474" s="113" t="str">
        <f t="shared" si="552"/>
        <v>--</v>
      </c>
      <c r="G474" s="113">
        <f t="shared" si="552"/>
        <v>-1</v>
      </c>
      <c r="H474" s="113" t="str">
        <f t="shared" si="552"/>
        <v>--</v>
      </c>
      <c r="I474" s="113" t="str">
        <f t="shared" si="552"/>
        <v>--</v>
      </c>
      <c r="J474" s="113">
        <f t="shared" si="552"/>
        <v>0.15789473684210531</v>
      </c>
      <c r="K474" s="113">
        <f>IFERROR(K465/J465-1,"--")</f>
        <v>0.68344090909090927</v>
      </c>
      <c r="L474" s="113">
        <f>IFERROR(L465/K465-1,"--")</f>
        <v>-0.38167767856419632</v>
      </c>
      <c r="M474" s="356">
        <v>0.04</v>
      </c>
      <c r="N474" s="356">
        <v>0.05</v>
      </c>
      <c r="O474" s="356">
        <v>0.1</v>
      </c>
      <c r="P474" s="356">
        <v>0.05</v>
      </c>
      <c r="Q474" s="196" t="s">
        <v>917</v>
      </c>
    </row>
    <row r="475" spans="2:20" ht="12.6" customHeight="1" x14ac:dyDescent="0.2">
      <c r="B475" s="322" t="s">
        <v>283</v>
      </c>
      <c r="C475" s="355"/>
      <c r="D475" s="113"/>
      <c r="E475" s="113" t="str">
        <f t="shared" si="551"/>
        <v>--</v>
      </c>
      <c r="F475" s="113" t="str">
        <f t="shared" si="552"/>
        <v>--</v>
      </c>
      <c r="G475" s="113" t="str">
        <f t="shared" si="552"/>
        <v>--</v>
      </c>
      <c r="H475" s="113" t="str">
        <f t="shared" si="552"/>
        <v>--</v>
      </c>
      <c r="I475" s="113" t="str">
        <f t="shared" si="552"/>
        <v>--</v>
      </c>
      <c r="J475" s="113" t="str">
        <f t="shared" si="552"/>
        <v>--</v>
      </c>
      <c r="K475" s="113">
        <f t="shared" si="552"/>
        <v>-5.6999999999999273E-3</v>
      </c>
      <c r="L475" s="113">
        <f t="shared" si="552"/>
        <v>-1</v>
      </c>
      <c r="M475" s="356">
        <v>0.04</v>
      </c>
      <c r="N475" s="356">
        <v>0.25</v>
      </c>
      <c r="O475" s="356">
        <v>0.1</v>
      </c>
      <c r="P475" s="356">
        <v>0.05</v>
      </c>
      <c r="Q475" s="196" t="s">
        <v>917</v>
      </c>
    </row>
    <row r="476" spans="2:20" ht="12.6" customHeight="1" x14ac:dyDescent="0.2">
      <c r="B476" s="322" t="s">
        <v>284</v>
      </c>
      <c r="C476" s="355"/>
      <c r="D476" s="113"/>
      <c r="E476" s="113">
        <f t="shared" si="551"/>
        <v>0.23741007194244146</v>
      </c>
      <c r="F476" s="113">
        <f t="shared" si="552"/>
        <v>0.30500930232558465</v>
      </c>
      <c r="G476" s="113">
        <f t="shared" si="552"/>
        <v>0.1298146319905038</v>
      </c>
      <c r="H476" s="113">
        <f t="shared" si="552"/>
        <v>0.7092791798107243</v>
      </c>
      <c r="I476" s="113">
        <f t="shared" si="552"/>
        <v>9.5203117516835523E-3</v>
      </c>
      <c r="J476" s="113">
        <f t="shared" si="552"/>
        <v>-0.73400365630712927</v>
      </c>
      <c r="K476" s="113">
        <f t="shared" si="552"/>
        <v>0.73144501718212984</v>
      </c>
      <c r="L476" s="113">
        <f t="shared" si="552"/>
        <v>0.18189820194680562</v>
      </c>
      <c r="M476" s="356">
        <v>0.04</v>
      </c>
      <c r="N476" s="356">
        <v>0.25</v>
      </c>
      <c r="O476" s="356">
        <v>0.1</v>
      </c>
      <c r="P476" s="356">
        <v>0.05</v>
      </c>
      <c r="Q476" s="196" t="s">
        <v>917</v>
      </c>
    </row>
    <row r="477" spans="2:20" s="38" customFormat="1" ht="12.6" customHeight="1" x14ac:dyDescent="0.2">
      <c r="B477" s="331" t="s">
        <v>551</v>
      </c>
      <c r="C477" s="358"/>
      <c r="D477" s="117"/>
      <c r="E477" s="117">
        <f t="shared" si="551"/>
        <v>0.36864184583114845</v>
      </c>
      <c r="F477" s="117">
        <f t="shared" si="552"/>
        <v>-0.20533955961685824</v>
      </c>
      <c r="G477" s="117">
        <f t="shared" si="552"/>
        <v>-0.10918842271145868</v>
      </c>
      <c r="H477" s="117">
        <f t="shared" si="552"/>
        <v>0.51758865555314992</v>
      </c>
      <c r="I477" s="117">
        <f t="shared" si="552"/>
        <v>0.44349107285261025</v>
      </c>
      <c r="J477" s="117">
        <f t="shared" si="552"/>
        <v>6.2904580718485814E-2</v>
      </c>
      <c r="K477" s="117">
        <f t="shared" si="552"/>
        <v>-7.4848907484890925E-2</v>
      </c>
      <c r="L477" s="117">
        <f t="shared" si="552"/>
        <v>1.8592964824120761E-2</v>
      </c>
      <c r="M477" s="204">
        <f t="shared" ref="M477:P477" si="553">IFERROR(M468/L468-1,"--")</f>
        <v>4.0000000000000036E-2</v>
      </c>
      <c r="N477" s="204">
        <f t="shared" si="553"/>
        <v>0.24774050320670948</v>
      </c>
      <c r="O477" s="204">
        <f t="shared" si="553"/>
        <v>9.9999999999999867E-2</v>
      </c>
      <c r="P477" s="204">
        <f t="shared" si="553"/>
        <v>5.0000000000000044E-2</v>
      </c>
    </row>
    <row r="478" spans="2:20" ht="12.6" customHeight="1" x14ac:dyDescent="0.2">
      <c r="B478" s="201"/>
      <c r="C478" s="326"/>
      <c r="D478" s="335"/>
      <c r="E478" s="335"/>
      <c r="F478" s="335"/>
      <c r="G478" s="335"/>
      <c r="H478" s="335"/>
      <c r="I478" s="335"/>
      <c r="J478" s="335"/>
      <c r="K478" s="335"/>
      <c r="L478" s="335"/>
      <c r="M478" s="357"/>
      <c r="N478" s="357"/>
      <c r="O478" s="357"/>
      <c r="P478" s="357"/>
    </row>
    <row r="479" spans="2:20" ht="12.6" customHeight="1" x14ac:dyDescent="0.2">
      <c r="B479" s="331" t="s">
        <v>287</v>
      </c>
      <c r="C479" s="326"/>
      <c r="D479" s="335"/>
      <c r="E479" s="335"/>
      <c r="F479" s="335"/>
      <c r="G479" s="335"/>
      <c r="H479" s="335"/>
      <c r="I479" s="335"/>
      <c r="J479" s="335"/>
      <c r="K479" s="335"/>
      <c r="L479" s="335"/>
      <c r="M479" s="357"/>
      <c r="N479" s="357"/>
      <c r="O479" s="357"/>
      <c r="P479" s="357"/>
    </row>
    <row r="480" spans="2:20" ht="12.6" customHeight="1" x14ac:dyDescent="0.2">
      <c r="B480" s="322" t="s">
        <v>279</v>
      </c>
      <c r="C480" s="326"/>
      <c r="D480" s="113">
        <f t="shared" ref="D480:I486" si="554">D462/D$468</f>
        <v>1.048767697954903E-2</v>
      </c>
      <c r="E480" s="113">
        <f t="shared" si="554"/>
        <v>0.33639846743295015</v>
      </c>
      <c r="F480" s="113">
        <f t="shared" si="554"/>
        <v>3.7613314645014162E-2</v>
      </c>
      <c r="G480" s="113">
        <f t="shared" si="554"/>
        <v>0</v>
      </c>
      <c r="H480" s="113">
        <f t="shared" si="554"/>
        <v>0.37809972178719276</v>
      </c>
      <c r="I480" s="113">
        <f t="shared" si="554"/>
        <v>0.33404160695755297</v>
      </c>
      <c r="J480" s="113">
        <f>J462/J$468</f>
        <v>0.4236634123663412</v>
      </c>
      <c r="K480" s="113">
        <f t="shared" ref="K480:P480" si="555">K462/K$468</f>
        <v>0.40025125628140706</v>
      </c>
      <c r="L480" s="113">
        <f t="shared" ref="L480" si="556">L462/L$468</f>
        <v>0.38085841144548593</v>
      </c>
      <c r="M480" s="197">
        <f t="shared" si="555"/>
        <v>0.38085841144548593</v>
      </c>
      <c r="N480" s="197">
        <f t="shared" si="555"/>
        <v>0.38154809680646229</v>
      </c>
      <c r="O480" s="197">
        <f t="shared" si="555"/>
        <v>0.38154809680646229</v>
      </c>
      <c r="P480" s="197">
        <f t="shared" si="555"/>
        <v>0.38154809680646223</v>
      </c>
    </row>
    <row r="481" spans="2:22" ht="12.6" customHeight="1" x14ac:dyDescent="0.2">
      <c r="B481" s="322" t="s">
        <v>280</v>
      </c>
      <c r="C481" s="326"/>
      <c r="D481" s="113">
        <f t="shared" ref="D481:P481" si="557">D463/D$468</f>
        <v>0.41111693759832196</v>
      </c>
      <c r="E481" s="113">
        <f t="shared" si="554"/>
        <v>0.35019157088122604</v>
      </c>
      <c r="F481" s="113">
        <f t="shared" si="557"/>
        <v>0.45365594161326694</v>
      </c>
      <c r="G481" s="113">
        <f t="shared" si="557"/>
        <v>0.36804503139207617</v>
      </c>
      <c r="H481" s="113">
        <f t="shared" si="557"/>
        <v>0.29239107516367935</v>
      </c>
      <c r="I481" s="113">
        <f t="shared" si="557"/>
        <v>0.20205564065820034</v>
      </c>
      <c r="J481" s="113">
        <f t="shared" si="557"/>
        <v>0.22966062296606229</v>
      </c>
      <c r="K481" s="113">
        <f t="shared" si="557"/>
        <v>0.2580401507537689</v>
      </c>
      <c r="L481" s="113">
        <f t="shared" ref="L481" si="558">L463/L$468</f>
        <v>0.2155895411938826</v>
      </c>
      <c r="M481" s="197">
        <f t="shared" si="557"/>
        <v>0.2155895411938826</v>
      </c>
      <c r="N481" s="197">
        <f t="shared" si="557"/>
        <v>0.21597994599018655</v>
      </c>
      <c r="O481" s="197">
        <f t="shared" si="557"/>
        <v>0.21597994599018658</v>
      </c>
      <c r="P481" s="197">
        <f t="shared" si="557"/>
        <v>0.21597994599018652</v>
      </c>
    </row>
    <row r="482" spans="2:22" ht="12.6" customHeight="1" x14ac:dyDescent="0.2">
      <c r="B482" s="322" t="s">
        <v>281</v>
      </c>
      <c r="C482" s="326"/>
      <c r="D482" s="113">
        <f t="shared" ref="D482:P482" si="559">D464/D$468</f>
        <v>0.50445726271630831</v>
      </c>
      <c r="E482" s="113">
        <f t="shared" si="554"/>
        <v>0.24750957854406128</v>
      </c>
      <c r="F482" s="113">
        <f t="shared" si="559"/>
        <v>0.39796548878441135</v>
      </c>
      <c r="G482" s="113">
        <f t="shared" si="559"/>
        <v>0.49469582160640829</v>
      </c>
      <c r="H482" s="113">
        <f t="shared" si="559"/>
        <v>0.1749125003459471</v>
      </c>
      <c r="I482" s="113">
        <f t="shared" si="559"/>
        <v>0.34639521668231454</v>
      </c>
      <c r="J482" s="113">
        <f t="shared" si="559"/>
        <v>0.30892608089260803</v>
      </c>
      <c r="K482" s="113">
        <f t="shared" si="559"/>
        <v>0.27195979899497491</v>
      </c>
      <c r="L482" s="113">
        <f t="shared" ref="L482" si="560">L464/L$468</f>
        <v>0.33349777997039959</v>
      </c>
      <c r="M482" s="197">
        <f t="shared" si="559"/>
        <v>0.33349777997039959</v>
      </c>
      <c r="N482" s="197">
        <f t="shared" si="559"/>
        <v>0.33410170134866379</v>
      </c>
      <c r="O482" s="197">
        <f t="shared" si="559"/>
        <v>0.33410170134866385</v>
      </c>
      <c r="P482" s="197">
        <f t="shared" si="559"/>
        <v>0.33410170134866379</v>
      </c>
    </row>
    <row r="483" spans="2:22" ht="12.6" customHeight="1" x14ac:dyDescent="0.2">
      <c r="B483" s="322" t="s">
        <v>282</v>
      </c>
      <c r="C483" s="326"/>
      <c r="D483" s="113">
        <f t="shared" ref="D483:P483" si="561">D465/D$468</f>
        <v>1.048767697954903E-3</v>
      </c>
      <c r="E483" s="113">
        <f t="shared" si="554"/>
        <v>0</v>
      </c>
      <c r="F483" s="113">
        <f t="shared" si="561"/>
        <v>2.5421590833576333E-3</v>
      </c>
      <c r="G483" s="113">
        <f t="shared" si="561"/>
        <v>0</v>
      </c>
      <c r="H483" s="113">
        <f t="shared" si="561"/>
        <v>0</v>
      </c>
      <c r="I483" s="113">
        <f t="shared" si="561"/>
        <v>9.3887433908187972E-3</v>
      </c>
      <c r="J483" s="113">
        <f t="shared" si="561"/>
        <v>1.0227801022780102E-2</v>
      </c>
      <c r="K483" s="113">
        <f t="shared" si="561"/>
        <v>1.8610904522613068E-2</v>
      </c>
      <c r="L483" s="113">
        <f t="shared" ref="L483" si="562">L465/L$468</f>
        <v>1.1297483966452885E-2</v>
      </c>
      <c r="M483" s="197">
        <f t="shared" si="561"/>
        <v>1.1297483966452885E-2</v>
      </c>
      <c r="N483" s="197">
        <f t="shared" si="561"/>
        <v>9.5070714898563575E-3</v>
      </c>
      <c r="O483" s="197">
        <f t="shared" si="561"/>
        <v>9.5070714898563592E-3</v>
      </c>
      <c r="P483" s="197">
        <f t="shared" si="561"/>
        <v>9.5070714898563575E-3</v>
      </c>
    </row>
    <row r="484" spans="2:22" ht="12.6" customHeight="1" x14ac:dyDescent="0.2">
      <c r="B484" s="322" t="s">
        <v>283</v>
      </c>
      <c r="C484" s="326"/>
      <c r="D484" s="113">
        <f t="shared" ref="D484:P484" si="563">D466/D$468</f>
        <v>0</v>
      </c>
      <c r="E484" s="113">
        <f t="shared" si="554"/>
        <v>0</v>
      </c>
      <c r="F484" s="113">
        <f t="shared" si="563"/>
        <v>0</v>
      </c>
      <c r="G484" s="113">
        <f t="shared" si="563"/>
        <v>0</v>
      </c>
      <c r="H484" s="113">
        <f t="shared" si="563"/>
        <v>0</v>
      </c>
      <c r="I484" s="113">
        <f t="shared" si="563"/>
        <v>0</v>
      </c>
      <c r="J484" s="113">
        <f t="shared" si="563"/>
        <v>4.6490004649000463E-4</v>
      </c>
      <c r="K484" s="113">
        <f t="shared" si="563"/>
        <v>4.9964824120603019E-4</v>
      </c>
      <c r="L484" s="113">
        <f t="shared" ref="L484" si="564">L466/L$468</f>
        <v>0</v>
      </c>
      <c r="M484" s="197">
        <f t="shared" si="563"/>
        <v>0</v>
      </c>
      <c r="N484" s="197">
        <f t="shared" si="563"/>
        <v>0</v>
      </c>
      <c r="O484" s="197">
        <f t="shared" si="563"/>
        <v>0</v>
      </c>
      <c r="P484" s="197">
        <f t="shared" si="563"/>
        <v>0</v>
      </c>
    </row>
    <row r="485" spans="2:22" ht="12.6" customHeight="1" x14ac:dyDescent="0.2">
      <c r="B485" s="322" t="s">
        <v>284</v>
      </c>
      <c r="C485" s="326"/>
      <c r="D485" s="113">
        <f t="shared" ref="D485:P485" si="565">D467/D$468</f>
        <v>7.2889355007865975E-2</v>
      </c>
      <c r="E485" s="113">
        <f t="shared" si="554"/>
        <v>6.59003831417624E-2</v>
      </c>
      <c r="F485" s="113">
        <f t="shared" si="565"/>
        <v>0.10822309587395</v>
      </c>
      <c r="G485" s="113">
        <f t="shared" si="565"/>
        <v>0.13725914700151556</v>
      </c>
      <c r="H485" s="113">
        <f t="shared" si="565"/>
        <v>0.15459670270318077</v>
      </c>
      <c r="I485" s="113">
        <f t="shared" si="565"/>
        <v>0.10811879231111324</v>
      </c>
      <c r="J485" s="113">
        <f t="shared" si="565"/>
        <v>2.7057182705718302E-2</v>
      </c>
      <c r="K485" s="113">
        <f t="shared" si="565"/>
        <v>5.06382412060302E-2</v>
      </c>
      <c r="L485" s="113">
        <f t="shared" ref="L485" si="566">L467/L$468</f>
        <v>5.8756783423778935E-2</v>
      </c>
      <c r="M485" s="197">
        <f t="shared" si="565"/>
        <v>5.8756783423778929E-2</v>
      </c>
      <c r="N485" s="197">
        <f t="shared" si="565"/>
        <v>5.8863184364831095E-2</v>
      </c>
      <c r="O485" s="197">
        <f t="shared" si="565"/>
        <v>5.8863184364831102E-2</v>
      </c>
      <c r="P485" s="197">
        <f t="shared" si="565"/>
        <v>5.8863184364831102E-2</v>
      </c>
    </row>
    <row r="486" spans="2:22" s="38" customFormat="1" ht="12.6" customHeight="1" x14ac:dyDescent="0.2">
      <c r="B486" s="359"/>
      <c r="C486" s="327"/>
      <c r="D486" s="117">
        <f t="shared" ref="D486:P486" si="567">D468/D$468</f>
        <v>1</v>
      </c>
      <c r="E486" s="117">
        <f t="shared" si="554"/>
        <v>1</v>
      </c>
      <c r="F486" s="117">
        <f t="shared" si="567"/>
        <v>1</v>
      </c>
      <c r="G486" s="117">
        <f t="shared" si="567"/>
        <v>1</v>
      </c>
      <c r="H486" s="117">
        <f t="shared" si="567"/>
        <v>1</v>
      </c>
      <c r="I486" s="117">
        <f t="shared" si="567"/>
        <v>1</v>
      </c>
      <c r="J486" s="117">
        <f t="shared" si="567"/>
        <v>1</v>
      </c>
      <c r="K486" s="117">
        <f t="shared" si="567"/>
        <v>1</v>
      </c>
      <c r="L486" s="117">
        <f t="shared" ref="L486" si="568">L468/L$468</f>
        <v>1</v>
      </c>
      <c r="M486" s="204">
        <f t="shared" si="567"/>
        <v>1</v>
      </c>
      <c r="N486" s="204">
        <f t="shared" si="567"/>
        <v>1</v>
      </c>
      <c r="O486" s="204">
        <f t="shared" si="567"/>
        <v>1</v>
      </c>
      <c r="P486" s="204">
        <f t="shared" si="567"/>
        <v>1</v>
      </c>
      <c r="S486" s="840"/>
      <c r="T486" s="1080" t="s">
        <v>348</v>
      </c>
      <c r="U486" s="1080" t="s">
        <v>874</v>
      </c>
      <c r="V486" s="1080"/>
    </row>
    <row r="487" spans="2:22" ht="12.6" customHeight="1" x14ac:dyDescent="0.2">
      <c r="B487" s="56"/>
      <c r="C487" s="61"/>
      <c r="D487" s="57"/>
      <c r="E487" s="57"/>
      <c r="F487" s="57"/>
      <c r="G487" s="57"/>
      <c r="H487" s="57"/>
      <c r="I487" s="57"/>
      <c r="J487" s="57"/>
      <c r="K487" s="57"/>
      <c r="L487" s="57"/>
      <c r="M487" s="68"/>
      <c r="N487" s="68"/>
      <c r="O487" s="68"/>
      <c r="P487" s="68"/>
      <c r="S487" s="362" t="s">
        <v>3</v>
      </c>
      <c r="T487" s="1039">
        <f>L488</f>
        <v>17.811</v>
      </c>
      <c r="U487" s="1039">
        <f>P488</f>
        <v>24.264444327260783</v>
      </c>
      <c r="V487" s="1039">
        <f>U487-T487</f>
        <v>6.4534443272607831</v>
      </c>
    </row>
    <row r="488" spans="2:22" ht="12.6" customHeight="1" x14ac:dyDescent="0.2">
      <c r="B488" s="56" t="s">
        <v>563</v>
      </c>
      <c r="C488" s="61"/>
      <c r="D488" s="57">
        <f t="shared" ref="D488:I488" si="569">D468-D489</f>
        <v>7.68</v>
      </c>
      <c r="E488" s="57">
        <f t="shared" si="569"/>
        <v>10.91</v>
      </c>
      <c r="F488" s="57">
        <f t="shared" si="569"/>
        <v>8.0825832569999996</v>
      </c>
      <c r="G488" s="57">
        <f t="shared" si="569"/>
        <v>6.77</v>
      </c>
      <c r="H488" s="57">
        <f t="shared" si="569"/>
        <v>10.117467999999999</v>
      </c>
      <c r="I488" s="57">
        <f t="shared" si="569"/>
        <v>16.814</v>
      </c>
      <c r="J488" s="57">
        <f>J468-J489</f>
        <v>19.270000000000003</v>
      </c>
      <c r="K488" s="57">
        <f>K468-K489</f>
        <v>17.659999999999997</v>
      </c>
      <c r="L488" s="57">
        <f>L468-L489</f>
        <v>17.811</v>
      </c>
      <c r="M488" s="68">
        <f t="shared" ref="M488:P488" si="570">M468-M489</f>
        <v>18.101824000000001</v>
      </c>
      <c r="N488" s="68">
        <f t="shared" si="570"/>
        <v>22.06031162671929</v>
      </c>
      <c r="O488" s="68">
        <f t="shared" si="570"/>
        <v>23.687668693391217</v>
      </c>
      <c r="P488" s="68">
        <f t="shared" si="570"/>
        <v>24.264444327260783</v>
      </c>
      <c r="S488" s="362" t="s">
        <v>1830</v>
      </c>
      <c r="T488" s="1039">
        <f>L571</f>
        <v>24.530999999999999</v>
      </c>
      <c r="U488" s="1039">
        <f>P571</f>
        <v>35.750079600000007</v>
      </c>
      <c r="V488" s="1039">
        <f t="shared" ref="V488:V489" si="571">U488-T488</f>
        <v>11.219079600000008</v>
      </c>
    </row>
    <row r="489" spans="2:22" ht="12.6" customHeight="1" x14ac:dyDescent="0.2">
      <c r="B489" s="56" t="s">
        <v>299</v>
      </c>
      <c r="C489" s="61"/>
      <c r="D489" s="57">
        <v>1.8550000000000002</v>
      </c>
      <c r="E489" s="57">
        <v>2.1399999999999997</v>
      </c>
      <c r="F489" s="57">
        <v>2.2877354900000006</v>
      </c>
      <c r="G489" s="57">
        <v>2.468</v>
      </c>
      <c r="H489" s="57">
        <v>3.9020159999999993</v>
      </c>
      <c r="I489" s="57">
        <v>3.423</v>
      </c>
      <c r="J489" s="57">
        <v>2.2400000000000002</v>
      </c>
      <c r="K489" s="57">
        <v>2.2400000000000002</v>
      </c>
      <c r="L489" s="57">
        <v>2.4590000000000001</v>
      </c>
      <c r="M489" s="68">
        <f t="shared" ref="M489:P489" si="572">M499*M468</f>
        <v>2.9789759999999998</v>
      </c>
      <c r="N489" s="68">
        <f t="shared" si="572"/>
        <v>4.2430563732807105</v>
      </c>
      <c r="O489" s="68">
        <f t="shared" si="572"/>
        <v>5.2460361066087806</v>
      </c>
      <c r="P489" s="68">
        <f t="shared" si="572"/>
        <v>6.1159457127392205</v>
      </c>
      <c r="S489" s="362" t="s">
        <v>558</v>
      </c>
      <c r="T489" s="1039">
        <f>L1257</f>
        <v>0</v>
      </c>
      <c r="U489" s="1039">
        <f>P1257</f>
        <v>15.75</v>
      </c>
      <c r="V489" s="1039">
        <f t="shared" si="571"/>
        <v>15.75</v>
      </c>
    </row>
    <row r="490" spans="2:22" ht="12.6" customHeight="1" x14ac:dyDescent="0.2">
      <c r="B490" s="72" t="s">
        <v>551</v>
      </c>
      <c r="C490" s="61"/>
      <c r="D490" s="63">
        <f>SUM(D488:D489)</f>
        <v>9.5350000000000001</v>
      </c>
      <c r="E490" s="63">
        <f t="shared" ref="E490" si="573">SUM(E488:E489)</f>
        <v>13.05</v>
      </c>
      <c r="F490" s="63">
        <f t="shared" ref="F490:P490" si="574">SUM(F488:F489)</f>
        <v>10.370318747000001</v>
      </c>
      <c r="G490" s="63">
        <f t="shared" si="574"/>
        <v>9.2379999999999995</v>
      </c>
      <c r="H490" s="63">
        <f t="shared" si="574"/>
        <v>14.019483999999999</v>
      </c>
      <c r="I490" s="63">
        <f t="shared" si="574"/>
        <v>20.237000000000002</v>
      </c>
      <c r="J490" s="63">
        <f t="shared" si="574"/>
        <v>21.510000000000005</v>
      </c>
      <c r="K490" s="63">
        <f t="shared" ref="K490:L490" si="575">SUM(K488:K489)</f>
        <v>19.899999999999999</v>
      </c>
      <c r="L490" s="63">
        <f t="shared" si="575"/>
        <v>20.27</v>
      </c>
      <c r="M490" s="76">
        <f t="shared" si="574"/>
        <v>21.0808</v>
      </c>
      <c r="N490" s="64">
        <f t="shared" si="574"/>
        <v>26.303367999999999</v>
      </c>
      <c r="O490" s="64">
        <f t="shared" si="574"/>
        <v>28.933704799999997</v>
      </c>
      <c r="P490" s="64">
        <f t="shared" si="574"/>
        <v>30.380390040000002</v>
      </c>
      <c r="S490" s="362"/>
      <c r="T490" s="1039"/>
      <c r="U490" s="1039"/>
      <c r="V490" s="1080">
        <f>SUM(V487:V489)</f>
        <v>33.422523927260791</v>
      </c>
    </row>
    <row r="491" spans="2:22" ht="12.6" customHeight="1" x14ac:dyDescent="0.2">
      <c r="B491" s="72"/>
      <c r="C491" s="61"/>
      <c r="D491" s="63"/>
      <c r="E491" s="63"/>
      <c r="F491" s="63"/>
      <c r="G491" s="63"/>
      <c r="H491" s="63"/>
      <c r="I491" s="63"/>
      <c r="J491" s="63"/>
      <c r="K491" s="63"/>
      <c r="L491" s="63"/>
      <c r="M491" s="64"/>
      <c r="N491" s="64"/>
      <c r="O491" s="64"/>
      <c r="P491" s="64"/>
    </row>
    <row r="492" spans="2:22" ht="12.6" customHeight="1" x14ac:dyDescent="0.2">
      <c r="B492" s="331" t="s">
        <v>227</v>
      </c>
      <c r="C492" s="326"/>
      <c r="D492" s="335"/>
      <c r="E492" s="335"/>
      <c r="F492" s="335"/>
      <c r="G492" s="335"/>
      <c r="H492" s="335"/>
      <c r="I492" s="335"/>
      <c r="J492" s="335"/>
      <c r="K492" s="335"/>
      <c r="L492" s="335"/>
      <c r="M492" s="336"/>
      <c r="N492" s="336"/>
      <c r="O492" s="336"/>
      <c r="P492" s="336"/>
    </row>
    <row r="493" spans="2:22" ht="12.6" customHeight="1" x14ac:dyDescent="0.2">
      <c r="B493" s="322" t="s">
        <v>563</v>
      </c>
      <c r="C493" s="326"/>
      <c r="D493" s="113"/>
      <c r="E493" s="113">
        <f t="shared" ref="E493:E495" si="576">IFERROR(E488/D488-1,"--")</f>
        <v>0.42057291666666674</v>
      </c>
      <c r="F493" s="113">
        <f t="shared" ref="F493:J493" si="577">IFERROR(F488/E488-1,"--")</f>
        <v>-0.25915827158570126</v>
      </c>
      <c r="G493" s="113">
        <f t="shared" si="577"/>
        <v>-0.16239650310601184</v>
      </c>
      <c r="H493" s="113">
        <f t="shared" si="577"/>
        <v>0.49445612998522881</v>
      </c>
      <c r="I493" s="113">
        <f t="shared" si="577"/>
        <v>0.66187824858946942</v>
      </c>
      <c r="J493" s="113">
        <f t="shared" si="577"/>
        <v>0.14606875223028437</v>
      </c>
      <c r="K493" s="113">
        <f t="shared" ref="K493:L495" si="578">IFERROR(K488/J488-1,"--")</f>
        <v>-8.3549558899844611E-2</v>
      </c>
      <c r="L493" s="113">
        <f t="shared" si="578"/>
        <v>8.5503963759911983E-3</v>
      </c>
      <c r="M493" s="197">
        <f t="shared" ref="M493:P493" si="579">IFERROR(M488/L488-1,"--")</f>
        <v>1.6328336421312706E-2</v>
      </c>
      <c r="N493" s="197">
        <f t="shared" si="579"/>
        <v>0.21867893681428408</v>
      </c>
      <c r="O493" s="197">
        <f t="shared" si="579"/>
        <v>7.3768543899483507E-2</v>
      </c>
      <c r="P493" s="197">
        <f t="shared" si="579"/>
        <v>2.4349193723335327E-2</v>
      </c>
    </row>
    <row r="494" spans="2:22" ht="12.6" customHeight="1" x14ac:dyDescent="0.2">
      <c r="B494" s="322" t="s">
        <v>299</v>
      </c>
      <c r="C494" s="326"/>
      <c r="D494" s="113"/>
      <c r="E494" s="113">
        <f t="shared" si="576"/>
        <v>0.15363881401617219</v>
      </c>
      <c r="F494" s="113">
        <f t="shared" ref="F494:P494" si="580">IFERROR(F489/E489-1,"--")</f>
        <v>6.903527570093515E-2</v>
      </c>
      <c r="G494" s="113">
        <f t="shared" si="580"/>
        <v>7.879604560403064E-2</v>
      </c>
      <c r="H494" s="113">
        <f t="shared" si="580"/>
        <v>0.58104376012965941</v>
      </c>
      <c r="I494" s="113">
        <f t="shared" si="580"/>
        <v>-0.12276115730945214</v>
      </c>
      <c r="J494" s="113">
        <f t="shared" si="580"/>
        <v>-0.34560327198364005</v>
      </c>
      <c r="K494" s="113">
        <f t="shared" si="578"/>
        <v>0</v>
      </c>
      <c r="L494" s="113">
        <f t="shared" si="578"/>
        <v>9.7767857142857073E-2</v>
      </c>
      <c r="M494" s="197">
        <f t="shared" si="580"/>
        <v>0.21145831638877577</v>
      </c>
      <c r="N494" s="197">
        <f t="shared" si="580"/>
        <v>0.4243338560903851</v>
      </c>
      <c r="O494" s="197">
        <f t="shared" si="580"/>
        <v>0.23638143005688406</v>
      </c>
      <c r="P494" s="197">
        <f t="shared" si="580"/>
        <v>0.16582226817588186</v>
      </c>
    </row>
    <row r="495" spans="2:22" s="38" customFormat="1" ht="12.6" customHeight="1" x14ac:dyDescent="0.2">
      <c r="B495" s="331" t="s">
        <v>551</v>
      </c>
      <c r="C495" s="327"/>
      <c r="D495" s="117"/>
      <c r="E495" s="117">
        <f t="shared" si="576"/>
        <v>0.36864184583114845</v>
      </c>
      <c r="F495" s="117">
        <f t="shared" ref="F495:P495" si="581">IFERROR(F490/E490-1,"--")</f>
        <v>-0.20533955961685824</v>
      </c>
      <c r="G495" s="117">
        <f t="shared" si="581"/>
        <v>-0.10918842271145868</v>
      </c>
      <c r="H495" s="117">
        <f t="shared" si="581"/>
        <v>0.51758865555314992</v>
      </c>
      <c r="I495" s="117">
        <f t="shared" si="581"/>
        <v>0.44349107285261025</v>
      </c>
      <c r="J495" s="117">
        <f t="shared" si="581"/>
        <v>6.2904580718486036E-2</v>
      </c>
      <c r="K495" s="117">
        <f t="shared" si="578"/>
        <v>-7.4848907484891036E-2</v>
      </c>
      <c r="L495" s="117">
        <f t="shared" si="578"/>
        <v>1.8592964824120761E-2</v>
      </c>
      <c r="M495" s="204">
        <f t="shared" si="581"/>
        <v>4.0000000000000036E-2</v>
      </c>
      <c r="N495" s="204">
        <f t="shared" si="581"/>
        <v>0.24774050320670948</v>
      </c>
      <c r="O495" s="204">
        <f t="shared" si="581"/>
        <v>9.9999999999999867E-2</v>
      </c>
      <c r="P495" s="204">
        <f t="shared" si="581"/>
        <v>5.0000000000000044E-2</v>
      </c>
    </row>
    <row r="496" spans="2:22" ht="12.6" customHeight="1" x14ac:dyDescent="0.2">
      <c r="B496" s="331"/>
      <c r="C496" s="326"/>
      <c r="D496" s="335"/>
      <c r="E496" s="335"/>
      <c r="F496" s="335"/>
      <c r="G496" s="335"/>
      <c r="H496" s="335"/>
      <c r="I496" s="335"/>
      <c r="J496" s="335"/>
      <c r="K496" s="335"/>
      <c r="L496" s="335"/>
      <c r="M496" s="336"/>
      <c r="N496" s="336"/>
      <c r="O496" s="336"/>
      <c r="P496" s="336"/>
    </row>
    <row r="497" spans="2:16" ht="12.6" customHeight="1" x14ac:dyDescent="0.2">
      <c r="B497" s="331" t="s">
        <v>287</v>
      </c>
      <c r="C497" s="326"/>
      <c r="D497" s="335"/>
      <c r="E497" s="335"/>
      <c r="F497" s="335"/>
      <c r="G497" s="335"/>
      <c r="H497" s="335"/>
      <c r="I497" s="335"/>
      <c r="J497" s="335"/>
      <c r="K497" s="335"/>
      <c r="L497" s="335"/>
      <c r="M497" s="336"/>
      <c r="N497" s="336"/>
      <c r="O497" s="336"/>
      <c r="P497" s="336"/>
    </row>
    <row r="498" spans="2:16" ht="12.6" customHeight="1" x14ac:dyDescent="0.2">
      <c r="B498" s="322" t="s">
        <v>563</v>
      </c>
      <c r="C498" s="326"/>
      <c r="D498" s="113">
        <f t="shared" ref="D498:I498" si="582">1-D499</f>
        <v>0.80545359202936551</v>
      </c>
      <c r="E498" s="113">
        <f t="shared" si="582"/>
        <v>0.83601532567049808</v>
      </c>
      <c r="F498" s="113">
        <f t="shared" si="582"/>
        <v>0.77939583673242319</v>
      </c>
      <c r="G498" s="113">
        <f t="shared" si="582"/>
        <v>0.7328426066248106</v>
      </c>
      <c r="H498" s="113">
        <f t="shared" si="582"/>
        <v>0.72167192458723872</v>
      </c>
      <c r="I498" s="113">
        <f t="shared" si="582"/>
        <v>0.83085437564856446</v>
      </c>
      <c r="J498" s="113">
        <f>1-J499</f>
        <v>0.89586238958623898</v>
      </c>
      <c r="K498" s="113">
        <f>1-K499</f>
        <v>0.88743718592964826</v>
      </c>
      <c r="L498" s="113">
        <f>1-L499</f>
        <v>0.87868771583621119</v>
      </c>
      <c r="M498" s="197">
        <f t="shared" ref="M498:P498" si="583">1-M499</f>
        <v>0.85868771583621117</v>
      </c>
      <c r="N498" s="197">
        <f t="shared" si="583"/>
        <v>0.83868771583621116</v>
      </c>
      <c r="O498" s="197">
        <f t="shared" si="583"/>
        <v>0.81868771583621114</v>
      </c>
      <c r="P498" s="197">
        <f t="shared" si="583"/>
        <v>0.79868771583621112</v>
      </c>
    </row>
    <row r="499" spans="2:16" s="38" customFormat="1" ht="12.6" customHeight="1" x14ac:dyDescent="0.2">
      <c r="B499" s="359" t="s">
        <v>299</v>
      </c>
      <c r="C499" s="327"/>
      <c r="D499" s="117">
        <f>D489/D490</f>
        <v>0.19454640797063452</v>
      </c>
      <c r="E499" s="117">
        <f t="shared" ref="E499" si="584">E489/E490</f>
        <v>0.16398467432950189</v>
      </c>
      <c r="F499" s="117">
        <f t="shared" ref="F499:J499" si="585">F489/F490</f>
        <v>0.22060416326757681</v>
      </c>
      <c r="G499" s="117">
        <f t="shared" si="585"/>
        <v>0.26715739337518946</v>
      </c>
      <c r="H499" s="117">
        <f t="shared" si="585"/>
        <v>0.27832807541276122</v>
      </c>
      <c r="I499" s="117">
        <f t="shared" si="585"/>
        <v>0.16914562435143549</v>
      </c>
      <c r="J499" s="117">
        <f t="shared" si="585"/>
        <v>0.10413761041376103</v>
      </c>
      <c r="K499" s="117">
        <f t="shared" ref="K499:L499" si="586">K489/K490</f>
        <v>0.11256281407035178</v>
      </c>
      <c r="L499" s="117">
        <f t="shared" si="586"/>
        <v>0.12131228416378885</v>
      </c>
      <c r="M499" s="360">
        <f>L499+2%</f>
        <v>0.14131228416378885</v>
      </c>
      <c r="N499" s="360">
        <f>M499+2%</f>
        <v>0.16131228416378884</v>
      </c>
      <c r="O499" s="360">
        <f>N499+2%</f>
        <v>0.18131228416378883</v>
      </c>
      <c r="P499" s="360">
        <f>O499+2%</f>
        <v>0.20131228416378882</v>
      </c>
    </row>
    <row r="500" spans="2:16" ht="12.6" customHeight="1" x14ac:dyDescent="0.2">
      <c r="B500" s="116" t="s">
        <v>551</v>
      </c>
      <c r="C500" s="61"/>
      <c r="D500" s="63"/>
      <c r="E500" s="63"/>
      <c r="F500" s="63"/>
      <c r="G500" s="63"/>
      <c r="H500" s="63"/>
      <c r="I500" s="63"/>
      <c r="J500" s="63"/>
      <c r="K500" s="63"/>
      <c r="L500" s="63"/>
      <c r="M500" s="64"/>
      <c r="N500" s="64"/>
      <c r="O500" s="64"/>
      <c r="P500" s="64"/>
    </row>
    <row r="501" spans="2:16" ht="12.6" customHeight="1" x14ac:dyDescent="0.2">
      <c r="B501" s="59"/>
      <c r="C501" s="61"/>
      <c r="D501" s="63"/>
      <c r="E501" s="63"/>
      <c r="F501" s="63"/>
      <c r="G501" s="63"/>
      <c r="H501" s="63"/>
      <c r="I501" s="63"/>
      <c r="J501" s="63"/>
      <c r="K501" s="63"/>
      <c r="L501" s="63"/>
      <c r="M501" s="68"/>
      <c r="N501" s="68"/>
      <c r="O501" s="68"/>
      <c r="P501" s="68"/>
    </row>
    <row r="502" spans="2:16" ht="12.6" customHeight="1" x14ac:dyDescent="0.2">
      <c r="B502" s="72" t="s">
        <v>550</v>
      </c>
      <c r="C502" s="61"/>
      <c r="D502" s="288"/>
      <c r="E502" s="288"/>
      <c r="F502" s="288"/>
      <c r="G502" s="288"/>
      <c r="H502" s="288"/>
      <c r="I502" s="288"/>
      <c r="J502" s="288"/>
      <c r="K502" s="288"/>
      <c r="L502" s="288"/>
      <c r="M502" s="68"/>
      <c r="N502" s="68"/>
      <c r="O502" s="68"/>
      <c r="P502" s="68"/>
    </row>
    <row r="503" spans="2:16" ht="12.6" customHeight="1" x14ac:dyDescent="0.2">
      <c r="B503" s="56" t="s">
        <v>526</v>
      </c>
      <c r="C503" s="61"/>
      <c r="D503" s="288">
        <v>0.30000000000000027</v>
      </c>
      <c r="E503" s="288">
        <v>1.0299999999999998</v>
      </c>
      <c r="F503" s="288">
        <v>1.4328823079999999</v>
      </c>
      <c r="G503" s="288">
        <v>0</v>
      </c>
      <c r="H503" s="288">
        <v>0</v>
      </c>
      <c r="I503" s="288">
        <v>0</v>
      </c>
      <c r="J503" s="288">
        <v>0</v>
      </c>
      <c r="K503" s="288">
        <v>0</v>
      </c>
      <c r="L503" s="288">
        <v>0</v>
      </c>
      <c r="M503" s="68"/>
      <c r="N503" s="68"/>
      <c r="O503" s="68"/>
      <c r="P503" s="68"/>
    </row>
    <row r="504" spans="2:16" ht="12.6" customHeight="1" x14ac:dyDescent="0.2">
      <c r="B504" s="56" t="s">
        <v>527</v>
      </c>
      <c r="C504" s="61"/>
      <c r="D504" s="288">
        <v>2.8</v>
      </c>
      <c r="E504" s="288">
        <v>2.5</v>
      </c>
      <c r="F504" s="288">
        <v>2.156609918</v>
      </c>
      <c r="G504" s="288">
        <v>2.2999999999999998</v>
      </c>
      <c r="H504" s="288">
        <v>2.6652849999999999</v>
      </c>
      <c r="I504" s="288">
        <v>3.044</v>
      </c>
      <c r="J504" s="288">
        <v>3.74</v>
      </c>
      <c r="K504" s="288">
        <v>4.034999</v>
      </c>
      <c r="L504" s="288">
        <v>3.23</v>
      </c>
      <c r="M504" s="68"/>
      <c r="N504" s="68"/>
      <c r="O504" s="68"/>
      <c r="P504" s="68"/>
    </row>
    <row r="505" spans="2:16" ht="12.6" customHeight="1" x14ac:dyDescent="0.2">
      <c r="B505" s="56" t="s">
        <v>528</v>
      </c>
      <c r="C505" s="61"/>
      <c r="D505" s="288">
        <v>4.58</v>
      </c>
      <c r="E505" s="288">
        <v>3.05</v>
      </c>
      <c r="F505" s="288">
        <v>4.1270289689999995</v>
      </c>
      <c r="G505" s="288">
        <v>4.47</v>
      </c>
      <c r="H505" s="288">
        <v>2.4521829999999998</v>
      </c>
      <c r="I505" s="288">
        <v>7.01</v>
      </c>
      <c r="J505" s="288">
        <v>6.2450000000000001</v>
      </c>
      <c r="K505" s="288">
        <v>5.4119999999999999</v>
      </c>
      <c r="L505" s="288">
        <v>6.76</v>
      </c>
      <c r="M505" s="68"/>
      <c r="N505" s="68"/>
      <c r="O505" s="68"/>
      <c r="P505" s="68"/>
    </row>
    <row r="506" spans="2:16" ht="12.6" customHeight="1" x14ac:dyDescent="0.2">
      <c r="B506" s="56" t="s">
        <v>529</v>
      </c>
      <c r="C506" s="61"/>
      <c r="D506" s="288">
        <v>0</v>
      </c>
      <c r="E506" s="288">
        <v>4.33</v>
      </c>
      <c r="F506" s="288">
        <v>0.36606206200000002</v>
      </c>
      <c r="G506" s="288">
        <v>0</v>
      </c>
      <c r="H506" s="288">
        <v>5</v>
      </c>
      <c r="I506" s="288">
        <v>6.76</v>
      </c>
      <c r="J506" s="288">
        <v>9.1129999999999995</v>
      </c>
      <c r="K506" s="288">
        <v>7.9649999999999999</v>
      </c>
      <c r="L506" s="288">
        <v>7.72</v>
      </c>
      <c r="M506" s="68"/>
      <c r="N506" s="68"/>
      <c r="O506" s="68"/>
      <c r="P506" s="68"/>
    </row>
    <row r="507" spans="2:16" ht="12.6" customHeight="1" x14ac:dyDescent="0.2">
      <c r="B507" s="56" t="s">
        <v>530</v>
      </c>
      <c r="C507" s="61"/>
      <c r="D507" s="288">
        <v>0</v>
      </c>
      <c r="E507" s="288">
        <v>0</v>
      </c>
      <c r="F507" s="288">
        <v>0</v>
      </c>
      <c r="G507" s="288">
        <v>0</v>
      </c>
      <c r="H507" s="288">
        <v>0</v>
      </c>
      <c r="I507" s="288">
        <v>0</v>
      </c>
      <c r="J507" s="288">
        <v>0.115</v>
      </c>
      <c r="K507" s="288">
        <v>0.13500000000000001</v>
      </c>
      <c r="L507" s="288">
        <v>0</v>
      </c>
      <c r="M507" s="68"/>
      <c r="N507" s="68"/>
      <c r="O507" s="68"/>
      <c r="P507" s="68"/>
    </row>
    <row r="508" spans="2:16" ht="12.6" customHeight="1" x14ac:dyDescent="0.2">
      <c r="B508" s="56" t="s">
        <v>531</v>
      </c>
      <c r="C508" s="61"/>
      <c r="D508" s="288">
        <v>0.17</v>
      </c>
      <c r="E508" s="288">
        <v>0.18</v>
      </c>
      <c r="F508" s="288">
        <v>0</v>
      </c>
      <c r="G508" s="288">
        <v>0.1</v>
      </c>
      <c r="H508" s="288">
        <v>0</v>
      </c>
      <c r="I508" s="288">
        <v>0</v>
      </c>
      <c r="J508" s="288">
        <v>0.1</v>
      </c>
      <c r="K508" s="288">
        <v>0</v>
      </c>
      <c r="L508" s="288">
        <v>0</v>
      </c>
      <c r="M508" s="68"/>
      <c r="N508" s="68"/>
      <c r="O508" s="68"/>
      <c r="P508" s="68"/>
    </row>
    <row r="509" spans="2:16" ht="12.6" customHeight="1" x14ac:dyDescent="0.2">
      <c r="B509" s="56" t="s">
        <v>532</v>
      </c>
      <c r="C509" s="61"/>
      <c r="D509" s="288">
        <v>0.82</v>
      </c>
      <c r="E509" s="288">
        <v>1.04</v>
      </c>
      <c r="F509" s="288">
        <v>1.1150644899999997</v>
      </c>
      <c r="G509" s="288">
        <v>1.0999999999999999</v>
      </c>
      <c r="H509" s="288">
        <v>1.4338869999999999</v>
      </c>
      <c r="I509" s="288">
        <v>1.0449999999999999</v>
      </c>
      <c r="J509" s="288">
        <v>1.2</v>
      </c>
      <c r="K509" s="288">
        <v>1.1000000000000001</v>
      </c>
      <c r="L509" s="288">
        <v>1.1399999999999999</v>
      </c>
      <c r="M509" s="68"/>
      <c r="N509" s="68"/>
      <c r="O509" s="68"/>
      <c r="P509" s="68"/>
    </row>
    <row r="510" spans="2:16" ht="12.6" customHeight="1" x14ac:dyDescent="0.2">
      <c r="B510" s="56" t="s">
        <v>533</v>
      </c>
      <c r="C510" s="61"/>
      <c r="D510" s="288">
        <v>0</v>
      </c>
      <c r="E510" s="288">
        <v>0</v>
      </c>
      <c r="F510" s="288">
        <v>0</v>
      </c>
      <c r="G510" s="288">
        <v>0</v>
      </c>
      <c r="H510" s="288">
        <v>1.4999999999999999E-2</v>
      </c>
      <c r="I510" s="288">
        <v>2.5000000000000001E-2</v>
      </c>
      <c r="J510" s="288">
        <v>0</v>
      </c>
      <c r="K510" s="288">
        <v>0.16406699999999999</v>
      </c>
      <c r="L510" s="288">
        <v>0.34</v>
      </c>
      <c r="M510" s="68"/>
      <c r="N510" s="68"/>
      <c r="O510" s="68"/>
      <c r="P510" s="68"/>
    </row>
    <row r="511" spans="2:16" ht="12.6" customHeight="1" x14ac:dyDescent="0.2">
      <c r="B511" s="56" t="s">
        <v>534</v>
      </c>
      <c r="C511" s="61"/>
      <c r="D511" s="288">
        <v>0</v>
      </c>
      <c r="E511" s="288">
        <v>0.21</v>
      </c>
      <c r="F511" s="288">
        <v>0.55281500000000094</v>
      </c>
      <c r="G511" s="288">
        <v>0.5</v>
      </c>
      <c r="H511" s="288">
        <v>1.3552299999999999</v>
      </c>
      <c r="I511" s="288">
        <v>1.254</v>
      </c>
      <c r="J511" s="288">
        <v>0.33</v>
      </c>
      <c r="K511" s="288">
        <v>0.12523200000000001</v>
      </c>
      <c r="L511" s="288">
        <v>8.5999999999999993E-2</v>
      </c>
      <c r="M511" s="68"/>
      <c r="N511" s="68"/>
      <c r="O511" s="68"/>
      <c r="P511" s="68"/>
    </row>
    <row r="512" spans="2:16" ht="12.6" customHeight="1" x14ac:dyDescent="0.2">
      <c r="B512" s="56" t="s">
        <v>535</v>
      </c>
      <c r="C512" s="61"/>
      <c r="D512" s="288">
        <v>0.14000000000000001</v>
      </c>
      <c r="E512" s="288">
        <v>0.12</v>
      </c>
      <c r="F512" s="288">
        <v>0.31140999999999996</v>
      </c>
      <c r="G512" s="288">
        <v>0.26</v>
      </c>
      <c r="H512" s="288">
        <v>0.333874</v>
      </c>
      <c r="I512" s="288">
        <v>0.35399999999999998</v>
      </c>
      <c r="J512" s="288">
        <v>0.1</v>
      </c>
      <c r="K512" s="288">
        <v>7.0937E-2</v>
      </c>
      <c r="L512" s="288">
        <v>0.32</v>
      </c>
      <c r="M512" s="68"/>
      <c r="N512" s="68"/>
      <c r="O512" s="68"/>
      <c r="P512" s="68"/>
    </row>
    <row r="513" spans="2:16" ht="12.6" customHeight="1" x14ac:dyDescent="0.2">
      <c r="B513" s="56" t="s">
        <v>536</v>
      </c>
      <c r="C513" s="61"/>
      <c r="D513" s="288">
        <v>9.6000000000000002E-2</v>
      </c>
      <c r="E513" s="288">
        <v>0.31</v>
      </c>
      <c r="F513" s="288">
        <v>3.7644999999999998E-2</v>
      </c>
      <c r="G513" s="288">
        <v>0.2</v>
      </c>
      <c r="H513" s="288">
        <v>0.26656999999999997</v>
      </c>
      <c r="I513" s="288">
        <v>0.22500000000000001</v>
      </c>
      <c r="J513" s="288">
        <v>7.0000000000000007E-2</v>
      </c>
      <c r="K513" s="288">
        <v>4.1091999999999997E-2</v>
      </c>
      <c r="L513" s="288">
        <v>0</v>
      </c>
      <c r="M513" s="68"/>
      <c r="N513" s="68"/>
      <c r="O513" s="68"/>
      <c r="P513" s="68"/>
    </row>
    <row r="514" spans="2:16" ht="12.6" customHeight="1" x14ac:dyDescent="0.2">
      <c r="B514" s="56" t="s">
        <v>537</v>
      </c>
      <c r="C514" s="61"/>
      <c r="D514" s="288">
        <v>0.18</v>
      </c>
      <c r="E514" s="288">
        <v>0.14000000000000001</v>
      </c>
      <c r="F514" s="288">
        <v>4.6600000000000003E-2</v>
      </c>
      <c r="G514" s="288">
        <v>0.08</v>
      </c>
      <c r="H514" s="288">
        <v>9.2759999999999995E-2</v>
      </c>
      <c r="I514" s="288">
        <v>0.08</v>
      </c>
      <c r="J514" s="288">
        <v>0.04</v>
      </c>
      <c r="K514" s="288">
        <v>0.1</v>
      </c>
      <c r="L514" s="288">
        <v>0.127</v>
      </c>
      <c r="M514" s="68"/>
      <c r="N514" s="68"/>
      <c r="O514" s="68"/>
      <c r="P514" s="68"/>
    </row>
    <row r="515" spans="2:16" ht="12.6" customHeight="1" x14ac:dyDescent="0.2">
      <c r="B515" s="56" t="s">
        <v>538</v>
      </c>
      <c r="C515" s="61"/>
      <c r="D515" s="288">
        <v>0.05</v>
      </c>
      <c r="E515" s="288">
        <v>0.05</v>
      </c>
      <c r="F515" s="288">
        <v>0.15583799999999998</v>
      </c>
      <c r="G515" s="288">
        <v>0.21000000000000002</v>
      </c>
      <c r="H515" s="288">
        <v>0.103932</v>
      </c>
      <c r="I515" s="288">
        <v>0.1</v>
      </c>
      <c r="J515" s="288">
        <v>0.03</v>
      </c>
      <c r="K515" s="288">
        <v>0.13006999999999999</v>
      </c>
      <c r="L515" s="288">
        <v>0.13300000000000001</v>
      </c>
      <c r="M515" s="68"/>
      <c r="N515" s="68"/>
      <c r="O515" s="68"/>
      <c r="P515" s="68"/>
    </row>
    <row r="516" spans="2:16" ht="12.6" customHeight="1" x14ac:dyDescent="0.2">
      <c r="B516" s="56" t="s">
        <v>539</v>
      </c>
      <c r="C516" s="61"/>
      <c r="D516" s="288">
        <v>0</v>
      </c>
      <c r="E516" s="288">
        <v>0</v>
      </c>
      <c r="F516" s="288">
        <v>0</v>
      </c>
      <c r="G516" s="288">
        <v>0</v>
      </c>
      <c r="H516" s="288">
        <v>0</v>
      </c>
      <c r="I516" s="288">
        <v>0.15</v>
      </c>
      <c r="J516" s="288">
        <v>0</v>
      </c>
      <c r="K516" s="288">
        <f>0+0.1</f>
        <v>0.1</v>
      </c>
      <c r="L516" s="288">
        <v>0</v>
      </c>
      <c r="M516" s="68"/>
      <c r="N516" s="68"/>
      <c r="O516" s="68"/>
      <c r="P516" s="68"/>
    </row>
    <row r="517" spans="2:16" ht="12.6" customHeight="1" x14ac:dyDescent="0.2">
      <c r="B517" s="56" t="s">
        <v>540</v>
      </c>
      <c r="C517" s="61"/>
      <c r="D517" s="288">
        <v>0</v>
      </c>
      <c r="E517" s="288">
        <v>0</v>
      </c>
      <c r="F517" s="288">
        <v>0</v>
      </c>
      <c r="G517" s="288">
        <v>0</v>
      </c>
      <c r="H517" s="288">
        <v>0</v>
      </c>
      <c r="I517" s="288">
        <v>0</v>
      </c>
      <c r="J517" s="288">
        <v>0</v>
      </c>
      <c r="K517" s="288">
        <f>0+0.139194</f>
        <v>0.13919400000000001</v>
      </c>
      <c r="L517" s="288">
        <v>8.1000000000000003E-2</v>
      </c>
      <c r="M517" s="68"/>
      <c r="N517" s="68"/>
      <c r="O517" s="68"/>
      <c r="P517" s="68"/>
    </row>
    <row r="518" spans="2:16" ht="12.6" customHeight="1" x14ac:dyDescent="0.2">
      <c r="B518" s="56" t="s">
        <v>541</v>
      </c>
      <c r="C518" s="61"/>
      <c r="D518" s="288">
        <v>8.9999999999999993E-3</v>
      </c>
      <c r="E518" s="288">
        <v>0</v>
      </c>
      <c r="F518" s="288">
        <v>0</v>
      </c>
      <c r="G518" s="288">
        <v>0</v>
      </c>
      <c r="H518" s="288">
        <v>0</v>
      </c>
      <c r="I518" s="288">
        <v>0</v>
      </c>
      <c r="J518" s="288">
        <v>0</v>
      </c>
      <c r="K518" s="288">
        <v>0</v>
      </c>
      <c r="L518" s="288">
        <v>0</v>
      </c>
      <c r="M518" s="68"/>
      <c r="N518" s="68"/>
      <c r="O518" s="68"/>
      <c r="P518" s="68"/>
    </row>
    <row r="519" spans="2:16" ht="12.6" customHeight="1" x14ac:dyDescent="0.2">
      <c r="B519" s="56" t="s">
        <v>279</v>
      </c>
      <c r="C519" s="61"/>
      <c r="D519" s="288">
        <v>0.1</v>
      </c>
      <c r="E519" s="288">
        <v>0.06</v>
      </c>
      <c r="F519" s="288">
        <v>2.4E-2</v>
      </c>
      <c r="G519" s="288">
        <v>0</v>
      </c>
      <c r="H519" s="288">
        <v>0.300763</v>
      </c>
      <c r="I519" s="288">
        <v>0</v>
      </c>
      <c r="J519" s="288">
        <v>0</v>
      </c>
      <c r="K519" s="288">
        <v>0</v>
      </c>
      <c r="L519" s="288">
        <v>0</v>
      </c>
      <c r="M519" s="68"/>
      <c r="N519" s="68"/>
      <c r="O519" s="68"/>
      <c r="P519" s="68"/>
    </row>
    <row r="520" spans="2:16" ht="12.6" customHeight="1" x14ac:dyDescent="0.2">
      <c r="B520" s="56" t="s">
        <v>542</v>
      </c>
      <c r="C520" s="61"/>
      <c r="D520" s="288">
        <v>0.03</v>
      </c>
      <c r="E520" s="288">
        <v>0.03</v>
      </c>
      <c r="F520" s="288">
        <v>1.7999999999999999E-2</v>
      </c>
      <c r="G520" s="288">
        <v>1.7999999999999999E-2</v>
      </c>
      <c r="H520" s="288">
        <v>0</v>
      </c>
      <c r="I520" s="288">
        <v>0</v>
      </c>
      <c r="J520" s="288">
        <v>0.04</v>
      </c>
      <c r="K520" s="288">
        <v>4.0097000000000001E-2</v>
      </c>
      <c r="L520" s="288">
        <v>2.9000000000000001E-2</v>
      </c>
      <c r="M520" s="68"/>
      <c r="N520" s="68"/>
      <c r="O520" s="68"/>
      <c r="P520" s="68"/>
    </row>
    <row r="521" spans="2:16" ht="12.6" customHeight="1" x14ac:dyDescent="0.2">
      <c r="B521" s="56" t="s">
        <v>543</v>
      </c>
      <c r="C521" s="61"/>
      <c r="D521" s="288">
        <v>0.01</v>
      </c>
      <c r="E521" s="288">
        <v>0</v>
      </c>
      <c r="F521" s="288">
        <v>2.6363000000000001E-2</v>
      </c>
      <c r="G521" s="288">
        <v>0</v>
      </c>
      <c r="H521" s="288">
        <v>0</v>
      </c>
      <c r="I521" s="288">
        <v>0</v>
      </c>
      <c r="J521" s="288">
        <v>0</v>
      </c>
      <c r="K521" s="288">
        <v>0</v>
      </c>
      <c r="L521" s="288">
        <v>0</v>
      </c>
      <c r="M521" s="68"/>
      <c r="N521" s="68"/>
      <c r="O521" s="68"/>
      <c r="P521" s="68"/>
    </row>
    <row r="522" spans="2:16" ht="12.6" customHeight="1" x14ac:dyDescent="0.2">
      <c r="B522" s="56" t="s">
        <v>544</v>
      </c>
      <c r="C522" s="61"/>
      <c r="D522" s="288">
        <v>0.14000000000000001</v>
      </c>
      <c r="E522" s="288">
        <v>0</v>
      </c>
      <c r="F522" s="288">
        <v>0</v>
      </c>
      <c r="G522" s="288">
        <v>0</v>
      </c>
      <c r="H522" s="288">
        <v>0</v>
      </c>
      <c r="I522" s="288">
        <v>0</v>
      </c>
      <c r="J522" s="288">
        <v>0.04</v>
      </c>
      <c r="K522" s="288">
        <v>0</v>
      </c>
      <c r="L522" s="288">
        <v>5.5E-2</v>
      </c>
      <c r="M522" s="68"/>
      <c r="N522" s="68"/>
      <c r="O522" s="68"/>
      <c r="P522" s="68"/>
    </row>
    <row r="523" spans="2:16" ht="12.6" customHeight="1" x14ac:dyDescent="0.2">
      <c r="B523" s="56" t="s">
        <v>545</v>
      </c>
      <c r="C523" s="61"/>
      <c r="D523" s="288">
        <v>0</v>
      </c>
      <c r="E523" s="288">
        <v>0</v>
      </c>
      <c r="F523" s="288">
        <v>0</v>
      </c>
      <c r="G523" s="288">
        <v>0</v>
      </c>
      <c r="H523" s="288">
        <v>0</v>
      </c>
      <c r="I523" s="288">
        <v>0</v>
      </c>
      <c r="J523" s="288">
        <v>0</v>
      </c>
      <c r="K523" s="288">
        <v>0</v>
      </c>
      <c r="L523" s="288">
        <v>0</v>
      </c>
      <c r="M523" s="68"/>
      <c r="N523" s="68"/>
      <c r="O523" s="68"/>
      <c r="P523" s="68"/>
    </row>
    <row r="524" spans="2:16" ht="12.6" customHeight="1" x14ac:dyDescent="0.2">
      <c r="B524" s="56" t="s">
        <v>546</v>
      </c>
      <c r="C524" s="61"/>
      <c r="D524" s="288">
        <v>0.06</v>
      </c>
      <c r="E524" s="288">
        <v>0</v>
      </c>
      <c r="F524" s="288">
        <v>0</v>
      </c>
      <c r="G524" s="288">
        <v>0</v>
      </c>
      <c r="H524" s="288">
        <v>0</v>
      </c>
      <c r="I524" s="288">
        <v>0</v>
      </c>
      <c r="J524" s="288">
        <v>0.3</v>
      </c>
      <c r="K524" s="288">
        <v>0</v>
      </c>
      <c r="L524" s="288">
        <v>0</v>
      </c>
      <c r="M524" s="68"/>
      <c r="N524" s="68"/>
      <c r="O524" s="68"/>
      <c r="P524" s="68"/>
    </row>
    <row r="525" spans="2:16" ht="12.6" customHeight="1" x14ac:dyDescent="0.2">
      <c r="B525" s="56" t="s">
        <v>283</v>
      </c>
      <c r="C525" s="61"/>
      <c r="D525" s="288">
        <v>0</v>
      </c>
      <c r="E525" s="288">
        <v>0</v>
      </c>
      <c r="F525" s="288">
        <v>0</v>
      </c>
      <c r="G525" s="288">
        <v>0</v>
      </c>
      <c r="H525" s="288">
        <v>0</v>
      </c>
      <c r="I525" s="288">
        <v>0</v>
      </c>
      <c r="J525" s="288">
        <v>0.01</v>
      </c>
      <c r="K525" s="288">
        <v>9.9430000000000004E-3</v>
      </c>
      <c r="L525" s="288">
        <v>0</v>
      </c>
      <c r="M525" s="68"/>
      <c r="N525" s="68"/>
      <c r="O525" s="68"/>
      <c r="P525" s="68"/>
    </row>
    <row r="526" spans="2:16" ht="12.6" customHeight="1" x14ac:dyDescent="0.2">
      <c r="B526" s="56" t="s">
        <v>547</v>
      </c>
      <c r="C526" s="61"/>
      <c r="D526" s="288">
        <v>0.05</v>
      </c>
      <c r="E526" s="288">
        <v>0</v>
      </c>
      <c r="F526" s="288">
        <v>0</v>
      </c>
      <c r="G526" s="288">
        <v>0</v>
      </c>
      <c r="H526" s="288">
        <v>0</v>
      </c>
      <c r="I526" s="288">
        <v>0</v>
      </c>
      <c r="J526" s="288">
        <v>0</v>
      </c>
      <c r="K526" s="288">
        <v>0</v>
      </c>
      <c r="L526" s="288">
        <v>0</v>
      </c>
      <c r="M526" s="68"/>
      <c r="N526" s="68"/>
      <c r="O526" s="68"/>
      <c r="P526" s="68"/>
    </row>
    <row r="527" spans="2:16" ht="12.6" customHeight="1" x14ac:dyDescent="0.2">
      <c r="B527" s="56" t="s">
        <v>360</v>
      </c>
      <c r="C527" s="61"/>
      <c r="D527" s="288">
        <v>0</v>
      </c>
      <c r="E527" s="288">
        <v>0</v>
      </c>
      <c r="F527" s="288">
        <v>0</v>
      </c>
      <c r="G527" s="288">
        <v>0</v>
      </c>
      <c r="H527" s="288">
        <v>0</v>
      </c>
      <c r="I527" s="288">
        <v>0.19</v>
      </c>
      <c r="J527" s="288">
        <v>0.22</v>
      </c>
      <c r="K527" s="288">
        <v>0.23116300000000001</v>
      </c>
      <c r="L527" s="288">
        <v>0.14799999999999999</v>
      </c>
      <c r="M527" s="68"/>
      <c r="N527" s="68"/>
      <c r="O527" s="68"/>
      <c r="P527" s="68"/>
    </row>
    <row r="528" spans="2:16" ht="12.6" customHeight="1" x14ac:dyDescent="0.2">
      <c r="B528" s="56" t="s">
        <v>490</v>
      </c>
      <c r="C528" s="61"/>
      <c r="D528" s="288">
        <v>0</v>
      </c>
      <c r="E528" s="288">
        <v>0</v>
      </c>
      <c r="F528" s="288">
        <v>0</v>
      </c>
      <c r="G528" s="288">
        <v>0</v>
      </c>
      <c r="H528" s="288">
        <v>0</v>
      </c>
      <c r="I528" s="288">
        <v>0</v>
      </c>
      <c r="J528" s="288">
        <v>0</v>
      </c>
      <c r="K528" s="288">
        <v>0</v>
      </c>
      <c r="L528" s="288">
        <v>0</v>
      </c>
      <c r="M528" s="68"/>
      <c r="N528" s="68"/>
      <c r="O528" s="68"/>
      <c r="P528" s="68"/>
    </row>
    <row r="529" spans="1:171" ht="12.6" customHeight="1" x14ac:dyDescent="0.2">
      <c r="B529" s="56" t="s">
        <v>548</v>
      </c>
      <c r="C529" s="61"/>
      <c r="D529" s="288">
        <v>0</v>
      </c>
      <c r="E529" s="288">
        <v>0</v>
      </c>
      <c r="F529" s="288">
        <v>0</v>
      </c>
      <c r="G529" s="57">
        <v>0</v>
      </c>
      <c r="H529" s="57">
        <v>0</v>
      </c>
      <c r="I529" s="57">
        <v>0</v>
      </c>
      <c r="J529" s="57">
        <v>0.317</v>
      </c>
      <c r="K529" s="288">
        <v>0</v>
      </c>
      <c r="L529" s="288">
        <v>0</v>
      </c>
      <c r="M529" s="68"/>
      <c r="N529" s="68"/>
      <c r="O529" s="68"/>
      <c r="P529" s="68"/>
    </row>
    <row r="530" spans="1:171" ht="12.6" customHeight="1" x14ac:dyDescent="0.2">
      <c r="B530" s="189"/>
      <c r="C530" s="61"/>
      <c r="D530" s="307">
        <f t="shared" ref="D530:K530" si="587">SUM(D502:D529)</f>
        <v>9.5350000000000019</v>
      </c>
      <c r="E530" s="307">
        <f t="shared" si="587"/>
        <v>13.05</v>
      </c>
      <c r="F530" s="307">
        <f t="shared" si="587"/>
        <v>10.370318746999999</v>
      </c>
      <c r="G530" s="307">
        <f t="shared" si="587"/>
        <v>9.2379999999999995</v>
      </c>
      <c r="H530" s="307">
        <f t="shared" si="587"/>
        <v>14.019484</v>
      </c>
      <c r="I530" s="307">
        <f t="shared" si="587"/>
        <v>20.237000000000002</v>
      </c>
      <c r="J530" s="1042">
        <f t="shared" si="587"/>
        <v>22.009999999999998</v>
      </c>
      <c r="K530" s="307">
        <f t="shared" si="587"/>
        <v>19.798794000000004</v>
      </c>
      <c r="L530" s="307">
        <f>SUM(L503:L529)</f>
        <v>20.168999999999997</v>
      </c>
      <c r="M530" s="308">
        <f t="shared" ref="M530:P530" si="588">L530*(1+M531)</f>
        <v>21.177449999999997</v>
      </c>
      <c r="N530" s="308">
        <f t="shared" si="588"/>
        <v>22.236322499999996</v>
      </c>
      <c r="O530" s="308">
        <f t="shared" si="588"/>
        <v>23.348138624999997</v>
      </c>
      <c r="P530" s="308">
        <f t="shared" si="588"/>
        <v>24.515545556249997</v>
      </c>
      <c r="R530" s="1010"/>
    </row>
    <row r="531" spans="1:171" ht="12.6" customHeight="1" x14ac:dyDescent="0.2">
      <c r="B531" s="189"/>
      <c r="C531" s="61"/>
      <c r="D531" s="294"/>
      <c r="E531" s="330">
        <f t="shared" ref="E531" si="589">E530/D530-1</f>
        <v>0.36864184583114823</v>
      </c>
      <c r="F531" s="330">
        <f t="shared" ref="F531" si="590">F530/E530-1</f>
        <v>-0.20533955961685835</v>
      </c>
      <c r="G531" s="330">
        <f t="shared" ref="G531" si="591">G530/F530-1</f>
        <v>-0.10918842271145857</v>
      </c>
      <c r="H531" s="330">
        <f t="shared" ref="H531" si="592">H530/G530-1</f>
        <v>0.51758865555315015</v>
      </c>
      <c r="I531" s="330">
        <f t="shared" ref="I531" si="593">I530/H530-1</f>
        <v>0.44349107285261002</v>
      </c>
      <c r="J531" s="330">
        <f t="shared" ref="J531" si="594">J530/I530-1</f>
        <v>8.7611800168008847E-2</v>
      </c>
      <c r="K531" s="330">
        <f t="shared" ref="K531" si="595">K530/J530-1</f>
        <v>-0.10046369831894564</v>
      </c>
      <c r="L531" s="330">
        <v>0.05</v>
      </c>
      <c r="M531" s="354">
        <v>0.05</v>
      </c>
      <c r="N531" s="354">
        <v>0.05</v>
      </c>
      <c r="O531" s="354">
        <v>0.05</v>
      </c>
      <c r="P531" s="354">
        <v>0.05</v>
      </c>
    </row>
    <row r="532" spans="1:171" ht="12.6" customHeight="1" x14ac:dyDescent="0.2">
      <c r="B532" s="189"/>
      <c r="C532" s="61"/>
      <c r="D532" s="294"/>
      <c r="E532" s="294"/>
      <c r="F532" s="294"/>
      <c r="G532" s="294"/>
      <c r="H532" s="294"/>
      <c r="I532" s="294"/>
      <c r="J532" s="294"/>
      <c r="K532" s="294"/>
      <c r="L532" s="294"/>
      <c r="M532" s="305"/>
      <c r="N532" s="305"/>
      <c r="O532" s="305"/>
      <c r="P532" s="305"/>
    </row>
    <row r="533" spans="1:171" ht="12.6" customHeight="1" x14ac:dyDescent="0.2">
      <c r="B533" s="199" t="s">
        <v>564</v>
      </c>
      <c r="C533" s="61"/>
      <c r="D533" s="307">
        <v>4.5199999999999996</v>
      </c>
      <c r="E533" s="307">
        <v>7.4450000000000003</v>
      </c>
      <c r="F533" s="307">
        <v>4.49</v>
      </c>
      <c r="G533" s="307">
        <v>4.22</v>
      </c>
      <c r="H533" s="307">
        <v>7.8840000000000003</v>
      </c>
      <c r="I533" s="307">
        <v>13.62</v>
      </c>
      <c r="J533" s="307">
        <v>15.51</v>
      </c>
      <c r="K533" s="307">
        <v>12.6</v>
      </c>
      <c r="L533" s="307">
        <v>14.148999999999999</v>
      </c>
      <c r="M533" s="308"/>
      <c r="N533" s="308"/>
      <c r="O533" s="308"/>
      <c r="P533" s="308"/>
    </row>
    <row r="534" spans="1:171" ht="12.6" customHeight="1" x14ac:dyDescent="0.2">
      <c r="B534" s="189"/>
      <c r="C534" s="61"/>
      <c r="D534" s="294"/>
      <c r="E534" s="294"/>
      <c r="F534" s="294"/>
      <c r="G534" s="294"/>
      <c r="H534" s="307">
        <f>H530+H533</f>
        <v>21.903483999999999</v>
      </c>
      <c r="I534" s="307">
        <f>I530+I533</f>
        <v>33.856999999999999</v>
      </c>
      <c r="J534" s="307">
        <f>J530+J533</f>
        <v>37.519999999999996</v>
      </c>
      <c r="K534" s="307">
        <f>K530+K533</f>
        <v>32.398794000000002</v>
      </c>
      <c r="L534" s="307">
        <f>L530+L533</f>
        <v>34.317999999999998</v>
      </c>
      <c r="M534" s="305"/>
      <c r="N534" s="305"/>
      <c r="O534" s="305"/>
      <c r="P534" s="305"/>
    </row>
    <row r="535" spans="1:171" ht="12.6" customHeight="1" x14ac:dyDescent="0.2">
      <c r="A535" s="87"/>
      <c r="B535" s="190"/>
      <c r="C535" s="191"/>
      <c r="D535" s="40"/>
      <c r="E535" s="40"/>
      <c r="F535" s="312"/>
      <c r="G535" s="40"/>
      <c r="H535" s="40"/>
      <c r="I535" s="40"/>
      <c r="J535" s="40"/>
      <c r="K535" s="40"/>
      <c r="L535" s="40"/>
      <c r="M535" s="40"/>
      <c r="N535" s="40"/>
      <c r="O535" s="40"/>
      <c r="P535" s="40"/>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O535" s="87"/>
      <c r="AP535" s="87"/>
      <c r="AQ535" s="87"/>
      <c r="AR535" s="87"/>
      <c r="AS535" s="87"/>
      <c r="AT535" s="87"/>
      <c r="AU535" s="87"/>
      <c r="AV535" s="87"/>
      <c r="AW535" s="87"/>
      <c r="AX535" s="87"/>
      <c r="AY535" s="87"/>
      <c r="BA535" s="87"/>
      <c r="BB535" s="87"/>
      <c r="BC535" s="87"/>
      <c r="BD535" s="87"/>
      <c r="BE535" s="87"/>
      <c r="BF535" s="87"/>
      <c r="BG535" s="87"/>
      <c r="BH535" s="87"/>
      <c r="BI535" s="87"/>
      <c r="BJ535" s="87"/>
      <c r="BK535" s="87"/>
      <c r="BL535" s="87"/>
      <c r="BM535" s="87"/>
      <c r="BN535" s="87"/>
      <c r="BP535" s="87"/>
      <c r="BQ535" s="87"/>
      <c r="BR535" s="87"/>
      <c r="BS535" s="87"/>
      <c r="BT535" s="87"/>
      <c r="BU535" s="87"/>
      <c r="BV535" s="87"/>
      <c r="BW535" s="87"/>
      <c r="BX535" s="87"/>
      <c r="BY535" s="87"/>
      <c r="BZ535" s="87"/>
      <c r="CB535" s="87"/>
      <c r="CC535" s="87"/>
      <c r="CD535" s="87"/>
      <c r="CE535" s="87"/>
      <c r="CF535" s="87"/>
      <c r="CG535" s="87"/>
      <c r="CH535" s="87"/>
      <c r="CI535" s="87"/>
      <c r="CJ535" s="87"/>
      <c r="CK535" s="87"/>
      <c r="CL535" s="87"/>
      <c r="CN535" s="87"/>
      <c r="CO535" s="87"/>
      <c r="CP535" s="87"/>
      <c r="CQ535" s="87"/>
      <c r="CR535" s="87"/>
      <c r="CS535" s="87"/>
      <c r="CT535" s="87"/>
      <c r="CU535" s="87"/>
      <c r="CV535" s="87"/>
      <c r="CW535" s="87"/>
      <c r="CX535" s="87"/>
      <c r="CZ535" s="87"/>
      <c r="DA535" s="87"/>
      <c r="DB535" s="87"/>
      <c r="DC535" s="87"/>
      <c r="DD535" s="87"/>
      <c r="DE535" s="87"/>
      <c r="DF535" s="87"/>
      <c r="DG535" s="87"/>
      <c r="DH535" s="87"/>
      <c r="DI535" s="87"/>
      <c r="DJ535" s="87"/>
      <c r="DL535" s="87"/>
      <c r="DM535" s="87"/>
      <c r="DN535" s="87"/>
      <c r="DO535" s="87"/>
      <c r="DP535" s="87"/>
      <c r="DQ535" s="87"/>
      <c r="DR535" s="87"/>
      <c r="DS535" s="87"/>
      <c r="DT535" s="87"/>
      <c r="DU535" s="87"/>
      <c r="DV535" s="87"/>
      <c r="DX535" s="87"/>
      <c r="DY535" s="87"/>
      <c r="DZ535" s="87"/>
      <c r="EA535" s="87"/>
      <c r="EB535" s="87"/>
      <c r="EC535" s="87"/>
      <c r="ED535" s="87"/>
      <c r="EE535" s="87"/>
      <c r="EF535" s="87"/>
      <c r="EG535" s="87"/>
      <c r="EH535" s="87"/>
      <c r="EJ535" s="87"/>
      <c r="EK535" s="87"/>
      <c r="EL535" s="87"/>
      <c r="EM535" s="87"/>
      <c r="EN535" s="87"/>
      <c r="EO535" s="87"/>
      <c r="EP535" s="87"/>
      <c r="EQ535" s="87"/>
      <c r="ER535" s="87"/>
      <c r="ES535" s="87"/>
      <c r="ET535" s="87"/>
      <c r="EV535" s="87"/>
      <c r="EW535" s="87"/>
      <c r="EX535" s="87"/>
      <c r="EY535" s="87"/>
      <c r="EZ535" s="87"/>
      <c r="FA535" s="87"/>
      <c r="FB535" s="87"/>
      <c r="FC535" s="87"/>
      <c r="FD535" s="87"/>
      <c r="FE535" s="87"/>
      <c r="FF535" s="87"/>
      <c r="FH535" s="87"/>
      <c r="FI535" s="87"/>
      <c r="FJ535" s="87"/>
      <c r="FK535" s="87"/>
      <c r="FL535" s="87"/>
      <c r="FM535" s="87"/>
      <c r="FN535" s="87"/>
      <c r="FO535" s="87"/>
    </row>
    <row r="536" spans="1:171" ht="12.6" customHeight="1" x14ac:dyDescent="0.2">
      <c r="B536" s="50" t="s">
        <v>1</v>
      </c>
      <c r="C536" s="50" t="s">
        <v>473</v>
      </c>
      <c r="D536" s="163"/>
      <c r="E536" s="163"/>
      <c r="F536" s="163"/>
      <c r="G536" s="51"/>
      <c r="H536" s="51"/>
      <c r="I536" s="51"/>
      <c r="J536" s="51"/>
      <c r="K536" s="51"/>
      <c r="L536" s="54"/>
      <c r="M536" s="54"/>
      <c r="N536" s="54"/>
      <c r="O536" s="54"/>
      <c r="P536" s="54"/>
    </row>
    <row r="537" spans="1:171" ht="12.6" customHeight="1" x14ac:dyDescent="0.2">
      <c r="B537" s="61" t="s">
        <v>411</v>
      </c>
      <c r="C537" s="61" t="s">
        <v>340</v>
      </c>
      <c r="D537" s="63">
        <f>Dharmtar!C7</f>
        <v>1446.902</v>
      </c>
      <c r="E537" s="63">
        <f>[3]Dharmtar!D7</f>
        <v>1573.518</v>
      </c>
      <c r="F537" s="311">
        <f>Dharmtar!E7</f>
        <v>1602.0940000000001</v>
      </c>
      <c r="G537" s="301">
        <f>Dharmtar!F7</f>
        <v>1653.106</v>
      </c>
      <c r="H537" s="301">
        <f>Dharmtar!G7</f>
        <v>2894.172</v>
      </c>
      <c r="I537" s="301">
        <f>Dharmtar!H7</f>
        <v>4348.0829999999996</v>
      </c>
      <c r="J537" s="301">
        <f>Dharmtar!I7</f>
        <v>4479.0330000000004</v>
      </c>
      <c r="K537" s="301">
        <f>Dharmtar!J7</f>
        <v>4207.5190000000002</v>
      </c>
      <c r="L537" s="302">
        <f t="shared" ref="L537:P537" si="596">L538*L551</f>
        <v>4468.1666055844153</v>
      </c>
      <c r="M537" s="302">
        <f t="shared" si="596"/>
        <v>4780.2440819834283</v>
      </c>
      <c r="N537" s="302">
        <f t="shared" si="596"/>
        <v>6115.5788462026931</v>
      </c>
      <c r="O537" s="302">
        <f t="shared" si="596"/>
        <v>6912.8888440950532</v>
      </c>
      <c r="P537" s="302">
        <f t="shared" si="596"/>
        <v>7328.920620206788</v>
      </c>
      <c r="R537" s="38" t="s">
        <v>1</v>
      </c>
      <c r="S537" s="545">
        <f>IF(ISERROR((J537/D537)^(1/6)-1)," ",(J537/D537)^(1/6)-1)</f>
        <v>0.20723233026689347</v>
      </c>
      <c r="T537" s="545">
        <f>IF(ISERROR((P537/J537)^(1/6)-1)," ",(P537/J537)^(1/6)-1)</f>
        <v>8.553198889650937E-2</v>
      </c>
    </row>
    <row r="538" spans="1:171" ht="12.6" customHeight="1" x14ac:dyDescent="0.2">
      <c r="B538" s="59" t="s">
        <v>474</v>
      </c>
      <c r="C538" s="61" t="s">
        <v>476</v>
      </c>
      <c r="D538" s="57">
        <f t="shared" ref="D538:I538" si="597">D537/D551</f>
        <v>124.09108061749572</v>
      </c>
      <c r="E538" s="57">
        <f t="shared" si="597"/>
        <v>122.16754658385092</v>
      </c>
      <c r="F538" s="57">
        <f t="shared" si="597"/>
        <v>124.77147987893672</v>
      </c>
      <c r="G538" s="57">
        <f t="shared" si="597"/>
        <v>128.14775193798448</v>
      </c>
      <c r="H538" s="57">
        <f t="shared" si="597"/>
        <v>168.17299295263558</v>
      </c>
      <c r="I538" s="57">
        <f t="shared" si="597"/>
        <v>180.94394506866416</v>
      </c>
      <c r="J538" s="57">
        <f>J537/J551</f>
        <v>178.16360381861577</v>
      </c>
      <c r="K538" s="57">
        <f>K537/K551</f>
        <v>182.14367965367964</v>
      </c>
      <c r="L538" s="303">
        <f t="shared" ref="L538:P538" si="598">K538*(1+L539)</f>
        <v>182.14367965367964</v>
      </c>
      <c r="M538" s="303">
        <f t="shared" si="598"/>
        <v>187.60799004329004</v>
      </c>
      <c r="N538" s="303">
        <f t="shared" si="598"/>
        <v>193.23622974458874</v>
      </c>
      <c r="O538" s="303">
        <f t="shared" si="598"/>
        <v>199.0333166369264</v>
      </c>
      <c r="P538" s="303">
        <f t="shared" si="598"/>
        <v>205.00431613603419</v>
      </c>
      <c r="R538" s="37" t="s">
        <v>912</v>
      </c>
      <c r="S538" s="545">
        <f>IF(ISERROR((J538/D538)^(1/6)-1)," ",(J538/D538)^(1/6)-1)</f>
        <v>6.2135041306298211E-2</v>
      </c>
      <c r="T538" s="545">
        <f>IF(ISERROR((P538/J538)^(1/6)-1)," ",(P538/J538)^(1/6)-1)</f>
        <v>2.366377750147497E-2</v>
      </c>
    </row>
    <row r="539" spans="1:171" ht="12.6" customHeight="1" x14ac:dyDescent="0.2">
      <c r="B539" s="322" t="s">
        <v>227</v>
      </c>
      <c r="C539" s="323" t="s">
        <v>477</v>
      </c>
      <c r="D539" s="58"/>
      <c r="E539" s="58">
        <f t="shared" ref="E539" si="599">E538/D538-1</f>
        <v>-1.550098543805889E-2</v>
      </c>
      <c r="F539" s="339">
        <f t="shared" ref="F539:K539" si="600">F538/E538-1</f>
        <v>2.13144437119277E-2</v>
      </c>
      <c r="G539" s="330">
        <f t="shared" si="600"/>
        <v>2.7059645860766368E-2</v>
      </c>
      <c r="H539" s="330">
        <f t="shared" si="600"/>
        <v>0.31233666146574945</v>
      </c>
      <c r="I539" s="330">
        <f t="shared" si="600"/>
        <v>7.5939375828468547E-2</v>
      </c>
      <c r="J539" s="330">
        <f t="shared" si="600"/>
        <v>-1.5365760092128644E-2</v>
      </c>
      <c r="K539" s="330">
        <f t="shared" si="600"/>
        <v>2.2339443914234591E-2</v>
      </c>
      <c r="L539" s="354">
        <v>0</v>
      </c>
      <c r="M539" s="354">
        <v>0.03</v>
      </c>
      <c r="N539" s="354">
        <v>0.03</v>
      </c>
      <c r="O539" s="354">
        <v>0.03</v>
      </c>
      <c r="P539" s="354">
        <v>0.03</v>
      </c>
      <c r="Q539" s="352"/>
      <c r="R539" s="352" t="s">
        <v>918</v>
      </c>
      <c r="S539" s="352"/>
      <c r="T539" s="352"/>
    </row>
    <row r="540" spans="1:171" ht="12.6" customHeight="1" x14ac:dyDescent="0.2">
      <c r="B540" s="59"/>
      <c r="C540" s="61"/>
      <c r="D540" s="57"/>
      <c r="E540" s="57"/>
      <c r="F540" s="288"/>
      <c r="G540" s="57"/>
      <c r="H540" s="57"/>
      <c r="I540" s="57"/>
      <c r="J540" s="57"/>
      <c r="K540" s="57"/>
      <c r="L540" s="57"/>
      <c r="M540" s="68"/>
      <c r="N540" s="68"/>
      <c r="O540" s="68"/>
      <c r="P540" s="68"/>
    </row>
    <row r="541" spans="1:171" ht="12.6" customHeight="1" x14ac:dyDescent="0.2">
      <c r="B541" s="72" t="s">
        <v>303</v>
      </c>
      <c r="C541" s="61" t="s">
        <v>4</v>
      </c>
      <c r="D541" s="57"/>
      <c r="E541" s="57"/>
      <c r="F541" s="288">
        <f t="shared" ref="F541:P541" si="601">F89</f>
        <v>15</v>
      </c>
      <c r="G541" s="288">
        <f t="shared" si="601"/>
        <v>34</v>
      </c>
      <c r="H541" s="288">
        <f t="shared" si="601"/>
        <v>34</v>
      </c>
      <c r="I541" s="288">
        <f t="shared" si="601"/>
        <v>34</v>
      </c>
      <c r="J541" s="288">
        <f t="shared" si="601"/>
        <v>34</v>
      </c>
      <c r="K541" s="288">
        <f t="shared" ref="K541" si="602">K89</f>
        <v>34</v>
      </c>
      <c r="L541" s="288">
        <f t="shared" si="601"/>
        <v>34</v>
      </c>
      <c r="M541" s="68">
        <f t="shared" si="601"/>
        <v>34</v>
      </c>
      <c r="N541" s="68">
        <f t="shared" si="601"/>
        <v>50</v>
      </c>
      <c r="O541" s="68">
        <f t="shared" si="601"/>
        <v>50</v>
      </c>
      <c r="P541" s="68">
        <f t="shared" si="601"/>
        <v>50</v>
      </c>
      <c r="S541" s="545" t="str">
        <f>IF(ISERROR((J541/D541)^(1/6)-1)," ",(J541/D541)^(1/6)-1)</f>
        <v xml:space="preserve"> </v>
      </c>
      <c r="T541" s="545">
        <f>IF(ISERROR((P541/J541)^(1/6)-1)," ",(P541/J541)^(1/6)-1)</f>
        <v>6.6387832715179007E-2</v>
      </c>
    </row>
    <row r="542" spans="1:171" ht="12.6" customHeight="1" x14ac:dyDescent="0.2">
      <c r="B542" s="202" t="s">
        <v>555</v>
      </c>
      <c r="C542" s="326" t="s">
        <v>4</v>
      </c>
      <c r="D542" s="58"/>
      <c r="E542" s="58"/>
      <c r="F542" s="330">
        <f t="shared" ref="F542:P542" si="603">F551/F541</f>
        <v>0.8560150666666666</v>
      </c>
      <c r="G542" s="330">
        <f t="shared" si="603"/>
        <v>0.37941176470588234</v>
      </c>
      <c r="H542" s="330">
        <f t="shared" si="603"/>
        <v>0.50616156844117643</v>
      </c>
      <c r="I542" s="330">
        <f t="shared" si="603"/>
        <v>0.70676470588235285</v>
      </c>
      <c r="J542" s="330">
        <f t="shared" si="603"/>
        <v>0.73941176470588232</v>
      </c>
      <c r="K542" s="330">
        <f t="shared" ref="K542" si="604">K551/K541</f>
        <v>0.67941176470588238</v>
      </c>
      <c r="L542" s="330">
        <f t="shared" si="603"/>
        <v>0.72149999999999992</v>
      </c>
      <c r="M542" s="324">
        <f t="shared" si="603"/>
        <v>0.74941058823529405</v>
      </c>
      <c r="N542" s="324">
        <f t="shared" si="603"/>
        <v>0.63296399999999997</v>
      </c>
      <c r="O542" s="324">
        <f t="shared" si="603"/>
        <v>0.69464640000000022</v>
      </c>
      <c r="P542" s="324">
        <f t="shared" si="603"/>
        <v>0.71500159200000013</v>
      </c>
      <c r="Q542" s="352"/>
      <c r="R542" s="352"/>
      <c r="S542" s="352"/>
      <c r="T542" s="352"/>
    </row>
    <row r="543" spans="1:171" ht="12.6" customHeight="1" x14ac:dyDescent="0.2">
      <c r="B543" s="59"/>
      <c r="C543" s="61"/>
      <c r="D543" s="57"/>
      <c r="E543" s="57"/>
      <c r="F543" s="288"/>
      <c r="G543" s="57"/>
      <c r="H543" s="57"/>
      <c r="I543" s="57"/>
      <c r="J543" s="57"/>
      <c r="K543" s="57"/>
      <c r="L543" s="57"/>
      <c r="M543" s="68"/>
      <c r="N543" s="68"/>
      <c r="O543" s="68"/>
      <c r="P543" s="68"/>
      <c r="U543" s="805" t="s">
        <v>1519</v>
      </c>
      <c r="V543" s="163" t="s">
        <v>22</v>
      </c>
      <c r="W543" s="163" t="s">
        <v>23</v>
      </c>
      <c r="X543" s="163" t="s">
        <v>24</v>
      </c>
      <c r="Y543" s="51" t="s">
        <v>25</v>
      </c>
      <c r="Z543" s="51" t="s">
        <v>26</v>
      </c>
      <c r="AA543" s="51" t="s">
        <v>27</v>
      </c>
      <c r="AB543" s="51" t="s">
        <v>273</v>
      </c>
      <c r="AC543" s="54" t="s">
        <v>28</v>
      </c>
      <c r="AD543" s="54" t="s">
        <v>177</v>
      </c>
      <c r="AE543" s="54" t="s">
        <v>178</v>
      </c>
      <c r="AF543" s="54" t="s">
        <v>179</v>
      </c>
      <c r="AG543" s="54" t="s">
        <v>231</v>
      </c>
      <c r="AH543" s="54" t="s">
        <v>232</v>
      </c>
    </row>
    <row r="544" spans="1:171" ht="12.6" customHeight="1" x14ac:dyDescent="0.2">
      <c r="B544" s="72" t="s">
        <v>489</v>
      </c>
      <c r="C544" s="61"/>
      <c r="D544" s="57"/>
      <c r="E544" s="57"/>
      <c r="F544" s="288"/>
      <c r="G544" s="57"/>
      <c r="H544" s="57"/>
      <c r="I544" s="57"/>
      <c r="J544" s="57"/>
      <c r="K544" s="57"/>
      <c r="L544" s="57"/>
      <c r="M544" s="68"/>
      <c r="N544" s="68"/>
      <c r="O544" s="68"/>
      <c r="P544" s="68"/>
      <c r="U544" s="38" t="s">
        <v>1517</v>
      </c>
      <c r="V544" s="37">
        <v>11.42</v>
      </c>
      <c r="W544" s="37">
        <v>12.56</v>
      </c>
      <c r="X544" s="37">
        <v>12.618231</v>
      </c>
      <c r="Y544" s="37">
        <v>12.64</v>
      </c>
      <c r="Z544" s="37">
        <v>16.710328828000002</v>
      </c>
      <c r="AA544" s="37">
        <v>22.88</v>
      </c>
      <c r="AB544" s="37">
        <v>24.5</v>
      </c>
      <c r="AC544" s="37">
        <f t="shared" ref="AC544:AH544" si="605">K545</f>
        <v>18.8</v>
      </c>
      <c r="AD544" s="37">
        <f t="shared" si="605"/>
        <v>23.724</v>
      </c>
      <c r="AE544" s="37">
        <f t="shared" si="605"/>
        <v>24.67296</v>
      </c>
      <c r="AF544" s="37">
        <f t="shared" si="605"/>
        <v>30.841200000000001</v>
      </c>
      <c r="AG544" s="37">
        <f t="shared" si="605"/>
        <v>33.925320000000006</v>
      </c>
      <c r="AH544" s="37">
        <f t="shared" si="605"/>
        <v>34.943079600000004</v>
      </c>
    </row>
    <row r="545" spans="2:34" ht="12.6" customHeight="1" x14ac:dyDescent="0.2">
      <c r="B545" s="56" t="s">
        <v>279</v>
      </c>
      <c r="C545" s="61"/>
      <c r="D545" s="288">
        <v>11.42</v>
      </c>
      <c r="E545" s="288">
        <v>12.56</v>
      </c>
      <c r="F545" s="288">
        <v>12.618231</v>
      </c>
      <c r="G545" s="288">
        <v>12.64</v>
      </c>
      <c r="H545" s="288">
        <v>16.710328828000002</v>
      </c>
      <c r="I545" s="288">
        <v>22.88</v>
      </c>
      <c r="J545" s="288">
        <v>24.5</v>
      </c>
      <c r="K545" s="288">
        <v>18.8</v>
      </c>
      <c r="L545" s="288">
        <v>23.724</v>
      </c>
      <c r="M545" s="303">
        <f t="shared" ref="M545:P545" si="606">L545*(1+M554)</f>
        <v>24.67296</v>
      </c>
      <c r="N545" s="303">
        <f t="shared" si="606"/>
        <v>30.841200000000001</v>
      </c>
      <c r="O545" s="303">
        <f t="shared" si="606"/>
        <v>33.925320000000006</v>
      </c>
      <c r="P545" s="303">
        <f t="shared" si="606"/>
        <v>34.943079600000004</v>
      </c>
      <c r="S545" s="545">
        <f t="shared" ref="S545:S551" si="607">IF(ISERROR((J545/D545)^(1/6)-1)," ",(J545/D545)^(1/6)-1)</f>
        <v>0.13566435998965942</v>
      </c>
      <c r="T545" s="545">
        <f t="shared" ref="T545:T551" si="608">IF(ISERROR((P545/J545)^(1/6)-1)," ",(P545/J545)^(1/6)-1)</f>
        <v>6.0960419275319477E-2</v>
      </c>
      <c r="U545" s="38" t="s">
        <v>279</v>
      </c>
      <c r="V545" s="37">
        <f>(V$544/3)*2</f>
        <v>7.6133333333333333</v>
      </c>
      <c r="W545" s="37">
        <f>(W$544/3)*2</f>
        <v>8.3733333333333331</v>
      </c>
      <c r="X545" s="37">
        <f>(X$544/3)*2</f>
        <v>8.4121539999999992</v>
      </c>
      <c r="Y545" s="37">
        <f>(Y$544/3)*2</f>
        <v>8.4266666666666676</v>
      </c>
      <c r="Z545" s="37">
        <f>(Z$544/3)*2</f>
        <v>11.140219218666667</v>
      </c>
      <c r="AA545" s="37">
        <f t="shared" ref="AA545:AH545" si="609">(AA$544/3)*2</f>
        <v>15.253333333333332</v>
      </c>
      <c r="AB545" s="37">
        <f t="shared" si="609"/>
        <v>16.333333333333332</v>
      </c>
      <c r="AC545" s="37">
        <f t="shared" si="609"/>
        <v>12.533333333333333</v>
      </c>
      <c r="AD545" s="37">
        <f t="shared" si="609"/>
        <v>15.816000000000001</v>
      </c>
      <c r="AE545" s="37">
        <f t="shared" si="609"/>
        <v>16.448640000000001</v>
      </c>
      <c r="AF545" s="37">
        <f t="shared" si="609"/>
        <v>20.5608</v>
      </c>
      <c r="AG545" s="37">
        <f t="shared" si="609"/>
        <v>22.616880000000005</v>
      </c>
      <c r="AH545" s="37">
        <f t="shared" si="609"/>
        <v>23.295386400000002</v>
      </c>
    </row>
    <row r="546" spans="2:34" ht="12.6" customHeight="1" x14ac:dyDescent="0.2">
      <c r="B546" s="56" t="s">
        <v>280</v>
      </c>
      <c r="C546" s="61"/>
      <c r="D546" s="288">
        <v>0</v>
      </c>
      <c r="E546" s="288">
        <v>0</v>
      </c>
      <c r="F546" s="288">
        <v>0</v>
      </c>
      <c r="G546" s="288">
        <v>0</v>
      </c>
      <c r="H546" s="288">
        <v>0</v>
      </c>
      <c r="I546" s="288">
        <v>0</v>
      </c>
      <c r="J546" s="288">
        <v>0</v>
      </c>
      <c r="K546" s="288">
        <f t="shared" ref="K546:K549" si="610">$K$551*J564</f>
        <v>0</v>
      </c>
      <c r="L546" s="288">
        <f t="shared" ref="L546:P550" si="611">K546</f>
        <v>0</v>
      </c>
      <c r="M546" s="303">
        <f t="shared" si="611"/>
        <v>0</v>
      </c>
      <c r="N546" s="303">
        <f t="shared" si="611"/>
        <v>0</v>
      </c>
      <c r="O546" s="303">
        <f t="shared" si="611"/>
        <v>0</v>
      </c>
      <c r="P546" s="303">
        <f t="shared" si="611"/>
        <v>0</v>
      </c>
      <c r="S546" s="545" t="str">
        <f t="shared" si="607"/>
        <v xml:space="preserve"> </v>
      </c>
      <c r="T546" s="545" t="str">
        <f t="shared" si="608"/>
        <v xml:space="preserve"> </v>
      </c>
    </row>
    <row r="547" spans="2:34" ht="12.6" customHeight="1" x14ac:dyDescent="0.2">
      <c r="B547" s="56" t="s">
        <v>281</v>
      </c>
      <c r="C547" s="61"/>
      <c r="D547" s="288">
        <v>0</v>
      </c>
      <c r="E547" s="288">
        <v>0</v>
      </c>
      <c r="F547" s="288">
        <v>0</v>
      </c>
      <c r="G547" s="288">
        <v>0</v>
      </c>
      <c r="H547" s="288">
        <v>0</v>
      </c>
      <c r="I547" s="288">
        <v>0</v>
      </c>
      <c r="J547" s="288">
        <v>0</v>
      </c>
      <c r="K547" s="288">
        <f t="shared" si="610"/>
        <v>0</v>
      </c>
      <c r="L547" s="288">
        <f t="shared" si="611"/>
        <v>0</v>
      </c>
      <c r="M547" s="303">
        <f t="shared" si="611"/>
        <v>0</v>
      </c>
      <c r="N547" s="303">
        <f t="shared" si="611"/>
        <v>0</v>
      </c>
      <c r="O547" s="303">
        <f t="shared" si="611"/>
        <v>0</v>
      </c>
      <c r="P547" s="303">
        <f t="shared" si="611"/>
        <v>0</v>
      </c>
      <c r="S547" s="545" t="str">
        <f t="shared" si="607"/>
        <v xml:space="preserve"> </v>
      </c>
      <c r="T547" s="545" t="str">
        <f t="shared" si="608"/>
        <v xml:space="preserve"> </v>
      </c>
      <c r="U547" s="38" t="s">
        <v>615</v>
      </c>
      <c r="V547" s="104">
        <f>(V$544/3)*1</f>
        <v>3.8066666666666666</v>
      </c>
      <c r="W547" s="104">
        <f>(W$544/3)*1</f>
        <v>4.1866666666666665</v>
      </c>
      <c r="X547" s="104">
        <f>(X$544/3)*1</f>
        <v>4.2060769999999996</v>
      </c>
      <c r="Y547" s="104">
        <f>(Y$544/3)*1</f>
        <v>4.2133333333333338</v>
      </c>
      <c r="Z547" s="104">
        <f>(Z$544/3)*1</f>
        <v>5.5701096093333335</v>
      </c>
      <c r="AA547" s="104">
        <f t="shared" ref="AA547:AH547" si="612">(AA$544/3)*1</f>
        <v>7.626666666666666</v>
      </c>
      <c r="AB547" s="104">
        <f t="shared" si="612"/>
        <v>8.1666666666666661</v>
      </c>
      <c r="AC547" s="104">
        <f t="shared" si="612"/>
        <v>6.2666666666666666</v>
      </c>
      <c r="AD547" s="104">
        <f t="shared" si="612"/>
        <v>7.9080000000000004</v>
      </c>
      <c r="AE547" s="104">
        <f t="shared" si="612"/>
        <v>8.2243200000000005</v>
      </c>
      <c r="AF547" s="104">
        <f t="shared" si="612"/>
        <v>10.2804</v>
      </c>
      <c r="AG547" s="104">
        <f t="shared" si="612"/>
        <v>11.308440000000003</v>
      </c>
      <c r="AH547" s="104">
        <f t="shared" si="612"/>
        <v>11.647693200000001</v>
      </c>
    </row>
    <row r="548" spans="2:34" ht="12.6" customHeight="1" x14ac:dyDescent="0.2">
      <c r="B548" s="56" t="s">
        <v>282</v>
      </c>
      <c r="C548" s="61"/>
      <c r="D548" s="288">
        <v>0</v>
      </c>
      <c r="E548" s="288">
        <v>0</v>
      </c>
      <c r="F548" s="288">
        <v>0</v>
      </c>
      <c r="G548" s="288">
        <v>0</v>
      </c>
      <c r="H548" s="288">
        <v>0</v>
      </c>
      <c r="I548" s="288">
        <v>0</v>
      </c>
      <c r="J548" s="288">
        <v>0</v>
      </c>
      <c r="K548" s="288">
        <f t="shared" si="610"/>
        <v>0</v>
      </c>
      <c r="L548" s="288">
        <f t="shared" si="611"/>
        <v>0</v>
      </c>
      <c r="M548" s="303">
        <f t="shared" si="611"/>
        <v>0</v>
      </c>
      <c r="N548" s="303">
        <f t="shared" si="611"/>
        <v>0</v>
      </c>
      <c r="O548" s="303">
        <f t="shared" si="611"/>
        <v>0</v>
      </c>
      <c r="P548" s="303">
        <f t="shared" si="611"/>
        <v>0</v>
      </c>
      <c r="S548" s="545" t="str">
        <f t="shared" si="607"/>
        <v xml:space="preserve"> </v>
      </c>
      <c r="T548" s="545" t="str">
        <f t="shared" si="608"/>
        <v xml:space="preserve"> </v>
      </c>
    </row>
    <row r="549" spans="2:34" ht="12.6" customHeight="1" x14ac:dyDescent="0.2">
      <c r="B549" s="56" t="s">
        <v>283</v>
      </c>
      <c r="C549" s="61"/>
      <c r="D549" s="288">
        <v>0</v>
      </c>
      <c r="E549" s="288">
        <v>0</v>
      </c>
      <c r="F549" s="288">
        <v>0</v>
      </c>
      <c r="G549" s="288">
        <v>0</v>
      </c>
      <c r="H549" s="288">
        <v>0</v>
      </c>
      <c r="I549" s="288">
        <v>0</v>
      </c>
      <c r="J549" s="288">
        <v>0</v>
      </c>
      <c r="K549" s="288">
        <f t="shared" si="610"/>
        <v>0</v>
      </c>
      <c r="L549" s="288">
        <f t="shared" si="611"/>
        <v>0</v>
      </c>
      <c r="M549" s="303">
        <f t="shared" si="611"/>
        <v>0</v>
      </c>
      <c r="N549" s="303">
        <f t="shared" si="611"/>
        <v>0</v>
      </c>
      <c r="O549" s="303">
        <f t="shared" si="611"/>
        <v>0</v>
      </c>
      <c r="P549" s="303">
        <f t="shared" si="611"/>
        <v>0</v>
      </c>
      <c r="S549" s="545" t="str">
        <f t="shared" si="607"/>
        <v xml:space="preserve"> </v>
      </c>
      <c r="T549" s="545" t="str">
        <f t="shared" si="608"/>
        <v xml:space="preserve"> </v>
      </c>
      <c r="U549" s="38" t="s">
        <v>1518</v>
      </c>
    </row>
    <row r="550" spans="2:34" ht="12.6" customHeight="1" x14ac:dyDescent="0.2">
      <c r="B550" s="56" t="s">
        <v>284</v>
      </c>
      <c r="C550" s="61"/>
      <c r="D550" s="288">
        <f t="shared" ref="D550:J550" si="613">D551-D545</f>
        <v>0.24000000000000021</v>
      </c>
      <c r="E550" s="288">
        <f t="shared" si="613"/>
        <v>0.32000000000000028</v>
      </c>
      <c r="F550" s="288">
        <f t="shared" si="613"/>
        <v>0.22199499999999972</v>
      </c>
      <c r="G550" s="288">
        <f t="shared" si="613"/>
        <v>0.25999999999999979</v>
      </c>
      <c r="H550" s="288">
        <f t="shared" si="613"/>
        <v>0.49916449899999904</v>
      </c>
      <c r="I550" s="288">
        <f t="shared" si="613"/>
        <v>1.1499999999999986</v>
      </c>
      <c r="J550" s="288">
        <f t="shared" si="613"/>
        <v>0.64000000000000057</v>
      </c>
      <c r="K550" s="288">
        <v>4.3</v>
      </c>
      <c r="L550" s="288">
        <v>0.80700000000000005</v>
      </c>
      <c r="M550" s="303">
        <f t="shared" si="611"/>
        <v>0.80700000000000005</v>
      </c>
      <c r="N550" s="303">
        <f t="shared" si="611"/>
        <v>0.80700000000000005</v>
      </c>
      <c r="O550" s="303">
        <f t="shared" si="611"/>
        <v>0.80700000000000005</v>
      </c>
      <c r="P550" s="303">
        <f t="shared" si="611"/>
        <v>0.80700000000000005</v>
      </c>
      <c r="S550" s="545">
        <f t="shared" si="607"/>
        <v>0.17759184300048103</v>
      </c>
      <c r="T550" s="545">
        <f t="shared" si="608"/>
        <v>3.9398917355114804E-2</v>
      </c>
      <c r="U550" s="37" t="s">
        <v>279</v>
      </c>
      <c r="V550" s="37">
        <f>V545-V544</f>
        <v>-3.8066666666666666</v>
      </c>
      <c r="W550" s="37">
        <f t="shared" ref="W550:AH550" si="614">W545-W544</f>
        <v>-4.1866666666666674</v>
      </c>
      <c r="X550" s="37">
        <f t="shared" si="614"/>
        <v>-4.2060770000000005</v>
      </c>
      <c r="Y550" s="37">
        <f t="shared" si="614"/>
        <v>-4.2133333333333329</v>
      </c>
      <c r="Z550" s="37">
        <f t="shared" si="614"/>
        <v>-5.5701096093333344</v>
      </c>
      <c r="AA550" s="37">
        <f t="shared" si="614"/>
        <v>-7.6266666666666669</v>
      </c>
      <c r="AB550" s="37">
        <f t="shared" si="614"/>
        <v>-8.1666666666666679</v>
      </c>
      <c r="AC550" s="37">
        <f t="shared" si="614"/>
        <v>-6.2666666666666675</v>
      </c>
      <c r="AD550" s="37">
        <f t="shared" si="614"/>
        <v>-7.9079999999999995</v>
      </c>
      <c r="AE550" s="37">
        <f t="shared" si="614"/>
        <v>-8.2243199999999987</v>
      </c>
      <c r="AF550" s="37">
        <f t="shared" si="614"/>
        <v>-10.2804</v>
      </c>
      <c r="AG550" s="37">
        <f t="shared" si="614"/>
        <v>-11.308440000000001</v>
      </c>
      <c r="AH550" s="37">
        <f t="shared" si="614"/>
        <v>-11.647693200000003</v>
      </c>
    </row>
    <row r="551" spans="2:34" ht="12.6" customHeight="1" x14ac:dyDescent="0.2">
      <c r="B551" s="72" t="s">
        <v>551</v>
      </c>
      <c r="C551" s="95"/>
      <c r="D551" s="63">
        <f t="shared" ref="D551:K551" si="615">D5</f>
        <v>11.66</v>
      </c>
      <c r="E551" s="63">
        <f t="shared" si="615"/>
        <v>12.88</v>
      </c>
      <c r="F551" s="63">
        <f t="shared" si="615"/>
        <v>12.840225999999999</v>
      </c>
      <c r="G551" s="63">
        <f t="shared" si="615"/>
        <v>12.9</v>
      </c>
      <c r="H551" s="63">
        <f t="shared" si="615"/>
        <v>17.209493327000001</v>
      </c>
      <c r="I551" s="63">
        <f t="shared" si="615"/>
        <v>24.029999999999998</v>
      </c>
      <c r="J551" s="63">
        <f t="shared" si="615"/>
        <v>25.14</v>
      </c>
      <c r="K551" s="63">
        <f t="shared" si="615"/>
        <v>23.1</v>
      </c>
      <c r="L551" s="63">
        <f>SUM(L545:L550)</f>
        <v>24.530999999999999</v>
      </c>
      <c r="M551" s="64">
        <f t="shared" ref="M551:P551" si="616">SUM(M545:M550)</f>
        <v>25.479959999999998</v>
      </c>
      <c r="N551" s="64">
        <f t="shared" si="616"/>
        <v>31.648199999999999</v>
      </c>
      <c r="O551" s="64">
        <f t="shared" si="616"/>
        <v>34.732320000000009</v>
      </c>
      <c r="P551" s="64">
        <f t="shared" si="616"/>
        <v>35.750079600000007</v>
      </c>
      <c r="Q551" s="1001"/>
      <c r="R551" s="38"/>
      <c r="S551" s="367">
        <f t="shared" si="607"/>
        <v>0.13660907824125945</v>
      </c>
      <c r="T551" s="545">
        <f t="shared" si="608"/>
        <v>6.0438019547824684E-2</v>
      </c>
      <c r="U551" s="37" t="s">
        <v>615</v>
      </c>
      <c r="V551" s="37">
        <f>V547</f>
        <v>3.8066666666666666</v>
      </c>
      <c r="W551" s="37">
        <f t="shared" ref="W551:AH551" si="617">W547</f>
        <v>4.1866666666666665</v>
      </c>
      <c r="X551" s="37">
        <f t="shared" si="617"/>
        <v>4.2060769999999996</v>
      </c>
      <c r="Y551" s="37">
        <f t="shared" si="617"/>
        <v>4.2133333333333338</v>
      </c>
      <c r="Z551" s="37">
        <f t="shared" si="617"/>
        <v>5.5701096093333335</v>
      </c>
      <c r="AA551" s="37">
        <f t="shared" si="617"/>
        <v>7.626666666666666</v>
      </c>
      <c r="AB551" s="37">
        <f t="shared" si="617"/>
        <v>8.1666666666666661</v>
      </c>
      <c r="AC551" s="37">
        <f t="shared" si="617"/>
        <v>6.2666666666666666</v>
      </c>
      <c r="AD551" s="37">
        <f t="shared" si="617"/>
        <v>7.9080000000000004</v>
      </c>
      <c r="AE551" s="37">
        <f t="shared" si="617"/>
        <v>8.2243200000000005</v>
      </c>
      <c r="AF551" s="37">
        <f t="shared" si="617"/>
        <v>10.2804</v>
      </c>
      <c r="AG551" s="37">
        <f t="shared" si="617"/>
        <v>11.308440000000003</v>
      </c>
      <c r="AH551" s="37">
        <f t="shared" si="617"/>
        <v>11.647693200000001</v>
      </c>
    </row>
    <row r="552" spans="2:34" ht="12.6" customHeight="1" x14ac:dyDescent="0.2">
      <c r="B552" s="72"/>
      <c r="C552" s="95"/>
      <c r="D552" s="63"/>
      <c r="E552" s="63"/>
      <c r="F552" s="63"/>
      <c r="G552" s="63"/>
      <c r="H552" s="63"/>
      <c r="I552" s="63"/>
      <c r="J552" s="63"/>
      <c r="K552" s="63"/>
      <c r="L552" s="63"/>
      <c r="M552" s="64"/>
      <c r="N552" s="64"/>
      <c r="O552" s="64"/>
      <c r="P552" s="64"/>
      <c r="Q552" s="38"/>
      <c r="R552" s="38"/>
    </row>
    <row r="553" spans="2:34" ht="12.6" customHeight="1" x14ac:dyDescent="0.2">
      <c r="B553" s="116" t="s">
        <v>227</v>
      </c>
      <c r="C553" s="61"/>
      <c r="D553" s="63"/>
      <c r="E553" s="63"/>
      <c r="F553" s="63"/>
      <c r="G553" s="63"/>
      <c r="H553" s="63"/>
      <c r="I553" s="63"/>
      <c r="J553" s="63"/>
      <c r="K553" s="63"/>
      <c r="L553" s="63"/>
      <c r="M553" s="68"/>
      <c r="N553" s="68"/>
      <c r="O553" s="68"/>
      <c r="P553" s="68"/>
    </row>
    <row r="554" spans="2:34" ht="12.6" customHeight="1" x14ac:dyDescent="0.2">
      <c r="B554" s="322" t="s">
        <v>279</v>
      </c>
      <c r="C554" s="355"/>
      <c r="D554" s="113"/>
      <c r="E554" s="113">
        <f t="shared" ref="E554:E560" si="618">IFERROR(E545/D545-1,0)</f>
        <v>9.9824868651488652E-2</v>
      </c>
      <c r="F554" s="113">
        <f t="shared" ref="F554:L554" si="619">IFERROR(F545/E545-1,0)</f>
        <v>4.6362261146495332E-3</v>
      </c>
      <c r="G554" s="113">
        <f t="shared" si="619"/>
        <v>1.7252022094065289E-3</v>
      </c>
      <c r="H554" s="113">
        <f t="shared" si="619"/>
        <v>0.32201968575949369</v>
      </c>
      <c r="I554" s="113">
        <f t="shared" si="619"/>
        <v>0.36921303198187405</v>
      </c>
      <c r="J554" s="113">
        <f t="shared" si="619"/>
        <v>7.0804195804195835E-2</v>
      </c>
      <c r="K554" s="113">
        <f t="shared" si="619"/>
        <v>-0.23265306122448981</v>
      </c>
      <c r="L554" s="113">
        <f t="shared" si="619"/>
        <v>0.26191489361702125</v>
      </c>
      <c r="M554" s="356">
        <v>0.04</v>
      </c>
      <c r="N554" s="356">
        <v>0.25</v>
      </c>
      <c r="O554" s="356">
        <v>0.1</v>
      </c>
      <c r="P554" s="356">
        <v>0.03</v>
      </c>
      <c r="Q554" s="196" t="s">
        <v>917</v>
      </c>
    </row>
    <row r="555" spans="2:34" ht="12.6" customHeight="1" x14ac:dyDescent="0.2">
      <c r="B555" s="322" t="s">
        <v>280</v>
      </c>
      <c r="C555" s="355"/>
      <c r="D555" s="113"/>
      <c r="E555" s="113">
        <f t="shared" si="618"/>
        <v>0</v>
      </c>
      <c r="F555" s="113">
        <f t="shared" ref="F555:L555" si="620">IFERROR(F546/E546-1,0)</f>
        <v>0</v>
      </c>
      <c r="G555" s="113">
        <f t="shared" si="620"/>
        <v>0</v>
      </c>
      <c r="H555" s="113">
        <f t="shared" si="620"/>
        <v>0</v>
      </c>
      <c r="I555" s="113">
        <f t="shared" si="620"/>
        <v>0</v>
      </c>
      <c r="J555" s="113">
        <f t="shared" si="620"/>
        <v>0</v>
      </c>
      <c r="K555" s="113">
        <f t="shared" si="620"/>
        <v>0</v>
      </c>
      <c r="L555" s="113">
        <f t="shared" si="620"/>
        <v>0</v>
      </c>
      <c r="M555" s="356">
        <v>0.04</v>
      </c>
      <c r="N555" s="356">
        <v>0</v>
      </c>
      <c r="O555" s="356">
        <v>0</v>
      </c>
      <c r="P555" s="356">
        <v>0</v>
      </c>
      <c r="Q555" s="196" t="s">
        <v>917</v>
      </c>
    </row>
    <row r="556" spans="2:34" ht="12.6" customHeight="1" x14ac:dyDescent="0.2">
      <c r="B556" s="322" t="s">
        <v>281</v>
      </c>
      <c r="C556" s="355"/>
      <c r="D556" s="113"/>
      <c r="E556" s="113">
        <f t="shared" si="618"/>
        <v>0</v>
      </c>
      <c r="F556" s="113">
        <f t="shared" ref="F556:L556" si="621">IFERROR(F547/E547-1,0)</f>
        <v>0</v>
      </c>
      <c r="G556" s="113">
        <f t="shared" si="621"/>
        <v>0</v>
      </c>
      <c r="H556" s="113">
        <f t="shared" si="621"/>
        <v>0</v>
      </c>
      <c r="I556" s="113">
        <f t="shared" si="621"/>
        <v>0</v>
      </c>
      <c r="J556" s="113">
        <f t="shared" si="621"/>
        <v>0</v>
      </c>
      <c r="K556" s="113">
        <f t="shared" si="621"/>
        <v>0</v>
      </c>
      <c r="L556" s="113">
        <f t="shared" si="621"/>
        <v>0</v>
      </c>
      <c r="M556" s="356">
        <v>0.04</v>
      </c>
      <c r="N556" s="356">
        <v>0</v>
      </c>
      <c r="O556" s="356">
        <v>0</v>
      </c>
      <c r="P556" s="356">
        <v>0</v>
      </c>
      <c r="Q556" s="196" t="s">
        <v>917</v>
      </c>
    </row>
    <row r="557" spans="2:34" ht="12.6" customHeight="1" x14ac:dyDescent="0.2">
      <c r="B557" s="322" t="s">
        <v>282</v>
      </c>
      <c r="C557" s="355"/>
      <c r="D557" s="113"/>
      <c r="E557" s="113">
        <f t="shared" si="618"/>
        <v>0</v>
      </c>
      <c r="F557" s="113">
        <f t="shared" ref="F557:L557" si="622">IFERROR(F548/E548-1,0)</f>
        <v>0</v>
      </c>
      <c r="G557" s="113">
        <f t="shared" si="622"/>
        <v>0</v>
      </c>
      <c r="H557" s="113">
        <f t="shared" si="622"/>
        <v>0</v>
      </c>
      <c r="I557" s="113">
        <f t="shared" si="622"/>
        <v>0</v>
      </c>
      <c r="J557" s="113">
        <f t="shared" si="622"/>
        <v>0</v>
      </c>
      <c r="K557" s="113">
        <f t="shared" si="622"/>
        <v>0</v>
      </c>
      <c r="L557" s="113">
        <f t="shared" si="622"/>
        <v>0</v>
      </c>
      <c r="M557" s="356">
        <v>0.04</v>
      </c>
      <c r="N557" s="356">
        <v>0</v>
      </c>
      <c r="O557" s="356">
        <v>0</v>
      </c>
      <c r="P557" s="356">
        <v>0</v>
      </c>
      <c r="Q557" s="196" t="s">
        <v>917</v>
      </c>
    </row>
    <row r="558" spans="2:34" ht="12.6" customHeight="1" x14ac:dyDescent="0.2">
      <c r="B558" s="322" t="s">
        <v>283</v>
      </c>
      <c r="C558" s="355"/>
      <c r="D558" s="113"/>
      <c r="E558" s="113">
        <f t="shared" si="618"/>
        <v>0</v>
      </c>
      <c r="F558" s="113">
        <f t="shared" ref="F558:L558" si="623">IFERROR(F549/E549-1,0)</f>
        <v>0</v>
      </c>
      <c r="G558" s="113">
        <f t="shared" si="623"/>
        <v>0</v>
      </c>
      <c r="H558" s="113">
        <f t="shared" si="623"/>
        <v>0</v>
      </c>
      <c r="I558" s="113">
        <f t="shared" si="623"/>
        <v>0</v>
      </c>
      <c r="J558" s="113">
        <f t="shared" si="623"/>
        <v>0</v>
      </c>
      <c r="K558" s="113">
        <f t="shared" si="623"/>
        <v>0</v>
      </c>
      <c r="L558" s="113">
        <f t="shared" si="623"/>
        <v>0</v>
      </c>
      <c r="M558" s="356">
        <v>0.04</v>
      </c>
      <c r="N558" s="356">
        <v>0</v>
      </c>
      <c r="O558" s="356">
        <v>0</v>
      </c>
      <c r="P558" s="356">
        <v>0</v>
      </c>
      <c r="Q558" s="196" t="s">
        <v>917</v>
      </c>
    </row>
    <row r="559" spans="2:34" ht="12.6" customHeight="1" x14ac:dyDescent="0.2">
      <c r="B559" s="322" t="s">
        <v>284</v>
      </c>
      <c r="C559" s="355"/>
      <c r="D559" s="113"/>
      <c r="E559" s="113">
        <f t="shared" si="618"/>
        <v>0.33333333333333326</v>
      </c>
      <c r="F559" s="113">
        <f t="shared" ref="F559:L559" si="624">IFERROR(F550/E550-1,0)</f>
        <v>-0.30626562500000154</v>
      </c>
      <c r="G559" s="113">
        <f t="shared" si="624"/>
        <v>0.1711975494943585</v>
      </c>
      <c r="H559" s="113">
        <f t="shared" si="624"/>
        <v>0.91986345769230549</v>
      </c>
      <c r="I559" s="113">
        <f t="shared" si="624"/>
        <v>1.3038497375190956</v>
      </c>
      <c r="J559" s="113">
        <f t="shared" si="624"/>
        <v>-0.44347826086956399</v>
      </c>
      <c r="K559" s="113">
        <f t="shared" si="624"/>
        <v>5.7187499999999938</v>
      </c>
      <c r="L559" s="113">
        <f t="shared" si="624"/>
        <v>-0.81232558139534883</v>
      </c>
      <c r="M559" s="356">
        <v>0.04</v>
      </c>
      <c r="N559" s="356">
        <v>0</v>
      </c>
      <c r="O559" s="356">
        <v>0</v>
      </c>
      <c r="P559" s="356">
        <v>0</v>
      </c>
    </row>
    <row r="560" spans="2:34" s="38" customFormat="1" ht="12.6" customHeight="1" x14ac:dyDescent="0.2">
      <c r="B560" s="331" t="s">
        <v>551</v>
      </c>
      <c r="C560" s="358"/>
      <c r="D560" s="117"/>
      <c r="E560" s="117">
        <f t="shared" si="618"/>
        <v>0.10463121783876517</v>
      </c>
      <c r="F560" s="117">
        <f t="shared" ref="F560:P560" si="625">IFERROR(F551/E551-1,0)</f>
        <v>-3.0880434782609711E-3</v>
      </c>
      <c r="G560" s="117">
        <f t="shared" si="625"/>
        <v>4.6552140125883934E-3</v>
      </c>
      <c r="H560" s="117">
        <f t="shared" si="625"/>
        <v>0.33406925015503885</v>
      </c>
      <c r="I560" s="117">
        <f t="shared" si="625"/>
        <v>0.39632234043167869</v>
      </c>
      <c r="J560" s="117">
        <f t="shared" si="625"/>
        <v>4.6192259675405856E-2</v>
      </c>
      <c r="K560" s="117">
        <f t="shared" si="625"/>
        <v>-8.1145584725537012E-2</v>
      </c>
      <c r="L560" s="117">
        <f t="shared" si="625"/>
        <v>6.1948051948051752E-2</v>
      </c>
      <c r="M560" s="204">
        <f t="shared" si="625"/>
        <v>3.8684113978231682E-2</v>
      </c>
      <c r="N560" s="204">
        <f t="shared" si="625"/>
        <v>0.24208201268761798</v>
      </c>
      <c r="O560" s="204">
        <f t="shared" si="625"/>
        <v>9.7450091948357631E-2</v>
      </c>
      <c r="P560" s="204">
        <f t="shared" si="625"/>
        <v>2.9302954711922347E-2</v>
      </c>
    </row>
    <row r="561" spans="2:16" ht="12.6" customHeight="1" x14ac:dyDescent="0.2">
      <c r="B561" s="201"/>
      <c r="C561" s="326"/>
      <c r="D561" s="335"/>
      <c r="E561" s="335"/>
      <c r="F561" s="335"/>
      <c r="G561" s="335"/>
      <c r="H561" s="335"/>
      <c r="I561" s="335"/>
      <c r="J561" s="335"/>
      <c r="K561" s="335"/>
      <c r="L561" s="335"/>
      <c r="M561" s="357"/>
      <c r="N561" s="357"/>
      <c r="O561" s="357"/>
      <c r="P561" s="357"/>
    </row>
    <row r="562" spans="2:16" ht="12.6" customHeight="1" x14ac:dyDescent="0.2">
      <c r="B562" s="331" t="s">
        <v>287</v>
      </c>
      <c r="C562" s="326"/>
      <c r="D562" s="335"/>
      <c r="E562" s="335"/>
      <c r="F562" s="335"/>
      <c r="G562" s="335"/>
      <c r="H562" s="335"/>
      <c r="I562" s="335"/>
      <c r="J562" s="335"/>
      <c r="K562" s="335"/>
      <c r="L562" s="335"/>
      <c r="M562" s="357"/>
      <c r="N562" s="357"/>
      <c r="O562" s="357"/>
      <c r="P562" s="357"/>
    </row>
    <row r="563" spans="2:16" ht="12.6" customHeight="1" x14ac:dyDescent="0.2">
      <c r="B563" s="322" t="s">
        <v>279</v>
      </c>
      <c r="C563" s="326"/>
      <c r="D563" s="113">
        <f t="shared" ref="D563:P569" si="626">D545/D$551</f>
        <v>0.97941680960548883</v>
      </c>
      <c r="E563" s="113">
        <f t="shared" si="626"/>
        <v>0.97515527950310554</v>
      </c>
      <c r="F563" s="113">
        <f t="shared" si="626"/>
        <v>0.98271097409033148</v>
      </c>
      <c r="G563" s="113">
        <f t="shared" si="626"/>
        <v>0.97984496124031006</v>
      </c>
      <c r="H563" s="113">
        <f t="shared" si="626"/>
        <v>0.97099481724910175</v>
      </c>
      <c r="I563" s="113">
        <f t="shared" si="626"/>
        <v>0.95214315439034547</v>
      </c>
      <c r="J563" s="113">
        <f t="shared" si="626"/>
        <v>0.97454256165473352</v>
      </c>
      <c r="K563" s="113">
        <f t="shared" ref="K563:L563" si="627">K545/K$551</f>
        <v>0.81385281385281383</v>
      </c>
      <c r="L563" s="113">
        <f t="shared" si="627"/>
        <v>0.96710284945579073</v>
      </c>
      <c r="M563" s="197">
        <f t="shared" si="626"/>
        <v>0.96832805075047224</v>
      </c>
      <c r="N563" s="197">
        <f t="shared" si="626"/>
        <v>0.97450091948357254</v>
      </c>
      <c r="O563" s="197">
        <f t="shared" si="626"/>
        <v>0.97676515706408318</v>
      </c>
      <c r="P563" s="197">
        <f t="shared" si="626"/>
        <v>0.97742662368785327</v>
      </c>
    </row>
    <row r="564" spans="2:16" ht="12.6" customHeight="1" x14ac:dyDescent="0.2">
      <c r="B564" s="322" t="s">
        <v>280</v>
      </c>
      <c r="C564" s="326"/>
      <c r="D564" s="113">
        <f t="shared" ref="D564:P564" si="628">D546/D$551</f>
        <v>0</v>
      </c>
      <c r="E564" s="113">
        <f t="shared" si="626"/>
        <v>0</v>
      </c>
      <c r="F564" s="113">
        <f t="shared" si="628"/>
        <v>0</v>
      </c>
      <c r="G564" s="113">
        <f t="shared" si="628"/>
        <v>0</v>
      </c>
      <c r="H564" s="113">
        <f t="shared" si="628"/>
        <v>0</v>
      </c>
      <c r="I564" s="113">
        <f t="shared" si="628"/>
        <v>0</v>
      </c>
      <c r="J564" s="113">
        <f t="shared" si="628"/>
        <v>0</v>
      </c>
      <c r="K564" s="113">
        <f t="shared" ref="K564:L564" si="629">K546/K$551</f>
        <v>0</v>
      </c>
      <c r="L564" s="113">
        <f t="shared" si="629"/>
        <v>0</v>
      </c>
      <c r="M564" s="197">
        <f t="shared" si="628"/>
        <v>0</v>
      </c>
      <c r="N564" s="197">
        <f t="shared" si="628"/>
        <v>0</v>
      </c>
      <c r="O564" s="197">
        <f t="shared" si="628"/>
        <v>0</v>
      </c>
      <c r="P564" s="197">
        <f t="shared" si="628"/>
        <v>0</v>
      </c>
    </row>
    <row r="565" spans="2:16" ht="12.6" customHeight="1" x14ac:dyDescent="0.2">
      <c r="B565" s="322" t="s">
        <v>281</v>
      </c>
      <c r="C565" s="326"/>
      <c r="D565" s="113">
        <f t="shared" ref="D565:P565" si="630">D547/D$551</f>
        <v>0</v>
      </c>
      <c r="E565" s="113">
        <f t="shared" si="626"/>
        <v>0</v>
      </c>
      <c r="F565" s="113">
        <f t="shared" si="630"/>
        <v>0</v>
      </c>
      <c r="G565" s="113">
        <f t="shared" si="630"/>
        <v>0</v>
      </c>
      <c r="H565" s="113">
        <f t="shared" si="630"/>
        <v>0</v>
      </c>
      <c r="I565" s="113">
        <f t="shared" si="630"/>
        <v>0</v>
      </c>
      <c r="J565" s="113">
        <f t="shared" si="630"/>
        <v>0</v>
      </c>
      <c r="K565" s="113">
        <f t="shared" ref="K565:L565" si="631">K547/K$551</f>
        <v>0</v>
      </c>
      <c r="L565" s="113">
        <f t="shared" si="631"/>
        <v>0</v>
      </c>
      <c r="M565" s="197">
        <f t="shared" si="630"/>
        <v>0</v>
      </c>
      <c r="N565" s="197">
        <f t="shared" si="630"/>
        <v>0</v>
      </c>
      <c r="O565" s="197">
        <f t="shared" si="630"/>
        <v>0</v>
      </c>
      <c r="P565" s="197">
        <f t="shared" si="630"/>
        <v>0</v>
      </c>
    </row>
    <row r="566" spans="2:16" ht="12.6" customHeight="1" x14ac:dyDescent="0.2">
      <c r="B566" s="322" t="s">
        <v>282</v>
      </c>
      <c r="C566" s="326"/>
      <c r="D566" s="113">
        <f t="shared" ref="D566:P566" si="632">D548/D$551</f>
        <v>0</v>
      </c>
      <c r="E566" s="113">
        <f t="shared" si="626"/>
        <v>0</v>
      </c>
      <c r="F566" s="113">
        <f t="shared" si="632"/>
        <v>0</v>
      </c>
      <c r="G566" s="113">
        <f t="shared" si="632"/>
        <v>0</v>
      </c>
      <c r="H566" s="113">
        <f t="shared" si="632"/>
        <v>0</v>
      </c>
      <c r="I566" s="113">
        <f t="shared" si="632"/>
        <v>0</v>
      </c>
      <c r="J566" s="113">
        <f t="shared" si="632"/>
        <v>0</v>
      </c>
      <c r="K566" s="113">
        <f t="shared" ref="K566:L566" si="633">K548/K$551</f>
        <v>0</v>
      </c>
      <c r="L566" s="113">
        <f t="shared" si="633"/>
        <v>0</v>
      </c>
      <c r="M566" s="197">
        <f t="shared" si="632"/>
        <v>0</v>
      </c>
      <c r="N566" s="197">
        <f t="shared" si="632"/>
        <v>0</v>
      </c>
      <c r="O566" s="197">
        <f t="shared" si="632"/>
        <v>0</v>
      </c>
      <c r="P566" s="197">
        <f t="shared" si="632"/>
        <v>0</v>
      </c>
    </row>
    <row r="567" spans="2:16" ht="12.6" customHeight="1" x14ac:dyDescent="0.2">
      <c r="B567" s="322" t="s">
        <v>283</v>
      </c>
      <c r="C567" s="326"/>
      <c r="D567" s="113">
        <f t="shared" ref="D567:P567" si="634">D549/D$551</f>
        <v>0</v>
      </c>
      <c r="E567" s="113">
        <f t="shared" si="626"/>
        <v>0</v>
      </c>
      <c r="F567" s="113">
        <f t="shared" si="634"/>
        <v>0</v>
      </c>
      <c r="G567" s="113">
        <f t="shared" si="634"/>
        <v>0</v>
      </c>
      <c r="H567" s="113">
        <f t="shared" si="634"/>
        <v>0</v>
      </c>
      <c r="I567" s="113">
        <f t="shared" si="634"/>
        <v>0</v>
      </c>
      <c r="J567" s="113">
        <f t="shared" si="634"/>
        <v>0</v>
      </c>
      <c r="K567" s="113">
        <f t="shared" ref="K567:L567" si="635">K549/K$551</f>
        <v>0</v>
      </c>
      <c r="L567" s="113">
        <f t="shared" si="635"/>
        <v>0</v>
      </c>
      <c r="M567" s="197">
        <f t="shared" si="634"/>
        <v>0</v>
      </c>
      <c r="N567" s="197">
        <f t="shared" si="634"/>
        <v>0</v>
      </c>
      <c r="O567" s="197">
        <f t="shared" si="634"/>
        <v>0</v>
      </c>
      <c r="P567" s="197">
        <f t="shared" si="634"/>
        <v>0</v>
      </c>
    </row>
    <row r="568" spans="2:16" ht="12.6" customHeight="1" x14ac:dyDescent="0.2">
      <c r="B568" s="322" t="s">
        <v>284</v>
      </c>
      <c r="C568" s="326"/>
      <c r="D568" s="113">
        <f t="shared" ref="D568:P568" si="636">D550/D$551</f>
        <v>2.0583190394511168E-2</v>
      </c>
      <c r="E568" s="113">
        <f t="shared" si="626"/>
        <v>2.4844720496894429E-2</v>
      </c>
      <c r="F568" s="113">
        <f t="shared" si="636"/>
        <v>1.7289025909668548E-2</v>
      </c>
      <c r="G568" s="113">
        <f t="shared" si="636"/>
        <v>2.0155038759689905E-2</v>
      </c>
      <c r="H568" s="113">
        <f t="shared" si="636"/>
        <v>2.9005182750898254E-2</v>
      </c>
      <c r="I568" s="113">
        <f t="shared" si="636"/>
        <v>4.7856845609654544E-2</v>
      </c>
      <c r="J568" s="113">
        <f t="shared" si="636"/>
        <v>2.545743834526653E-2</v>
      </c>
      <c r="K568" s="113">
        <f t="shared" ref="K568:L568" si="637">K550/K$551</f>
        <v>0.18614718614718612</v>
      </c>
      <c r="L568" s="113">
        <f t="shared" si="637"/>
        <v>3.2897150544209372E-2</v>
      </c>
      <c r="M568" s="197">
        <f t="shared" si="636"/>
        <v>3.1671949249527868E-2</v>
      </c>
      <c r="N568" s="197">
        <f t="shared" si="636"/>
        <v>2.5499080516427478E-2</v>
      </c>
      <c r="O568" s="197">
        <f t="shared" si="636"/>
        <v>2.3234842935916745E-2</v>
      </c>
      <c r="P568" s="197">
        <f t="shared" si="636"/>
        <v>2.2573376312146728E-2</v>
      </c>
    </row>
    <row r="569" spans="2:16" ht="12.6" customHeight="1" x14ac:dyDescent="0.2">
      <c r="B569" s="359" t="s">
        <v>551</v>
      </c>
      <c r="C569" s="327"/>
      <c r="D569" s="117">
        <f t="shared" ref="D569:P569" si="638">D551/D$551</f>
        <v>1</v>
      </c>
      <c r="E569" s="117">
        <f t="shared" si="626"/>
        <v>1</v>
      </c>
      <c r="F569" s="117">
        <f t="shared" si="638"/>
        <v>1</v>
      </c>
      <c r="G569" s="117">
        <f t="shared" si="638"/>
        <v>1</v>
      </c>
      <c r="H569" s="117">
        <f t="shared" si="638"/>
        <v>1</v>
      </c>
      <c r="I569" s="117">
        <f t="shared" si="638"/>
        <v>1</v>
      </c>
      <c r="J569" s="117">
        <f t="shared" si="638"/>
        <v>1</v>
      </c>
      <c r="K569" s="117">
        <f t="shared" ref="K569:L569" si="639">K551/K$551</f>
        <v>1</v>
      </c>
      <c r="L569" s="117">
        <f t="shared" si="639"/>
        <v>1</v>
      </c>
      <c r="M569" s="204">
        <f t="shared" si="638"/>
        <v>1</v>
      </c>
      <c r="N569" s="204">
        <f t="shared" si="638"/>
        <v>1</v>
      </c>
      <c r="O569" s="204">
        <f t="shared" si="638"/>
        <v>1</v>
      </c>
      <c r="P569" s="204">
        <f t="shared" si="638"/>
        <v>1</v>
      </c>
    </row>
    <row r="570" spans="2:16" ht="12.6" customHeight="1" x14ac:dyDescent="0.2">
      <c r="B570" s="56"/>
      <c r="C570" s="61"/>
      <c r="D570" s="57"/>
      <c r="E570" s="57"/>
      <c r="F570" s="57"/>
      <c r="G570" s="57"/>
      <c r="H570" s="57"/>
      <c r="I570" s="57"/>
      <c r="J570" s="57"/>
      <c r="K570" s="57"/>
      <c r="L570" s="57"/>
      <c r="M570" s="68"/>
      <c r="N570" s="68"/>
      <c r="O570" s="68"/>
      <c r="P570" s="68"/>
    </row>
    <row r="571" spans="2:16" ht="12.6" customHeight="1" x14ac:dyDescent="0.2">
      <c r="B571" s="56" t="s">
        <v>563</v>
      </c>
      <c r="C571" s="61"/>
      <c r="D571" s="57">
        <f t="shared" ref="D571:J571" si="640">D551</f>
        <v>11.66</v>
      </c>
      <c r="E571" s="57">
        <f t="shared" si="640"/>
        <v>12.88</v>
      </c>
      <c r="F571" s="57">
        <f t="shared" si="640"/>
        <v>12.840225999999999</v>
      </c>
      <c r="G571" s="57">
        <f t="shared" si="640"/>
        <v>12.9</v>
      </c>
      <c r="H571" s="57">
        <f t="shared" si="640"/>
        <v>17.209493327000001</v>
      </c>
      <c r="I571" s="57">
        <f t="shared" si="640"/>
        <v>24.029999999999998</v>
      </c>
      <c r="J571" s="57">
        <f t="shared" si="640"/>
        <v>25.14</v>
      </c>
      <c r="K571" s="57">
        <f t="shared" ref="K571" si="641">K551</f>
        <v>23.1</v>
      </c>
      <c r="L571" s="57">
        <f t="shared" ref="L571:P571" si="642">L573-L572</f>
        <v>24.530999999999999</v>
      </c>
      <c r="M571" s="68">
        <f t="shared" si="642"/>
        <v>25.479959999999998</v>
      </c>
      <c r="N571" s="68">
        <f t="shared" si="642"/>
        <v>31.648199999999999</v>
      </c>
      <c r="O571" s="68">
        <f t="shared" si="642"/>
        <v>34.732320000000009</v>
      </c>
      <c r="P571" s="68">
        <f t="shared" si="642"/>
        <v>35.750079600000007</v>
      </c>
    </row>
    <row r="572" spans="2:16" ht="12.6" customHeight="1" x14ac:dyDescent="0.2">
      <c r="B572" s="56" t="s">
        <v>299</v>
      </c>
      <c r="C572" s="61"/>
      <c r="D572" s="57">
        <f t="shared" ref="D572:I572" si="643">D573-D571</f>
        <v>0</v>
      </c>
      <c r="E572" s="57">
        <f t="shared" si="643"/>
        <v>0</v>
      </c>
      <c r="F572" s="57">
        <f t="shared" si="643"/>
        <v>0</v>
      </c>
      <c r="G572" s="57">
        <f t="shared" si="643"/>
        <v>0</v>
      </c>
      <c r="H572" s="57">
        <f t="shared" si="643"/>
        <v>0</v>
      </c>
      <c r="I572" s="57">
        <f t="shared" si="643"/>
        <v>0</v>
      </c>
      <c r="J572" s="57">
        <f>J573-J571</f>
        <v>0</v>
      </c>
      <c r="K572" s="57">
        <f>K573-K571</f>
        <v>0</v>
      </c>
      <c r="L572" s="57">
        <f t="shared" ref="L572:P572" si="644">L582*L551</f>
        <v>0</v>
      </c>
      <c r="M572" s="68">
        <f t="shared" si="644"/>
        <v>0</v>
      </c>
      <c r="N572" s="68">
        <f t="shared" si="644"/>
        <v>0</v>
      </c>
      <c r="O572" s="68">
        <f t="shared" si="644"/>
        <v>0</v>
      </c>
      <c r="P572" s="68">
        <f t="shared" si="644"/>
        <v>0</v>
      </c>
    </row>
    <row r="573" spans="2:16" ht="12.6" customHeight="1" x14ac:dyDescent="0.2">
      <c r="B573" s="72" t="s">
        <v>551</v>
      </c>
      <c r="C573" s="61"/>
      <c r="D573" s="63">
        <f t="shared" ref="D573:P573" si="645">D551</f>
        <v>11.66</v>
      </c>
      <c r="E573" s="63">
        <f t="shared" si="645"/>
        <v>12.88</v>
      </c>
      <c r="F573" s="63">
        <f t="shared" si="645"/>
        <v>12.840225999999999</v>
      </c>
      <c r="G573" s="63">
        <f t="shared" si="645"/>
        <v>12.9</v>
      </c>
      <c r="H573" s="63">
        <f t="shared" si="645"/>
        <v>17.209493327000001</v>
      </c>
      <c r="I573" s="63">
        <f t="shared" si="645"/>
        <v>24.029999999999998</v>
      </c>
      <c r="J573" s="63">
        <f t="shared" si="645"/>
        <v>25.14</v>
      </c>
      <c r="K573" s="63">
        <f t="shared" ref="K573" si="646">K551</f>
        <v>23.1</v>
      </c>
      <c r="L573" s="63">
        <f t="shared" si="645"/>
        <v>24.530999999999999</v>
      </c>
      <c r="M573" s="76">
        <f t="shared" si="645"/>
        <v>25.479959999999998</v>
      </c>
      <c r="N573" s="64">
        <f t="shared" si="645"/>
        <v>31.648199999999999</v>
      </c>
      <c r="O573" s="64">
        <f t="shared" si="645"/>
        <v>34.732320000000009</v>
      </c>
      <c r="P573" s="64">
        <f t="shared" si="645"/>
        <v>35.750079600000007</v>
      </c>
    </row>
    <row r="574" spans="2:16" ht="12.6" customHeight="1" x14ac:dyDescent="0.2">
      <c r="B574" s="72"/>
      <c r="C574" s="61"/>
      <c r="D574" s="63"/>
      <c r="E574" s="63"/>
      <c r="F574" s="63"/>
      <c r="G574" s="63"/>
      <c r="H574" s="63"/>
      <c r="I574" s="63"/>
      <c r="J574" s="63"/>
      <c r="K574" s="63"/>
      <c r="L574" s="63"/>
      <c r="M574" s="64"/>
      <c r="N574" s="64"/>
      <c r="O574" s="64"/>
      <c r="P574" s="64"/>
    </row>
    <row r="575" spans="2:16" ht="12.6" customHeight="1" x14ac:dyDescent="0.2">
      <c r="B575" s="331" t="s">
        <v>227</v>
      </c>
      <c r="C575" s="326"/>
      <c r="D575" s="335"/>
      <c r="E575" s="335"/>
      <c r="F575" s="335"/>
      <c r="G575" s="335"/>
      <c r="H575" s="335"/>
      <c r="I575" s="335"/>
      <c r="J575" s="335"/>
      <c r="K575" s="335"/>
      <c r="L575" s="335"/>
      <c r="M575" s="336"/>
      <c r="N575" s="336"/>
      <c r="O575" s="336"/>
      <c r="P575" s="336"/>
    </row>
    <row r="576" spans="2:16" ht="12.6" customHeight="1" x14ac:dyDescent="0.2">
      <c r="B576" s="322" t="s">
        <v>563</v>
      </c>
      <c r="C576" s="326"/>
      <c r="D576" s="113"/>
      <c r="E576" s="113">
        <f t="shared" ref="E576:E578" si="647">IFERROR(E571/D571-1,"--")</f>
        <v>0.10463121783876517</v>
      </c>
      <c r="F576" s="113">
        <f t="shared" ref="F576:K576" si="648">IFERROR(F571/E571-1,"--")</f>
        <v>-3.0880434782609711E-3</v>
      </c>
      <c r="G576" s="113">
        <f t="shared" si="648"/>
        <v>4.6552140125883934E-3</v>
      </c>
      <c r="H576" s="113">
        <f t="shared" si="648"/>
        <v>0.33406925015503885</v>
      </c>
      <c r="I576" s="113">
        <f t="shared" si="648"/>
        <v>0.39632234043167869</v>
      </c>
      <c r="J576" s="113">
        <f t="shared" si="648"/>
        <v>4.6192259675405856E-2</v>
      </c>
      <c r="K576" s="113">
        <f t="shared" si="648"/>
        <v>-8.1145584725537012E-2</v>
      </c>
      <c r="L576" s="113">
        <f t="shared" ref="L576:P576" si="649">IFERROR(L571/K571-1,"--")</f>
        <v>6.1948051948051752E-2</v>
      </c>
      <c r="M576" s="197">
        <f t="shared" si="649"/>
        <v>3.8684113978231682E-2</v>
      </c>
      <c r="N576" s="197">
        <f t="shared" si="649"/>
        <v>0.24208201268761798</v>
      </c>
      <c r="O576" s="197">
        <f t="shared" si="649"/>
        <v>9.7450091948357631E-2</v>
      </c>
      <c r="P576" s="197">
        <f t="shared" si="649"/>
        <v>2.9302954711922347E-2</v>
      </c>
    </row>
    <row r="577" spans="2:20" ht="12.6" customHeight="1" x14ac:dyDescent="0.2">
      <c r="B577" s="322" t="s">
        <v>299</v>
      </c>
      <c r="C577" s="326"/>
      <c r="D577" s="113"/>
      <c r="E577" s="113" t="str">
        <f t="shared" si="647"/>
        <v>--</v>
      </c>
      <c r="F577" s="113" t="str">
        <f t="shared" ref="F577:P577" si="650">IFERROR(F572/E572-1,"--")</f>
        <v>--</v>
      </c>
      <c r="G577" s="113" t="str">
        <f t="shared" si="650"/>
        <v>--</v>
      </c>
      <c r="H577" s="113" t="str">
        <f t="shared" si="650"/>
        <v>--</v>
      </c>
      <c r="I577" s="113" t="str">
        <f t="shared" si="650"/>
        <v>--</v>
      </c>
      <c r="J577" s="113" t="str">
        <f t="shared" si="650"/>
        <v>--</v>
      </c>
      <c r="K577" s="113" t="str">
        <f t="shared" si="650"/>
        <v>--</v>
      </c>
      <c r="L577" s="113" t="str">
        <f t="shared" si="650"/>
        <v>--</v>
      </c>
      <c r="M577" s="197" t="str">
        <f t="shared" si="650"/>
        <v>--</v>
      </c>
      <c r="N577" s="197" t="str">
        <f t="shared" si="650"/>
        <v>--</v>
      </c>
      <c r="O577" s="197" t="str">
        <f t="shared" si="650"/>
        <v>--</v>
      </c>
      <c r="P577" s="197" t="str">
        <f t="shared" si="650"/>
        <v>--</v>
      </c>
    </row>
    <row r="578" spans="2:20" ht="12.6" customHeight="1" x14ac:dyDescent="0.2">
      <c r="B578" s="331" t="s">
        <v>551</v>
      </c>
      <c r="C578" s="327"/>
      <c r="D578" s="117"/>
      <c r="E578" s="117">
        <f t="shared" si="647"/>
        <v>0.10463121783876517</v>
      </c>
      <c r="F578" s="117">
        <f t="shared" ref="F578:P578" si="651">IFERROR(F573/E573-1,"--")</f>
        <v>-3.0880434782609711E-3</v>
      </c>
      <c r="G578" s="117">
        <f t="shared" si="651"/>
        <v>4.6552140125883934E-3</v>
      </c>
      <c r="H578" s="117">
        <f t="shared" si="651"/>
        <v>0.33406925015503885</v>
      </c>
      <c r="I578" s="117">
        <f t="shared" si="651"/>
        <v>0.39632234043167869</v>
      </c>
      <c r="J578" s="117">
        <f t="shared" si="651"/>
        <v>4.6192259675405856E-2</v>
      </c>
      <c r="K578" s="117">
        <f t="shared" si="651"/>
        <v>-8.1145584725537012E-2</v>
      </c>
      <c r="L578" s="117">
        <f t="shared" si="651"/>
        <v>6.1948051948051752E-2</v>
      </c>
      <c r="M578" s="204">
        <f t="shared" si="651"/>
        <v>3.8684113978231682E-2</v>
      </c>
      <c r="N578" s="204">
        <f t="shared" si="651"/>
        <v>0.24208201268761798</v>
      </c>
      <c r="O578" s="204">
        <f t="shared" si="651"/>
        <v>9.7450091948357631E-2</v>
      </c>
      <c r="P578" s="204">
        <f t="shared" si="651"/>
        <v>2.9302954711922347E-2</v>
      </c>
    </row>
    <row r="579" spans="2:20" ht="12.6" customHeight="1" x14ac:dyDescent="0.2">
      <c r="B579" s="331"/>
      <c r="C579" s="326"/>
      <c r="D579" s="335"/>
      <c r="E579" s="335"/>
      <c r="F579" s="335"/>
      <c r="G579" s="335"/>
      <c r="H579" s="335"/>
      <c r="I579" s="335"/>
      <c r="J579" s="335"/>
      <c r="K579" s="335"/>
      <c r="L579" s="335"/>
      <c r="M579" s="336"/>
      <c r="N579" s="336"/>
      <c r="O579" s="336"/>
      <c r="P579" s="336"/>
    </row>
    <row r="580" spans="2:20" ht="12.6" customHeight="1" x14ac:dyDescent="0.2">
      <c r="B580" s="331" t="s">
        <v>287</v>
      </c>
      <c r="C580" s="326"/>
      <c r="D580" s="335"/>
      <c r="E580" s="335"/>
      <c r="F580" s="335"/>
      <c r="G580" s="335"/>
      <c r="H580" s="335"/>
      <c r="I580" s="335"/>
      <c r="J580" s="335"/>
      <c r="K580" s="335"/>
      <c r="L580" s="335"/>
      <c r="M580" s="336"/>
      <c r="N580" s="336"/>
      <c r="O580" s="336"/>
      <c r="P580" s="336"/>
    </row>
    <row r="581" spans="2:20" ht="12.6" customHeight="1" x14ac:dyDescent="0.2">
      <c r="B581" s="322" t="s">
        <v>563</v>
      </c>
      <c r="C581" s="326"/>
      <c r="D581" s="113"/>
      <c r="E581" s="113">
        <f t="shared" ref="E581" si="652">1-E582</f>
        <v>1</v>
      </c>
      <c r="F581" s="113">
        <f t="shared" ref="F581:P581" si="653">1-F582</f>
        <v>1</v>
      </c>
      <c r="G581" s="113">
        <f t="shared" si="653"/>
        <v>1</v>
      </c>
      <c r="H581" s="113">
        <f t="shared" si="653"/>
        <v>1</v>
      </c>
      <c r="I581" s="113">
        <f t="shared" si="653"/>
        <v>1</v>
      </c>
      <c r="J581" s="113">
        <f t="shared" si="653"/>
        <v>1</v>
      </c>
      <c r="K581" s="113">
        <f t="shared" si="653"/>
        <v>1</v>
      </c>
      <c r="L581" s="113">
        <f t="shared" si="653"/>
        <v>1</v>
      </c>
      <c r="M581" s="197">
        <f t="shared" si="653"/>
        <v>1</v>
      </c>
      <c r="N581" s="197">
        <f t="shared" si="653"/>
        <v>1</v>
      </c>
      <c r="O581" s="197">
        <f t="shared" si="653"/>
        <v>1</v>
      </c>
      <c r="P581" s="197">
        <f t="shared" si="653"/>
        <v>1</v>
      </c>
    </row>
    <row r="582" spans="2:20" ht="12.6" customHeight="1" x14ac:dyDescent="0.2">
      <c r="B582" s="359" t="s">
        <v>299</v>
      </c>
      <c r="C582" s="327"/>
      <c r="D582" s="117"/>
      <c r="E582" s="117">
        <f t="shared" ref="E582" si="654">E572/E573</f>
        <v>0</v>
      </c>
      <c r="F582" s="117">
        <f t="shared" ref="F582:J582" si="655">F572/F573</f>
        <v>0</v>
      </c>
      <c r="G582" s="117">
        <f t="shared" si="655"/>
        <v>0</v>
      </c>
      <c r="H582" s="117">
        <f t="shared" si="655"/>
        <v>0</v>
      </c>
      <c r="I582" s="117">
        <f t="shared" si="655"/>
        <v>0</v>
      </c>
      <c r="J582" s="117">
        <f t="shared" si="655"/>
        <v>0</v>
      </c>
      <c r="K582" s="117">
        <f t="shared" ref="K582" si="656">K572/K573</f>
        <v>0</v>
      </c>
      <c r="L582" s="117">
        <f t="shared" ref="L582:P582" si="657">K582</f>
        <v>0</v>
      </c>
      <c r="M582" s="360">
        <f t="shared" si="657"/>
        <v>0</v>
      </c>
      <c r="N582" s="360">
        <f t="shared" si="657"/>
        <v>0</v>
      </c>
      <c r="O582" s="360">
        <f t="shared" si="657"/>
        <v>0</v>
      </c>
      <c r="P582" s="360">
        <f t="shared" si="657"/>
        <v>0</v>
      </c>
    </row>
    <row r="583" spans="2:20" ht="12.6" customHeight="1" x14ac:dyDescent="0.2">
      <c r="B583" s="116"/>
      <c r="C583" s="61"/>
      <c r="D583" s="63"/>
      <c r="E583" s="63"/>
      <c r="F583" s="63"/>
      <c r="G583" s="63"/>
      <c r="H583" s="63"/>
      <c r="I583" s="63"/>
      <c r="J583" s="63"/>
      <c r="K583" s="63"/>
      <c r="L583" s="63"/>
      <c r="M583" s="64"/>
      <c r="N583" s="64"/>
      <c r="O583" s="64"/>
      <c r="P583" s="64"/>
    </row>
    <row r="585" spans="2:20" ht="12.6" customHeight="1" x14ac:dyDescent="0.2">
      <c r="B585" s="50" t="s">
        <v>214</v>
      </c>
      <c r="C585" s="50" t="s">
        <v>473</v>
      </c>
      <c r="D585" s="163"/>
      <c r="E585" s="163"/>
      <c r="F585" s="163"/>
      <c r="G585" s="51"/>
      <c r="H585" s="51"/>
      <c r="I585" s="51"/>
      <c r="J585" s="51"/>
      <c r="K585" s="51"/>
      <c r="L585" s="54"/>
      <c r="M585" s="54"/>
      <c r="N585" s="54"/>
      <c r="O585" s="54"/>
      <c r="P585" s="54"/>
    </row>
    <row r="586" spans="2:20" ht="12.6" customHeight="1" x14ac:dyDescent="0.2">
      <c r="B586" s="61" t="s">
        <v>411</v>
      </c>
      <c r="C586" s="61" t="s">
        <v>340</v>
      </c>
      <c r="D586" s="63"/>
      <c r="E586" s="63"/>
      <c r="F586" s="311">
        <f>Goa!E7</f>
        <v>1234.913</v>
      </c>
      <c r="G586" s="301">
        <f>Goa!F7</f>
        <v>1572.6279999999999</v>
      </c>
      <c r="H586" s="301">
        <f>Goa!G7</f>
        <v>1587.4749999999999</v>
      </c>
      <c r="I586" s="301">
        <f>Goa!H7</f>
        <v>1712.8679999999999</v>
      </c>
      <c r="J586" s="301">
        <f>Goa!I7</f>
        <v>1838.796</v>
      </c>
      <c r="K586" s="301">
        <f>Goa!J7</f>
        <v>1657.248</v>
      </c>
      <c r="L586" s="302">
        <f t="shared" ref="L586:P586" ca="1" si="658">L587*L600</f>
        <v>2321.4160305</v>
      </c>
      <c r="M586" s="302">
        <f t="shared" ca="1" si="658"/>
        <v>2681.2355152275009</v>
      </c>
      <c r="N586" s="302">
        <f t="shared" ca="1" si="658"/>
        <v>3237.5918846372069</v>
      </c>
      <c r="O586" s="302">
        <f t="shared" ca="1" si="658"/>
        <v>3548.3148172323404</v>
      </c>
      <c r="P586" s="302">
        <f t="shared" ca="1" si="658"/>
        <v>3888.9428687450982</v>
      </c>
      <c r="S586" s="545" t="str">
        <f>IF(ISERROR((J586/D586)^(1/6)-1)," ",(J586/D586)^(1/6)-1)</f>
        <v xml:space="preserve"> </v>
      </c>
      <c r="T586" s="545">
        <f ca="1">IF(ISERROR((P586/J586)^(1/6)-1)," ",(P586/J586)^(1/6)-1)</f>
        <v>0.13296458726000404</v>
      </c>
    </row>
    <row r="587" spans="2:20" ht="12.6" customHeight="1" x14ac:dyDescent="0.2">
      <c r="B587" s="59" t="s">
        <v>474</v>
      </c>
      <c r="C587" s="61" t="s">
        <v>476</v>
      </c>
      <c r="D587" s="57"/>
      <c r="E587" s="57"/>
      <c r="F587" s="57">
        <f t="shared" ref="F587:K587" si="659">F586/F600</f>
        <v>186.79729583167637</v>
      </c>
      <c r="G587" s="57">
        <f t="shared" si="659"/>
        <v>230.25300146412883</v>
      </c>
      <c r="H587" s="57">
        <f t="shared" si="659"/>
        <v>229.21811783280413</v>
      </c>
      <c r="I587" s="57">
        <f t="shared" si="659"/>
        <v>242.34125636672326</v>
      </c>
      <c r="J587" s="57">
        <f t="shared" si="659"/>
        <v>256.95863610955843</v>
      </c>
      <c r="K587" s="57">
        <f t="shared" si="659"/>
        <v>258.94499999999999</v>
      </c>
      <c r="L587" s="303">
        <f t="shared" ref="L587:P587" si="660">K587*(1+L588)</f>
        <v>271.89224999999999</v>
      </c>
      <c r="M587" s="303">
        <f t="shared" si="660"/>
        <v>285.48686250000003</v>
      </c>
      <c r="N587" s="303">
        <f t="shared" si="660"/>
        <v>299.76120562500006</v>
      </c>
      <c r="O587" s="303">
        <f t="shared" si="660"/>
        <v>314.74926590625006</v>
      </c>
      <c r="P587" s="303">
        <f t="shared" si="660"/>
        <v>330.48672920156258</v>
      </c>
      <c r="S587" s="545" t="str">
        <f>IF(ISERROR((J587/D587)^(1/6)-1)," ",(J587/D587)^(1/6)-1)</f>
        <v xml:space="preserve"> </v>
      </c>
      <c r="T587" s="545">
        <f>IF(ISERROR((P587/J587)^(1/6)-1)," ",(P587/J587)^(1/6)-1)</f>
        <v>4.2833885184065057E-2</v>
      </c>
    </row>
    <row r="588" spans="2:20" ht="12.6" customHeight="1" x14ac:dyDescent="0.2">
      <c r="B588" s="322" t="s">
        <v>227</v>
      </c>
      <c r="C588" s="323" t="s">
        <v>477</v>
      </c>
      <c r="D588" s="58"/>
      <c r="E588" s="58"/>
      <c r="F588" s="339"/>
      <c r="G588" s="330">
        <f>G587/F587-1</f>
        <v>0.23263562483051436</v>
      </c>
      <c r="H588" s="330">
        <f>H587/G587-1</f>
        <v>-4.4945500156093887E-3</v>
      </c>
      <c r="I588" s="330">
        <f>I587/H587-1</f>
        <v>5.7251750681817315E-2</v>
      </c>
      <c r="J588" s="330">
        <f>J587/I587-1</f>
        <v>6.0317339119160929E-2</v>
      </c>
      <c r="K588" s="330">
        <f>K587/J587-1</f>
        <v>7.730286557073196E-3</v>
      </c>
      <c r="L588" s="354">
        <v>0.05</v>
      </c>
      <c r="M588" s="354">
        <v>0.05</v>
      </c>
      <c r="N588" s="354">
        <v>0.05</v>
      </c>
      <c r="O588" s="354">
        <v>0.05</v>
      </c>
      <c r="P588" s="354">
        <v>0.05</v>
      </c>
      <c r="S588" s="352"/>
      <c r="T588" s="352"/>
    </row>
    <row r="589" spans="2:20" ht="12.6" customHeight="1" x14ac:dyDescent="0.2">
      <c r="B589" s="59"/>
      <c r="C589" s="61"/>
      <c r="D589" s="57"/>
      <c r="E589" s="57"/>
      <c r="F589" s="288"/>
      <c r="G589" s="57"/>
      <c r="H589" s="57"/>
      <c r="I589" s="57"/>
      <c r="J589" s="57"/>
      <c r="K589" s="57"/>
      <c r="L589" s="57"/>
      <c r="M589" s="68"/>
      <c r="N589" s="68"/>
      <c r="O589" s="68"/>
      <c r="P589" s="68"/>
    </row>
    <row r="590" spans="2:20" ht="12.6" customHeight="1" x14ac:dyDescent="0.2">
      <c r="B590" s="72" t="s">
        <v>303</v>
      </c>
      <c r="C590" s="61" t="s">
        <v>4</v>
      </c>
      <c r="D590" s="57"/>
      <c r="E590" s="57"/>
      <c r="F590" s="288">
        <f t="shared" ref="F590:P590" si="661">F90</f>
        <v>15</v>
      </c>
      <c r="G590" s="288">
        <f t="shared" si="661"/>
        <v>15</v>
      </c>
      <c r="H590" s="288">
        <f t="shared" si="661"/>
        <v>8.5</v>
      </c>
      <c r="I590" s="288">
        <f t="shared" si="661"/>
        <v>8.5</v>
      </c>
      <c r="J590" s="288">
        <f t="shared" si="661"/>
        <v>8.5</v>
      </c>
      <c r="K590" s="288">
        <f t="shared" ref="K590" si="662">K90</f>
        <v>11</v>
      </c>
      <c r="L590" s="288">
        <f t="shared" si="661"/>
        <v>11</v>
      </c>
      <c r="M590" s="68">
        <f t="shared" si="661"/>
        <v>15</v>
      </c>
      <c r="N590" s="68">
        <f t="shared" si="661"/>
        <v>15</v>
      </c>
      <c r="O590" s="68">
        <f t="shared" si="661"/>
        <v>15</v>
      </c>
      <c r="P590" s="68">
        <f t="shared" si="661"/>
        <v>15</v>
      </c>
      <c r="S590" s="545" t="str">
        <f>IF(ISERROR((J590/D590)^(1/6)-1)," ",(J590/D590)^(1/6)-1)</f>
        <v xml:space="preserve"> </v>
      </c>
      <c r="T590" s="545">
        <f>IF(ISERROR((P590/J590)^(1/6)-1)," ",(P590/J590)^(1/6)-1)</f>
        <v>9.9289438707340638E-2</v>
      </c>
    </row>
    <row r="591" spans="2:20" ht="12.6" customHeight="1" x14ac:dyDescent="0.2">
      <c r="B591" s="202" t="s">
        <v>555</v>
      </c>
      <c r="C591" s="326" t="s">
        <v>4</v>
      </c>
      <c r="D591" s="58"/>
      <c r="E591" s="58"/>
      <c r="F591" s="330">
        <f t="shared" ref="F591:P591" si="663">F600/F590</f>
        <v>0.44073193333333338</v>
      </c>
      <c r="G591" s="330">
        <f t="shared" si="663"/>
        <v>0.45533333333333331</v>
      </c>
      <c r="H591" s="330">
        <f t="shared" si="663"/>
        <v>0.81477749870588223</v>
      </c>
      <c r="I591" s="330">
        <f t="shared" si="663"/>
        <v>0.83152941176470585</v>
      </c>
      <c r="J591" s="330">
        <f t="shared" si="663"/>
        <v>0.84188235294117642</v>
      </c>
      <c r="K591" s="330">
        <f t="shared" ref="K591" si="664">K600/K590</f>
        <v>0.5818181818181819</v>
      </c>
      <c r="L591" s="330">
        <f t="shared" ca="1" si="663"/>
        <v>0.77618181818181819</v>
      </c>
      <c r="M591" s="324">
        <f t="shared" ca="1" si="663"/>
        <v>0.62612000000000012</v>
      </c>
      <c r="N591" s="324">
        <f t="shared" ca="1" si="663"/>
        <v>0.72003800000000007</v>
      </c>
      <c r="O591" s="324">
        <f t="shared" ca="1" si="663"/>
        <v>0.75156433000000011</v>
      </c>
      <c r="P591" s="324">
        <f t="shared" ca="1" si="663"/>
        <v>0.78448795370000002</v>
      </c>
      <c r="S591" s="352"/>
      <c r="T591" s="352"/>
    </row>
    <row r="592" spans="2:20" ht="12.6" customHeight="1" x14ac:dyDescent="0.2">
      <c r="B592" s="59"/>
      <c r="C592" s="61"/>
      <c r="D592" s="57"/>
      <c r="E592" s="57"/>
      <c r="F592" s="288"/>
      <c r="G592" s="57"/>
      <c r="H592" s="57"/>
      <c r="I592" s="57"/>
      <c r="J592" s="57"/>
      <c r="K592" s="57"/>
      <c r="L592" s="57"/>
      <c r="M592" s="68"/>
      <c r="N592" s="68"/>
      <c r="O592" s="68"/>
      <c r="P592" s="68"/>
    </row>
    <row r="593" spans="2:20" ht="12.6" customHeight="1" x14ac:dyDescent="0.2">
      <c r="B593" s="72" t="s">
        <v>489</v>
      </c>
      <c r="C593" s="61"/>
      <c r="D593" s="57"/>
      <c r="E593" s="57"/>
      <c r="F593" s="288"/>
      <c r="G593" s="57"/>
      <c r="H593" s="57"/>
      <c r="I593" s="57"/>
      <c r="J593" s="57"/>
      <c r="K593" s="57"/>
      <c r="L593" s="57"/>
      <c r="M593" s="68"/>
      <c r="N593" s="68"/>
      <c r="O593" s="68"/>
      <c r="P593" s="68"/>
    </row>
    <row r="594" spans="2:20" ht="12.6" customHeight="1" x14ac:dyDescent="0.2">
      <c r="B594" s="56" t="s">
        <v>279</v>
      </c>
      <c r="C594" s="61"/>
      <c r="D594" s="288">
        <v>0</v>
      </c>
      <c r="E594" s="288">
        <v>0</v>
      </c>
      <c r="F594" s="288">
        <v>0</v>
      </c>
      <c r="G594" s="288">
        <v>0</v>
      </c>
      <c r="H594" s="288">
        <v>0</v>
      </c>
      <c r="I594" s="288">
        <v>0</v>
      </c>
      <c r="J594" s="288">
        <v>0</v>
      </c>
      <c r="K594" s="288">
        <v>0</v>
      </c>
      <c r="L594" s="57">
        <f t="shared" ref="L594:P599" ca="1" si="665">K594*(1+L603)</f>
        <v>0</v>
      </c>
      <c r="M594" s="303">
        <f t="shared" ca="1" si="665"/>
        <v>0</v>
      </c>
      <c r="N594" s="303">
        <f t="shared" ca="1" si="665"/>
        <v>0</v>
      </c>
      <c r="O594" s="303">
        <f t="shared" ca="1" si="665"/>
        <v>0</v>
      </c>
      <c r="P594" s="303">
        <f t="shared" ca="1" si="665"/>
        <v>0</v>
      </c>
      <c r="S594" s="545" t="str">
        <f t="shared" ref="S594:S600" si="666">IF(ISERROR((J594/D594)^(1/6)-1)," ",(J594/D594)^(1/6)-1)</f>
        <v xml:space="preserve"> </v>
      </c>
      <c r="T594" s="545" t="str">
        <f t="shared" ref="T594:T600" ca="1" si="667">IF(ISERROR((P594/J594)^(1/6)-1)," ",(P594/J594)^(1/6)-1)</f>
        <v xml:space="preserve"> </v>
      </c>
    </row>
    <row r="595" spans="2:20" ht="12.6" customHeight="1" x14ac:dyDescent="0.2">
      <c r="B595" s="56" t="s">
        <v>280</v>
      </c>
      <c r="C595" s="61"/>
      <c r="D595" s="288">
        <v>0</v>
      </c>
      <c r="E595" s="288">
        <v>0</v>
      </c>
      <c r="F595" s="288">
        <v>0</v>
      </c>
      <c r="G595" s="288">
        <v>0</v>
      </c>
      <c r="H595" s="288">
        <v>0</v>
      </c>
      <c r="I595" s="288">
        <v>0</v>
      </c>
      <c r="J595" s="288">
        <v>0</v>
      </c>
      <c r="K595" s="288">
        <v>0</v>
      </c>
      <c r="L595" s="57">
        <f t="shared" ca="1" si="665"/>
        <v>0</v>
      </c>
      <c r="M595" s="303">
        <f t="shared" ca="1" si="665"/>
        <v>0</v>
      </c>
      <c r="N595" s="303">
        <f t="shared" ca="1" si="665"/>
        <v>0</v>
      </c>
      <c r="O595" s="303">
        <f t="shared" ca="1" si="665"/>
        <v>0</v>
      </c>
      <c r="P595" s="303">
        <f t="shared" ca="1" si="665"/>
        <v>0</v>
      </c>
      <c r="S595" s="545" t="str">
        <f t="shared" si="666"/>
        <v xml:space="preserve"> </v>
      </c>
      <c r="T595" s="545" t="str">
        <f t="shared" ca="1" si="667"/>
        <v xml:space="preserve"> </v>
      </c>
    </row>
    <row r="596" spans="2:20" ht="12.6" customHeight="1" x14ac:dyDescent="0.2">
      <c r="B596" s="56" t="s">
        <v>281</v>
      </c>
      <c r="C596" s="61"/>
      <c r="D596" s="288">
        <v>9.92</v>
      </c>
      <c r="E596" s="288">
        <f>3.11+0.4</f>
        <v>3.51</v>
      </c>
      <c r="F596" s="288">
        <v>4.7796370000000001</v>
      </c>
      <c r="G596" s="288">
        <v>4.79</v>
      </c>
      <c r="H596" s="288">
        <v>4.9374031409999999</v>
      </c>
      <c r="I596" s="288">
        <v>5.5039999999999996</v>
      </c>
      <c r="J596" s="288">
        <v>5.4359999999999999</v>
      </c>
      <c r="K596" s="288">
        <v>4.4000000000000004</v>
      </c>
      <c r="L596" s="57">
        <v>5.3070000000000004</v>
      </c>
      <c r="M596" s="303">
        <f t="shared" si="665"/>
        <v>5.8377000000000008</v>
      </c>
      <c r="N596" s="303">
        <f t="shared" si="665"/>
        <v>6.713355</v>
      </c>
      <c r="O596" s="303">
        <f t="shared" si="665"/>
        <v>6.9818892000000004</v>
      </c>
      <c r="P596" s="303">
        <f t="shared" si="665"/>
        <v>7.2611647680000004</v>
      </c>
      <c r="S596" s="545">
        <f t="shared" si="666"/>
        <v>-9.539018403829358E-2</v>
      </c>
      <c r="T596" s="545">
        <f t="shared" si="667"/>
        <v>4.9432413391843344E-2</v>
      </c>
    </row>
    <row r="597" spans="2:20" ht="12.6" customHeight="1" x14ac:dyDescent="0.2">
      <c r="B597" s="56" t="s">
        <v>282</v>
      </c>
      <c r="C597" s="61"/>
      <c r="D597" s="288">
        <v>0</v>
      </c>
      <c r="E597" s="288">
        <v>0</v>
      </c>
      <c r="F597" s="288">
        <v>0</v>
      </c>
      <c r="G597" s="288">
        <v>0</v>
      </c>
      <c r="H597" s="288">
        <v>0</v>
      </c>
      <c r="I597" s="288">
        <v>0</v>
      </c>
      <c r="J597" s="288">
        <v>0</v>
      </c>
      <c r="K597" s="288">
        <v>0</v>
      </c>
      <c r="L597" s="57">
        <f t="shared" ca="1" si="665"/>
        <v>0</v>
      </c>
      <c r="M597" s="303">
        <f t="shared" ca="1" si="665"/>
        <v>0</v>
      </c>
      <c r="N597" s="303">
        <f t="shared" ca="1" si="665"/>
        <v>0</v>
      </c>
      <c r="O597" s="303">
        <f t="shared" ca="1" si="665"/>
        <v>0</v>
      </c>
      <c r="P597" s="303">
        <f t="shared" ca="1" si="665"/>
        <v>0</v>
      </c>
      <c r="S597" s="545" t="str">
        <f t="shared" si="666"/>
        <v xml:space="preserve"> </v>
      </c>
      <c r="T597" s="545" t="str">
        <f t="shared" ca="1" si="667"/>
        <v xml:space="preserve"> </v>
      </c>
    </row>
    <row r="598" spans="2:20" ht="12.6" customHeight="1" x14ac:dyDescent="0.2">
      <c r="B598" s="56" t="s">
        <v>283</v>
      </c>
      <c r="C598" s="61"/>
      <c r="D598" s="288">
        <v>0</v>
      </c>
      <c r="E598" s="288">
        <v>0</v>
      </c>
      <c r="F598" s="288">
        <v>0</v>
      </c>
      <c r="G598" s="288">
        <v>0</v>
      </c>
      <c r="H598" s="288">
        <v>0</v>
      </c>
      <c r="I598" s="288">
        <v>0</v>
      </c>
      <c r="J598" s="288">
        <v>0</v>
      </c>
      <c r="K598" s="288">
        <v>0</v>
      </c>
      <c r="L598" s="57">
        <f t="shared" ca="1" si="665"/>
        <v>0</v>
      </c>
      <c r="M598" s="303">
        <f t="shared" ca="1" si="665"/>
        <v>0</v>
      </c>
      <c r="N598" s="303">
        <f t="shared" ca="1" si="665"/>
        <v>0</v>
      </c>
      <c r="O598" s="303">
        <f t="shared" ca="1" si="665"/>
        <v>0</v>
      </c>
      <c r="P598" s="303">
        <f t="shared" ca="1" si="665"/>
        <v>0</v>
      </c>
      <c r="S598" s="545" t="str">
        <f t="shared" si="666"/>
        <v xml:space="preserve"> </v>
      </c>
      <c r="T598" s="545" t="str">
        <f t="shared" ca="1" si="667"/>
        <v xml:space="preserve"> </v>
      </c>
    </row>
    <row r="599" spans="2:20" ht="12.6" customHeight="1" x14ac:dyDescent="0.2">
      <c r="B599" s="56" t="s">
        <v>284</v>
      </c>
      <c r="C599" s="61"/>
      <c r="D599" s="288">
        <f t="shared" ref="D599:I599" si="668">D600-SUM(D594:D598)</f>
        <v>0.97999999999999865</v>
      </c>
      <c r="E599" s="288">
        <f t="shared" si="668"/>
        <v>1.7400000000000002</v>
      </c>
      <c r="F599" s="288">
        <f t="shared" si="668"/>
        <v>1.8313420000000002</v>
      </c>
      <c r="G599" s="288">
        <f t="shared" si="668"/>
        <v>2.04</v>
      </c>
      <c r="H599" s="288">
        <f t="shared" si="668"/>
        <v>1.9882055979999995</v>
      </c>
      <c r="I599" s="288">
        <f t="shared" si="668"/>
        <v>1.5640000000000001</v>
      </c>
      <c r="J599" s="288">
        <f>J600-SUM(J594:J598)</f>
        <v>1.7199999999999998</v>
      </c>
      <c r="K599" s="288">
        <v>2</v>
      </c>
      <c r="L599" s="57">
        <v>3.2310000000000003</v>
      </c>
      <c r="M599" s="303">
        <f t="shared" si="665"/>
        <v>3.5541000000000005</v>
      </c>
      <c r="N599" s="303">
        <f t="shared" si="665"/>
        <v>4.0872150000000005</v>
      </c>
      <c r="O599" s="303">
        <f t="shared" si="665"/>
        <v>4.2915757500000007</v>
      </c>
      <c r="P599" s="303">
        <f t="shared" si="665"/>
        <v>4.5061545375000005</v>
      </c>
      <c r="S599" s="545">
        <f t="shared" si="666"/>
        <v>9.8290082262135092E-2</v>
      </c>
      <c r="T599" s="545">
        <f t="shared" si="667"/>
        <v>0.17412122529988205</v>
      </c>
    </row>
    <row r="600" spans="2:20" ht="12.6" customHeight="1" x14ac:dyDescent="0.2">
      <c r="B600" s="72" t="s">
        <v>551</v>
      </c>
      <c r="C600" s="95"/>
      <c r="D600" s="63">
        <f t="shared" ref="D600:K600" si="669">D6</f>
        <v>10.899999999999999</v>
      </c>
      <c r="E600" s="63">
        <f t="shared" si="669"/>
        <v>5.25</v>
      </c>
      <c r="F600" s="63">
        <f t="shared" si="669"/>
        <v>6.6109790000000004</v>
      </c>
      <c r="G600" s="63">
        <f t="shared" si="669"/>
        <v>6.83</v>
      </c>
      <c r="H600" s="63">
        <f t="shared" si="669"/>
        <v>6.9256087389999994</v>
      </c>
      <c r="I600" s="63">
        <f t="shared" si="669"/>
        <v>7.0679999999999996</v>
      </c>
      <c r="J600" s="63">
        <f t="shared" si="669"/>
        <v>7.1559999999999997</v>
      </c>
      <c r="K600" s="63">
        <f t="shared" si="669"/>
        <v>6.4</v>
      </c>
      <c r="L600" s="63">
        <f t="shared" ref="L600:P600" ca="1" si="670">SUM(L594:L599)</f>
        <v>8.5380000000000003</v>
      </c>
      <c r="M600" s="64">
        <f t="shared" ca="1" si="670"/>
        <v>9.3918000000000017</v>
      </c>
      <c r="N600" s="64">
        <f t="shared" ca="1" si="670"/>
        <v>10.80057</v>
      </c>
      <c r="O600" s="64">
        <f t="shared" ca="1" si="670"/>
        <v>11.273464950000001</v>
      </c>
      <c r="P600" s="64">
        <f t="shared" ca="1" si="670"/>
        <v>11.767319305500001</v>
      </c>
      <c r="Q600" s="352"/>
      <c r="S600" s="367">
        <f t="shared" si="666"/>
        <v>-6.773229703358985E-2</v>
      </c>
      <c r="T600" s="545">
        <f t="shared" ca="1" si="667"/>
        <v>8.6428628141509423E-2</v>
      </c>
    </row>
    <row r="601" spans="2:20" ht="12.6" customHeight="1" x14ac:dyDescent="0.2">
      <c r="B601" s="72"/>
      <c r="C601" s="95"/>
      <c r="D601" s="63"/>
      <c r="E601" s="63"/>
      <c r="F601" s="63"/>
      <c r="G601" s="63"/>
      <c r="H601" s="63"/>
      <c r="I601" s="63"/>
      <c r="J601" s="63"/>
      <c r="K601" s="63"/>
      <c r="L601" s="63"/>
      <c r="M601" s="64"/>
      <c r="N601" s="64"/>
      <c r="O601" s="64"/>
      <c r="P601" s="64"/>
    </row>
    <row r="602" spans="2:20" ht="12.6" customHeight="1" x14ac:dyDescent="0.2">
      <c r="B602" s="116" t="s">
        <v>227</v>
      </c>
      <c r="C602" s="61"/>
      <c r="D602" s="63"/>
      <c r="E602" s="63"/>
      <c r="F602" s="63"/>
      <c r="G602" s="63"/>
      <c r="H602" s="63"/>
      <c r="I602" s="63"/>
      <c r="J602" s="63"/>
      <c r="K602" s="63"/>
      <c r="L602" s="63"/>
      <c r="M602" s="68"/>
      <c r="N602" s="68"/>
      <c r="O602" s="68"/>
      <c r="P602" s="68"/>
    </row>
    <row r="603" spans="2:20" ht="12.6" customHeight="1" x14ac:dyDescent="0.2">
      <c r="B603" s="322" t="s">
        <v>279</v>
      </c>
      <c r="C603" s="355"/>
      <c r="D603" s="113"/>
      <c r="E603" s="113">
        <f t="shared" ref="E603:E609" si="671">IFERROR(E594/D594-1,0)</f>
        <v>0</v>
      </c>
      <c r="F603" s="113">
        <f t="shared" ref="F603:J609" si="672">IFERROR(F594/E594-1,0)</f>
        <v>0</v>
      </c>
      <c r="G603" s="113">
        <f t="shared" si="672"/>
        <v>0</v>
      </c>
      <c r="H603" s="113">
        <f t="shared" si="672"/>
        <v>0</v>
      </c>
      <c r="I603" s="113">
        <f t="shared" si="672"/>
        <v>0</v>
      </c>
      <c r="J603" s="113">
        <f t="shared" si="672"/>
        <v>0</v>
      </c>
      <c r="K603" s="113">
        <f t="shared" ref="K603:L609" si="673">IFERROR(K594/J594-1,0)</f>
        <v>0</v>
      </c>
      <c r="L603" s="113">
        <f t="shared" ca="1" si="673"/>
        <v>0</v>
      </c>
      <c r="M603" s="356">
        <v>0.05</v>
      </c>
      <c r="N603" s="356">
        <v>0.15</v>
      </c>
      <c r="O603" s="356">
        <v>0.05</v>
      </c>
      <c r="P603" s="356">
        <v>0.05</v>
      </c>
    </row>
    <row r="604" spans="2:20" ht="12.6" customHeight="1" x14ac:dyDescent="0.2">
      <c r="B604" s="322" t="s">
        <v>280</v>
      </c>
      <c r="C604" s="355"/>
      <c r="D604" s="113"/>
      <c r="E604" s="113">
        <f t="shared" si="671"/>
        <v>0</v>
      </c>
      <c r="F604" s="113">
        <f t="shared" si="672"/>
        <v>0</v>
      </c>
      <c r="G604" s="113">
        <f t="shared" si="672"/>
        <v>0</v>
      </c>
      <c r="H604" s="113">
        <f t="shared" si="672"/>
        <v>0</v>
      </c>
      <c r="I604" s="113">
        <f t="shared" si="672"/>
        <v>0</v>
      </c>
      <c r="J604" s="113">
        <f t="shared" si="672"/>
        <v>0</v>
      </c>
      <c r="K604" s="113">
        <f t="shared" si="673"/>
        <v>0</v>
      </c>
      <c r="L604" s="113">
        <f t="shared" ca="1" si="673"/>
        <v>0</v>
      </c>
      <c r="M604" s="356">
        <v>0.05</v>
      </c>
      <c r="N604" s="356">
        <v>0.15</v>
      </c>
      <c r="O604" s="356">
        <v>0.05</v>
      </c>
      <c r="P604" s="356">
        <v>0.05</v>
      </c>
    </row>
    <row r="605" spans="2:20" ht="12.6" customHeight="1" x14ac:dyDescent="0.2">
      <c r="B605" s="322" t="s">
        <v>281</v>
      </c>
      <c r="C605" s="355"/>
      <c r="D605" s="113"/>
      <c r="E605" s="113">
        <f t="shared" si="671"/>
        <v>-0.64616935483870974</v>
      </c>
      <c r="F605" s="113">
        <f t="shared" si="672"/>
        <v>0.36171994301994315</v>
      </c>
      <c r="G605" s="113">
        <f t="shared" si="672"/>
        <v>2.1681562846718183E-3</v>
      </c>
      <c r="H605" s="113">
        <f t="shared" si="672"/>
        <v>3.0773098329853754E-2</v>
      </c>
      <c r="I605" s="113">
        <f t="shared" si="672"/>
        <v>0.11475604539864315</v>
      </c>
      <c r="J605" s="113">
        <f t="shared" si="672"/>
        <v>-1.2354651162790664E-2</v>
      </c>
      <c r="K605" s="113">
        <f t="shared" si="673"/>
        <v>-0.1905813097866077</v>
      </c>
      <c r="L605" s="113">
        <f t="shared" si="673"/>
        <v>0.20613636363636356</v>
      </c>
      <c r="M605" s="356">
        <v>0.1</v>
      </c>
      <c r="N605" s="356">
        <v>0.15</v>
      </c>
      <c r="O605" s="356">
        <v>0.04</v>
      </c>
      <c r="P605" s="356">
        <v>0.04</v>
      </c>
    </row>
    <row r="606" spans="2:20" ht="12.6" customHeight="1" x14ac:dyDescent="0.2">
      <c r="B606" s="322" t="s">
        <v>282</v>
      </c>
      <c r="C606" s="355"/>
      <c r="D606" s="113"/>
      <c r="E606" s="113">
        <f t="shared" si="671"/>
        <v>0</v>
      </c>
      <c r="F606" s="113">
        <f t="shared" si="672"/>
        <v>0</v>
      </c>
      <c r="G606" s="113">
        <f t="shared" si="672"/>
        <v>0</v>
      </c>
      <c r="H606" s="113">
        <f t="shared" si="672"/>
        <v>0</v>
      </c>
      <c r="I606" s="113">
        <f t="shared" si="672"/>
        <v>0</v>
      </c>
      <c r="J606" s="113">
        <f t="shared" si="672"/>
        <v>0</v>
      </c>
      <c r="K606" s="113">
        <f t="shared" si="673"/>
        <v>0</v>
      </c>
      <c r="L606" s="113">
        <f t="shared" ca="1" si="673"/>
        <v>0</v>
      </c>
      <c r="M606" s="356">
        <v>0.05</v>
      </c>
      <c r="N606" s="356">
        <v>0.15</v>
      </c>
      <c r="O606" s="356">
        <v>0.05</v>
      </c>
      <c r="P606" s="356">
        <v>0.05</v>
      </c>
    </row>
    <row r="607" spans="2:20" ht="12.6" customHeight="1" x14ac:dyDescent="0.2">
      <c r="B607" s="322" t="s">
        <v>283</v>
      </c>
      <c r="C607" s="355"/>
      <c r="D607" s="113"/>
      <c r="E607" s="113">
        <f t="shared" si="671"/>
        <v>0</v>
      </c>
      <c r="F607" s="113">
        <f t="shared" si="672"/>
        <v>0</v>
      </c>
      <c r="G607" s="113">
        <f t="shared" si="672"/>
        <v>0</v>
      </c>
      <c r="H607" s="113">
        <f t="shared" si="672"/>
        <v>0</v>
      </c>
      <c r="I607" s="113">
        <f t="shared" si="672"/>
        <v>0</v>
      </c>
      <c r="J607" s="113">
        <f t="shared" si="672"/>
        <v>0</v>
      </c>
      <c r="K607" s="113">
        <f t="shared" si="673"/>
        <v>0</v>
      </c>
      <c r="L607" s="113">
        <f t="shared" ca="1" si="673"/>
        <v>0</v>
      </c>
      <c r="M607" s="356">
        <v>0.05</v>
      </c>
      <c r="N607" s="356">
        <v>0.15</v>
      </c>
      <c r="O607" s="356">
        <v>0.05</v>
      </c>
      <c r="P607" s="356">
        <v>0.05</v>
      </c>
    </row>
    <row r="608" spans="2:20" ht="12.6" customHeight="1" x14ac:dyDescent="0.2">
      <c r="B608" s="322" t="s">
        <v>284</v>
      </c>
      <c r="C608" s="355"/>
      <c r="D608" s="113"/>
      <c r="E608" s="113">
        <f t="shared" si="671"/>
        <v>0.77551020408163529</v>
      </c>
      <c r="F608" s="113">
        <f t="shared" si="672"/>
        <v>5.2495402298850635E-2</v>
      </c>
      <c r="G608" s="113">
        <f t="shared" si="672"/>
        <v>0.11393721107253585</v>
      </c>
      <c r="H608" s="113">
        <f t="shared" si="672"/>
        <v>-2.5389412745098316E-2</v>
      </c>
      <c r="I608" s="113">
        <f t="shared" si="672"/>
        <v>-0.21336103189062616</v>
      </c>
      <c r="J608" s="113">
        <f t="shared" si="672"/>
        <v>9.9744245524296504E-2</v>
      </c>
      <c r="K608" s="113">
        <f t="shared" si="673"/>
        <v>0.16279069767441867</v>
      </c>
      <c r="L608" s="113">
        <f t="shared" si="673"/>
        <v>0.61550000000000016</v>
      </c>
      <c r="M608" s="356">
        <v>0.1</v>
      </c>
      <c r="N608" s="356">
        <v>0.15</v>
      </c>
      <c r="O608" s="356">
        <v>0.05</v>
      </c>
      <c r="P608" s="356">
        <v>0.05</v>
      </c>
    </row>
    <row r="609" spans="2:16" ht="12.6" customHeight="1" x14ac:dyDescent="0.2">
      <c r="B609" s="331" t="s">
        <v>551</v>
      </c>
      <c r="C609" s="358"/>
      <c r="D609" s="117"/>
      <c r="E609" s="117">
        <f t="shared" si="671"/>
        <v>-0.5183486238532109</v>
      </c>
      <c r="F609" s="117">
        <f t="shared" si="672"/>
        <v>0.25923409523809537</v>
      </c>
      <c r="G609" s="117">
        <f t="shared" si="672"/>
        <v>3.3129888931729967E-2</v>
      </c>
      <c r="H609" s="117">
        <f t="shared" si="672"/>
        <v>1.3998351244509433E-2</v>
      </c>
      <c r="I609" s="117">
        <f t="shared" si="672"/>
        <v>2.0560107618866175E-2</v>
      </c>
      <c r="J609" s="117">
        <f t="shared" si="672"/>
        <v>1.2450481041313077E-2</v>
      </c>
      <c r="K609" s="117">
        <f t="shared" si="673"/>
        <v>-0.1056456120737842</v>
      </c>
      <c r="L609" s="117">
        <f t="shared" ca="1" si="673"/>
        <v>0.33406249999999993</v>
      </c>
      <c r="M609" s="204">
        <f t="shared" ref="M609:P609" ca="1" si="674">IFERROR(M600/L600-1,0)</f>
        <v>0.10000000000000009</v>
      </c>
      <c r="N609" s="204">
        <f t="shared" ca="1" si="674"/>
        <v>0.14999999999999991</v>
      </c>
      <c r="O609" s="204">
        <f t="shared" ca="1" si="674"/>
        <v>4.378425860857349E-2</v>
      </c>
      <c r="P609" s="204">
        <f t="shared" ca="1" si="674"/>
        <v>4.3806793890817097E-2</v>
      </c>
    </row>
    <row r="610" spans="2:16" ht="12.6" customHeight="1" x14ac:dyDescent="0.2">
      <c r="B610" s="201"/>
      <c r="C610" s="326"/>
      <c r="D610" s="335"/>
      <c r="E610" s="335"/>
      <c r="F610" s="335"/>
      <c r="G610" s="335"/>
      <c r="H610" s="335"/>
      <c r="I610" s="335"/>
      <c r="J610" s="335"/>
      <c r="K610" s="335"/>
      <c r="L610" s="335"/>
      <c r="M610" s="357"/>
      <c r="N610" s="357"/>
      <c r="O610" s="357"/>
      <c r="P610" s="357"/>
    </row>
    <row r="611" spans="2:16" ht="12.6" customHeight="1" x14ac:dyDescent="0.2">
      <c r="B611" s="331" t="s">
        <v>287</v>
      </c>
      <c r="C611" s="326"/>
      <c r="D611" s="335"/>
      <c r="E611" s="335"/>
      <c r="F611" s="335"/>
      <c r="G611" s="335"/>
      <c r="H611" s="335"/>
      <c r="I611" s="335"/>
      <c r="J611" s="335"/>
      <c r="K611" s="335"/>
      <c r="L611" s="335"/>
      <c r="M611" s="357"/>
      <c r="N611" s="357"/>
      <c r="O611" s="357"/>
      <c r="P611" s="357"/>
    </row>
    <row r="612" spans="2:16" ht="12.6" customHeight="1" x14ac:dyDescent="0.2">
      <c r="B612" s="322" t="s">
        <v>279</v>
      </c>
      <c r="C612" s="326"/>
      <c r="D612" s="113">
        <f t="shared" ref="D612:P618" si="675">D594/D$600</f>
        <v>0</v>
      </c>
      <c r="E612" s="113">
        <f t="shared" si="675"/>
        <v>0</v>
      </c>
      <c r="F612" s="113">
        <f t="shared" si="675"/>
        <v>0</v>
      </c>
      <c r="G612" s="113">
        <f t="shared" si="675"/>
        <v>0</v>
      </c>
      <c r="H612" s="113">
        <f t="shared" si="675"/>
        <v>0</v>
      </c>
      <c r="I612" s="113">
        <f t="shared" si="675"/>
        <v>0</v>
      </c>
      <c r="J612" s="113">
        <f t="shared" si="675"/>
        <v>0</v>
      </c>
      <c r="K612" s="113">
        <f t="shared" ref="K612:L612" si="676">K594/K$600</f>
        <v>0</v>
      </c>
      <c r="L612" s="113">
        <f t="shared" ca="1" si="676"/>
        <v>0</v>
      </c>
      <c r="M612" s="197">
        <f t="shared" ca="1" si="675"/>
        <v>0</v>
      </c>
      <c r="N612" s="197">
        <f t="shared" ca="1" si="675"/>
        <v>0</v>
      </c>
      <c r="O612" s="197">
        <f t="shared" ca="1" si="675"/>
        <v>0</v>
      </c>
      <c r="P612" s="197">
        <f t="shared" ca="1" si="675"/>
        <v>0</v>
      </c>
    </row>
    <row r="613" spans="2:16" ht="12.6" customHeight="1" x14ac:dyDescent="0.2">
      <c r="B613" s="322" t="s">
        <v>280</v>
      </c>
      <c r="C613" s="326"/>
      <c r="D613" s="113">
        <f t="shared" ref="D613:P613" si="677">D595/D$600</f>
        <v>0</v>
      </c>
      <c r="E613" s="113">
        <f t="shared" si="675"/>
        <v>0</v>
      </c>
      <c r="F613" s="113">
        <f t="shared" si="677"/>
        <v>0</v>
      </c>
      <c r="G613" s="113">
        <f t="shared" si="677"/>
        <v>0</v>
      </c>
      <c r="H613" s="113">
        <f t="shared" si="677"/>
        <v>0</v>
      </c>
      <c r="I613" s="113">
        <f t="shared" si="677"/>
        <v>0</v>
      </c>
      <c r="J613" s="113">
        <f t="shared" si="677"/>
        <v>0</v>
      </c>
      <c r="K613" s="113">
        <f t="shared" ref="K613:L613" si="678">K595/K$600</f>
        <v>0</v>
      </c>
      <c r="L613" s="113">
        <f t="shared" ca="1" si="678"/>
        <v>0</v>
      </c>
      <c r="M613" s="197">
        <f t="shared" ca="1" si="677"/>
        <v>0</v>
      </c>
      <c r="N613" s="197">
        <f t="shared" ca="1" si="677"/>
        <v>0</v>
      </c>
      <c r="O613" s="197">
        <f t="shared" ca="1" si="677"/>
        <v>0</v>
      </c>
      <c r="P613" s="197">
        <f t="shared" ca="1" si="677"/>
        <v>0</v>
      </c>
    </row>
    <row r="614" spans="2:16" ht="12.6" customHeight="1" x14ac:dyDescent="0.2">
      <c r="B614" s="322" t="s">
        <v>281</v>
      </c>
      <c r="C614" s="326"/>
      <c r="D614" s="113">
        <f t="shared" ref="D614:P614" si="679">D596/D$600</f>
        <v>0.91009174311926622</v>
      </c>
      <c r="E614" s="113">
        <f t="shared" si="675"/>
        <v>0.66857142857142848</v>
      </c>
      <c r="F614" s="113">
        <f t="shared" si="679"/>
        <v>0.72298475006500551</v>
      </c>
      <c r="G614" s="113">
        <f t="shared" si="679"/>
        <v>0.70131771595900438</v>
      </c>
      <c r="H614" s="113">
        <f t="shared" si="679"/>
        <v>0.71291973414497567</v>
      </c>
      <c r="I614" s="113">
        <f t="shared" si="679"/>
        <v>0.77872099603848333</v>
      </c>
      <c r="J614" s="113">
        <f t="shared" si="679"/>
        <v>0.75964225824482956</v>
      </c>
      <c r="K614" s="113">
        <f t="shared" ref="K614:L614" si="680">K596/K$600</f>
        <v>0.6875</v>
      </c>
      <c r="L614" s="113">
        <f t="shared" ca="1" si="680"/>
        <v>0.62157413914265636</v>
      </c>
      <c r="M614" s="197">
        <f t="shared" ca="1" si="679"/>
        <v>0.62157413914265636</v>
      </c>
      <c r="N614" s="197">
        <f t="shared" ca="1" si="679"/>
        <v>0.62157413914265636</v>
      </c>
      <c r="O614" s="197">
        <f t="shared" ca="1" si="679"/>
        <v>0.61932061091829627</v>
      </c>
      <c r="P614" s="197">
        <f t="shared" ca="1" si="679"/>
        <v>0.6170619305457411</v>
      </c>
    </row>
    <row r="615" spans="2:16" ht="12.6" customHeight="1" x14ac:dyDescent="0.2">
      <c r="B615" s="322" t="s">
        <v>282</v>
      </c>
      <c r="C615" s="326"/>
      <c r="D615" s="113">
        <f t="shared" ref="D615:P615" si="681">D597/D$600</f>
        <v>0</v>
      </c>
      <c r="E615" s="113">
        <f t="shared" si="675"/>
        <v>0</v>
      </c>
      <c r="F615" s="113">
        <f t="shared" si="681"/>
        <v>0</v>
      </c>
      <c r="G615" s="113">
        <f t="shared" si="681"/>
        <v>0</v>
      </c>
      <c r="H615" s="113">
        <f t="shared" si="681"/>
        <v>0</v>
      </c>
      <c r="I615" s="113">
        <f t="shared" si="681"/>
        <v>0</v>
      </c>
      <c r="J615" s="113">
        <f t="shared" si="681"/>
        <v>0</v>
      </c>
      <c r="K615" s="113">
        <f t="shared" ref="K615:L615" si="682">K597/K$600</f>
        <v>0</v>
      </c>
      <c r="L615" s="113">
        <f t="shared" ca="1" si="682"/>
        <v>0</v>
      </c>
      <c r="M615" s="197">
        <f t="shared" ca="1" si="681"/>
        <v>0</v>
      </c>
      <c r="N615" s="197">
        <f t="shared" ca="1" si="681"/>
        <v>0</v>
      </c>
      <c r="O615" s="197">
        <f t="shared" ca="1" si="681"/>
        <v>0</v>
      </c>
      <c r="P615" s="197">
        <f t="shared" ca="1" si="681"/>
        <v>0</v>
      </c>
    </row>
    <row r="616" spans="2:16" ht="12.6" customHeight="1" x14ac:dyDescent="0.2">
      <c r="B616" s="322" t="s">
        <v>283</v>
      </c>
      <c r="C616" s="326"/>
      <c r="D616" s="113">
        <f t="shared" ref="D616:P616" si="683">D598/D$600</f>
        <v>0</v>
      </c>
      <c r="E616" s="113">
        <f t="shared" si="675"/>
        <v>0</v>
      </c>
      <c r="F616" s="113">
        <f t="shared" si="683"/>
        <v>0</v>
      </c>
      <c r="G616" s="113">
        <f t="shared" si="683"/>
        <v>0</v>
      </c>
      <c r="H616" s="113">
        <f t="shared" si="683"/>
        <v>0</v>
      </c>
      <c r="I616" s="113">
        <f t="shared" si="683"/>
        <v>0</v>
      </c>
      <c r="J616" s="113">
        <f t="shared" si="683"/>
        <v>0</v>
      </c>
      <c r="K616" s="113">
        <f t="shared" ref="K616:L616" si="684">K598/K$600</f>
        <v>0</v>
      </c>
      <c r="L616" s="113">
        <f t="shared" ca="1" si="684"/>
        <v>0</v>
      </c>
      <c r="M616" s="197">
        <f t="shared" ca="1" si="683"/>
        <v>0</v>
      </c>
      <c r="N616" s="197">
        <f t="shared" ca="1" si="683"/>
        <v>0</v>
      </c>
      <c r="O616" s="197">
        <f t="shared" ca="1" si="683"/>
        <v>0</v>
      </c>
      <c r="P616" s="197">
        <f t="shared" ca="1" si="683"/>
        <v>0</v>
      </c>
    </row>
    <row r="617" spans="2:16" ht="12.6" customHeight="1" x14ac:dyDescent="0.2">
      <c r="B617" s="322" t="s">
        <v>284</v>
      </c>
      <c r="C617" s="326"/>
      <c r="D617" s="113">
        <f t="shared" ref="D617:P617" si="685">D599/D$600</f>
        <v>8.9908256880733839E-2</v>
      </c>
      <c r="E617" s="113">
        <f t="shared" si="675"/>
        <v>0.33142857142857146</v>
      </c>
      <c r="F617" s="113">
        <f t="shared" si="685"/>
        <v>0.27701524993499455</v>
      </c>
      <c r="G617" s="113">
        <f t="shared" si="685"/>
        <v>0.29868228404099562</v>
      </c>
      <c r="H617" s="113">
        <f t="shared" si="685"/>
        <v>0.28708026585502433</v>
      </c>
      <c r="I617" s="113">
        <f t="shared" si="685"/>
        <v>0.2212790039615167</v>
      </c>
      <c r="J617" s="113">
        <f t="shared" si="685"/>
        <v>0.24035774175517047</v>
      </c>
      <c r="K617" s="113">
        <f t="shared" ref="K617:L617" si="686">K599/K$600</f>
        <v>0.3125</v>
      </c>
      <c r="L617" s="113">
        <f t="shared" ca="1" si="686"/>
        <v>0.37842586085734364</v>
      </c>
      <c r="M617" s="197">
        <f t="shared" ca="1" si="685"/>
        <v>0.37842586085734364</v>
      </c>
      <c r="N617" s="197">
        <f t="shared" ca="1" si="685"/>
        <v>0.37842586085734364</v>
      </c>
      <c r="O617" s="197">
        <f t="shared" ca="1" si="685"/>
        <v>0.38067938908170379</v>
      </c>
      <c r="P617" s="197">
        <f t="shared" ca="1" si="685"/>
        <v>0.38293806945425884</v>
      </c>
    </row>
    <row r="618" spans="2:16" ht="12.6" customHeight="1" x14ac:dyDescent="0.2">
      <c r="B618" s="359" t="s">
        <v>551</v>
      </c>
      <c r="C618" s="327"/>
      <c r="D618" s="117">
        <f t="shared" ref="D618:P618" si="687">D600/D$600</f>
        <v>1</v>
      </c>
      <c r="E618" s="117">
        <f t="shared" si="675"/>
        <v>1</v>
      </c>
      <c r="F618" s="117">
        <f t="shared" si="687"/>
        <v>1</v>
      </c>
      <c r="G618" s="117">
        <f t="shared" si="687"/>
        <v>1</v>
      </c>
      <c r="H618" s="117">
        <f t="shared" si="687"/>
        <v>1</v>
      </c>
      <c r="I618" s="117">
        <f t="shared" si="687"/>
        <v>1</v>
      </c>
      <c r="J618" s="117">
        <f t="shared" si="687"/>
        <v>1</v>
      </c>
      <c r="K618" s="117">
        <f t="shared" ref="K618:L618" si="688">K600/K$600</f>
        <v>1</v>
      </c>
      <c r="L618" s="117">
        <f t="shared" ca="1" si="688"/>
        <v>1</v>
      </c>
      <c r="M618" s="204">
        <f t="shared" ca="1" si="687"/>
        <v>1</v>
      </c>
      <c r="N618" s="204">
        <f t="shared" ca="1" si="687"/>
        <v>1</v>
      </c>
      <c r="O618" s="204">
        <f t="shared" ca="1" si="687"/>
        <v>1</v>
      </c>
      <c r="P618" s="204">
        <f t="shared" ca="1" si="687"/>
        <v>1</v>
      </c>
    </row>
    <row r="619" spans="2:16" ht="12.6" customHeight="1" x14ac:dyDescent="0.2">
      <c r="B619" s="56"/>
      <c r="C619" s="61"/>
      <c r="D619" s="57"/>
      <c r="E619" s="57"/>
      <c r="F619" s="57"/>
      <c r="G619" s="57"/>
      <c r="H619" s="57"/>
      <c r="I619" s="57"/>
      <c r="J619" s="57"/>
      <c r="K619" s="57"/>
      <c r="L619" s="68"/>
      <c r="M619" s="68"/>
      <c r="N619" s="68"/>
      <c r="O619" s="68"/>
      <c r="P619" s="68"/>
    </row>
    <row r="620" spans="2:16" ht="12.6" customHeight="1" x14ac:dyDescent="0.2">
      <c r="B620" s="56" t="s">
        <v>563</v>
      </c>
      <c r="C620" s="61"/>
      <c r="D620" s="57"/>
      <c r="E620" s="57"/>
      <c r="F620" s="57"/>
      <c r="G620" s="57"/>
      <c r="H620" s="57"/>
      <c r="I620" s="57"/>
      <c r="J620" s="57">
        <f>J630*J600</f>
        <v>7.0844399999999998</v>
      </c>
      <c r="K620" s="57">
        <f>K630*K600</f>
        <v>6.2080000000000002</v>
      </c>
      <c r="L620" s="68">
        <f t="shared" ref="L620:P620" ca="1" si="689">L622-L621</f>
        <v>8.28186</v>
      </c>
      <c r="M620" s="68">
        <f t="shared" ca="1" si="689"/>
        <v>9.1100460000000023</v>
      </c>
      <c r="N620" s="68">
        <f t="shared" ca="1" si="689"/>
        <v>10.4765529</v>
      </c>
      <c r="O620" s="68">
        <f t="shared" ca="1" si="689"/>
        <v>10.935261001500001</v>
      </c>
      <c r="P620" s="68">
        <f t="shared" ca="1" si="689"/>
        <v>11.414299726335001</v>
      </c>
    </row>
    <row r="621" spans="2:16" ht="12.6" customHeight="1" x14ac:dyDescent="0.2">
      <c r="B621" s="56" t="s">
        <v>299</v>
      </c>
      <c r="C621" s="61"/>
      <c r="D621" s="57"/>
      <c r="E621" s="57"/>
      <c r="F621" s="57"/>
      <c r="G621" s="57"/>
      <c r="H621" s="57"/>
      <c r="I621" s="57"/>
      <c r="J621" s="57">
        <f t="shared" ref="J621:P621" si="690">J631*J600</f>
        <v>7.1559999999999999E-2</v>
      </c>
      <c r="K621" s="57">
        <f t="shared" ref="K621" si="691">K631*K600</f>
        <v>0.192</v>
      </c>
      <c r="L621" s="68">
        <f t="shared" ca="1" si="690"/>
        <v>0.25613999999999998</v>
      </c>
      <c r="M621" s="68">
        <f t="shared" ca="1" si="690"/>
        <v>0.28175400000000006</v>
      </c>
      <c r="N621" s="68">
        <f t="shared" ca="1" si="690"/>
        <v>0.3240171</v>
      </c>
      <c r="O621" s="68">
        <f t="shared" ca="1" si="690"/>
        <v>0.33820394850000002</v>
      </c>
      <c r="P621" s="68">
        <f t="shared" ca="1" si="690"/>
        <v>0.35301957916500004</v>
      </c>
    </row>
    <row r="622" spans="2:16" s="205" customFormat="1" ht="12.6" customHeight="1" x14ac:dyDescent="0.2">
      <c r="B622" s="72" t="s">
        <v>551</v>
      </c>
      <c r="C622" s="61"/>
      <c r="D622" s="63"/>
      <c r="E622" s="63"/>
      <c r="F622" s="63"/>
      <c r="G622" s="63"/>
      <c r="H622" s="63"/>
      <c r="I622" s="63"/>
      <c r="J622" s="63">
        <f>SUM(J620:J621)</f>
        <v>7.1559999999999997</v>
      </c>
      <c r="K622" s="63">
        <f>SUM(K620:K621)</f>
        <v>6.4</v>
      </c>
      <c r="L622" s="64">
        <f t="shared" ref="L622:P622" ca="1" si="692">L600</f>
        <v>8.5380000000000003</v>
      </c>
      <c r="M622" s="64">
        <f t="shared" ca="1" si="692"/>
        <v>9.3918000000000017</v>
      </c>
      <c r="N622" s="64">
        <f t="shared" ca="1" si="692"/>
        <v>10.80057</v>
      </c>
      <c r="O622" s="64">
        <f t="shared" ca="1" si="692"/>
        <v>11.273464950000001</v>
      </c>
      <c r="P622" s="64">
        <f t="shared" ca="1" si="692"/>
        <v>11.767319305500001</v>
      </c>
    </row>
    <row r="623" spans="2:16" ht="12.6" customHeight="1" x14ac:dyDescent="0.2">
      <c r="B623" s="72"/>
      <c r="C623" s="61"/>
      <c r="D623" s="63"/>
      <c r="E623" s="63"/>
      <c r="F623" s="63"/>
      <c r="G623" s="63"/>
      <c r="H623" s="63"/>
      <c r="I623" s="63"/>
      <c r="J623" s="63"/>
      <c r="K623" s="63"/>
      <c r="L623" s="64"/>
      <c r="M623" s="64"/>
      <c r="N623" s="64"/>
      <c r="O623" s="64"/>
      <c r="P623" s="64"/>
    </row>
    <row r="624" spans="2:16" ht="12.6" customHeight="1" x14ac:dyDescent="0.2">
      <c r="B624" s="331" t="s">
        <v>227</v>
      </c>
      <c r="C624" s="326"/>
      <c r="D624" s="335"/>
      <c r="E624" s="335"/>
      <c r="F624" s="335"/>
      <c r="G624" s="335"/>
      <c r="H624" s="335"/>
      <c r="I624" s="335"/>
      <c r="J624" s="335"/>
      <c r="K624" s="335"/>
      <c r="L624" s="336"/>
      <c r="M624" s="336"/>
      <c r="N624" s="336"/>
      <c r="O624" s="336"/>
      <c r="P624" s="336"/>
    </row>
    <row r="625" spans="2:20" ht="12.6" customHeight="1" x14ac:dyDescent="0.2">
      <c r="B625" s="322" t="s">
        <v>563</v>
      </c>
      <c r="C625" s="326"/>
      <c r="D625" s="113"/>
      <c r="E625" s="113"/>
      <c r="F625" s="113"/>
      <c r="G625" s="113"/>
      <c r="H625" s="113"/>
      <c r="I625" s="113"/>
      <c r="J625" s="113" t="str">
        <f t="shared" ref="J625:P625" si="693">IFERROR(J620/I620-1,"--")</f>
        <v>--</v>
      </c>
      <c r="K625" s="113">
        <f t="shared" si="693"/>
        <v>-0.12371337748643496</v>
      </c>
      <c r="L625" s="197">
        <f t="shared" ca="1" si="693"/>
        <v>0.33406249999999993</v>
      </c>
      <c r="M625" s="197">
        <f t="shared" ca="1" si="693"/>
        <v>0.10000000000000031</v>
      </c>
      <c r="N625" s="197">
        <f t="shared" ca="1" si="693"/>
        <v>0.14999999999999969</v>
      </c>
      <c r="O625" s="197">
        <f t="shared" ca="1" si="693"/>
        <v>4.378425860857349E-2</v>
      </c>
      <c r="P625" s="197">
        <f t="shared" ca="1" si="693"/>
        <v>4.3806793890817097E-2</v>
      </c>
    </row>
    <row r="626" spans="2:20" ht="12.6" customHeight="1" x14ac:dyDescent="0.2">
      <c r="B626" s="322" t="s">
        <v>299</v>
      </c>
      <c r="C626" s="326"/>
      <c r="D626" s="113"/>
      <c r="E626" s="113"/>
      <c r="F626" s="113"/>
      <c r="G626" s="113"/>
      <c r="H626" s="113"/>
      <c r="I626" s="113"/>
      <c r="J626" s="113" t="str">
        <f t="shared" ref="J626:P626" si="694">IFERROR(J621/I621-1,"--")</f>
        <v>--</v>
      </c>
      <c r="K626" s="113">
        <f t="shared" si="694"/>
        <v>1.6830631637786473</v>
      </c>
      <c r="L626" s="197">
        <f t="shared" ca="1" si="694"/>
        <v>0.33406249999999993</v>
      </c>
      <c r="M626" s="197">
        <f t="shared" ca="1" si="694"/>
        <v>0.10000000000000031</v>
      </c>
      <c r="N626" s="197">
        <f t="shared" ca="1" si="694"/>
        <v>0.14999999999999969</v>
      </c>
      <c r="O626" s="197">
        <f t="shared" ca="1" si="694"/>
        <v>4.378425860857349E-2</v>
      </c>
      <c r="P626" s="197">
        <f t="shared" ca="1" si="694"/>
        <v>4.3806793890817097E-2</v>
      </c>
    </row>
    <row r="627" spans="2:20" ht="12.6" customHeight="1" x14ac:dyDescent="0.2">
      <c r="B627" s="331" t="s">
        <v>551</v>
      </c>
      <c r="C627" s="327"/>
      <c r="D627" s="117"/>
      <c r="E627" s="117"/>
      <c r="F627" s="117"/>
      <c r="G627" s="117"/>
      <c r="H627" s="117"/>
      <c r="I627" s="117"/>
      <c r="J627" s="117" t="str">
        <f>IFERROR(J622/I622-1,"--")</f>
        <v>--</v>
      </c>
      <c r="K627" s="117">
        <f>IFERROR(K622/J622-1,"--")</f>
        <v>-0.1056456120737842</v>
      </c>
      <c r="L627" s="204">
        <f t="shared" ref="L627:P627" ca="1" si="695">IFERROR(L622/K622-1,"--")</f>
        <v>0.33406249999999993</v>
      </c>
      <c r="M627" s="204">
        <f t="shared" ca="1" si="695"/>
        <v>0.10000000000000009</v>
      </c>
      <c r="N627" s="204">
        <f t="shared" ca="1" si="695"/>
        <v>0.14999999999999991</v>
      </c>
      <c r="O627" s="204">
        <f t="shared" ca="1" si="695"/>
        <v>4.378425860857349E-2</v>
      </c>
      <c r="P627" s="204">
        <f t="shared" ca="1" si="695"/>
        <v>4.3806793890817097E-2</v>
      </c>
    </row>
    <row r="628" spans="2:20" ht="12.6" customHeight="1" x14ac:dyDescent="0.2">
      <c r="B628" s="331"/>
      <c r="C628" s="326"/>
      <c r="D628" s="335"/>
      <c r="E628" s="335"/>
      <c r="F628" s="335"/>
      <c r="G628" s="335"/>
      <c r="H628" s="335"/>
      <c r="I628" s="335"/>
      <c r="J628" s="335"/>
      <c r="K628" s="335"/>
      <c r="L628" s="336"/>
      <c r="M628" s="336"/>
      <c r="N628" s="336"/>
      <c r="O628" s="336"/>
      <c r="P628" s="336"/>
    </row>
    <row r="629" spans="2:20" ht="12.6" customHeight="1" x14ac:dyDescent="0.2">
      <c r="B629" s="331" t="s">
        <v>287</v>
      </c>
      <c r="C629" s="326"/>
      <c r="D629" s="335"/>
      <c r="E629" s="335"/>
      <c r="F629" s="335"/>
      <c r="G629" s="335"/>
      <c r="H629" s="335"/>
      <c r="I629" s="335"/>
      <c r="J629" s="335"/>
      <c r="K629" s="335"/>
      <c r="L629" s="336"/>
      <c r="M629" s="336"/>
      <c r="N629" s="336"/>
      <c r="O629" s="336"/>
      <c r="P629" s="336"/>
    </row>
    <row r="630" spans="2:20" ht="12.6" customHeight="1" x14ac:dyDescent="0.2">
      <c r="B630" s="322" t="s">
        <v>563</v>
      </c>
      <c r="C630" s="326"/>
      <c r="D630" s="113"/>
      <c r="E630" s="113"/>
      <c r="F630" s="113"/>
      <c r="G630" s="113"/>
      <c r="H630" s="113"/>
      <c r="I630" s="113"/>
      <c r="J630" s="113">
        <f t="shared" ref="J630:P630" si="696">1-J631</f>
        <v>0.99</v>
      </c>
      <c r="K630" s="113">
        <f t="shared" si="696"/>
        <v>0.97</v>
      </c>
      <c r="L630" s="197">
        <f t="shared" si="696"/>
        <v>0.97</v>
      </c>
      <c r="M630" s="197">
        <f t="shared" si="696"/>
        <v>0.97</v>
      </c>
      <c r="N630" s="197">
        <f t="shared" si="696"/>
        <v>0.97</v>
      </c>
      <c r="O630" s="197">
        <f t="shared" si="696"/>
        <v>0.97</v>
      </c>
      <c r="P630" s="197">
        <f t="shared" si="696"/>
        <v>0.97</v>
      </c>
    </row>
    <row r="631" spans="2:20" ht="12.6" customHeight="1" x14ac:dyDescent="0.2">
      <c r="B631" s="359" t="s">
        <v>299</v>
      </c>
      <c r="C631" s="327"/>
      <c r="D631" s="117"/>
      <c r="E631" s="117"/>
      <c r="F631" s="117"/>
      <c r="G631" s="117"/>
      <c r="H631" s="117"/>
      <c r="I631" s="117"/>
      <c r="J631" s="117">
        <v>0.01</v>
      </c>
      <c r="K631" s="117">
        <v>0.03</v>
      </c>
      <c r="L631" s="360">
        <f t="shared" ref="L631:P631" si="697">K631</f>
        <v>0.03</v>
      </c>
      <c r="M631" s="360">
        <f t="shared" si="697"/>
        <v>0.03</v>
      </c>
      <c r="N631" s="360">
        <f t="shared" si="697"/>
        <v>0.03</v>
      </c>
      <c r="O631" s="360">
        <f t="shared" si="697"/>
        <v>0.03</v>
      </c>
      <c r="P631" s="360">
        <f t="shared" si="697"/>
        <v>0.03</v>
      </c>
    </row>
    <row r="632" spans="2:20" ht="12.6" customHeight="1" x14ac:dyDescent="0.2">
      <c r="B632" s="116"/>
      <c r="C632" s="61"/>
      <c r="D632" s="63"/>
      <c r="E632" s="63"/>
      <c r="F632" s="63"/>
      <c r="G632" s="63"/>
      <c r="H632" s="63"/>
      <c r="I632" s="63"/>
      <c r="J632" s="63"/>
      <c r="K632" s="63"/>
      <c r="L632" s="64"/>
      <c r="M632" s="64"/>
      <c r="N632" s="64"/>
      <c r="O632" s="64"/>
      <c r="P632" s="64"/>
    </row>
    <row r="633" spans="2:20" ht="12.6" customHeight="1" x14ac:dyDescent="0.2">
      <c r="B633" s="196"/>
      <c r="D633" s="310"/>
      <c r="E633" s="310"/>
      <c r="F633" s="310"/>
      <c r="G633" s="310"/>
      <c r="H633" s="310"/>
      <c r="I633" s="310"/>
      <c r="J633" s="310"/>
      <c r="K633" s="310"/>
      <c r="L633" s="310"/>
      <c r="M633" s="310"/>
      <c r="N633" s="310"/>
      <c r="O633" s="310"/>
      <c r="P633" s="310"/>
    </row>
    <row r="634" spans="2:20" ht="12.6" customHeight="1" x14ac:dyDescent="0.2">
      <c r="B634" s="50" t="s">
        <v>10</v>
      </c>
      <c r="C634" s="50" t="s">
        <v>473</v>
      </c>
      <c r="D634" s="163"/>
      <c r="E634" s="163"/>
      <c r="F634" s="163"/>
      <c r="G634" s="51"/>
      <c r="H634" s="51"/>
      <c r="I634" s="51"/>
      <c r="J634" s="51"/>
      <c r="K634" s="51"/>
      <c r="L634" s="54"/>
      <c r="M634" s="54"/>
      <c r="N634" s="54"/>
      <c r="O634" s="54"/>
      <c r="P634" s="54"/>
    </row>
    <row r="635" spans="2:20" ht="12.6" customHeight="1" x14ac:dyDescent="0.2">
      <c r="B635" s="61" t="s">
        <v>565</v>
      </c>
      <c r="C635" s="61"/>
      <c r="D635" s="63"/>
      <c r="E635" s="63"/>
      <c r="F635" s="311">
        <f>'Paradip Iron'!I7</f>
        <v>230.041</v>
      </c>
      <c r="G635" s="301">
        <f>'Paradip Iron'!J7</f>
        <v>1938.0070000000001</v>
      </c>
      <c r="H635" s="301">
        <f>'Paradip Iron'!K7</f>
        <v>1732.088</v>
      </c>
      <c r="I635" s="301">
        <f>'Paradip Iron'!L7</f>
        <v>2336.7759999999998</v>
      </c>
      <c r="J635" s="301">
        <f>'Paradip Iron'!M7</f>
        <v>3256.83</v>
      </c>
      <c r="K635" s="301">
        <f>'Paradip Iron'!N7</f>
        <v>3001.3760000000002</v>
      </c>
      <c r="L635" s="302">
        <f t="shared" ref="L635:P635" ca="1" si="698">L636*L649</f>
        <v>2006.9727410526318</v>
      </c>
      <c r="M635" s="302">
        <f t="shared" ca="1" si="698"/>
        <v>2739.5177915368427</v>
      </c>
      <c r="N635" s="302">
        <f t="shared" ca="1" si="698"/>
        <v>2905.2586179248215</v>
      </c>
      <c r="O635" s="302">
        <f t="shared" ca="1" si="698"/>
        <v>3081.0267643092739</v>
      </c>
      <c r="P635" s="302">
        <f t="shared" ca="1" si="698"/>
        <v>3267.4288835499851</v>
      </c>
      <c r="S635" s="545" t="str">
        <f>IF(ISERROR((J635/D635)^(1/6)-1)," ",(J635/D635)^(1/6)-1)</f>
        <v xml:space="preserve"> </v>
      </c>
      <c r="T635" s="545">
        <f ca="1">IF(ISERROR((P635/J635)^(1/6)-1)," ",(P635/J635)^(1/6)-1)</f>
        <v>5.4165861568145068E-4</v>
      </c>
    </row>
    <row r="636" spans="2:20" ht="12.6" customHeight="1" x14ac:dyDescent="0.2">
      <c r="B636" s="59" t="s">
        <v>474</v>
      </c>
      <c r="C636" s="61" t="s">
        <v>476</v>
      </c>
      <c r="D636" s="57"/>
      <c r="E636" s="57"/>
      <c r="F636" s="57">
        <f t="shared" ref="F636:K636" si="699">F635/F649</f>
        <v>227.08884501480753</v>
      </c>
      <c r="G636" s="57">
        <f t="shared" si="699"/>
        <v>229.89406880189799</v>
      </c>
      <c r="H636" s="57">
        <f t="shared" si="699"/>
        <v>230.44990663394586</v>
      </c>
      <c r="I636" s="57">
        <f t="shared" si="699"/>
        <v>245.45966386554622</v>
      </c>
      <c r="J636" s="57">
        <f t="shared" si="699"/>
        <v>263.28455941794664</v>
      </c>
      <c r="K636" s="57">
        <f t="shared" si="699"/>
        <v>263.27859649122809</v>
      </c>
      <c r="L636" s="303">
        <f t="shared" ref="L636:P636" si="700">K636*(1+L637)</f>
        <v>276.44252631578951</v>
      </c>
      <c r="M636" s="303">
        <f t="shared" si="700"/>
        <v>290.264652631579</v>
      </c>
      <c r="N636" s="303">
        <f t="shared" si="700"/>
        <v>304.77788526315794</v>
      </c>
      <c r="O636" s="303">
        <f t="shared" si="700"/>
        <v>320.01677952631587</v>
      </c>
      <c r="P636" s="303">
        <f t="shared" si="700"/>
        <v>336.01761850263171</v>
      </c>
      <c r="S636" s="545" t="str">
        <f>IF(ISERROR((J636/D636)^(1/6)-1)," ",(J636/D636)^(1/6)-1)</f>
        <v xml:space="preserve"> </v>
      </c>
      <c r="T636" s="545">
        <f>IF(ISERROR((P636/J636)^(1/6)-1)," ",(P636/J636)^(1/6)-1)</f>
        <v>4.1492411321372602E-2</v>
      </c>
    </row>
    <row r="637" spans="2:20" ht="12.6" customHeight="1" x14ac:dyDescent="0.2">
      <c r="B637" s="322" t="s">
        <v>227</v>
      </c>
      <c r="C637" s="323" t="s">
        <v>477</v>
      </c>
      <c r="D637" s="58"/>
      <c r="E637" s="58"/>
      <c r="F637" s="339"/>
      <c r="G637" s="330">
        <f>G636/F636-1</f>
        <v>1.2352979235539019E-2</v>
      </c>
      <c r="H637" s="330">
        <f>H636/G636-1</f>
        <v>2.4177997933771955E-3</v>
      </c>
      <c r="I637" s="330">
        <f>I636/H636-1</f>
        <v>6.5132407519011615E-2</v>
      </c>
      <c r="J637" s="330">
        <f>J636/I636-1</f>
        <v>7.2618430546552926E-2</v>
      </c>
      <c r="K637" s="330">
        <f>K636/J636-1</f>
        <v>-2.2648220358023607E-5</v>
      </c>
      <c r="L637" s="354">
        <v>0.05</v>
      </c>
      <c r="M637" s="354">
        <v>0.05</v>
      </c>
      <c r="N637" s="354">
        <v>0.05</v>
      </c>
      <c r="O637" s="354">
        <v>0.05</v>
      </c>
      <c r="P637" s="354">
        <v>0.05</v>
      </c>
      <c r="S637" s="352"/>
      <c r="T637" s="352"/>
    </row>
    <row r="638" spans="2:20" ht="12.6" customHeight="1" x14ac:dyDescent="0.2">
      <c r="B638" s="59"/>
      <c r="C638" s="61"/>
      <c r="D638" s="57"/>
      <c r="E638" s="57"/>
      <c r="F638" s="288"/>
      <c r="G638" s="57"/>
      <c r="H638" s="57"/>
      <c r="I638" s="57"/>
      <c r="J638" s="57"/>
      <c r="K638" s="57"/>
      <c r="L638" s="57"/>
      <c r="M638" s="68"/>
      <c r="N638" s="68"/>
      <c r="O638" s="68"/>
      <c r="P638" s="68"/>
    </row>
    <row r="639" spans="2:20" ht="12.6" customHeight="1" x14ac:dyDescent="0.2">
      <c r="B639" s="72" t="s">
        <v>303</v>
      </c>
      <c r="C639" s="61" t="s">
        <v>4</v>
      </c>
      <c r="D639" s="57"/>
      <c r="E639" s="57"/>
      <c r="F639" s="288">
        <f t="shared" ref="F639:P639" si="701">F91</f>
        <v>10</v>
      </c>
      <c r="G639" s="288">
        <f t="shared" si="701"/>
        <v>10</v>
      </c>
      <c r="H639" s="288">
        <f t="shared" si="701"/>
        <v>10</v>
      </c>
      <c r="I639" s="288">
        <f t="shared" si="701"/>
        <v>10</v>
      </c>
      <c r="J639" s="288">
        <f t="shared" si="701"/>
        <v>10</v>
      </c>
      <c r="K639" s="288">
        <f t="shared" ref="K639" si="702">K91</f>
        <v>10</v>
      </c>
      <c r="L639" s="288">
        <f t="shared" si="701"/>
        <v>10</v>
      </c>
      <c r="M639" s="68">
        <f t="shared" si="701"/>
        <v>10</v>
      </c>
      <c r="N639" s="68">
        <f t="shared" si="701"/>
        <v>10</v>
      </c>
      <c r="O639" s="68">
        <f t="shared" si="701"/>
        <v>10</v>
      </c>
      <c r="P639" s="68">
        <f t="shared" si="701"/>
        <v>10</v>
      </c>
      <c r="S639" s="545" t="str">
        <f>IF(ISERROR((J639/D639)^(1/6)-1)," ",(J639/D639)^(1/6)-1)</f>
        <v xml:space="preserve"> </v>
      </c>
      <c r="T639" s="545">
        <f>IF(ISERROR((P639/J639)^(1/6)-1)," ",(P639/J639)^(1/6)-1)</f>
        <v>0</v>
      </c>
    </row>
    <row r="640" spans="2:20" ht="12.6" customHeight="1" x14ac:dyDescent="0.2">
      <c r="B640" s="202" t="s">
        <v>555</v>
      </c>
      <c r="C640" s="326" t="s">
        <v>4</v>
      </c>
      <c r="D640" s="58"/>
      <c r="E640" s="58"/>
      <c r="F640" s="330">
        <f>F649/F639</f>
        <v>0.10129999999999999</v>
      </c>
      <c r="G640" s="330">
        <f>G649/G639</f>
        <v>0.84299999999999997</v>
      </c>
      <c r="H640" s="330">
        <f t="shared" ref="H640:P640" si="703">H649/H639</f>
        <v>0.75161149999999999</v>
      </c>
      <c r="I640" s="330">
        <f t="shared" si="703"/>
        <v>0.95199999999999996</v>
      </c>
      <c r="J640" s="330">
        <f t="shared" si="703"/>
        <v>1.2369999999999999</v>
      </c>
      <c r="K640" s="330">
        <f t="shared" ref="K640" si="704">K649/K639</f>
        <v>1.1400000000000001</v>
      </c>
      <c r="L640" s="330">
        <f t="shared" ca="1" si="703"/>
        <v>0.72599999999999998</v>
      </c>
      <c r="M640" s="324">
        <f t="shared" ca="1" si="703"/>
        <v>0.94380000000000008</v>
      </c>
      <c r="N640" s="324">
        <f t="shared" ca="1" si="703"/>
        <v>0.95323800000000003</v>
      </c>
      <c r="O640" s="324">
        <f t="shared" ca="1" si="703"/>
        <v>0.96277038000000004</v>
      </c>
      <c r="P640" s="324">
        <f t="shared" ca="1" si="703"/>
        <v>0.97239808380000015</v>
      </c>
      <c r="S640" s="352"/>
      <c r="T640" s="352"/>
    </row>
    <row r="641" spans="2:20" ht="12.6" customHeight="1" x14ac:dyDescent="0.2">
      <c r="B641" s="59"/>
      <c r="C641" s="61"/>
      <c r="D641" s="57"/>
      <c r="E641" s="57"/>
      <c r="F641" s="288"/>
      <c r="G641" s="57"/>
      <c r="H641" s="57"/>
      <c r="I641" s="57"/>
      <c r="J641" s="57"/>
      <c r="K641" s="57"/>
      <c r="L641" s="57"/>
      <c r="M641" s="68"/>
      <c r="N641" s="68"/>
      <c r="O641" s="68"/>
      <c r="P641" s="68"/>
    </row>
    <row r="642" spans="2:20" ht="12.6" customHeight="1" x14ac:dyDescent="0.2">
      <c r="B642" s="72" t="s">
        <v>489</v>
      </c>
      <c r="C642" s="61"/>
      <c r="D642" s="57"/>
      <c r="E642" s="57"/>
      <c r="F642" s="288"/>
      <c r="G642" s="57"/>
      <c r="H642" s="57"/>
      <c r="I642" s="57"/>
      <c r="J642" s="57"/>
      <c r="K642" s="57"/>
      <c r="L642" s="57"/>
      <c r="M642" s="68"/>
      <c r="N642" s="68"/>
      <c r="O642" s="68"/>
      <c r="P642" s="68"/>
    </row>
    <row r="643" spans="2:20" ht="12.6" customHeight="1" x14ac:dyDescent="0.2">
      <c r="B643" s="56" t="s">
        <v>279</v>
      </c>
      <c r="C643" s="61"/>
      <c r="D643" s="288"/>
      <c r="E643" s="288"/>
      <c r="F643" s="288">
        <v>1.0129999999999999</v>
      </c>
      <c r="G643" s="288">
        <v>8.43</v>
      </c>
      <c r="H643" s="288">
        <v>7.5161150000000001</v>
      </c>
      <c r="I643" s="288">
        <v>9.52</v>
      </c>
      <c r="J643" s="288">
        <v>12.37</v>
      </c>
      <c r="K643" s="288">
        <f>K649</f>
        <v>11.4</v>
      </c>
      <c r="L643" s="288">
        <v>7.26</v>
      </c>
      <c r="M643" s="303">
        <f t="shared" ref="M643:P643" si="705">L643*(1+M652)</f>
        <v>9.4380000000000006</v>
      </c>
      <c r="N643" s="303">
        <f t="shared" si="705"/>
        <v>9.5323799999999999</v>
      </c>
      <c r="O643" s="303">
        <f t="shared" si="705"/>
        <v>9.6277038000000008</v>
      </c>
      <c r="P643" s="303">
        <f t="shared" si="705"/>
        <v>9.723980838000001</v>
      </c>
      <c r="S643" s="545" t="str">
        <f t="shared" ref="S643:S649" si="706">IF(ISERROR((J643/D643)^(1/6)-1)," ",(J643/D643)^(1/6)-1)</f>
        <v xml:space="preserve"> </v>
      </c>
      <c r="T643" s="545">
        <f t="shared" ref="T643:T649" si="707">IF(ISERROR((P643/J643)^(1/6)-1)," ",(P643/J643)^(1/6)-1)</f>
        <v>-3.9319300131755774E-2</v>
      </c>
    </row>
    <row r="644" spans="2:20" ht="12.6" customHeight="1" x14ac:dyDescent="0.2">
      <c r="B644" s="56" t="s">
        <v>280</v>
      </c>
      <c r="C644" s="61"/>
      <c r="D644" s="288"/>
      <c r="E644" s="288"/>
      <c r="F644" s="288">
        <v>0</v>
      </c>
      <c r="G644" s="288">
        <v>0</v>
      </c>
      <c r="H644" s="288">
        <v>0</v>
      </c>
      <c r="I644" s="288">
        <v>0</v>
      </c>
      <c r="J644" s="288">
        <v>0</v>
      </c>
      <c r="K644" s="288">
        <v>0</v>
      </c>
      <c r="L644" s="288">
        <f t="shared" ref="L644:P644" ca="1" si="708">K644*(1+L653)</f>
        <v>0</v>
      </c>
      <c r="M644" s="303">
        <f t="shared" ca="1" si="708"/>
        <v>0</v>
      </c>
      <c r="N644" s="303">
        <f t="shared" ca="1" si="708"/>
        <v>0</v>
      </c>
      <c r="O644" s="303">
        <f t="shared" ca="1" si="708"/>
        <v>0</v>
      </c>
      <c r="P644" s="303">
        <f t="shared" ca="1" si="708"/>
        <v>0</v>
      </c>
      <c r="S644" s="545" t="str">
        <f t="shared" si="706"/>
        <v xml:space="preserve"> </v>
      </c>
      <c r="T644" s="545" t="str">
        <f t="shared" ca="1" si="707"/>
        <v xml:space="preserve"> </v>
      </c>
    </row>
    <row r="645" spans="2:20" ht="12.6" customHeight="1" x14ac:dyDescent="0.2">
      <c r="B645" s="56" t="s">
        <v>281</v>
      </c>
      <c r="C645" s="61"/>
      <c r="D645" s="288"/>
      <c r="E645" s="288"/>
      <c r="F645" s="288">
        <v>0</v>
      </c>
      <c r="G645" s="288">
        <v>0</v>
      </c>
      <c r="H645" s="288">
        <v>0</v>
      </c>
      <c r="I645" s="288">
        <v>0</v>
      </c>
      <c r="J645" s="288">
        <v>0</v>
      </c>
      <c r="K645" s="288">
        <v>0</v>
      </c>
      <c r="L645" s="288">
        <f t="shared" ref="L645:P645" ca="1" si="709">K645*(1+L654)</f>
        <v>0</v>
      </c>
      <c r="M645" s="303">
        <f t="shared" ca="1" si="709"/>
        <v>0</v>
      </c>
      <c r="N645" s="303">
        <f t="shared" ca="1" si="709"/>
        <v>0</v>
      </c>
      <c r="O645" s="303">
        <f t="shared" ca="1" si="709"/>
        <v>0</v>
      </c>
      <c r="P645" s="303">
        <f t="shared" ca="1" si="709"/>
        <v>0</v>
      </c>
      <c r="S645" s="545" t="str">
        <f t="shared" si="706"/>
        <v xml:space="preserve"> </v>
      </c>
      <c r="T645" s="545" t="str">
        <f t="shared" ca="1" si="707"/>
        <v xml:space="preserve"> </v>
      </c>
    </row>
    <row r="646" spans="2:20" ht="12.6" customHeight="1" x14ac:dyDescent="0.2">
      <c r="B646" s="56" t="s">
        <v>282</v>
      </c>
      <c r="C646" s="61"/>
      <c r="D646" s="288"/>
      <c r="E646" s="288"/>
      <c r="F646" s="288">
        <v>0</v>
      </c>
      <c r="G646" s="288">
        <v>0</v>
      </c>
      <c r="H646" s="288">
        <v>0</v>
      </c>
      <c r="I646" s="288">
        <v>0</v>
      </c>
      <c r="J646" s="288">
        <v>0</v>
      </c>
      <c r="K646" s="288">
        <v>0</v>
      </c>
      <c r="L646" s="288">
        <f t="shared" ref="L646:P646" ca="1" si="710">K646*(1+L655)</f>
        <v>0</v>
      </c>
      <c r="M646" s="303">
        <f t="shared" ca="1" si="710"/>
        <v>0</v>
      </c>
      <c r="N646" s="303">
        <f t="shared" ca="1" si="710"/>
        <v>0</v>
      </c>
      <c r="O646" s="303">
        <f t="shared" ca="1" si="710"/>
        <v>0</v>
      </c>
      <c r="P646" s="303">
        <f t="shared" ca="1" si="710"/>
        <v>0</v>
      </c>
      <c r="S646" s="545" t="str">
        <f t="shared" si="706"/>
        <v xml:space="preserve"> </v>
      </c>
      <c r="T646" s="545" t="str">
        <f t="shared" ca="1" si="707"/>
        <v xml:space="preserve"> </v>
      </c>
    </row>
    <row r="647" spans="2:20" ht="12.6" customHeight="1" x14ac:dyDescent="0.2">
      <c r="B647" s="56" t="s">
        <v>283</v>
      </c>
      <c r="C647" s="61"/>
      <c r="D647" s="288"/>
      <c r="E647" s="288"/>
      <c r="F647" s="288">
        <v>0</v>
      </c>
      <c r="G647" s="288">
        <v>0</v>
      </c>
      <c r="H647" s="288">
        <v>0</v>
      </c>
      <c r="I647" s="288">
        <v>0</v>
      </c>
      <c r="J647" s="288">
        <v>0</v>
      </c>
      <c r="K647" s="288">
        <v>0</v>
      </c>
      <c r="L647" s="288">
        <f t="shared" ref="L647:P647" ca="1" si="711">K647*(1+L656)</f>
        <v>0</v>
      </c>
      <c r="M647" s="303">
        <f t="shared" ca="1" si="711"/>
        <v>0</v>
      </c>
      <c r="N647" s="303">
        <f t="shared" ca="1" si="711"/>
        <v>0</v>
      </c>
      <c r="O647" s="303">
        <f t="shared" ca="1" si="711"/>
        <v>0</v>
      </c>
      <c r="P647" s="303">
        <f t="shared" ca="1" si="711"/>
        <v>0</v>
      </c>
      <c r="S647" s="545" t="str">
        <f t="shared" si="706"/>
        <v xml:space="preserve"> </v>
      </c>
      <c r="T647" s="545" t="str">
        <f t="shared" ca="1" si="707"/>
        <v xml:space="preserve"> </v>
      </c>
    </row>
    <row r="648" spans="2:20" ht="12.6" customHeight="1" x14ac:dyDescent="0.2">
      <c r="B648" s="56" t="s">
        <v>284</v>
      </c>
      <c r="C648" s="61"/>
      <c r="D648" s="288"/>
      <c r="E648" s="288"/>
      <c r="F648" s="288">
        <v>0</v>
      </c>
      <c r="G648" s="288">
        <v>0</v>
      </c>
      <c r="H648" s="288">
        <v>0</v>
      </c>
      <c r="I648" s="288">
        <v>0</v>
      </c>
      <c r="J648" s="288">
        <v>0</v>
      </c>
      <c r="K648" s="288">
        <v>0</v>
      </c>
      <c r="L648" s="288">
        <f t="shared" ref="L648:P648" ca="1" si="712">K648*(1+L657)</f>
        <v>0</v>
      </c>
      <c r="M648" s="303">
        <f t="shared" ca="1" si="712"/>
        <v>0</v>
      </c>
      <c r="N648" s="303">
        <f t="shared" ca="1" si="712"/>
        <v>0</v>
      </c>
      <c r="O648" s="303">
        <f t="shared" ca="1" si="712"/>
        <v>0</v>
      </c>
      <c r="P648" s="303">
        <f t="shared" ca="1" si="712"/>
        <v>0</v>
      </c>
      <c r="S648" s="545" t="str">
        <f t="shared" si="706"/>
        <v xml:space="preserve"> </v>
      </c>
      <c r="T648" s="545" t="str">
        <f t="shared" ca="1" si="707"/>
        <v xml:space="preserve"> </v>
      </c>
    </row>
    <row r="649" spans="2:20" ht="12.6" customHeight="1" x14ac:dyDescent="0.2">
      <c r="B649" s="72" t="s">
        <v>551</v>
      </c>
      <c r="C649" s="95" t="s">
        <v>566</v>
      </c>
      <c r="D649" s="63"/>
      <c r="E649" s="63"/>
      <c r="F649" s="63">
        <f t="shared" ref="F649:K649" si="713">F7</f>
        <v>1.0129999999999999</v>
      </c>
      <c r="G649" s="63">
        <f t="shared" si="713"/>
        <v>8.43</v>
      </c>
      <c r="H649" s="63">
        <f t="shared" si="713"/>
        <v>7.5161150000000001</v>
      </c>
      <c r="I649" s="63">
        <f t="shared" si="713"/>
        <v>9.52</v>
      </c>
      <c r="J649" s="63">
        <f t="shared" si="713"/>
        <v>12.37</v>
      </c>
      <c r="K649" s="63">
        <f t="shared" si="713"/>
        <v>11.4</v>
      </c>
      <c r="L649" s="63">
        <f ca="1">SUM(L643:L648)</f>
        <v>7.26</v>
      </c>
      <c r="M649" s="64">
        <f t="shared" ref="M649:P649" ca="1" si="714">SUM(M643:M648)</f>
        <v>9.4380000000000006</v>
      </c>
      <c r="N649" s="64">
        <f t="shared" ca="1" si="714"/>
        <v>9.5323799999999999</v>
      </c>
      <c r="O649" s="64">
        <f t="shared" ca="1" si="714"/>
        <v>9.6277038000000008</v>
      </c>
      <c r="P649" s="64">
        <f t="shared" ca="1" si="714"/>
        <v>9.723980838000001</v>
      </c>
      <c r="Q649" s="352"/>
      <c r="S649" s="367" t="str">
        <f t="shared" si="706"/>
        <v xml:space="preserve"> </v>
      </c>
      <c r="T649" s="545">
        <f t="shared" ca="1" si="707"/>
        <v>-3.9319300131755774E-2</v>
      </c>
    </row>
    <row r="650" spans="2:20" ht="12.6" customHeight="1" x14ac:dyDescent="0.2">
      <c r="B650" s="72"/>
      <c r="C650" s="95"/>
      <c r="D650" s="63"/>
      <c r="E650" s="63"/>
      <c r="F650" s="63"/>
      <c r="G650" s="63"/>
      <c r="H650" s="63"/>
      <c r="I650" s="63"/>
      <c r="J650" s="63"/>
      <c r="K650" s="63"/>
      <c r="L650" s="63"/>
      <c r="M650" s="64"/>
      <c r="N650" s="64"/>
      <c r="O650" s="64"/>
      <c r="P650" s="64"/>
    </row>
    <row r="651" spans="2:20" ht="12.6" customHeight="1" x14ac:dyDescent="0.2">
      <c r="B651" s="116" t="s">
        <v>227</v>
      </c>
      <c r="C651" s="61"/>
      <c r="D651" s="63"/>
      <c r="E651" s="63"/>
      <c r="F651" s="63"/>
      <c r="G651" s="63"/>
      <c r="H651" s="63"/>
      <c r="I651" s="63"/>
      <c r="J651" s="63"/>
      <c r="K651" s="63"/>
      <c r="L651" s="63"/>
      <c r="M651" s="68"/>
      <c r="N651" s="68"/>
      <c r="O651" s="68"/>
      <c r="P651" s="68"/>
    </row>
    <row r="652" spans="2:20" ht="12.6" customHeight="1" x14ac:dyDescent="0.2">
      <c r="B652" s="322" t="s">
        <v>279</v>
      </c>
      <c r="C652" s="355"/>
      <c r="D652" s="113"/>
      <c r="E652" s="113"/>
      <c r="F652" s="113">
        <f t="shared" ref="F652:L658" si="715">IFERROR(F643/E643-1,0)</f>
        <v>0</v>
      </c>
      <c r="G652" s="113">
        <f t="shared" si="715"/>
        <v>7.3218163869693988</v>
      </c>
      <c r="H652" s="113">
        <f t="shared" si="715"/>
        <v>-0.10840865954922885</v>
      </c>
      <c r="I652" s="113">
        <f t="shared" si="715"/>
        <v>0.26661180676453178</v>
      </c>
      <c r="J652" s="113">
        <f t="shared" si="715"/>
        <v>0.29936974789915971</v>
      </c>
      <c r="K652" s="113">
        <f t="shared" si="715"/>
        <v>-7.8415521422796952E-2</v>
      </c>
      <c r="L652" s="113">
        <f t="shared" si="715"/>
        <v>-0.36315789473684212</v>
      </c>
      <c r="M652" s="356">
        <v>0.3</v>
      </c>
      <c r="N652" s="356">
        <v>0.01</v>
      </c>
      <c r="O652" s="356">
        <v>0.01</v>
      </c>
      <c r="P652" s="356">
        <v>0.01</v>
      </c>
    </row>
    <row r="653" spans="2:20" ht="12.6" customHeight="1" x14ac:dyDescent="0.2">
      <c r="B653" s="322" t="s">
        <v>280</v>
      </c>
      <c r="C653" s="355"/>
      <c r="D653" s="113"/>
      <c r="E653" s="113"/>
      <c r="F653" s="113">
        <f t="shared" si="715"/>
        <v>0</v>
      </c>
      <c r="G653" s="113">
        <f t="shared" si="715"/>
        <v>0</v>
      </c>
      <c r="H653" s="113">
        <f t="shared" si="715"/>
        <v>0</v>
      </c>
      <c r="I653" s="113">
        <f t="shared" si="715"/>
        <v>0</v>
      </c>
      <c r="J653" s="113">
        <f t="shared" si="715"/>
        <v>0</v>
      </c>
      <c r="K653" s="113">
        <f t="shared" si="715"/>
        <v>0</v>
      </c>
      <c r="L653" s="113">
        <f t="shared" ca="1" si="715"/>
        <v>0</v>
      </c>
      <c r="M653" s="356"/>
      <c r="N653" s="356"/>
      <c r="O653" s="356"/>
      <c r="P653" s="356"/>
    </row>
    <row r="654" spans="2:20" ht="12.6" customHeight="1" x14ac:dyDescent="0.2">
      <c r="B654" s="322" t="s">
        <v>281</v>
      </c>
      <c r="C654" s="355"/>
      <c r="D654" s="113"/>
      <c r="E654" s="113"/>
      <c r="F654" s="113">
        <f t="shared" si="715"/>
        <v>0</v>
      </c>
      <c r="G654" s="113">
        <f t="shared" si="715"/>
        <v>0</v>
      </c>
      <c r="H654" s="113">
        <f t="shared" si="715"/>
        <v>0</v>
      </c>
      <c r="I654" s="113">
        <f t="shared" si="715"/>
        <v>0</v>
      </c>
      <c r="J654" s="113">
        <f t="shared" si="715"/>
        <v>0</v>
      </c>
      <c r="K654" s="113">
        <f t="shared" si="715"/>
        <v>0</v>
      </c>
      <c r="L654" s="113">
        <f t="shared" ca="1" si="715"/>
        <v>0</v>
      </c>
      <c r="M654" s="356"/>
      <c r="N654" s="356"/>
      <c r="O654" s="356"/>
      <c r="P654" s="356"/>
    </row>
    <row r="655" spans="2:20" ht="12.6" customHeight="1" x14ac:dyDescent="0.2">
      <c r="B655" s="322" t="s">
        <v>282</v>
      </c>
      <c r="C655" s="355"/>
      <c r="D655" s="113"/>
      <c r="E655" s="113"/>
      <c r="F655" s="113">
        <f t="shared" si="715"/>
        <v>0</v>
      </c>
      <c r="G655" s="113">
        <f t="shared" si="715"/>
        <v>0</v>
      </c>
      <c r="H655" s="113">
        <f t="shared" si="715"/>
        <v>0</v>
      </c>
      <c r="I655" s="113">
        <f t="shared" si="715"/>
        <v>0</v>
      </c>
      <c r="J655" s="113">
        <f t="shared" si="715"/>
        <v>0</v>
      </c>
      <c r="K655" s="113">
        <f t="shared" si="715"/>
        <v>0</v>
      </c>
      <c r="L655" s="113">
        <f t="shared" ca="1" si="715"/>
        <v>0</v>
      </c>
      <c r="M655" s="356"/>
      <c r="N655" s="356"/>
      <c r="O655" s="356"/>
      <c r="P655" s="356"/>
    </row>
    <row r="656" spans="2:20" ht="12.6" customHeight="1" x14ac:dyDescent="0.2">
      <c r="B656" s="322" t="s">
        <v>283</v>
      </c>
      <c r="C656" s="355"/>
      <c r="D656" s="113"/>
      <c r="E656" s="113"/>
      <c r="F656" s="113">
        <f t="shared" si="715"/>
        <v>0</v>
      </c>
      <c r="G656" s="113">
        <f t="shared" si="715"/>
        <v>0</v>
      </c>
      <c r="H656" s="113">
        <f t="shared" si="715"/>
        <v>0</v>
      </c>
      <c r="I656" s="113">
        <f t="shared" si="715"/>
        <v>0</v>
      </c>
      <c r="J656" s="113">
        <f t="shared" si="715"/>
        <v>0</v>
      </c>
      <c r="K656" s="113">
        <f t="shared" si="715"/>
        <v>0</v>
      </c>
      <c r="L656" s="113">
        <f t="shared" ca="1" si="715"/>
        <v>0</v>
      </c>
      <c r="M656" s="356"/>
      <c r="N656" s="356"/>
      <c r="O656" s="356"/>
      <c r="P656" s="356"/>
    </row>
    <row r="657" spans="2:16" ht="12.6" customHeight="1" x14ac:dyDescent="0.2">
      <c r="B657" s="322" t="s">
        <v>284</v>
      </c>
      <c r="C657" s="355"/>
      <c r="D657" s="113"/>
      <c r="E657" s="113"/>
      <c r="F657" s="113">
        <f t="shared" si="715"/>
        <v>0</v>
      </c>
      <c r="G657" s="113">
        <f t="shared" si="715"/>
        <v>0</v>
      </c>
      <c r="H657" s="113">
        <f t="shared" si="715"/>
        <v>0</v>
      </c>
      <c r="I657" s="113">
        <f t="shared" si="715"/>
        <v>0</v>
      </c>
      <c r="J657" s="113">
        <f t="shared" si="715"/>
        <v>0</v>
      </c>
      <c r="K657" s="113">
        <f t="shared" si="715"/>
        <v>0</v>
      </c>
      <c r="L657" s="113">
        <f t="shared" ca="1" si="715"/>
        <v>0</v>
      </c>
      <c r="M657" s="356"/>
      <c r="N657" s="356"/>
      <c r="O657" s="356"/>
      <c r="P657" s="356"/>
    </row>
    <row r="658" spans="2:16" ht="12.6" customHeight="1" x14ac:dyDescent="0.2">
      <c r="B658" s="331" t="s">
        <v>551</v>
      </c>
      <c r="C658" s="358"/>
      <c r="D658" s="117"/>
      <c r="E658" s="117"/>
      <c r="F658" s="117">
        <f t="shared" si="715"/>
        <v>0</v>
      </c>
      <c r="G658" s="117">
        <f t="shared" si="715"/>
        <v>7.3218163869693988</v>
      </c>
      <c r="H658" s="117">
        <f t="shared" si="715"/>
        <v>-0.10840865954922885</v>
      </c>
      <c r="I658" s="117">
        <f t="shared" si="715"/>
        <v>0.26661180676453178</v>
      </c>
      <c r="J658" s="117">
        <f t="shared" si="715"/>
        <v>0.29936974789915971</v>
      </c>
      <c r="K658" s="117">
        <f t="shared" si="715"/>
        <v>-7.8415521422796952E-2</v>
      </c>
      <c r="L658" s="117">
        <f t="shared" ca="1" si="715"/>
        <v>-0.36315789473684212</v>
      </c>
      <c r="M658" s="204">
        <f t="shared" ref="M658:P658" ca="1" si="716">IFERROR(M649/L649-1,0)</f>
        <v>0.30000000000000004</v>
      </c>
      <c r="N658" s="204">
        <f t="shared" ca="1" si="716"/>
        <v>1.0000000000000009E-2</v>
      </c>
      <c r="O658" s="204">
        <f t="shared" ca="1" si="716"/>
        <v>1.0000000000000009E-2</v>
      </c>
      <c r="P658" s="204">
        <f t="shared" ca="1" si="716"/>
        <v>1.0000000000000009E-2</v>
      </c>
    </row>
    <row r="659" spans="2:16" ht="12.6" customHeight="1" x14ac:dyDescent="0.2">
      <c r="B659" s="201"/>
      <c r="C659" s="326"/>
      <c r="D659" s="335"/>
      <c r="E659" s="335"/>
      <c r="F659" s="335"/>
      <c r="G659" s="335"/>
      <c r="H659" s="335"/>
      <c r="I659" s="335"/>
      <c r="J659" s="335"/>
      <c r="K659" s="335"/>
      <c r="L659" s="335"/>
      <c r="M659" s="357"/>
      <c r="N659" s="357"/>
      <c r="O659" s="357"/>
      <c r="P659" s="357"/>
    </row>
    <row r="660" spans="2:16" ht="12.6" customHeight="1" x14ac:dyDescent="0.2">
      <c r="B660" s="331" t="s">
        <v>287</v>
      </c>
      <c r="C660" s="326"/>
      <c r="D660" s="335"/>
      <c r="E660" s="335"/>
      <c r="F660" s="335"/>
      <c r="G660" s="335"/>
      <c r="H660" s="335"/>
      <c r="I660" s="335"/>
      <c r="J660" s="335"/>
      <c r="K660" s="335"/>
      <c r="L660" s="335"/>
      <c r="M660" s="357"/>
      <c r="N660" s="357"/>
      <c r="O660" s="357"/>
      <c r="P660" s="357"/>
    </row>
    <row r="661" spans="2:16" ht="12.6" customHeight="1" x14ac:dyDescent="0.2">
      <c r="B661" s="322" t="s">
        <v>279</v>
      </c>
      <c r="C661" s="326"/>
      <c r="D661" s="113"/>
      <c r="E661" s="113"/>
      <c r="F661" s="113">
        <f t="shared" ref="F661:K661" si="717">F643/F$649</f>
        <v>1</v>
      </c>
      <c r="G661" s="113">
        <f t="shared" si="717"/>
        <v>1</v>
      </c>
      <c r="H661" s="113">
        <f t="shared" si="717"/>
        <v>1</v>
      </c>
      <c r="I661" s="113">
        <f t="shared" si="717"/>
        <v>1</v>
      </c>
      <c r="J661" s="113">
        <f t="shared" si="717"/>
        <v>1</v>
      </c>
      <c r="K661" s="113">
        <f t="shared" si="717"/>
        <v>1</v>
      </c>
      <c r="L661" s="113">
        <f t="shared" ref="L661" ca="1" si="718">L643/L$649</f>
        <v>1</v>
      </c>
      <c r="M661" s="197">
        <f t="shared" ref="M661:P661" ca="1" si="719">M643/M$649</f>
        <v>1</v>
      </c>
      <c r="N661" s="197">
        <f t="shared" ca="1" si="719"/>
        <v>1</v>
      </c>
      <c r="O661" s="197">
        <f t="shared" ca="1" si="719"/>
        <v>1</v>
      </c>
      <c r="P661" s="197">
        <f t="shared" ca="1" si="719"/>
        <v>1</v>
      </c>
    </row>
    <row r="662" spans="2:16" ht="12.6" customHeight="1" x14ac:dyDescent="0.2">
      <c r="B662" s="322" t="s">
        <v>280</v>
      </c>
      <c r="C662" s="326"/>
      <c r="D662" s="113"/>
      <c r="E662" s="113"/>
      <c r="F662" s="113">
        <f t="shared" ref="F662:P662" si="720">F644/F$649</f>
        <v>0</v>
      </c>
      <c r="G662" s="113">
        <f t="shared" si="720"/>
        <v>0</v>
      </c>
      <c r="H662" s="113">
        <f t="shared" si="720"/>
        <v>0</v>
      </c>
      <c r="I662" s="113">
        <f t="shared" si="720"/>
        <v>0</v>
      </c>
      <c r="J662" s="113">
        <f t="shared" si="720"/>
        <v>0</v>
      </c>
      <c r="K662" s="113">
        <f t="shared" ref="K662:L662" si="721">K644/K$649</f>
        <v>0</v>
      </c>
      <c r="L662" s="113">
        <f t="shared" ca="1" si="721"/>
        <v>0</v>
      </c>
      <c r="M662" s="197">
        <f t="shared" ca="1" si="720"/>
        <v>0</v>
      </c>
      <c r="N662" s="197">
        <f t="shared" ca="1" si="720"/>
        <v>0</v>
      </c>
      <c r="O662" s="197">
        <f t="shared" ca="1" si="720"/>
        <v>0</v>
      </c>
      <c r="P662" s="197">
        <f t="shared" ca="1" si="720"/>
        <v>0</v>
      </c>
    </row>
    <row r="663" spans="2:16" ht="12.6" customHeight="1" x14ac:dyDescent="0.2">
      <c r="B663" s="322" t="s">
        <v>281</v>
      </c>
      <c r="C663" s="326"/>
      <c r="D663" s="113"/>
      <c r="E663" s="113"/>
      <c r="F663" s="113">
        <f t="shared" ref="F663:P663" si="722">F645/F$649</f>
        <v>0</v>
      </c>
      <c r="G663" s="113">
        <f t="shared" si="722"/>
        <v>0</v>
      </c>
      <c r="H663" s="113">
        <f t="shared" si="722"/>
        <v>0</v>
      </c>
      <c r="I663" s="113">
        <f t="shared" si="722"/>
        <v>0</v>
      </c>
      <c r="J663" s="113">
        <f t="shared" si="722"/>
        <v>0</v>
      </c>
      <c r="K663" s="113">
        <f t="shared" ref="K663:L663" si="723">K645/K$649</f>
        <v>0</v>
      </c>
      <c r="L663" s="113">
        <f t="shared" ca="1" si="723"/>
        <v>0</v>
      </c>
      <c r="M663" s="197">
        <f t="shared" ca="1" si="722"/>
        <v>0</v>
      </c>
      <c r="N663" s="197">
        <f t="shared" ca="1" si="722"/>
        <v>0</v>
      </c>
      <c r="O663" s="197">
        <f t="shared" ca="1" si="722"/>
        <v>0</v>
      </c>
      <c r="P663" s="197">
        <f t="shared" ca="1" si="722"/>
        <v>0</v>
      </c>
    </row>
    <row r="664" spans="2:16" ht="12.6" customHeight="1" x14ac:dyDescent="0.2">
      <c r="B664" s="322" t="s">
        <v>282</v>
      </c>
      <c r="C664" s="326"/>
      <c r="D664" s="113"/>
      <c r="E664" s="113"/>
      <c r="F664" s="113">
        <f t="shared" ref="F664:P664" si="724">F646/F$649</f>
        <v>0</v>
      </c>
      <c r="G664" s="113">
        <f t="shared" si="724"/>
        <v>0</v>
      </c>
      <c r="H664" s="113">
        <f t="shared" si="724"/>
        <v>0</v>
      </c>
      <c r="I664" s="113">
        <f t="shared" si="724"/>
        <v>0</v>
      </c>
      <c r="J664" s="113">
        <f t="shared" si="724"/>
        <v>0</v>
      </c>
      <c r="K664" s="113">
        <f t="shared" ref="K664:L664" si="725">K646/K$649</f>
        <v>0</v>
      </c>
      <c r="L664" s="113">
        <f t="shared" ca="1" si="725"/>
        <v>0</v>
      </c>
      <c r="M664" s="197">
        <f t="shared" ca="1" si="724"/>
        <v>0</v>
      </c>
      <c r="N664" s="197">
        <f t="shared" ca="1" si="724"/>
        <v>0</v>
      </c>
      <c r="O664" s="197">
        <f t="shared" ca="1" si="724"/>
        <v>0</v>
      </c>
      <c r="P664" s="197">
        <f t="shared" ca="1" si="724"/>
        <v>0</v>
      </c>
    </row>
    <row r="665" spans="2:16" ht="12.6" customHeight="1" x14ac:dyDescent="0.2">
      <c r="B665" s="322" t="s">
        <v>283</v>
      </c>
      <c r="C665" s="326"/>
      <c r="D665" s="113"/>
      <c r="E665" s="113"/>
      <c r="F665" s="113">
        <f t="shared" ref="F665:P665" si="726">F647/F$649</f>
        <v>0</v>
      </c>
      <c r="G665" s="113">
        <f t="shared" si="726"/>
        <v>0</v>
      </c>
      <c r="H665" s="113">
        <f t="shared" si="726"/>
        <v>0</v>
      </c>
      <c r="I665" s="113">
        <f t="shared" si="726"/>
        <v>0</v>
      </c>
      <c r="J665" s="113">
        <f t="shared" si="726"/>
        <v>0</v>
      </c>
      <c r="K665" s="113">
        <f t="shared" ref="K665:L665" si="727">K647/K$649</f>
        <v>0</v>
      </c>
      <c r="L665" s="113">
        <f t="shared" ca="1" si="727"/>
        <v>0</v>
      </c>
      <c r="M665" s="197">
        <f t="shared" ca="1" si="726"/>
        <v>0</v>
      </c>
      <c r="N665" s="197">
        <f t="shared" ca="1" si="726"/>
        <v>0</v>
      </c>
      <c r="O665" s="197">
        <f t="shared" ca="1" si="726"/>
        <v>0</v>
      </c>
      <c r="P665" s="197">
        <f t="shared" ca="1" si="726"/>
        <v>0</v>
      </c>
    </row>
    <row r="666" spans="2:16" ht="12.6" customHeight="1" x14ac:dyDescent="0.2">
      <c r="B666" s="322" t="s">
        <v>284</v>
      </c>
      <c r="C666" s="326"/>
      <c r="D666" s="113"/>
      <c r="E666" s="113"/>
      <c r="F666" s="113">
        <f t="shared" ref="F666:P666" si="728">F648/F$649</f>
        <v>0</v>
      </c>
      <c r="G666" s="113">
        <f t="shared" si="728"/>
        <v>0</v>
      </c>
      <c r="H666" s="113">
        <f t="shared" si="728"/>
        <v>0</v>
      </c>
      <c r="I666" s="113">
        <f t="shared" si="728"/>
        <v>0</v>
      </c>
      <c r="J666" s="113">
        <f t="shared" si="728"/>
        <v>0</v>
      </c>
      <c r="K666" s="113">
        <f t="shared" ref="K666:L666" si="729">K648/K$649</f>
        <v>0</v>
      </c>
      <c r="L666" s="113">
        <f t="shared" ca="1" si="729"/>
        <v>0</v>
      </c>
      <c r="M666" s="197">
        <f t="shared" ca="1" si="728"/>
        <v>0</v>
      </c>
      <c r="N666" s="197">
        <f t="shared" ca="1" si="728"/>
        <v>0</v>
      </c>
      <c r="O666" s="197">
        <f t="shared" ca="1" si="728"/>
        <v>0</v>
      </c>
      <c r="P666" s="197">
        <f t="shared" ca="1" si="728"/>
        <v>0</v>
      </c>
    </row>
    <row r="667" spans="2:16" ht="12.6" customHeight="1" x14ac:dyDescent="0.2">
      <c r="B667" s="359" t="s">
        <v>551</v>
      </c>
      <c r="C667" s="327"/>
      <c r="D667" s="117"/>
      <c r="E667" s="117"/>
      <c r="F667" s="117">
        <f t="shared" ref="F667:P667" si="730">F649/F$649</f>
        <v>1</v>
      </c>
      <c r="G667" s="117">
        <f t="shared" si="730"/>
        <v>1</v>
      </c>
      <c r="H667" s="117">
        <f t="shared" si="730"/>
        <v>1</v>
      </c>
      <c r="I667" s="117">
        <f t="shared" si="730"/>
        <v>1</v>
      </c>
      <c r="J667" s="117">
        <f t="shared" si="730"/>
        <v>1</v>
      </c>
      <c r="K667" s="117">
        <f t="shared" ref="K667:L667" si="731">K649/K$649</f>
        <v>1</v>
      </c>
      <c r="L667" s="117">
        <f t="shared" ca="1" si="731"/>
        <v>1</v>
      </c>
      <c r="M667" s="204">
        <f t="shared" ca="1" si="730"/>
        <v>1</v>
      </c>
      <c r="N667" s="204">
        <f t="shared" ca="1" si="730"/>
        <v>1</v>
      </c>
      <c r="O667" s="204">
        <f t="shared" ca="1" si="730"/>
        <v>1</v>
      </c>
      <c r="P667" s="204">
        <f t="shared" ca="1" si="730"/>
        <v>1</v>
      </c>
    </row>
    <row r="668" spans="2:16" ht="12.6" customHeight="1" x14ac:dyDescent="0.2">
      <c r="B668" s="56"/>
      <c r="C668" s="61"/>
      <c r="D668" s="57"/>
      <c r="E668" s="57"/>
      <c r="F668" s="57"/>
      <c r="G668" s="57"/>
      <c r="H668" s="57"/>
      <c r="I668" s="57"/>
      <c r="J668" s="57"/>
      <c r="K668" s="57"/>
      <c r="L668" s="57"/>
      <c r="M668" s="68"/>
      <c r="N668" s="68"/>
      <c r="O668" s="68"/>
      <c r="P668" s="68"/>
    </row>
    <row r="669" spans="2:16" ht="12.6" customHeight="1" x14ac:dyDescent="0.2">
      <c r="B669" s="56" t="s">
        <v>563</v>
      </c>
      <c r="C669" s="61" t="s">
        <v>566</v>
      </c>
      <c r="D669" s="57"/>
      <c r="E669" s="57"/>
      <c r="F669" s="57"/>
      <c r="G669" s="57"/>
      <c r="H669" s="57"/>
      <c r="I669" s="57"/>
      <c r="J669" s="57">
        <f>J679*J$649</f>
        <v>5.4428000000000001</v>
      </c>
      <c r="K669" s="57">
        <f t="shared" ref="K669:P669" si="732">K671-K670</f>
        <v>4.902000000000001</v>
      </c>
      <c r="L669" s="57">
        <f t="shared" ca="1" si="732"/>
        <v>3.1218000000000004</v>
      </c>
      <c r="M669" s="68">
        <f t="shared" ca="1" si="732"/>
        <v>4.0111500000000007</v>
      </c>
      <c r="N669" s="68">
        <f t="shared" ca="1" si="732"/>
        <v>4.0035996000000003</v>
      </c>
      <c r="O669" s="68">
        <f t="shared" ca="1" si="732"/>
        <v>3.9954970770000005</v>
      </c>
      <c r="P669" s="68">
        <f t="shared" ca="1" si="732"/>
        <v>3.9868321435800009</v>
      </c>
    </row>
    <row r="670" spans="2:16" ht="12.6" customHeight="1" x14ac:dyDescent="0.2">
      <c r="B670" s="56" t="s">
        <v>299</v>
      </c>
      <c r="C670" s="61" t="s">
        <v>566</v>
      </c>
      <c r="D670" s="57"/>
      <c r="E670" s="57"/>
      <c r="F670" s="57"/>
      <c r="G670" s="57"/>
      <c r="H670" s="57"/>
      <c r="I670" s="57"/>
      <c r="J670" s="57">
        <f>J680*J$649</f>
        <v>6.9272</v>
      </c>
      <c r="K670" s="57">
        <f t="shared" ref="K670:P670" si="733">K680*K649</f>
        <v>6.4979999999999993</v>
      </c>
      <c r="L670" s="57">
        <f t="shared" ca="1" si="733"/>
        <v>4.1381999999999994</v>
      </c>
      <c r="M670" s="68">
        <f t="shared" ca="1" si="733"/>
        <v>5.42685</v>
      </c>
      <c r="N670" s="68">
        <f t="shared" ca="1" si="733"/>
        <v>5.5287803999999996</v>
      </c>
      <c r="O670" s="68">
        <f t="shared" ca="1" si="733"/>
        <v>5.6322067230000004</v>
      </c>
      <c r="P670" s="68">
        <f t="shared" ca="1" si="733"/>
        <v>5.7371486944200001</v>
      </c>
    </row>
    <row r="671" spans="2:16" s="38" customFormat="1" ht="12.6" customHeight="1" x14ac:dyDescent="0.2">
      <c r="B671" s="72" t="s">
        <v>551</v>
      </c>
      <c r="C671" s="61"/>
      <c r="D671" s="63"/>
      <c r="E671" s="63"/>
      <c r="F671" s="63"/>
      <c r="G671" s="63"/>
      <c r="H671" s="63"/>
      <c r="I671" s="63"/>
      <c r="J671" s="63">
        <f>SUM(J669:J670)</f>
        <v>12.370000000000001</v>
      </c>
      <c r="K671" s="63">
        <f t="shared" ref="K671:P671" si="734">K649</f>
        <v>11.4</v>
      </c>
      <c r="L671" s="63">
        <f t="shared" ca="1" si="734"/>
        <v>7.26</v>
      </c>
      <c r="M671" s="64">
        <f t="shared" ca="1" si="734"/>
        <v>9.4380000000000006</v>
      </c>
      <c r="N671" s="64">
        <f t="shared" ca="1" si="734"/>
        <v>9.5323799999999999</v>
      </c>
      <c r="O671" s="64">
        <f t="shared" ca="1" si="734"/>
        <v>9.6277038000000008</v>
      </c>
      <c r="P671" s="64">
        <f t="shared" ca="1" si="734"/>
        <v>9.723980838000001</v>
      </c>
    </row>
    <row r="672" spans="2:16" s="38" customFormat="1" ht="12.6" customHeight="1" x14ac:dyDescent="0.2">
      <c r="B672" s="72"/>
      <c r="C672" s="61"/>
      <c r="D672" s="63"/>
      <c r="E672" s="63"/>
      <c r="F672" s="63"/>
      <c r="G672" s="63"/>
      <c r="H672" s="63"/>
      <c r="I672" s="63"/>
      <c r="J672" s="63"/>
      <c r="K672" s="63"/>
      <c r="L672" s="64"/>
      <c r="M672" s="64"/>
      <c r="N672" s="64"/>
      <c r="O672" s="64"/>
      <c r="P672" s="64"/>
    </row>
    <row r="673" spans="2:20" s="38" customFormat="1" ht="12.6" customHeight="1" x14ac:dyDescent="0.2">
      <c r="B673" s="331" t="s">
        <v>227</v>
      </c>
      <c r="C673" s="326"/>
      <c r="D673" s="335"/>
      <c r="E673" s="335"/>
      <c r="F673" s="335"/>
      <c r="G673" s="335"/>
      <c r="H673" s="335"/>
      <c r="I673" s="335"/>
      <c r="J673" s="335"/>
      <c r="K673" s="335"/>
      <c r="L673" s="336"/>
      <c r="M673" s="336"/>
      <c r="N673" s="336"/>
      <c r="O673" s="336"/>
      <c r="P673" s="336"/>
    </row>
    <row r="674" spans="2:20" s="38" customFormat="1" ht="12.6" customHeight="1" x14ac:dyDescent="0.2">
      <c r="B674" s="322" t="s">
        <v>563</v>
      </c>
      <c r="C674" s="326"/>
      <c r="D674" s="113"/>
      <c r="E674" s="113"/>
      <c r="F674" s="113"/>
      <c r="G674" s="113"/>
      <c r="H674" s="113"/>
      <c r="I674" s="113"/>
      <c r="J674" s="113" t="str">
        <f>IFERROR(J669/I669-1,"--")</f>
        <v>--</v>
      </c>
      <c r="K674" s="113">
        <f t="shared" ref="K674:P674" si="735">IFERROR(K669/J669-1,"--")</f>
        <v>-9.9360623208642473E-2</v>
      </c>
      <c r="L674" s="197">
        <f t="shared" ca="1" si="735"/>
        <v>-0.36315789473684212</v>
      </c>
      <c r="M674" s="197">
        <f t="shared" ca="1" si="735"/>
        <v>0.28488372093023262</v>
      </c>
      <c r="N674" s="197">
        <f t="shared" ca="1" si="735"/>
        <v>-1.8823529411765572E-3</v>
      </c>
      <c r="O674" s="197">
        <f t="shared" ca="1" si="735"/>
        <v>-2.0238095238094278E-3</v>
      </c>
      <c r="P674" s="197">
        <f t="shared" ca="1" si="735"/>
        <v>-2.1686746987951144E-3</v>
      </c>
    </row>
    <row r="675" spans="2:20" s="38" customFormat="1" ht="12.6" customHeight="1" x14ac:dyDescent="0.2">
      <c r="B675" s="322" t="s">
        <v>299</v>
      </c>
      <c r="C675" s="326"/>
      <c r="D675" s="113"/>
      <c r="E675" s="113"/>
      <c r="F675" s="113"/>
      <c r="G675" s="113"/>
      <c r="H675" s="113"/>
      <c r="I675" s="113"/>
      <c r="J675" s="113" t="str">
        <f t="shared" ref="J675:P675" si="736">IFERROR(J670/I670-1,"--")</f>
        <v>--</v>
      </c>
      <c r="K675" s="113">
        <f t="shared" si="736"/>
        <v>-6.1958655733918566E-2</v>
      </c>
      <c r="L675" s="197">
        <f t="shared" ca="1" si="736"/>
        <v>-0.36315789473684212</v>
      </c>
      <c r="M675" s="197">
        <f t="shared" ca="1" si="736"/>
        <v>0.31140350877193002</v>
      </c>
      <c r="N675" s="197">
        <f t="shared" ca="1" si="736"/>
        <v>1.8782608695652181E-2</v>
      </c>
      <c r="O675" s="197">
        <f t="shared" ca="1" si="736"/>
        <v>1.8706896551724306E-2</v>
      </c>
      <c r="P675" s="197">
        <f t="shared" ca="1" si="736"/>
        <v>1.8632478632478522E-2</v>
      </c>
    </row>
    <row r="676" spans="2:20" s="38" customFormat="1" ht="12.6" customHeight="1" x14ac:dyDescent="0.2">
      <c r="B676" s="331" t="s">
        <v>551</v>
      </c>
      <c r="C676" s="327"/>
      <c r="D676" s="117"/>
      <c r="E676" s="117"/>
      <c r="F676" s="117"/>
      <c r="G676" s="117"/>
      <c r="H676" s="117"/>
      <c r="I676" s="117"/>
      <c r="J676" s="117" t="str">
        <f t="shared" ref="J676:P676" si="737">IFERROR(J671/I671-1,"--")</f>
        <v>--</v>
      </c>
      <c r="K676" s="117">
        <f t="shared" si="737"/>
        <v>-7.8415521422797174E-2</v>
      </c>
      <c r="L676" s="204">
        <f t="shared" ca="1" si="737"/>
        <v>-0.36315789473684212</v>
      </c>
      <c r="M676" s="204">
        <f t="shared" ca="1" si="737"/>
        <v>0.30000000000000004</v>
      </c>
      <c r="N676" s="204">
        <f t="shared" ca="1" si="737"/>
        <v>1.0000000000000009E-2</v>
      </c>
      <c r="O676" s="204">
        <f t="shared" ca="1" si="737"/>
        <v>1.0000000000000009E-2</v>
      </c>
      <c r="P676" s="204">
        <f t="shared" ca="1" si="737"/>
        <v>1.0000000000000009E-2</v>
      </c>
    </row>
    <row r="677" spans="2:20" s="38" customFormat="1" ht="12.6" customHeight="1" x14ac:dyDescent="0.2">
      <c r="B677" s="331"/>
      <c r="C677" s="326"/>
      <c r="D677" s="335"/>
      <c r="E677" s="335"/>
      <c r="F677" s="335"/>
      <c r="G677" s="335"/>
      <c r="H677" s="335"/>
      <c r="I677" s="335"/>
      <c r="J677" s="335"/>
      <c r="K677" s="335"/>
      <c r="L677" s="336"/>
      <c r="M677" s="336"/>
      <c r="N677" s="336"/>
      <c r="O677" s="336"/>
      <c r="P677" s="336"/>
    </row>
    <row r="678" spans="2:20" s="38" customFormat="1" ht="12.6" customHeight="1" x14ac:dyDescent="0.2">
      <c r="B678" s="331" t="s">
        <v>287</v>
      </c>
      <c r="C678" s="326"/>
      <c r="D678" s="335"/>
      <c r="E678" s="335"/>
      <c r="F678" s="335"/>
      <c r="G678" s="335"/>
      <c r="H678" s="335"/>
      <c r="I678" s="335"/>
      <c r="J678" s="335"/>
      <c r="K678" s="335"/>
      <c r="L678" s="336"/>
      <c r="M678" s="336"/>
      <c r="N678" s="336"/>
      <c r="O678" s="336"/>
      <c r="P678" s="336"/>
    </row>
    <row r="679" spans="2:20" s="38" customFormat="1" ht="12.6" customHeight="1" x14ac:dyDescent="0.2">
      <c r="B679" s="322" t="s">
        <v>563</v>
      </c>
      <c r="C679" s="326"/>
      <c r="D679" s="113"/>
      <c r="E679" s="113"/>
      <c r="F679" s="113"/>
      <c r="G679" s="113"/>
      <c r="H679" s="113"/>
      <c r="I679" s="113"/>
      <c r="J679" s="113">
        <v>0.44</v>
      </c>
      <c r="K679" s="113">
        <f t="shared" ref="K679:P679" si="738">1-K680</f>
        <v>0.43000000000000005</v>
      </c>
      <c r="L679" s="197">
        <f t="shared" si="738"/>
        <v>0.43000000000000005</v>
      </c>
      <c r="M679" s="197">
        <f t="shared" si="738"/>
        <v>0.42500000000000004</v>
      </c>
      <c r="N679" s="197">
        <f t="shared" si="738"/>
        <v>0.42000000000000004</v>
      </c>
      <c r="O679" s="197">
        <f t="shared" si="738"/>
        <v>0.41500000000000004</v>
      </c>
      <c r="P679" s="197">
        <f t="shared" si="738"/>
        <v>0.41000000000000003</v>
      </c>
    </row>
    <row r="680" spans="2:20" ht="12.6" customHeight="1" x14ac:dyDescent="0.2">
      <c r="B680" s="359" t="s">
        <v>299</v>
      </c>
      <c r="C680" s="327"/>
      <c r="D680" s="117"/>
      <c r="E680" s="117"/>
      <c r="F680" s="117"/>
      <c r="G680" s="117"/>
      <c r="H680" s="117"/>
      <c r="I680" s="117"/>
      <c r="J680" s="117">
        <v>0.56000000000000005</v>
      </c>
      <c r="K680" s="117">
        <v>0.56999999999999995</v>
      </c>
      <c r="L680" s="360">
        <f>K680</f>
        <v>0.56999999999999995</v>
      </c>
      <c r="M680" s="360">
        <f t="shared" ref="M680:P680" si="739">L680+0.5%</f>
        <v>0.57499999999999996</v>
      </c>
      <c r="N680" s="360">
        <f t="shared" si="739"/>
        <v>0.57999999999999996</v>
      </c>
      <c r="O680" s="360">
        <f t="shared" si="739"/>
        <v>0.58499999999999996</v>
      </c>
      <c r="P680" s="360">
        <f t="shared" si="739"/>
        <v>0.59</v>
      </c>
    </row>
    <row r="681" spans="2:20" ht="12.6" customHeight="1" x14ac:dyDescent="0.2">
      <c r="B681" s="116"/>
      <c r="C681" s="61"/>
      <c r="D681" s="63"/>
      <c r="E681" s="63"/>
      <c r="F681" s="63"/>
      <c r="G681" s="63"/>
      <c r="H681" s="63"/>
      <c r="I681" s="63"/>
      <c r="J681" s="63"/>
      <c r="K681" s="63"/>
      <c r="L681" s="64"/>
      <c r="M681" s="64"/>
      <c r="N681" s="64"/>
      <c r="O681" s="64"/>
      <c r="P681" s="64"/>
    </row>
    <row r="683" spans="2:20" ht="12.6" customHeight="1" x14ac:dyDescent="0.2">
      <c r="B683" s="50" t="s">
        <v>568</v>
      </c>
      <c r="C683" s="50" t="s">
        <v>473</v>
      </c>
      <c r="D683" s="163"/>
      <c r="E683" s="163"/>
      <c r="F683" s="163"/>
      <c r="G683" s="51"/>
      <c r="H683" s="51"/>
      <c r="I683" s="51"/>
      <c r="J683" s="51"/>
      <c r="K683" s="51"/>
      <c r="L683" s="54"/>
      <c r="M683" s="54"/>
      <c r="N683" s="54"/>
      <c r="O683" s="54"/>
      <c r="P683" s="54"/>
    </row>
    <row r="684" spans="2:20" ht="12.6" customHeight="1" x14ac:dyDescent="0.2">
      <c r="B684" s="61" t="s">
        <v>565</v>
      </c>
      <c r="C684" s="61"/>
      <c r="D684" s="63"/>
      <c r="E684" s="63"/>
      <c r="F684" s="311"/>
      <c r="G684" s="301"/>
      <c r="H684" s="301">
        <f>'Paradip Coal'!K7</f>
        <v>48.101999999999997</v>
      </c>
      <c r="I684" s="301">
        <f>'Paradip Coal'!L7</f>
        <v>2242.1089999999999</v>
      </c>
      <c r="J684" s="301">
        <f>'Paradip Coal'!M7</f>
        <v>3455.6019999999999</v>
      </c>
      <c r="K684" s="301">
        <f>'Paradip Coal'!N7</f>
        <v>3904.3850000000002</v>
      </c>
      <c r="L684" s="302">
        <f t="shared" ref="L684:P684" si="740">L685*L698</f>
        <v>4123.464380555557</v>
      </c>
      <c r="M684" s="302">
        <f t="shared" si="740"/>
        <v>4416.2303515750018</v>
      </c>
      <c r="N684" s="302">
        <f t="shared" si="740"/>
        <v>4915.2643813029772</v>
      </c>
      <c r="O684" s="302">
        <f t="shared" si="740"/>
        <v>5470.6892563902147</v>
      </c>
      <c r="P684" s="302">
        <f t="shared" si="740"/>
        <v>6088.8771423623102</v>
      </c>
      <c r="S684" s="545" t="str">
        <f>IF(ISERROR((J684/D684)^(1/6)-1)," ",(J684/D684)^(1/6)-1)</f>
        <v xml:space="preserve"> </v>
      </c>
      <c r="T684" s="545">
        <f>IF(ISERROR((P684/J684)^(1/6)-1)," ",(P684/J684)^(1/6)-1)</f>
        <v>9.901153088568071E-2</v>
      </c>
    </row>
    <row r="685" spans="2:20" ht="12.6" customHeight="1" x14ac:dyDescent="0.2">
      <c r="B685" s="59" t="s">
        <v>474</v>
      </c>
      <c r="C685" s="61" t="s">
        <v>476</v>
      </c>
      <c r="D685" s="57"/>
      <c r="E685" s="57"/>
      <c r="F685" s="57"/>
      <c r="G685" s="57"/>
      <c r="H685" s="57">
        <f>H684/H698</f>
        <v>171.37970962857395</v>
      </c>
      <c r="I685" s="57">
        <f>I684/I698</f>
        <v>186.31452551105201</v>
      </c>
      <c r="J685" s="57">
        <f>J684/J698</f>
        <v>206.05855694692903</v>
      </c>
      <c r="K685" s="57">
        <f>K684/K698</f>
        <v>206.58121693121697</v>
      </c>
      <c r="L685" s="303">
        <f t="shared" ref="L685:P685" si="741">K685*(1+L686)</f>
        <v>216.91027777777782</v>
      </c>
      <c r="M685" s="303">
        <f t="shared" si="741"/>
        <v>227.75579166666671</v>
      </c>
      <c r="N685" s="303">
        <f t="shared" si="741"/>
        <v>239.14358125000007</v>
      </c>
      <c r="O685" s="303">
        <f t="shared" si="741"/>
        <v>251.10076031250009</v>
      </c>
      <c r="P685" s="303">
        <f t="shared" si="741"/>
        <v>263.65579832812512</v>
      </c>
      <c r="S685" s="545" t="str">
        <f>IF(ISERROR((J685/D685)^(1/6)-1)," ",(J685/D685)^(1/6)-1)</f>
        <v xml:space="preserve"> </v>
      </c>
      <c r="T685" s="545">
        <f>IF(ISERROR((P685/J685)^(1/6)-1)," ",(P685/J685)^(1/6)-1)</f>
        <v>4.1936164320109937E-2</v>
      </c>
    </row>
    <row r="686" spans="2:20" ht="12.6" customHeight="1" x14ac:dyDescent="0.2">
      <c r="B686" s="322" t="s">
        <v>227</v>
      </c>
      <c r="C686" s="323" t="s">
        <v>477</v>
      </c>
      <c r="D686" s="58"/>
      <c r="E686" s="58"/>
      <c r="F686" s="339"/>
      <c r="G686" s="330"/>
      <c r="H686" s="330"/>
      <c r="I686" s="330">
        <f>I685/H685-1</f>
        <v>8.7144597892281572E-2</v>
      </c>
      <c r="J686" s="330">
        <f>J685/I685-1</f>
        <v>0.1059715091011828</v>
      </c>
      <c r="K686" s="330">
        <f>K685/J685-1</f>
        <v>2.5364633822149152E-3</v>
      </c>
      <c r="L686" s="354">
        <v>0.05</v>
      </c>
      <c r="M686" s="354">
        <v>0.05</v>
      </c>
      <c r="N686" s="354">
        <v>0.05</v>
      </c>
      <c r="O686" s="354">
        <v>0.05</v>
      </c>
      <c r="P686" s="354">
        <v>0.05</v>
      </c>
      <c r="S686" s="352"/>
      <c r="T686" s="352"/>
    </row>
    <row r="687" spans="2:20" ht="12.6" customHeight="1" x14ac:dyDescent="0.2">
      <c r="B687" s="59"/>
      <c r="C687" s="61"/>
      <c r="D687" s="57"/>
      <c r="E687" s="57"/>
      <c r="F687" s="288"/>
      <c r="G687" s="57"/>
      <c r="H687" s="57"/>
      <c r="I687" s="57"/>
      <c r="J687" s="57"/>
      <c r="K687" s="57"/>
      <c r="L687" s="57"/>
      <c r="M687" s="68"/>
      <c r="N687" s="68"/>
      <c r="O687" s="68"/>
      <c r="P687" s="68"/>
    </row>
    <row r="688" spans="2:20" ht="12.6" customHeight="1" x14ac:dyDescent="0.2">
      <c r="B688" s="72" t="s">
        <v>303</v>
      </c>
      <c r="C688" s="61" t="s">
        <v>4</v>
      </c>
      <c r="D688" s="57"/>
      <c r="E688" s="57"/>
      <c r="F688" s="288"/>
      <c r="G688" s="288"/>
      <c r="H688" s="288">
        <f t="shared" ref="H688:P688" si="742">H92</f>
        <v>30</v>
      </c>
      <c r="I688" s="288">
        <f t="shared" si="742"/>
        <v>30</v>
      </c>
      <c r="J688" s="288">
        <f t="shared" si="742"/>
        <v>30</v>
      </c>
      <c r="K688" s="288">
        <f t="shared" ref="K688" si="743">K92</f>
        <v>30</v>
      </c>
      <c r="L688" s="288">
        <f t="shared" si="742"/>
        <v>30</v>
      </c>
      <c r="M688" s="68">
        <f t="shared" si="742"/>
        <v>30</v>
      </c>
      <c r="N688" s="68">
        <f t="shared" si="742"/>
        <v>30</v>
      </c>
      <c r="O688" s="68">
        <f t="shared" si="742"/>
        <v>30</v>
      </c>
      <c r="P688" s="68">
        <f t="shared" si="742"/>
        <v>30</v>
      </c>
      <c r="S688" s="545" t="str">
        <f>IF(ISERROR((J688/D688)^(1/6)-1)," ",(J688/D688)^(1/6)-1)</f>
        <v xml:space="preserve"> </v>
      </c>
      <c r="T688" s="545">
        <f>IF(ISERROR((P688/J688)^(1/6)-1)," ",(P688/J688)^(1/6)-1)</f>
        <v>0</v>
      </c>
    </row>
    <row r="689" spans="2:20" ht="12.6" customHeight="1" x14ac:dyDescent="0.2">
      <c r="B689" s="202" t="s">
        <v>555</v>
      </c>
      <c r="C689" s="326" t="s">
        <v>4</v>
      </c>
      <c r="D689" s="58"/>
      <c r="E689" s="58"/>
      <c r="F689" s="330"/>
      <c r="G689" s="330"/>
      <c r="H689" s="330">
        <f t="shared" ref="H689:P689" si="744">H698/H688</f>
        <v>9.3558333333333341E-3</v>
      </c>
      <c r="I689" s="330">
        <f t="shared" si="744"/>
        <v>0.40113333333333334</v>
      </c>
      <c r="J689" s="330">
        <f t="shared" si="744"/>
        <v>0.55899999999999994</v>
      </c>
      <c r="K689" s="330">
        <f t="shared" ref="K689" si="745">K698/K688</f>
        <v>0.63</v>
      </c>
      <c r="L689" s="330">
        <f t="shared" si="744"/>
        <v>0.63366666666666671</v>
      </c>
      <c r="M689" s="324">
        <f t="shared" si="744"/>
        <v>0.64634000000000014</v>
      </c>
      <c r="N689" s="324">
        <f t="shared" si="744"/>
        <v>0.68512040000000018</v>
      </c>
      <c r="O689" s="324">
        <f t="shared" si="744"/>
        <v>0.72622762400000018</v>
      </c>
      <c r="P689" s="324">
        <f t="shared" si="744"/>
        <v>0.76980128144000026</v>
      </c>
      <c r="S689" s="352"/>
      <c r="T689" s="352"/>
    </row>
    <row r="690" spans="2:20" ht="12.6" customHeight="1" x14ac:dyDescent="0.2">
      <c r="B690" s="59"/>
      <c r="C690" s="61"/>
      <c r="D690" s="57"/>
      <c r="E690" s="57"/>
      <c r="F690" s="288"/>
      <c r="G690" s="57"/>
      <c r="H690" s="57"/>
      <c r="I690" s="57"/>
      <c r="J690" s="57"/>
      <c r="K690" s="57"/>
      <c r="L690" s="57"/>
      <c r="M690" s="68"/>
      <c r="N690" s="68"/>
      <c r="O690" s="68"/>
      <c r="P690" s="68"/>
    </row>
    <row r="691" spans="2:20" ht="12.6" customHeight="1" x14ac:dyDescent="0.2">
      <c r="B691" s="72" t="s">
        <v>489</v>
      </c>
      <c r="C691" s="61"/>
      <c r="D691" s="57"/>
      <c r="E691" s="57"/>
      <c r="F691" s="288"/>
      <c r="G691" s="57"/>
      <c r="H691" s="57"/>
      <c r="I691" s="57"/>
      <c r="J691" s="57"/>
      <c r="K691" s="57"/>
      <c r="L691" s="57"/>
      <c r="M691" s="68"/>
      <c r="N691" s="68"/>
      <c r="O691" s="68"/>
      <c r="P691" s="68"/>
    </row>
    <row r="692" spans="2:20" ht="12.6" customHeight="1" x14ac:dyDescent="0.2">
      <c r="B692" s="56" t="s">
        <v>279</v>
      </c>
      <c r="C692" s="61"/>
      <c r="D692" s="288"/>
      <c r="E692" s="288"/>
      <c r="F692" s="288"/>
      <c r="G692" s="288"/>
      <c r="H692" s="288">
        <v>0</v>
      </c>
      <c r="I692" s="288">
        <v>0</v>
      </c>
      <c r="J692" s="288">
        <v>0</v>
      </c>
      <c r="K692" s="288">
        <f>$K$698*J710</f>
        <v>0</v>
      </c>
      <c r="L692" s="288">
        <v>0</v>
      </c>
      <c r="M692" s="303">
        <f t="shared" ref="M692:P692" si="746">L692*(1+M701)</f>
        <v>0</v>
      </c>
      <c r="N692" s="303">
        <f t="shared" si="746"/>
        <v>0</v>
      </c>
      <c r="O692" s="303">
        <f t="shared" si="746"/>
        <v>0</v>
      </c>
      <c r="P692" s="303">
        <f t="shared" si="746"/>
        <v>0</v>
      </c>
      <c r="S692" s="545" t="str">
        <f t="shared" ref="S692:S698" si="747">IF(ISERROR((J692/D692)^(1/6)-1)," ",(J692/D692)^(1/6)-1)</f>
        <v xml:space="preserve"> </v>
      </c>
      <c r="T692" s="545" t="str">
        <f t="shared" ref="T692:T698" si="748">IF(ISERROR((P692/J692)^(1/6)-1)," ",(P692/J692)^(1/6)-1)</f>
        <v xml:space="preserve"> </v>
      </c>
    </row>
    <row r="693" spans="2:20" ht="12.6" customHeight="1" x14ac:dyDescent="0.2">
      <c r="B693" s="56" t="s">
        <v>280</v>
      </c>
      <c r="C693" s="61"/>
      <c r="D693" s="288"/>
      <c r="E693" s="288"/>
      <c r="F693" s="288"/>
      <c r="G693" s="288"/>
      <c r="H693" s="288">
        <v>0.28067500000000001</v>
      </c>
      <c r="I693" s="288">
        <v>12.034000000000001</v>
      </c>
      <c r="J693" s="288">
        <v>16.77</v>
      </c>
      <c r="K693" s="288">
        <f t="shared" ref="K693:K697" si="749">$K$698*J711</f>
        <v>18.899999999999999</v>
      </c>
      <c r="L693" s="288">
        <v>19.010000000000002</v>
      </c>
      <c r="M693" s="303">
        <f t="shared" ref="M693:P693" si="750">L693*(1+M702)</f>
        <v>19.390200000000004</v>
      </c>
      <c r="N693" s="303">
        <f t="shared" si="750"/>
        <v>20.553612000000005</v>
      </c>
      <c r="O693" s="303">
        <f t="shared" si="750"/>
        <v>21.786828720000006</v>
      </c>
      <c r="P693" s="303">
        <f t="shared" si="750"/>
        <v>23.094038443200009</v>
      </c>
      <c r="S693" s="545" t="str">
        <f t="shared" si="747"/>
        <v xml:space="preserve"> </v>
      </c>
      <c r="T693" s="545">
        <f t="shared" si="748"/>
        <v>5.4778179815664574E-2</v>
      </c>
    </row>
    <row r="694" spans="2:20" ht="12.6" customHeight="1" x14ac:dyDescent="0.2">
      <c r="B694" s="56" t="s">
        <v>281</v>
      </c>
      <c r="C694" s="61"/>
      <c r="D694" s="288"/>
      <c r="E694" s="288"/>
      <c r="F694" s="288"/>
      <c r="G694" s="288"/>
      <c r="H694" s="288">
        <v>0</v>
      </c>
      <c r="I694" s="288">
        <v>0</v>
      </c>
      <c r="J694" s="288">
        <v>0</v>
      </c>
      <c r="K694" s="288">
        <f t="shared" si="749"/>
        <v>0</v>
      </c>
      <c r="L694" s="288">
        <v>0</v>
      </c>
      <c r="M694" s="303">
        <f t="shared" ref="M694:P694" si="751">L694*(1+M703)</f>
        <v>0</v>
      </c>
      <c r="N694" s="303">
        <f t="shared" si="751"/>
        <v>0</v>
      </c>
      <c r="O694" s="303">
        <f t="shared" si="751"/>
        <v>0</v>
      </c>
      <c r="P694" s="303">
        <f t="shared" si="751"/>
        <v>0</v>
      </c>
      <c r="S694" s="545" t="str">
        <f t="shared" si="747"/>
        <v xml:space="preserve"> </v>
      </c>
      <c r="T694" s="545" t="str">
        <f t="shared" si="748"/>
        <v xml:space="preserve"> </v>
      </c>
    </row>
    <row r="695" spans="2:20" ht="12.6" customHeight="1" x14ac:dyDescent="0.2">
      <c r="B695" s="56" t="s">
        <v>282</v>
      </c>
      <c r="C695" s="61"/>
      <c r="D695" s="288"/>
      <c r="E695" s="288"/>
      <c r="F695" s="288"/>
      <c r="G695" s="288"/>
      <c r="H695" s="288">
        <v>0</v>
      </c>
      <c r="I695" s="288">
        <v>0</v>
      </c>
      <c r="J695" s="288">
        <v>0</v>
      </c>
      <c r="K695" s="288">
        <f t="shared" si="749"/>
        <v>0</v>
      </c>
      <c r="L695" s="288">
        <v>0</v>
      </c>
      <c r="M695" s="303">
        <f t="shared" ref="M695:P695" si="752">L695*(1+M704)</f>
        <v>0</v>
      </c>
      <c r="N695" s="303">
        <f t="shared" si="752"/>
        <v>0</v>
      </c>
      <c r="O695" s="303">
        <f t="shared" si="752"/>
        <v>0</v>
      </c>
      <c r="P695" s="303">
        <f t="shared" si="752"/>
        <v>0</v>
      </c>
      <c r="S695" s="545" t="str">
        <f t="shared" si="747"/>
        <v xml:space="preserve"> </v>
      </c>
      <c r="T695" s="545" t="str">
        <f t="shared" si="748"/>
        <v xml:space="preserve"> </v>
      </c>
    </row>
    <row r="696" spans="2:20" ht="12.6" customHeight="1" x14ac:dyDescent="0.2">
      <c r="B696" s="56" t="s">
        <v>283</v>
      </c>
      <c r="C696" s="61"/>
      <c r="D696" s="288"/>
      <c r="E696" s="288"/>
      <c r="F696" s="288"/>
      <c r="G696" s="288"/>
      <c r="H696" s="288">
        <v>0</v>
      </c>
      <c r="I696" s="288">
        <v>0</v>
      </c>
      <c r="J696" s="288">
        <v>0</v>
      </c>
      <c r="K696" s="288">
        <f t="shared" si="749"/>
        <v>0</v>
      </c>
      <c r="L696" s="288">
        <v>0</v>
      </c>
      <c r="M696" s="303">
        <f t="shared" ref="M696:P696" si="753">L696*(1+M705)</f>
        <v>0</v>
      </c>
      <c r="N696" s="303">
        <f t="shared" si="753"/>
        <v>0</v>
      </c>
      <c r="O696" s="303">
        <f t="shared" si="753"/>
        <v>0</v>
      </c>
      <c r="P696" s="303">
        <f t="shared" si="753"/>
        <v>0</v>
      </c>
      <c r="S696" s="545" t="str">
        <f t="shared" si="747"/>
        <v xml:space="preserve"> </v>
      </c>
      <c r="T696" s="545" t="str">
        <f t="shared" si="748"/>
        <v xml:space="preserve"> </v>
      </c>
    </row>
    <row r="697" spans="2:20" ht="12.6" customHeight="1" x14ac:dyDescent="0.2">
      <c r="B697" s="56" t="s">
        <v>284</v>
      </c>
      <c r="C697" s="61"/>
      <c r="D697" s="288"/>
      <c r="E697" s="288"/>
      <c r="F697" s="288"/>
      <c r="G697" s="288"/>
      <c r="H697" s="288">
        <v>0</v>
      </c>
      <c r="I697" s="288">
        <v>0</v>
      </c>
      <c r="J697" s="288">
        <v>0</v>
      </c>
      <c r="K697" s="288">
        <f t="shared" si="749"/>
        <v>0</v>
      </c>
      <c r="L697" s="288">
        <v>0</v>
      </c>
      <c r="M697" s="303">
        <f t="shared" ref="M697:P697" si="754">L697*(1+M706)</f>
        <v>0</v>
      </c>
      <c r="N697" s="303">
        <f t="shared" si="754"/>
        <v>0</v>
      </c>
      <c r="O697" s="303">
        <f t="shared" si="754"/>
        <v>0</v>
      </c>
      <c r="P697" s="303">
        <f t="shared" si="754"/>
        <v>0</v>
      </c>
      <c r="S697" s="545" t="str">
        <f t="shared" si="747"/>
        <v xml:space="preserve"> </v>
      </c>
      <c r="T697" s="545" t="str">
        <f t="shared" si="748"/>
        <v xml:space="preserve"> </v>
      </c>
    </row>
    <row r="698" spans="2:20" ht="12.6" customHeight="1" x14ac:dyDescent="0.2">
      <c r="B698" s="72" t="s">
        <v>551</v>
      </c>
      <c r="C698" s="95" t="s">
        <v>566</v>
      </c>
      <c r="D698" s="63"/>
      <c r="E698" s="63"/>
      <c r="F698" s="63"/>
      <c r="G698" s="63"/>
      <c r="H698" s="63">
        <f>H8</f>
        <v>0.28067500000000001</v>
      </c>
      <c r="I698" s="63">
        <f>I8</f>
        <v>12.034000000000001</v>
      </c>
      <c r="J698" s="63">
        <f>J8</f>
        <v>16.77</v>
      </c>
      <c r="K698" s="63">
        <f>K8</f>
        <v>18.899999999999999</v>
      </c>
      <c r="L698" s="63">
        <f t="shared" ref="L698:P698" si="755">SUM(L692:L697)</f>
        <v>19.010000000000002</v>
      </c>
      <c r="M698" s="64">
        <f t="shared" si="755"/>
        <v>19.390200000000004</v>
      </c>
      <c r="N698" s="64">
        <f t="shared" si="755"/>
        <v>20.553612000000005</v>
      </c>
      <c r="O698" s="64">
        <f t="shared" si="755"/>
        <v>21.786828720000006</v>
      </c>
      <c r="P698" s="64">
        <f t="shared" si="755"/>
        <v>23.094038443200009</v>
      </c>
      <c r="Q698" s="352"/>
      <c r="S698" s="367" t="str">
        <f t="shared" si="747"/>
        <v xml:space="preserve"> </v>
      </c>
      <c r="T698" s="545">
        <f t="shared" si="748"/>
        <v>5.4778179815664574E-2</v>
      </c>
    </row>
    <row r="699" spans="2:20" ht="12.6" customHeight="1" x14ac:dyDescent="0.2">
      <c r="B699" s="72"/>
      <c r="C699" s="95"/>
      <c r="D699" s="63"/>
      <c r="E699" s="63"/>
      <c r="F699" s="63"/>
      <c r="G699" s="63"/>
      <c r="H699" s="63"/>
      <c r="I699" s="63"/>
      <c r="J699" s="63"/>
      <c r="K699" s="63"/>
      <c r="L699" s="63"/>
      <c r="M699" s="64"/>
      <c r="N699" s="64"/>
      <c r="O699" s="64"/>
      <c r="P699" s="64"/>
    </row>
    <row r="700" spans="2:20" ht="12.6" customHeight="1" x14ac:dyDescent="0.2">
      <c r="B700" s="116" t="s">
        <v>227</v>
      </c>
      <c r="C700" s="61"/>
      <c r="D700" s="63"/>
      <c r="E700" s="63"/>
      <c r="F700" s="63"/>
      <c r="G700" s="63"/>
      <c r="H700" s="63"/>
      <c r="I700" s="63"/>
      <c r="J700" s="63"/>
      <c r="K700" s="63"/>
      <c r="L700" s="63"/>
      <c r="M700" s="68"/>
      <c r="N700" s="68"/>
      <c r="O700" s="68"/>
      <c r="P700" s="68"/>
    </row>
    <row r="701" spans="2:20" ht="12.6" customHeight="1" x14ac:dyDescent="0.2">
      <c r="B701" s="322" t="s">
        <v>279</v>
      </c>
      <c r="C701" s="355"/>
      <c r="D701" s="113"/>
      <c r="E701" s="113"/>
      <c r="F701" s="113"/>
      <c r="G701" s="113"/>
      <c r="H701" s="113">
        <f t="shared" ref="H701:L707" si="756">IFERROR(H692/G692-1,0)</f>
        <v>0</v>
      </c>
      <c r="I701" s="113">
        <f t="shared" si="756"/>
        <v>0</v>
      </c>
      <c r="J701" s="113">
        <f t="shared" si="756"/>
        <v>0</v>
      </c>
      <c r="K701" s="113">
        <f t="shared" si="756"/>
        <v>0</v>
      </c>
      <c r="L701" s="113">
        <f t="shared" si="756"/>
        <v>0</v>
      </c>
      <c r="M701" s="356">
        <v>0</v>
      </c>
      <c r="N701" s="356">
        <v>0</v>
      </c>
      <c r="O701" s="356">
        <v>0</v>
      </c>
      <c r="P701" s="356">
        <v>0</v>
      </c>
    </row>
    <row r="702" spans="2:20" ht="12.6" customHeight="1" x14ac:dyDescent="0.2">
      <c r="B702" s="322" t="s">
        <v>280</v>
      </c>
      <c r="C702" s="355"/>
      <c r="D702" s="113"/>
      <c r="E702" s="113"/>
      <c r="F702" s="113"/>
      <c r="G702" s="113"/>
      <c r="H702" s="113">
        <f t="shared" si="756"/>
        <v>0</v>
      </c>
      <c r="I702" s="113">
        <f t="shared" si="756"/>
        <v>41.875211543600251</v>
      </c>
      <c r="J702" s="113">
        <f t="shared" si="756"/>
        <v>0.39355160378926368</v>
      </c>
      <c r="K702" s="113">
        <f t="shared" si="756"/>
        <v>0.12701252236135963</v>
      </c>
      <c r="L702" s="113">
        <f t="shared" si="756"/>
        <v>5.8201058201059475E-3</v>
      </c>
      <c r="M702" s="356">
        <v>0.02</v>
      </c>
      <c r="N702" s="356">
        <v>0.06</v>
      </c>
      <c r="O702" s="356">
        <v>0.06</v>
      </c>
      <c r="P702" s="356">
        <v>0.06</v>
      </c>
    </row>
    <row r="703" spans="2:20" ht="12.6" customHeight="1" x14ac:dyDescent="0.2">
      <c r="B703" s="322" t="s">
        <v>281</v>
      </c>
      <c r="C703" s="355"/>
      <c r="D703" s="113"/>
      <c r="E703" s="113"/>
      <c r="F703" s="113"/>
      <c r="G703" s="113"/>
      <c r="H703" s="113">
        <f t="shared" si="756"/>
        <v>0</v>
      </c>
      <c r="I703" s="113">
        <f t="shared" si="756"/>
        <v>0</v>
      </c>
      <c r="J703" s="113">
        <f t="shared" si="756"/>
        <v>0</v>
      </c>
      <c r="K703" s="113">
        <f t="shared" si="756"/>
        <v>0</v>
      </c>
      <c r="L703" s="113">
        <f t="shared" si="756"/>
        <v>0</v>
      </c>
      <c r="M703" s="356">
        <v>0</v>
      </c>
      <c r="N703" s="356">
        <v>0</v>
      </c>
      <c r="O703" s="356">
        <v>0</v>
      </c>
      <c r="P703" s="356">
        <v>0</v>
      </c>
    </row>
    <row r="704" spans="2:20" ht="12.6" customHeight="1" x14ac:dyDescent="0.2">
      <c r="B704" s="322" t="s">
        <v>282</v>
      </c>
      <c r="C704" s="355"/>
      <c r="D704" s="113"/>
      <c r="E704" s="113"/>
      <c r="F704" s="113"/>
      <c r="G704" s="113"/>
      <c r="H704" s="113">
        <f t="shared" si="756"/>
        <v>0</v>
      </c>
      <c r="I704" s="113">
        <f t="shared" si="756"/>
        <v>0</v>
      </c>
      <c r="J704" s="113">
        <f t="shared" si="756"/>
        <v>0</v>
      </c>
      <c r="K704" s="113">
        <f t="shared" si="756"/>
        <v>0</v>
      </c>
      <c r="L704" s="113">
        <f t="shared" si="756"/>
        <v>0</v>
      </c>
      <c r="M704" s="356">
        <v>0</v>
      </c>
      <c r="N704" s="356">
        <v>0</v>
      </c>
      <c r="O704" s="356">
        <v>0</v>
      </c>
      <c r="P704" s="356">
        <v>0</v>
      </c>
    </row>
    <row r="705" spans="2:16" ht="12.6" customHeight="1" x14ac:dyDescent="0.2">
      <c r="B705" s="322" t="s">
        <v>283</v>
      </c>
      <c r="C705" s="355"/>
      <c r="D705" s="113"/>
      <c r="E705" s="113"/>
      <c r="F705" s="113"/>
      <c r="G705" s="113"/>
      <c r="H705" s="113">
        <f t="shared" si="756"/>
        <v>0</v>
      </c>
      <c r="I705" s="113">
        <f t="shared" si="756"/>
        <v>0</v>
      </c>
      <c r="J705" s="113">
        <f t="shared" si="756"/>
        <v>0</v>
      </c>
      <c r="K705" s="113">
        <f t="shared" si="756"/>
        <v>0</v>
      </c>
      <c r="L705" s="113">
        <f t="shared" si="756"/>
        <v>0</v>
      </c>
      <c r="M705" s="356">
        <v>0</v>
      </c>
      <c r="N705" s="356">
        <v>0</v>
      </c>
      <c r="O705" s="356">
        <v>0</v>
      </c>
      <c r="P705" s="356">
        <v>0</v>
      </c>
    </row>
    <row r="706" spans="2:16" ht="12.6" customHeight="1" x14ac:dyDescent="0.2">
      <c r="B706" s="322" t="s">
        <v>284</v>
      </c>
      <c r="C706" s="355"/>
      <c r="D706" s="113"/>
      <c r="E706" s="113"/>
      <c r="F706" s="113"/>
      <c r="G706" s="113"/>
      <c r="H706" s="113">
        <f t="shared" si="756"/>
        <v>0</v>
      </c>
      <c r="I706" s="113">
        <f t="shared" si="756"/>
        <v>0</v>
      </c>
      <c r="J706" s="113">
        <f t="shared" si="756"/>
        <v>0</v>
      </c>
      <c r="K706" s="113">
        <f t="shared" si="756"/>
        <v>0</v>
      </c>
      <c r="L706" s="113">
        <f t="shared" si="756"/>
        <v>0</v>
      </c>
      <c r="M706" s="356">
        <v>0</v>
      </c>
      <c r="N706" s="356">
        <v>0</v>
      </c>
      <c r="O706" s="356">
        <v>0</v>
      </c>
      <c r="P706" s="356">
        <v>0</v>
      </c>
    </row>
    <row r="707" spans="2:16" ht="12.6" customHeight="1" x14ac:dyDescent="0.2">
      <c r="B707" s="331" t="s">
        <v>551</v>
      </c>
      <c r="C707" s="358"/>
      <c r="D707" s="117"/>
      <c r="E707" s="117"/>
      <c r="F707" s="117"/>
      <c r="G707" s="117"/>
      <c r="H707" s="117">
        <f t="shared" si="756"/>
        <v>0</v>
      </c>
      <c r="I707" s="117">
        <f t="shared" si="756"/>
        <v>41.875211543600251</v>
      </c>
      <c r="J707" s="117">
        <f t="shared" si="756"/>
        <v>0.39355160378926368</v>
      </c>
      <c r="K707" s="117">
        <f t="shared" si="756"/>
        <v>0.12701252236135963</v>
      </c>
      <c r="L707" s="117">
        <f t="shared" si="756"/>
        <v>5.8201058201059475E-3</v>
      </c>
      <c r="M707" s="204">
        <f t="shared" ref="M707:P707" si="757">IFERROR(M698/L698-1,0)</f>
        <v>2.0000000000000018E-2</v>
      </c>
      <c r="N707" s="204">
        <f t="shared" si="757"/>
        <v>6.0000000000000053E-2</v>
      </c>
      <c r="O707" s="204">
        <f t="shared" si="757"/>
        <v>6.0000000000000053E-2</v>
      </c>
      <c r="P707" s="204">
        <f t="shared" si="757"/>
        <v>6.0000000000000053E-2</v>
      </c>
    </row>
    <row r="708" spans="2:16" ht="12.6" customHeight="1" x14ac:dyDescent="0.2">
      <c r="B708" s="201"/>
      <c r="C708" s="326"/>
      <c r="D708" s="335"/>
      <c r="E708" s="335"/>
      <c r="F708" s="335"/>
      <c r="G708" s="335"/>
      <c r="H708" s="335"/>
      <c r="I708" s="335"/>
      <c r="J708" s="335"/>
      <c r="K708" s="335"/>
      <c r="L708" s="335"/>
      <c r="M708" s="357"/>
      <c r="N708" s="357"/>
      <c r="O708" s="357"/>
      <c r="P708" s="357"/>
    </row>
    <row r="709" spans="2:16" ht="12.6" customHeight="1" x14ac:dyDescent="0.2">
      <c r="B709" s="331" t="s">
        <v>287</v>
      </c>
      <c r="C709" s="326"/>
      <c r="D709" s="335"/>
      <c r="E709" s="335"/>
      <c r="F709" s="335"/>
      <c r="G709" s="335"/>
      <c r="H709" s="335"/>
      <c r="I709" s="335"/>
      <c r="J709" s="335"/>
      <c r="K709" s="335"/>
      <c r="L709" s="335"/>
      <c r="M709" s="357"/>
      <c r="N709" s="357"/>
      <c r="O709" s="357"/>
      <c r="P709" s="357"/>
    </row>
    <row r="710" spans="2:16" ht="12.6" customHeight="1" x14ac:dyDescent="0.2">
      <c r="B710" s="322" t="s">
        <v>279</v>
      </c>
      <c r="C710" s="326"/>
      <c r="D710" s="113"/>
      <c r="E710" s="113"/>
      <c r="F710" s="113"/>
      <c r="G710" s="113"/>
      <c r="H710" s="113">
        <f t="shared" ref="H710:P710" si="758">H692/H$698</f>
        <v>0</v>
      </c>
      <c r="I710" s="113">
        <f t="shared" si="758"/>
        <v>0</v>
      </c>
      <c r="J710" s="113">
        <f t="shared" si="758"/>
        <v>0</v>
      </c>
      <c r="K710" s="113">
        <f t="shared" ref="K710:L710" si="759">K692/K$698</f>
        <v>0</v>
      </c>
      <c r="L710" s="113">
        <f t="shared" si="759"/>
        <v>0</v>
      </c>
      <c r="M710" s="197">
        <f t="shared" si="758"/>
        <v>0</v>
      </c>
      <c r="N710" s="197">
        <f t="shared" si="758"/>
        <v>0</v>
      </c>
      <c r="O710" s="197">
        <f t="shared" si="758"/>
        <v>0</v>
      </c>
      <c r="P710" s="197">
        <f t="shared" si="758"/>
        <v>0</v>
      </c>
    </row>
    <row r="711" spans="2:16" ht="12.6" customHeight="1" x14ac:dyDescent="0.2">
      <c r="B711" s="322" t="s">
        <v>280</v>
      </c>
      <c r="C711" s="326"/>
      <c r="D711" s="113"/>
      <c r="E711" s="113"/>
      <c r="F711" s="113"/>
      <c r="G711" s="113"/>
      <c r="H711" s="113">
        <f>H693/H$698</f>
        <v>1</v>
      </c>
      <c r="I711" s="113">
        <f>I693/I$698</f>
        <v>1</v>
      </c>
      <c r="J711" s="113">
        <f>J693/J$698</f>
        <v>1</v>
      </c>
      <c r="K711" s="113">
        <f>K693/K$698</f>
        <v>1</v>
      </c>
      <c r="L711" s="113">
        <f>L693/L$698</f>
        <v>1</v>
      </c>
      <c r="M711" s="197">
        <f t="shared" ref="M711:P711" si="760">M693/M$698</f>
        <v>1</v>
      </c>
      <c r="N711" s="197">
        <f t="shared" si="760"/>
        <v>1</v>
      </c>
      <c r="O711" s="197">
        <f t="shared" si="760"/>
        <v>1</v>
      </c>
      <c r="P711" s="197">
        <f t="shared" si="760"/>
        <v>1</v>
      </c>
    </row>
    <row r="712" spans="2:16" ht="12.6" customHeight="1" x14ac:dyDescent="0.2">
      <c r="B712" s="322" t="s">
        <v>281</v>
      </c>
      <c r="C712" s="326"/>
      <c r="D712" s="113"/>
      <c r="E712" s="113"/>
      <c r="F712" s="113"/>
      <c r="G712" s="113"/>
      <c r="H712" s="113">
        <f t="shared" ref="H712:P712" si="761">H694/H$698</f>
        <v>0</v>
      </c>
      <c r="I712" s="113">
        <f t="shared" si="761"/>
        <v>0</v>
      </c>
      <c r="J712" s="113">
        <f t="shared" si="761"/>
        <v>0</v>
      </c>
      <c r="K712" s="113">
        <f t="shared" ref="K712:L712" si="762">K694/K$698</f>
        <v>0</v>
      </c>
      <c r="L712" s="113">
        <f t="shared" si="762"/>
        <v>0</v>
      </c>
      <c r="M712" s="197">
        <f t="shared" si="761"/>
        <v>0</v>
      </c>
      <c r="N712" s="197">
        <f t="shared" si="761"/>
        <v>0</v>
      </c>
      <c r="O712" s="197">
        <f t="shared" si="761"/>
        <v>0</v>
      </c>
      <c r="P712" s="197">
        <f t="shared" si="761"/>
        <v>0</v>
      </c>
    </row>
    <row r="713" spans="2:16" ht="12.6" customHeight="1" x14ac:dyDescent="0.2">
      <c r="B713" s="322" t="s">
        <v>282</v>
      </c>
      <c r="C713" s="326"/>
      <c r="D713" s="113"/>
      <c r="E713" s="113"/>
      <c r="F713" s="113"/>
      <c r="G713" s="113"/>
      <c r="H713" s="113">
        <f t="shared" ref="H713:P713" si="763">H695/H$698</f>
        <v>0</v>
      </c>
      <c r="I713" s="113">
        <f t="shared" si="763"/>
        <v>0</v>
      </c>
      <c r="J713" s="113">
        <f t="shared" si="763"/>
        <v>0</v>
      </c>
      <c r="K713" s="113">
        <f t="shared" ref="K713:L713" si="764">K695/K$698</f>
        <v>0</v>
      </c>
      <c r="L713" s="113">
        <f t="shared" si="764"/>
        <v>0</v>
      </c>
      <c r="M713" s="197">
        <f t="shared" si="763"/>
        <v>0</v>
      </c>
      <c r="N713" s="197">
        <f t="shared" si="763"/>
        <v>0</v>
      </c>
      <c r="O713" s="197">
        <f t="shared" si="763"/>
        <v>0</v>
      </c>
      <c r="P713" s="197">
        <f t="shared" si="763"/>
        <v>0</v>
      </c>
    </row>
    <row r="714" spans="2:16" ht="12.6" customHeight="1" x14ac:dyDescent="0.2">
      <c r="B714" s="322" t="s">
        <v>283</v>
      </c>
      <c r="C714" s="326"/>
      <c r="D714" s="113"/>
      <c r="E714" s="113"/>
      <c r="F714" s="113"/>
      <c r="G714" s="113"/>
      <c r="H714" s="113">
        <f t="shared" ref="H714:P714" si="765">H696/H$698</f>
        <v>0</v>
      </c>
      <c r="I714" s="113">
        <f t="shared" si="765"/>
        <v>0</v>
      </c>
      <c r="J714" s="113">
        <f t="shared" si="765"/>
        <v>0</v>
      </c>
      <c r="K714" s="113">
        <f t="shared" ref="K714:L714" si="766">K696/K$698</f>
        <v>0</v>
      </c>
      <c r="L714" s="113">
        <f t="shared" si="766"/>
        <v>0</v>
      </c>
      <c r="M714" s="197">
        <f t="shared" si="765"/>
        <v>0</v>
      </c>
      <c r="N714" s="197">
        <f t="shared" si="765"/>
        <v>0</v>
      </c>
      <c r="O714" s="197">
        <f t="shared" si="765"/>
        <v>0</v>
      </c>
      <c r="P714" s="197">
        <f t="shared" si="765"/>
        <v>0</v>
      </c>
    </row>
    <row r="715" spans="2:16" ht="12.6" customHeight="1" x14ac:dyDescent="0.2">
      <c r="B715" s="322" t="s">
        <v>284</v>
      </c>
      <c r="C715" s="326"/>
      <c r="D715" s="113"/>
      <c r="E715" s="113"/>
      <c r="F715" s="113"/>
      <c r="G715" s="113"/>
      <c r="H715" s="113">
        <f t="shared" ref="H715:P715" si="767">H697/H$698</f>
        <v>0</v>
      </c>
      <c r="I715" s="113">
        <f t="shared" si="767"/>
        <v>0</v>
      </c>
      <c r="J715" s="113">
        <f t="shared" si="767"/>
        <v>0</v>
      </c>
      <c r="K715" s="113">
        <f t="shared" ref="K715:L715" si="768">K697/K$698</f>
        <v>0</v>
      </c>
      <c r="L715" s="113">
        <f t="shared" si="768"/>
        <v>0</v>
      </c>
      <c r="M715" s="197">
        <f t="shared" si="767"/>
        <v>0</v>
      </c>
      <c r="N715" s="197">
        <f t="shared" si="767"/>
        <v>0</v>
      </c>
      <c r="O715" s="197">
        <f t="shared" si="767"/>
        <v>0</v>
      </c>
      <c r="P715" s="197">
        <f t="shared" si="767"/>
        <v>0</v>
      </c>
    </row>
    <row r="716" spans="2:16" ht="12.6" customHeight="1" x14ac:dyDescent="0.2">
      <c r="B716" s="359" t="s">
        <v>551</v>
      </c>
      <c r="C716" s="327"/>
      <c r="D716" s="117"/>
      <c r="E716" s="117"/>
      <c r="F716" s="117"/>
      <c r="G716" s="117"/>
      <c r="H716" s="117">
        <f t="shared" ref="H716:P716" si="769">H698/H$698</f>
        <v>1</v>
      </c>
      <c r="I716" s="117">
        <f t="shared" si="769"/>
        <v>1</v>
      </c>
      <c r="J716" s="117">
        <f t="shared" si="769"/>
        <v>1</v>
      </c>
      <c r="K716" s="117">
        <f t="shared" ref="K716:L716" si="770">K698/K$698</f>
        <v>1</v>
      </c>
      <c r="L716" s="117">
        <f t="shared" si="770"/>
        <v>1</v>
      </c>
      <c r="M716" s="204">
        <f t="shared" si="769"/>
        <v>1</v>
      </c>
      <c r="N716" s="204">
        <f t="shared" si="769"/>
        <v>1</v>
      </c>
      <c r="O716" s="204">
        <f t="shared" si="769"/>
        <v>1</v>
      </c>
      <c r="P716" s="204">
        <f t="shared" si="769"/>
        <v>1</v>
      </c>
    </row>
    <row r="717" spans="2:16" ht="12.6" customHeight="1" x14ac:dyDescent="0.2">
      <c r="B717" s="56"/>
      <c r="C717" s="61"/>
      <c r="D717" s="57"/>
      <c r="E717" s="57"/>
      <c r="F717" s="57"/>
      <c r="G717" s="57"/>
      <c r="H717" s="57"/>
      <c r="I717" s="57"/>
      <c r="J717" s="57"/>
      <c r="K717" s="57"/>
      <c r="L717" s="57"/>
      <c r="M717" s="68"/>
      <c r="N717" s="68"/>
      <c r="O717" s="68"/>
      <c r="P717" s="68"/>
    </row>
    <row r="718" spans="2:16" ht="12.6" customHeight="1" x14ac:dyDescent="0.2">
      <c r="B718" s="56" t="s">
        <v>563</v>
      </c>
      <c r="C718" s="61" t="s">
        <v>566</v>
      </c>
      <c r="D718" s="57"/>
      <c r="E718" s="57"/>
      <c r="F718" s="57"/>
      <c r="G718" s="57"/>
      <c r="H718" s="57"/>
      <c r="I718" s="57"/>
      <c r="J718" s="57">
        <f>J728*J$698</f>
        <v>0</v>
      </c>
      <c r="K718" s="57">
        <f t="shared" ref="K718:P718" si="771">K720-K719</f>
        <v>0</v>
      </c>
      <c r="L718" s="68">
        <f t="shared" si="771"/>
        <v>0</v>
      </c>
      <c r="M718" s="68">
        <f t="shared" si="771"/>
        <v>0</v>
      </c>
      <c r="N718" s="68">
        <f t="shared" si="771"/>
        <v>0</v>
      </c>
      <c r="O718" s="68">
        <f t="shared" si="771"/>
        <v>0</v>
      </c>
      <c r="P718" s="68">
        <f t="shared" si="771"/>
        <v>0</v>
      </c>
    </row>
    <row r="719" spans="2:16" ht="12.6" customHeight="1" x14ac:dyDescent="0.2">
      <c r="B719" s="56" t="s">
        <v>299</v>
      </c>
      <c r="C719" s="61" t="s">
        <v>566</v>
      </c>
      <c r="D719" s="57"/>
      <c r="E719" s="57"/>
      <c r="F719" s="57"/>
      <c r="G719" s="57"/>
      <c r="H719" s="57"/>
      <c r="I719" s="57"/>
      <c r="J719" s="57">
        <f>J729*J$698</f>
        <v>16.77</v>
      </c>
      <c r="K719" s="57">
        <f t="shared" ref="K719:P719" si="772">K720*K729</f>
        <v>18.899999999999999</v>
      </c>
      <c r="L719" s="68">
        <f t="shared" si="772"/>
        <v>19.010000000000002</v>
      </c>
      <c r="M719" s="68">
        <f t="shared" si="772"/>
        <v>19.390200000000004</v>
      </c>
      <c r="N719" s="68">
        <f t="shared" si="772"/>
        <v>20.553612000000005</v>
      </c>
      <c r="O719" s="68">
        <f t="shared" si="772"/>
        <v>21.786828720000006</v>
      </c>
      <c r="P719" s="68">
        <f t="shared" si="772"/>
        <v>23.094038443200009</v>
      </c>
    </row>
    <row r="720" spans="2:16" s="38" customFormat="1" ht="12.6" customHeight="1" x14ac:dyDescent="0.2">
      <c r="B720" s="72" t="s">
        <v>551</v>
      </c>
      <c r="C720" s="61"/>
      <c r="D720" s="63"/>
      <c r="E720" s="63"/>
      <c r="F720" s="63"/>
      <c r="G720" s="63"/>
      <c r="H720" s="63"/>
      <c r="I720" s="63"/>
      <c r="J720" s="63">
        <f>SUM(J718:J719)</f>
        <v>16.77</v>
      </c>
      <c r="K720" s="63">
        <f t="shared" ref="K720:P720" si="773">K698</f>
        <v>18.899999999999999</v>
      </c>
      <c r="L720" s="64">
        <f t="shared" si="773"/>
        <v>19.010000000000002</v>
      </c>
      <c r="M720" s="64">
        <f t="shared" si="773"/>
        <v>19.390200000000004</v>
      </c>
      <c r="N720" s="64">
        <f t="shared" si="773"/>
        <v>20.553612000000005</v>
      </c>
      <c r="O720" s="64">
        <f t="shared" si="773"/>
        <v>21.786828720000006</v>
      </c>
      <c r="P720" s="64">
        <f t="shared" si="773"/>
        <v>23.094038443200009</v>
      </c>
    </row>
    <row r="721" spans="2:20" s="38" customFormat="1" ht="12.6" customHeight="1" x14ac:dyDescent="0.2">
      <c r="B721" s="72"/>
      <c r="C721" s="61"/>
      <c r="D721" s="63"/>
      <c r="E721" s="63"/>
      <c r="F721" s="63"/>
      <c r="G721" s="63"/>
      <c r="H721" s="63"/>
      <c r="I721" s="63"/>
      <c r="J721" s="63"/>
      <c r="K721" s="63"/>
      <c r="L721" s="64"/>
      <c r="M721" s="64"/>
      <c r="N721" s="64"/>
      <c r="O721" s="64"/>
      <c r="P721" s="64"/>
    </row>
    <row r="722" spans="2:20" s="38" customFormat="1" ht="12.6" customHeight="1" x14ac:dyDescent="0.2">
      <c r="B722" s="331" t="s">
        <v>227</v>
      </c>
      <c r="C722" s="326"/>
      <c r="D722" s="335"/>
      <c r="E722" s="335"/>
      <c r="F722" s="335"/>
      <c r="G722" s="335"/>
      <c r="H722" s="335"/>
      <c r="I722" s="335"/>
      <c r="J722" s="335"/>
      <c r="K722" s="335"/>
      <c r="L722" s="336"/>
      <c r="M722" s="336"/>
      <c r="N722" s="336"/>
      <c r="O722" s="336"/>
      <c r="P722" s="336"/>
    </row>
    <row r="723" spans="2:20" s="38" customFormat="1" ht="12.6" customHeight="1" x14ac:dyDescent="0.2">
      <c r="B723" s="322" t="s">
        <v>563</v>
      </c>
      <c r="C723" s="326"/>
      <c r="D723" s="113"/>
      <c r="E723" s="113"/>
      <c r="F723" s="113"/>
      <c r="G723" s="113"/>
      <c r="H723" s="113"/>
      <c r="I723" s="113"/>
      <c r="J723" s="113" t="str">
        <f>IFERROR(J718/I718-1,"--")</f>
        <v>--</v>
      </c>
      <c r="K723" s="113" t="str">
        <f t="shared" ref="K723:P723" si="774">IFERROR(K718/J718-1,"--")</f>
        <v>--</v>
      </c>
      <c r="L723" s="197" t="str">
        <f t="shared" si="774"/>
        <v>--</v>
      </c>
      <c r="M723" s="197" t="str">
        <f t="shared" si="774"/>
        <v>--</v>
      </c>
      <c r="N723" s="197" t="str">
        <f t="shared" si="774"/>
        <v>--</v>
      </c>
      <c r="O723" s="197" t="str">
        <f t="shared" si="774"/>
        <v>--</v>
      </c>
      <c r="P723" s="197" t="str">
        <f t="shared" si="774"/>
        <v>--</v>
      </c>
    </row>
    <row r="724" spans="2:20" s="38" customFormat="1" ht="12.6" customHeight="1" x14ac:dyDescent="0.2">
      <c r="B724" s="322" t="s">
        <v>299</v>
      </c>
      <c r="C724" s="326"/>
      <c r="D724" s="113"/>
      <c r="E724" s="113"/>
      <c r="F724" s="113"/>
      <c r="G724" s="113"/>
      <c r="H724" s="113"/>
      <c r="I724" s="113"/>
      <c r="J724" s="113" t="str">
        <f t="shared" ref="J724:P724" si="775">IFERROR(J719/I719-1,"--")</f>
        <v>--</v>
      </c>
      <c r="K724" s="113">
        <f t="shared" si="775"/>
        <v>0.12701252236135963</v>
      </c>
      <c r="L724" s="197">
        <f t="shared" si="775"/>
        <v>5.8201058201059475E-3</v>
      </c>
      <c r="M724" s="197">
        <f t="shared" si="775"/>
        <v>2.0000000000000018E-2</v>
      </c>
      <c r="N724" s="197">
        <f t="shared" si="775"/>
        <v>6.0000000000000053E-2</v>
      </c>
      <c r="O724" s="197">
        <f t="shared" si="775"/>
        <v>6.0000000000000053E-2</v>
      </c>
      <c r="P724" s="197">
        <f t="shared" si="775"/>
        <v>6.0000000000000053E-2</v>
      </c>
    </row>
    <row r="725" spans="2:20" s="38" customFormat="1" ht="12.6" customHeight="1" x14ac:dyDescent="0.2">
      <c r="B725" s="331" t="s">
        <v>551</v>
      </c>
      <c r="C725" s="327"/>
      <c r="D725" s="117"/>
      <c r="E725" s="117"/>
      <c r="F725" s="117"/>
      <c r="G725" s="117"/>
      <c r="H725" s="117"/>
      <c r="I725" s="117"/>
      <c r="J725" s="117" t="str">
        <f t="shared" ref="J725:P725" si="776">IFERROR(J720/I720-1,"--")</f>
        <v>--</v>
      </c>
      <c r="K725" s="117">
        <f t="shared" si="776"/>
        <v>0.12701252236135963</v>
      </c>
      <c r="L725" s="204">
        <f t="shared" si="776"/>
        <v>5.8201058201059475E-3</v>
      </c>
      <c r="M725" s="204">
        <f t="shared" si="776"/>
        <v>2.0000000000000018E-2</v>
      </c>
      <c r="N725" s="204">
        <f t="shared" si="776"/>
        <v>6.0000000000000053E-2</v>
      </c>
      <c r="O725" s="204">
        <f t="shared" si="776"/>
        <v>6.0000000000000053E-2</v>
      </c>
      <c r="P725" s="204">
        <f t="shared" si="776"/>
        <v>6.0000000000000053E-2</v>
      </c>
    </row>
    <row r="726" spans="2:20" s="38" customFormat="1" ht="12.6" customHeight="1" x14ac:dyDescent="0.2">
      <c r="B726" s="331"/>
      <c r="C726" s="326"/>
      <c r="D726" s="335"/>
      <c r="E726" s="335"/>
      <c r="F726" s="335"/>
      <c r="G726" s="335"/>
      <c r="H726" s="335"/>
      <c r="I726" s="335"/>
      <c r="J726" s="335"/>
      <c r="K726" s="335"/>
      <c r="L726" s="336"/>
      <c r="M726" s="336"/>
      <c r="N726" s="336"/>
      <c r="O726" s="336"/>
      <c r="P726" s="336"/>
    </row>
    <row r="727" spans="2:20" s="38" customFormat="1" ht="12.6" customHeight="1" x14ac:dyDescent="0.2">
      <c r="B727" s="331" t="s">
        <v>287</v>
      </c>
      <c r="C727" s="326"/>
      <c r="D727" s="335"/>
      <c r="E727" s="335"/>
      <c r="F727" s="335"/>
      <c r="G727" s="335"/>
      <c r="H727" s="335"/>
      <c r="I727" s="335"/>
      <c r="J727" s="335"/>
      <c r="K727" s="335"/>
      <c r="L727" s="336"/>
      <c r="M727" s="336"/>
      <c r="N727" s="336"/>
      <c r="O727" s="336"/>
      <c r="P727" s="336"/>
    </row>
    <row r="728" spans="2:20" s="38" customFormat="1" ht="12.6" customHeight="1" x14ac:dyDescent="0.2">
      <c r="B728" s="322" t="s">
        <v>563</v>
      </c>
      <c r="C728" s="326"/>
      <c r="D728" s="113"/>
      <c r="E728" s="113"/>
      <c r="F728" s="113"/>
      <c r="G728" s="113"/>
      <c r="H728" s="113"/>
      <c r="I728" s="113"/>
      <c r="J728" s="113">
        <v>0</v>
      </c>
      <c r="K728" s="113">
        <f t="shared" ref="K728:P728" si="777">1-K729</f>
        <v>0</v>
      </c>
      <c r="L728" s="197">
        <f t="shared" si="777"/>
        <v>0</v>
      </c>
      <c r="M728" s="197">
        <f t="shared" si="777"/>
        <v>0</v>
      </c>
      <c r="N728" s="197">
        <f t="shared" si="777"/>
        <v>0</v>
      </c>
      <c r="O728" s="197">
        <f t="shared" si="777"/>
        <v>0</v>
      </c>
      <c r="P728" s="197">
        <f t="shared" si="777"/>
        <v>0</v>
      </c>
    </row>
    <row r="729" spans="2:20" s="38" customFormat="1" ht="12.6" customHeight="1" x14ac:dyDescent="0.2">
      <c r="B729" s="359" t="s">
        <v>299</v>
      </c>
      <c r="C729" s="327"/>
      <c r="D729" s="117"/>
      <c r="E729" s="117"/>
      <c r="F729" s="117"/>
      <c r="G729" s="117"/>
      <c r="H729" s="117"/>
      <c r="I729" s="117"/>
      <c r="J729" s="117">
        <v>1</v>
      </c>
      <c r="K729" s="117">
        <v>1</v>
      </c>
      <c r="L729" s="360">
        <f t="shared" ref="L729:P729" si="778">K729</f>
        <v>1</v>
      </c>
      <c r="M729" s="360">
        <f t="shared" si="778"/>
        <v>1</v>
      </c>
      <c r="N729" s="360">
        <f t="shared" si="778"/>
        <v>1</v>
      </c>
      <c r="O729" s="360">
        <f t="shared" si="778"/>
        <v>1</v>
      </c>
      <c r="P729" s="360">
        <f t="shared" si="778"/>
        <v>1</v>
      </c>
    </row>
    <row r="730" spans="2:20" s="38" customFormat="1" ht="12.6" customHeight="1" x14ac:dyDescent="0.2">
      <c r="B730" s="116"/>
      <c r="C730" s="61"/>
      <c r="D730" s="63"/>
      <c r="E730" s="63"/>
      <c r="F730" s="63"/>
      <c r="G730" s="63"/>
      <c r="H730" s="63"/>
      <c r="I730" s="63"/>
      <c r="J730" s="63"/>
      <c r="K730" s="63"/>
      <c r="L730" s="64"/>
      <c r="M730" s="64"/>
      <c r="N730" s="64"/>
      <c r="O730" s="64"/>
      <c r="P730" s="64"/>
    </row>
    <row r="732" spans="2:20" ht="12.6" customHeight="1" x14ac:dyDescent="0.2">
      <c r="B732" s="50" t="s">
        <v>8</v>
      </c>
      <c r="C732" s="50" t="s">
        <v>473</v>
      </c>
      <c r="D732" s="163"/>
      <c r="E732" s="163"/>
      <c r="F732" s="163"/>
      <c r="G732" s="51"/>
      <c r="H732" s="51"/>
      <c r="I732" s="51"/>
      <c r="J732" s="51"/>
      <c r="K732" s="51"/>
      <c r="L732" s="54"/>
      <c r="M732" s="54"/>
      <c r="N732" s="54"/>
      <c r="O732" s="54"/>
      <c r="P732" s="54"/>
    </row>
    <row r="733" spans="2:20" ht="12.6" customHeight="1" x14ac:dyDescent="0.2">
      <c r="B733" s="61" t="s">
        <v>565</v>
      </c>
      <c r="C733" s="61" t="s">
        <v>570</v>
      </c>
      <c r="D733" s="63"/>
      <c r="E733" s="63"/>
      <c r="F733" s="311"/>
      <c r="G733" s="301">
        <f>'Ennore Coal'!J7</f>
        <v>1287</v>
      </c>
      <c r="H733" s="301">
        <f>'Ennore Coal'!K7</f>
        <v>1848.0650000000001</v>
      </c>
      <c r="I733" s="301">
        <f>'Ennore Coal'!L7</f>
        <v>2163.5450000000001</v>
      </c>
      <c r="J733" s="301">
        <f>'Ennore Coal'!M7</f>
        <v>2964.7139999999999</v>
      </c>
      <c r="K733" s="301">
        <f>'Ennore Coal'!N7</f>
        <v>3269.857</v>
      </c>
      <c r="L733" s="302">
        <f t="shared" ref="L733:P733" ca="1" si="779">L734*L747</f>
        <v>3493.9383767647064</v>
      </c>
      <c r="M733" s="302">
        <f t="shared" ca="1" si="779"/>
        <v>3705.3216485589714</v>
      </c>
      <c r="N733" s="302">
        <f t="shared" ca="1" si="779"/>
        <v>3929.4936082967897</v>
      </c>
      <c r="O733" s="302">
        <f t="shared" ca="1" si="779"/>
        <v>4167.2279715987452</v>
      </c>
      <c r="P733" s="302">
        <f t="shared" ca="1" si="779"/>
        <v>4419.3452638804702</v>
      </c>
      <c r="S733" s="545" t="str">
        <f>IF(ISERROR((J733/D733)^(1/6)-1)," ",(J733/D733)^(1/6)-1)</f>
        <v xml:space="preserve"> </v>
      </c>
      <c r="T733" s="545">
        <f ca="1">IF(ISERROR((P733/J733)^(1/6)-1)," ",(P733/J733)^(1/6)-1)</f>
        <v>6.8798546942338001E-2</v>
      </c>
    </row>
    <row r="734" spans="2:20" ht="12.6" customHeight="1" x14ac:dyDescent="0.2">
      <c r="B734" s="59" t="s">
        <v>474</v>
      </c>
      <c r="C734" s="61" t="s">
        <v>476</v>
      </c>
      <c r="D734" s="57"/>
      <c r="E734" s="57"/>
      <c r="F734" s="57"/>
      <c r="G734" s="57">
        <f>G733/G747</f>
        <v>409.87261146496814</v>
      </c>
      <c r="H734" s="57">
        <f>H733/H747</f>
        <v>230.0758576249039</v>
      </c>
      <c r="I734" s="57">
        <f>I733/I747</f>
        <v>248.56904871323528</v>
      </c>
      <c r="J734" s="57">
        <f>J733/J747</f>
        <v>318.44403866809881</v>
      </c>
      <c r="K734" s="57">
        <f>K733/K747</f>
        <v>320.57421568627456</v>
      </c>
      <c r="L734" s="303">
        <f t="shared" ref="L734:P734" si="780">K734*(1+L735)</f>
        <v>336.60292647058827</v>
      </c>
      <c r="M734" s="303">
        <f t="shared" si="780"/>
        <v>353.43307279411772</v>
      </c>
      <c r="N734" s="303">
        <f t="shared" si="780"/>
        <v>371.1047264338236</v>
      </c>
      <c r="O734" s="303">
        <f t="shared" si="780"/>
        <v>389.65996275551481</v>
      </c>
      <c r="P734" s="303">
        <f t="shared" si="780"/>
        <v>409.14296089329059</v>
      </c>
      <c r="S734" s="545" t="str">
        <f>IF(ISERROR((J734/D734)^(1/6)-1)," ",(J734/D734)^(1/6)-1)</f>
        <v xml:space="preserve"> </v>
      </c>
      <c r="T734" s="545">
        <f>IF(ISERROR((P734/J734)^(1/6)-1)," ",(P734/J734)^(1/6)-1)</f>
        <v>4.2654271468558491E-2</v>
      </c>
    </row>
    <row r="735" spans="2:20" ht="12.6" customHeight="1" x14ac:dyDescent="0.2">
      <c r="B735" s="322" t="s">
        <v>227</v>
      </c>
      <c r="C735" s="323" t="s">
        <v>477</v>
      </c>
      <c r="D735" s="58"/>
      <c r="E735" s="58"/>
      <c r="F735" s="339"/>
      <c r="G735" s="330"/>
      <c r="H735" s="330">
        <f>H734/G734-1</f>
        <v>-0.43866496274887468</v>
      </c>
      <c r="I735" s="330">
        <f>I734/H734-1</f>
        <v>8.0378668493245709E-2</v>
      </c>
      <c r="J735" s="330">
        <f>J734/I734-1</f>
        <v>0.28110897280487923</v>
      </c>
      <c r="K735" s="330">
        <f>K734/J734-1</f>
        <v>6.6893292368896962E-3</v>
      </c>
      <c r="L735" s="354">
        <v>0.05</v>
      </c>
      <c r="M735" s="354">
        <v>0.05</v>
      </c>
      <c r="N735" s="354">
        <v>0.05</v>
      </c>
      <c r="O735" s="354">
        <v>0.05</v>
      </c>
      <c r="P735" s="354">
        <v>0.05</v>
      </c>
      <c r="S735" s="352"/>
      <c r="T735" s="352"/>
    </row>
    <row r="736" spans="2:20" ht="12.6" customHeight="1" x14ac:dyDescent="0.2">
      <c r="B736" s="59"/>
      <c r="C736" s="61"/>
      <c r="D736" s="57"/>
      <c r="E736" s="57"/>
      <c r="F736" s="288"/>
      <c r="G736" s="57"/>
      <c r="H736" s="57"/>
      <c r="I736" s="57"/>
      <c r="J736" s="57"/>
      <c r="K736" s="57"/>
      <c r="L736" s="57"/>
      <c r="M736" s="68"/>
      <c r="N736" s="68"/>
      <c r="O736" s="68"/>
      <c r="P736" s="68"/>
    </row>
    <row r="737" spans="2:20" ht="12.6" customHeight="1" x14ac:dyDescent="0.2">
      <c r="B737" s="72" t="s">
        <v>303</v>
      </c>
      <c r="C737" s="61" t="s">
        <v>4</v>
      </c>
      <c r="D737" s="57"/>
      <c r="E737" s="57"/>
      <c r="F737" s="288"/>
      <c r="G737" s="288">
        <f t="shared" ref="G737:P737" si="781">G93</f>
        <v>0</v>
      </c>
      <c r="H737" s="288">
        <f t="shared" si="781"/>
        <v>8</v>
      </c>
      <c r="I737" s="288">
        <f t="shared" si="781"/>
        <v>8</v>
      </c>
      <c r="J737" s="288">
        <f t="shared" si="781"/>
        <v>9.6</v>
      </c>
      <c r="K737" s="288">
        <f t="shared" ref="K737" si="782">K93</f>
        <v>9.6</v>
      </c>
      <c r="L737" s="288">
        <f t="shared" si="781"/>
        <v>11</v>
      </c>
      <c r="M737" s="68">
        <f t="shared" si="781"/>
        <v>11</v>
      </c>
      <c r="N737" s="68">
        <f t="shared" si="781"/>
        <v>11</v>
      </c>
      <c r="O737" s="68">
        <f t="shared" si="781"/>
        <v>11</v>
      </c>
      <c r="P737" s="68">
        <f t="shared" si="781"/>
        <v>11</v>
      </c>
      <c r="S737" s="545" t="str">
        <f>IF(ISERROR((J737/D737)^(1/6)-1)," ",(J737/D737)^(1/6)-1)</f>
        <v xml:space="preserve"> </v>
      </c>
      <c r="T737" s="545">
        <f>IF(ISERROR((P737/J737)^(1/6)-1)," ",(P737/J737)^(1/6)-1)</f>
        <v>2.2948041872073555E-2</v>
      </c>
    </row>
    <row r="738" spans="2:20" ht="12.6" customHeight="1" x14ac:dyDescent="0.2">
      <c r="B738" s="202" t="s">
        <v>555</v>
      </c>
      <c r="C738" s="326" t="s">
        <v>4</v>
      </c>
      <c r="D738" s="58"/>
      <c r="E738" s="58"/>
      <c r="F738" s="330"/>
      <c r="G738" s="330"/>
      <c r="H738" s="330">
        <f t="shared" ref="H738:P738" si="783">H747/H737</f>
        <v>1.0040519999999999</v>
      </c>
      <c r="I738" s="330">
        <f t="shared" si="783"/>
        <v>1.0880000000000001</v>
      </c>
      <c r="J738" s="330">
        <f t="shared" si="783"/>
        <v>0.96979166666666672</v>
      </c>
      <c r="K738" s="330">
        <f t="shared" ref="K738" si="784">K747/K737</f>
        <v>1.0625</v>
      </c>
      <c r="L738" s="330">
        <f t="shared" ca="1" si="783"/>
        <v>0.94363636363636372</v>
      </c>
      <c r="M738" s="324">
        <f t="shared" ca="1" si="783"/>
        <v>0.95307272727272729</v>
      </c>
      <c r="N738" s="324">
        <f t="shared" ca="1" si="783"/>
        <v>0.96260345454545471</v>
      </c>
      <c r="O738" s="324">
        <f t="shared" ca="1" si="783"/>
        <v>0.97222948909090912</v>
      </c>
      <c r="P738" s="324">
        <f t="shared" ca="1" si="783"/>
        <v>0.98195178398181826</v>
      </c>
      <c r="S738" s="352"/>
      <c r="T738" s="352"/>
    </row>
    <row r="739" spans="2:20" ht="12.6" customHeight="1" x14ac:dyDescent="0.2">
      <c r="B739" s="59"/>
      <c r="C739" s="61"/>
      <c r="D739" s="57"/>
      <c r="E739" s="57"/>
      <c r="F739" s="288"/>
      <c r="G739" s="57"/>
      <c r="H739" s="57"/>
      <c r="I739" s="57"/>
      <c r="J739" s="57"/>
      <c r="K739" s="57"/>
      <c r="L739" s="57"/>
      <c r="M739" s="68"/>
      <c r="N739" s="68"/>
      <c r="O739" s="68"/>
      <c r="P739" s="68"/>
    </row>
    <row r="740" spans="2:20" ht="12.6" customHeight="1" x14ac:dyDescent="0.2">
      <c r="B740" s="72" t="s">
        <v>489</v>
      </c>
      <c r="C740" s="61"/>
      <c r="D740" s="57"/>
      <c r="E740" s="57"/>
      <c r="F740" s="288"/>
      <c r="G740" s="57"/>
      <c r="H740" s="57"/>
      <c r="I740" s="57"/>
      <c r="J740" s="57"/>
      <c r="K740" s="57"/>
      <c r="L740" s="57"/>
      <c r="M740" s="68"/>
      <c r="N740" s="68"/>
      <c r="O740" s="68"/>
      <c r="P740" s="68"/>
    </row>
    <row r="741" spans="2:20" ht="12.6" customHeight="1" x14ac:dyDescent="0.2">
      <c r="B741" s="56" t="s">
        <v>279</v>
      </c>
      <c r="C741" s="61"/>
      <c r="D741" s="288"/>
      <c r="E741" s="288"/>
      <c r="F741" s="288"/>
      <c r="G741" s="288">
        <v>0</v>
      </c>
      <c r="H741" s="288">
        <v>0</v>
      </c>
      <c r="I741" s="288">
        <v>0</v>
      </c>
      <c r="J741" s="288">
        <v>0</v>
      </c>
      <c r="K741" s="288">
        <f>$K$747*J759</f>
        <v>0</v>
      </c>
      <c r="L741" s="288">
        <v>0</v>
      </c>
      <c r="M741" s="303">
        <f t="shared" ref="M741:P741" si="785">L741*(1+M750)</f>
        <v>0</v>
      </c>
      <c r="N741" s="303">
        <f t="shared" si="785"/>
        <v>0</v>
      </c>
      <c r="O741" s="303">
        <f t="shared" si="785"/>
        <v>0</v>
      </c>
      <c r="P741" s="303">
        <f t="shared" si="785"/>
        <v>0</v>
      </c>
      <c r="S741" s="545" t="str">
        <f t="shared" ref="S741:S747" si="786">IF(ISERROR((J741/D741)^(1/6)-1)," ",(J741/D741)^(1/6)-1)</f>
        <v xml:space="preserve"> </v>
      </c>
      <c r="T741" s="545" t="str">
        <f t="shared" ref="T741:T747" si="787">IF(ISERROR((P741/J741)^(1/6)-1)," ",(P741/J741)^(1/6)-1)</f>
        <v xml:space="preserve"> </v>
      </c>
    </row>
    <row r="742" spans="2:20" ht="12.6" customHeight="1" x14ac:dyDescent="0.2">
      <c r="B742" s="56" t="s">
        <v>280</v>
      </c>
      <c r="C742" s="61"/>
      <c r="D742" s="288"/>
      <c r="E742" s="288"/>
      <c r="F742" s="288"/>
      <c r="G742" s="288">
        <v>3.14</v>
      </c>
      <c r="H742" s="288">
        <v>8.0324159999999996</v>
      </c>
      <c r="I742" s="288">
        <v>8.7040000000000006</v>
      </c>
      <c r="J742" s="288">
        <v>9.31</v>
      </c>
      <c r="K742" s="288">
        <f t="shared" ref="K742:K746" si="788">$K$747*J760</f>
        <v>10.199999999999999</v>
      </c>
      <c r="L742" s="288">
        <v>10.38</v>
      </c>
      <c r="M742" s="303">
        <f t="shared" ref="M742:P742" si="789">L742*(1+M751)</f>
        <v>10.4838</v>
      </c>
      <c r="N742" s="303">
        <f t="shared" si="789"/>
        <v>10.588638000000001</v>
      </c>
      <c r="O742" s="303">
        <f t="shared" si="789"/>
        <v>10.694524380000001</v>
      </c>
      <c r="P742" s="303">
        <f t="shared" si="789"/>
        <v>10.801469623800001</v>
      </c>
      <c r="S742" s="545" t="str">
        <f t="shared" si="786"/>
        <v xml:space="preserve"> </v>
      </c>
      <c r="T742" s="545">
        <f t="shared" si="787"/>
        <v>2.5074731086993873E-2</v>
      </c>
    </row>
    <row r="743" spans="2:20" ht="12.6" customHeight="1" x14ac:dyDescent="0.2">
      <c r="B743" s="56" t="s">
        <v>281</v>
      </c>
      <c r="C743" s="61"/>
      <c r="D743" s="288"/>
      <c r="E743" s="288"/>
      <c r="F743" s="288"/>
      <c r="G743" s="288">
        <v>0</v>
      </c>
      <c r="H743" s="288">
        <v>0</v>
      </c>
      <c r="I743" s="288">
        <v>0</v>
      </c>
      <c r="J743" s="288">
        <v>0</v>
      </c>
      <c r="K743" s="288">
        <f t="shared" si="788"/>
        <v>0</v>
      </c>
      <c r="L743" s="288">
        <f t="shared" ref="L743:P743" ca="1" si="790">K743*(1+L752)</f>
        <v>0</v>
      </c>
      <c r="M743" s="303">
        <f t="shared" ca="1" si="790"/>
        <v>0</v>
      </c>
      <c r="N743" s="303">
        <f t="shared" ca="1" si="790"/>
        <v>0</v>
      </c>
      <c r="O743" s="303">
        <f t="shared" ca="1" si="790"/>
        <v>0</v>
      </c>
      <c r="P743" s="303">
        <f t="shared" ca="1" si="790"/>
        <v>0</v>
      </c>
      <c r="S743" s="545" t="str">
        <f t="shared" si="786"/>
        <v xml:space="preserve"> </v>
      </c>
      <c r="T743" s="545" t="str">
        <f t="shared" ca="1" si="787"/>
        <v xml:space="preserve"> </v>
      </c>
    </row>
    <row r="744" spans="2:20" ht="12.6" customHeight="1" x14ac:dyDescent="0.2">
      <c r="B744" s="56" t="s">
        <v>282</v>
      </c>
      <c r="C744" s="61"/>
      <c r="D744" s="288"/>
      <c r="E744" s="288"/>
      <c r="F744" s="288"/>
      <c r="G744" s="288">
        <v>0</v>
      </c>
      <c r="H744" s="288">
        <v>0</v>
      </c>
      <c r="I744" s="288">
        <v>0</v>
      </c>
      <c r="J744" s="288">
        <v>0</v>
      </c>
      <c r="K744" s="288">
        <f t="shared" si="788"/>
        <v>0</v>
      </c>
      <c r="L744" s="288">
        <v>0</v>
      </c>
      <c r="M744" s="303">
        <f t="shared" ref="M744:P744" si="791">L744*(1+M753)</f>
        <v>0</v>
      </c>
      <c r="N744" s="303">
        <f t="shared" si="791"/>
        <v>0</v>
      </c>
      <c r="O744" s="303">
        <f t="shared" si="791"/>
        <v>0</v>
      </c>
      <c r="P744" s="303">
        <f t="shared" si="791"/>
        <v>0</v>
      </c>
      <c r="S744" s="545" t="str">
        <f t="shared" si="786"/>
        <v xml:space="preserve"> </v>
      </c>
      <c r="T744" s="545" t="str">
        <f t="shared" si="787"/>
        <v xml:space="preserve"> </v>
      </c>
    </row>
    <row r="745" spans="2:20" ht="12.6" customHeight="1" x14ac:dyDescent="0.2">
      <c r="B745" s="56" t="s">
        <v>283</v>
      </c>
      <c r="C745" s="61"/>
      <c r="D745" s="288"/>
      <c r="E745" s="288"/>
      <c r="F745" s="288"/>
      <c r="G745" s="288">
        <v>0</v>
      </c>
      <c r="H745" s="288">
        <v>0</v>
      </c>
      <c r="I745" s="288">
        <v>0</v>
      </c>
      <c r="J745" s="288">
        <v>0</v>
      </c>
      <c r="K745" s="288">
        <f t="shared" si="788"/>
        <v>0</v>
      </c>
      <c r="L745" s="288">
        <v>0</v>
      </c>
      <c r="M745" s="303">
        <f t="shared" ref="M745:P745" si="792">L745*(1+M754)</f>
        <v>0</v>
      </c>
      <c r="N745" s="303">
        <f t="shared" si="792"/>
        <v>0</v>
      </c>
      <c r="O745" s="303">
        <f t="shared" si="792"/>
        <v>0</v>
      </c>
      <c r="P745" s="303">
        <f t="shared" si="792"/>
        <v>0</v>
      </c>
      <c r="S745" s="545" t="str">
        <f t="shared" si="786"/>
        <v xml:space="preserve"> </v>
      </c>
      <c r="T745" s="545" t="str">
        <f t="shared" si="787"/>
        <v xml:space="preserve"> </v>
      </c>
    </row>
    <row r="746" spans="2:20" ht="12.6" customHeight="1" x14ac:dyDescent="0.2">
      <c r="B746" s="56" t="s">
        <v>284</v>
      </c>
      <c r="C746" s="61"/>
      <c r="D746" s="288"/>
      <c r="E746" s="288"/>
      <c r="F746" s="288"/>
      <c r="G746" s="288">
        <v>0</v>
      </c>
      <c r="H746" s="288">
        <v>0</v>
      </c>
      <c r="I746" s="288">
        <v>0</v>
      </c>
      <c r="J746" s="288">
        <v>0</v>
      </c>
      <c r="K746" s="288">
        <f t="shared" si="788"/>
        <v>0</v>
      </c>
      <c r="L746" s="288">
        <v>0</v>
      </c>
      <c r="M746" s="303">
        <f t="shared" ref="M746:P746" si="793">L746*(1+M755)</f>
        <v>0</v>
      </c>
      <c r="N746" s="303">
        <f t="shared" si="793"/>
        <v>0</v>
      </c>
      <c r="O746" s="303">
        <f t="shared" si="793"/>
        <v>0</v>
      </c>
      <c r="P746" s="303">
        <f t="shared" si="793"/>
        <v>0</v>
      </c>
      <c r="S746" s="545" t="str">
        <f t="shared" si="786"/>
        <v xml:space="preserve"> </v>
      </c>
      <c r="T746" s="545" t="str">
        <f t="shared" si="787"/>
        <v xml:space="preserve"> </v>
      </c>
    </row>
    <row r="747" spans="2:20" ht="12.6" customHeight="1" x14ac:dyDescent="0.2">
      <c r="B747" s="72" t="s">
        <v>551</v>
      </c>
      <c r="C747" s="95"/>
      <c r="D747" s="63"/>
      <c r="E747" s="63"/>
      <c r="F747" s="63"/>
      <c r="G747" s="63">
        <f t="shared" ref="G747:P747" si="794">SUM(G741:G746)</f>
        <v>3.14</v>
      </c>
      <c r="H747" s="63">
        <f t="shared" si="794"/>
        <v>8.0324159999999996</v>
      </c>
      <c r="I747" s="63">
        <f t="shared" si="794"/>
        <v>8.7040000000000006</v>
      </c>
      <c r="J747" s="63">
        <f t="shared" si="794"/>
        <v>9.31</v>
      </c>
      <c r="K747" s="63">
        <f>K9</f>
        <v>10.199999999999999</v>
      </c>
      <c r="L747" s="63">
        <f ca="1">SUM(L741:L746)</f>
        <v>10.38</v>
      </c>
      <c r="M747" s="64">
        <f t="shared" ca="1" si="794"/>
        <v>10.4838</v>
      </c>
      <c r="N747" s="64">
        <f t="shared" ca="1" si="794"/>
        <v>10.588638000000001</v>
      </c>
      <c r="O747" s="64">
        <f t="shared" ca="1" si="794"/>
        <v>10.694524380000001</v>
      </c>
      <c r="P747" s="64">
        <f t="shared" ca="1" si="794"/>
        <v>10.801469623800001</v>
      </c>
      <c r="S747" s="367" t="str">
        <f t="shared" si="786"/>
        <v xml:space="preserve"> </v>
      </c>
      <c r="T747" s="545">
        <f t="shared" ca="1" si="787"/>
        <v>2.5074731086993873E-2</v>
      </c>
    </row>
    <row r="748" spans="2:20" ht="12.6" customHeight="1" x14ac:dyDescent="0.2">
      <c r="B748" s="72"/>
      <c r="C748" s="95"/>
      <c r="D748" s="63"/>
      <c r="E748" s="63"/>
      <c r="F748" s="63"/>
      <c r="G748" s="63"/>
      <c r="H748" s="63"/>
      <c r="I748" s="63"/>
      <c r="J748" s="63"/>
      <c r="K748" s="63"/>
      <c r="L748" s="63"/>
      <c r="M748" s="64"/>
      <c r="N748" s="64"/>
      <c r="O748" s="64"/>
      <c r="P748" s="64"/>
      <c r="Q748" s="352"/>
    </row>
    <row r="749" spans="2:20" ht="12.6" customHeight="1" x14ac:dyDescent="0.2">
      <c r="B749" s="116" t="s">
        <v>227</v>
      </c>
      <c r="C749" s="61"/>
      <c r="D749" s="63"/>
      <c r="E749" s="63"/>
      <c r="F749" s="63"/>
      <c r="G749" s="63"/>
      <c r="H749" s="63"/>
      <c r="I749" s="63"/>
      <c r="J749" s="63"/>
      <c r="K749" s="63"/>
      <c r="L749" s="63"/>
      <c r="M749" s="68"/>
      <c r="N749" s="68"/>
      <c r="O749" s="68"/>
      <c r="P749" s="68"/>
    </row>
    <row r="750" spans="2:20" ht="12.6" customHeight="1" x14ac:dyDescent="0.2">
      <c r="B750" s="322" t="s">
        <v>279</v>
      </c>
      <c r="C750" s="355"/>
      <c r="D750" s="113"/>
      <c r="E750" s="113"/>
      <c r="F750" s="113"/>
      <c r="G750" s="113"/>
      <c r="H750" s="113">
        <f t="shared" ref="H750:L756" si="795">IFERROR(H741/G741-1,0)</f>
        <v>0</v>
      </c>
      <c r="I750" s="113">
        <f t="shared" si="795"/>
        <v>0</v>
      </c>
      <c r="J750" s="113">
        <f t="shared" si="795"/>
        <v>0</v>
      </c>
      <c r="K750" s="113">
        <f t="shared" si="795"/>
        <v>0</v>
      </c>
      <c r="L750" s="113">
        <f t="shared" si="795"/>
        <v>0</v>
      </c>
      <c r="M750" s="356">
        <v>0</v>
      </c>
      <c r="N750" s="356">
        <v>0</v>
      </c>
      <c r="O750" s="356">
        <v>0</v>
      </c>
      <c r="P750" s="356">
        <v>0</v>
      </c>
    </row>
    <row r="751" spans="2:20" ht="12.6" customHeight="1" x14ac:dyDescent="0.2">
      <c r="B751" s="322" t="s">
        <v>280</v>
      </c>
      <c r="C751" s="355"/>
      <c r="D751" s="113"/>
      <c r="E751" s="113"/>
      <c r="F751" s="113"/>
      <c r="G751" s="113"/>
      <c r="H751" s="113">
        <f t="shared" si="795"/>
        <v>1.5580942675159233</v>
      </c>
      <c r="I751" s="113">
        <f t="shared" si="795"/>
        <v>8.3609215458960495E-2</v>
      </c>
      <c r="J751" s="113">
        <f t="shared" si="795"/>
        <v>6.9623161764705843E-2</v>
      </c>
      <c r="K751" s="113">
        <f t="shared" si="795"/>
        <v>9.559613319011806E-2</v>
      </c>
      <c r="L751" s="113">
        <f t="shared" si="795"/>
        <v>1.7647058823529571E-2</v>
      </c>
      <c r="M751" s="356">
        <v>0.01</v>
      </c>
      <c r="N751" s="356">
        <v>0.01</v>
      </c>
      <c r="O751" s="356">
        <v>0.01</v>
      </c>
      <c r="P751" s="356">
        <v>0.01</v>
      </c>
    </row>
    <row r="752" spans="2:20" ht="12.6" customHeight="1" x14ac:dyDescent="0.2">
      <c r="B752" s="322" t="s">
        <v>281</v>
      </c>
      <c r="C752" s="355"/>
      <c r="D752" s="113"/>
      <c r="E752" s="113"/>
      <c r="F752" s="113"/>
      <c r="G752" s="113"/>
      <c r="H752" s="113">
        <f t="shared" si="795"/>
        <v>0</v>
      </c>
      <c r="I752" s="113">
        <f t="shared" si="795"/>
        <v>0</v>
      </c>
      <c r="J752" s="113">
        <f t="shared" si="795"/>
        <v>0</v>
      </c>
      <c r="K752" s="113">
        <f t="shared" si="795"/>
        <v>0</v>
      </c>
      <c r="L752" s="113">
        <f t="shared" ca="1" si="795"/>
        <v>0</v>
      </c>
      <c r="M752" s="356">
        <v>0</v>
      </c>
      <c r="N752" s="356">
        <v>0</v>
      </c>
      <c r="O752" s="356">
        <v>0</v>
      </c>
      <c r="P752" s="356">
        <v>0</v>
      </c>
    </row>
    <row r="753" spans="2:16" ht="12.6" customHeight="1" x14ac:dyDescent="0.2">
      <c r="B753" s="322" t="s">
        <v>282</v>
      </c>
      <c r="C753" s="355"/>
      <c r="D753" s="113"/>
      <c r="E753" s="113"/>
      <c r="F753" s="113"/>
      <c r="G753" s="113"/>
      <c r="H753" s="113">
        <f t="shared" si="795"/>
        <v>0</v>
      </c>
      <c r="I753" s="113">
        <f t="shared" si="795"/>
        <v>0</v>
      </c>
      <c r="J753" s="113">
        <f t="shared" si="795"/>
        <v>0</v>
      </c>
      <c r="K753" s="113">
        <f t="shared" si="795"/>
        <v>0</v>
      </c>
      <c r="L753" s="113">
        <f t="shared" si="795"/>
        <v>0</v>
      </c>
      <c r="M753" s="356">
        <v>0</v>
      </c>
      <c r="N753" s="356">
        <v>0</v>
      </c>
      <c r="O753" s="356">
        <v>0</v>
      </c>
      <c r="P753" s="356">
        <v>0</v>
      </c>
    </row>
    <row r="754" spans="2:16" ht="12.6" customHeight="1" x14ac:dyDescent="0.2">
      <c r="B754" s="322" t="s">
        <v>283</v>
      </c>
      <c r="C754" s="355"/>
      <c r="D754" s="113"/>
      <c r="E754" s="113"/>
      <c r="F754" s="113"/>
      <c r="G754" s="113"/>
      <c r="H754" s="113">
        <f t="shared" si="795"/>
        <v>0</v>
      </c>
      <c r="I754" s="113">
        <f t="shared" si="795"/>
        <v>0</v>
      </c>
      <c r="J754" s="113">
        <f t="shared" si="795"/>
        <v>0</v>
      </c>
      <c r="K754" s="113">
        <f t="shared" si="795"/>
        <v>0</v>
      </c>
      <c r="L754" s="113">
        <f t="shared" si="795"/>
        <v>0</v>
      </c>
      <c r="M754" s="356">
        <v>0</v>
      </c>
      <c r="N754" s="356">
        <v>0</v>
      </c>
      <c r="O754" s="356">
        <v>0</v>
      </c>
      <c r="P754" s="356">
        <v>0</v>
      </c>
    </row>
    <row r="755" spans="2:16" ht="12.6" customHeight="1" x14ac:dyDescent="0.2">
      <c r="B755" s="322" t="s">
        <v>284</v>
      </c>
      <c r="C755" s="355"/>
      <c r="D755" s="113"/>
      <c r="E755" s="113"/>
      <c r="F755" s="113"/>
      <c r="G755" s="113"/>
      <c r="H755" s="113">
        <f t="shared" si="795"/>
        <v>0</v>
      </c>
      <c r="I755" s="113">
        <f t="shared" si="795"/>
        <v>0</v>
      </c>
      <c r="J755" s="113">
        <f t="shared" si="795"/>
        <v>0</v>
      </c>
      <c r="K755" s="113">
        <f t="shared" si="795"/>
        <v>0</v>
      </c>
      <c r="L755" s="113">
        <f t="shared" si="795"/>
        <v>0</v>
      </c>
      <c r="M755" s="356">
        <v>0</v>
      </c>
      <c r="N755" s="356">
        <v>0</v>
      </c>
      <c r="O755" s="356">
        <v>0</v>
      </c>
      <c r="P755" s="356">
        <v>0</v>
      </c>
    </row>
    <row r="756" spans="2:16" ht="12.6" customHeight="1" x14ac:dyDescent="0.2">
      <c r="B756" s="331" t="s">
        <v>551</v>
      </c>
      <c r="C756" s="358"/>
      <c r="D756" s="117"/>
      <c r="E756" s="117"/>
      <c r="F756" s="117"/>
      <c r="G756" s="117"/>
      <c r="H756" s="117">
        <f t="shared" si="795"/>
        <v>1.5580942675159233</v>
      </c>
      <c r="I756" s="117">
        <f t="shared" si="795"/>
        <v>8.3609215458960495E-2</v>
      </c>
      <c r="J756" s="117">
        <f t="shared" si="795"/>
        <v>6.9623161764705843E-2</v>
      </c>
      <c r="K756" s="117">
        <f t="shared" si="795"/>
        <v>9.559613319011806E-2</v>
      </c>
      <c r="L756" s="117">
        <f t="shared" ca="1" si="795"/>
        <v>1.7647058823529571E-2</v>
      </c>
      <c r="M756" s="204">
        <f t="shared" ref="M756:P756" ca="1" si="796">IFERROR(M747/L747-1,0)</f>
        <v>1.0000000000000009E-2</v>
      </c>
      <c r="N756" s="204">
        <f t="shared" ca="1" si="796"/>
        <v>1.0000000000000009E-2</v>
      </c>
      <c r="O756" s="204">
        <f t="shared" ca="1" si="796"/>
        <v>1.0000000000000009E-2</v>
      </c>
      <c r="P756" s="204">
        <f t="shared" ca="1" si="796"/>
        <v>1.0000000000000009E-2</v>
      </c>
    </row>
    <row r="757" spans="2:16" ht="12.6" customHeight="1" x14ac:dyDescent="0.2">
      <c r="B757" s="201"/>
      <c r="C757" s="326"/>
      <c r="D757" s="335"/>
      <c r="E757" s="335"/>
      <c r="F757" s="335"/>
      <c r="G757" s="335"/>
      <c r="H757" s="335"/>
      <c r="I757" s="335"/>
      <c r="J757" s="335"/>
      <c r="K757" s="335"/>
      <c r="L757" s="335"/>
      <c r="M757" s="357"/>
      <c r="N757" s="357"/>
      <c r="O757" s="357"/>
      <c r="P757" s="357"/>
    </row>
    <row r="758" spans="2:16" ht="12.6" customHeight="1" x14ac:dyDescent="0.2">
      <c r="B758" s="331" t="s">
        <v>287</v>
      </c>
      <c r="C758" s="326"/>
      <c r="D758" s="335"/>
      <c r="E758" s="335"/>
      <c r="F758" s="335"/>
      <c r="G758" s="335"/>
      <c r="H758" s="335"/>
      <c r="I758" s="335"/>
      <c r="J758" s="335"/>
      <c r="K758" s="335"/>
      <c r="L758" s="335"/>
      <c r="M758" s="357"/>
      <c r="N758" s="357"/>
      <c r="O758" s="357"/>
      <c r="P758" s="357"/>
    </row>
    <row r="759" spans="2:16" ht="12.6" customHeight="1" x14ac:dyDescent="0.2">
      <c r="B759" s="322" t="s">
        <v>279</v>
      </c>
      <c r="C759" s="326"/>
      <c r="D759" s="113"/>
      <c r="E759" s="113"/>
      <c r="F759" s="113"/>
      <c r="G759" s="113"/>
      <c r="H759" s="113">
        <f t="shared" ref="H759:P759" si="797">H741/H$747</f>
        <v>0</v>
      </c>
      <c r="I759" s="113">
        <f t="shared" si="797"/>
        <v>0</v>
      </c>
      <c r="J759" s="113">
        <f t="shared" si="797"/>
        <v>0</v>
      </c>
      <c r="K759" s="113">
        <f t="shared" ref="K759:L759" si="798">K741/K$747</f>
        <v>0</v>
      </c>
      <c r="L759" s="113">
        <f t="shared" ca="1" si="798"/>
        <v>0</v>
      </c>
      <c r="M759" s="197">
        <f t="shared" ca="1" si="797"/>
        <v>0</v>
      </c>
      <c r="N759" s="197">
        <f t="shared" ca="1" si="797"/>
        <v>0</v>
      </c>
      <c r="O759" s="197">
        <f t="shared" ca="1" si="797"/>
        <v>0</v>
      </c>
      <c r="P759" s="197">
        <f t="shared" ca="1" si="797"/>
        <v>0</v>
      </c>
    </row>
    <row r="760" spans="2:16" ht="12.6" customHeight="1" x14ac:dyDescent="0.2">
      <c r="B760" s="322" t="s">
        <v>280</v>
      </c>
      <c r="C760" s="326"/>
      <c r="D760" s="113"/>
      <c r="E760" s="113"/>
      <c r="F760" s="113"/>
      <c r="G760" s="113"/>
      <c r="H760" s="113">
        <f>H742/H$747</f>
        <v>1</v>
      </c>
      <c r="I760" s="113">
        <f>I742/I$747</f>
        <v>1</v>
      </c>
      <c r="J760" s="113">
        <f>J742/J$747</f>
        <v>1</v>
      </c>
      <c r="K760" s="113">
        <f>K742/K$747</f>
        <v>1</v>
      </c>
      <c r="L760" s="113">
        <f ca="1">L742/L$747</f>
        <v>1</v>
      </c>
      <c r="M760" s="197">
        <f t="shared" ref="M760:P760" ca="1" si="799">M742/M$747</f>
        <v>1</v>
      </c>
      <c r="N760" s="197">
        <f t="shared" ca="1" si="799"/>
        <v>1</v>
      </c>
      <c r="O760" s="197">
        <f t="shared" ca="1" si="799"/>
        <v>1</v>
      </c>
      <c r="P760" s="197">
        <f t="shared" ca="1" si="799"/>
        <v>1</v>
      </c>
    </row>
    <row r="761" spans="2:16" ht="12.6" customHeight="1" x14ac:dyDescent="0.2">
      <c r="B761" s="322" t="s">
        <v>281</v>
      </c>
      <c r="C761" s="326"/>
      <c r="D761" s="113"/>
      <c r="E761" s="113"/>
      <c r="F761" s="113"/>
      <c r="G761" s="113"/>
      <c r="H761" s="113">
        <f t="shared" ref="H761:P761" si="800">H743/H$747</f>
        <v>0</v>
      </c>
      <c r="I761" s="113">
        <f t="shared" si="800"/>
        <v>0</v>
      </c>
      <c r="J761" s="113">
        <f t="shared" si="800"/>
        <v>0</v>
      </c>
      <c r="K761" s="113">
        <f t="shared" ref="K761:L761" si="801">K743/K$747</f>
        <v>0</v>
      </c>
      <c r="L761" s="113">
        <f t="shared" ca="1" si="801"/>
        <v>0</v>
      </c>
      <c r="M761" s="197">
        <f t="shared" ca="1" si="800"/>
        <v>0</v>
      </c>
      <c r="N761" s="197">
        <f t="shared" ca="1" si="800"/>
        <v>0</v>
      </c>
      <c r="O761" s="197">
        <f t="shared" ca="1" si="800"/>
        <v>0</v>
      </c>
      <c r="P761" s="197">
        <f t="shared" ca="1" si="800"/>
        <v>0</v>
      </c>
    </row>
    <row r="762" spans="2:16" ht="12.6" customHeight="1" x14ac:dyDescent="0.2">
      <c r="B762" s="322" t="s">
        <v>282</v>
      </c>
      <c r="C762" s="326"/>
      <c r="D762" s="113"/>
      <c r="E762" s="113"/>
      <c r="F762" s="113"/>
      <c r="G762" s="113"/>
      <c r="H762" s="113">
        <f t="shared" ref="H762:P762" si="802">H744/H$747</f>
        <v>0</v>
      </c>
      <c r="I762" s="113">
        <f t="shared" si="802"/>
        <v>0</v>
      </c>
      <c r="J762" s="113">
        <f t="shared" si="802"/>
        <v>0</v>
      </c>
      <c r="K762" s="113">
        <f t="shared" ref="K762:L762" si="803">K744/K$747</f>
        <v>0</v>
      </c>
      <c r="L762" s="113">
        <f t="shared" ca="1" si="803"/>
        <v>0</v>
      </c>
      <c r="M762" s="197">
        <f t="shared" ca="1" si="802"/>
        <v>0</v>
      </c>
      <c r="N762" s="197">
        <f t="shared" ca="1" si="802"/>
        <v>0</v>
      </c>
      <c r="O762" s="197">
        <f t="shared" ca="1" si="802"/>
        <v>0</v>
      </c>
      <c r="P762" s="197">
        <f t="shared" ca="1" si="802"/>
        <v>0</v>
      </c>
    </row>
    <row r="763" spans="2:16" ht="12.6" customHeight="1" x14ac:dyDescent="0.2">
      <c r="B763" s="322" t="s">
        <v>283</v>
      </c>
      <c r="C763" s="326"/>
      <c r="D763" s="113"/>
      <c r="E763" s="113"/>
      <c r="F763" s="113"/>
      <c r="G763" s="113"/>
      <c r="H763" s="113">
        <f t="shared" ref="H763:P763" si="804">H745/H$747</f>
        <v>0</v>
      </c>
      <c r="I763" s="113">
        <f t="shared" si="804"/>
        <v>0</v>
      </c>
      <c r="J763" s="113">
        <f t="shared" si="804"/>
        <v>0</v>
      </c>
      <c r="K763" s="113">
        <f t="shared" ref="K763:L763" si="805">K745/K$747</f>
        <v>0</v>
      </c>
      <c r="L763" s="113">
        <f t="shared" ca="1" si="805"/>
        <v>0</v>
      </c>
      <c r="M763" s="197">
        <f t="shared" ca="1" si="804"/>
        <v>0</v>
      </c>
      <c r="N763" s="197">
        <f t="shared" ca="1" si="804"/>
        <v>0</v>
      </c>
      <c r="O763" s="197">
        <f t="shared" ca="1" si="804"/>
        <v>0</v>
      </c>
      <c r="P763" s="197">
        <f t="shared" ca="1" si="804"/>
        <v>0</v>
      </c>
    </row>
    <row r="764" spans="2:16" ht="12.6" customHeight="1" x14ac:dyDescent="0.2">
      <c r="B764" s="322" t="s">
        <v>284</v>
      </c>
      <c r="C764" s="326"/>
      <c r="D764" s="113"/>
      <c r="E764" s="113"/>
      <c r="F764" s="113"/>
      <c r="G764" s="113"/>
      <c r="H764" s="113">
        <f t="shared" ref="H764:P764" si="806">H746/H$747</f>
        <v>0</v>
      </c>
      <c r="I764" s="113">
        <f t="shared" si="806"/>
        <v>0</v>
      </c>
      <c r="J764" s="113">
        <f t="shared" si="806"/>
        <v>0</v>
      </c>
      <c r="K764" s="113">
        <f t="shared" ref="K764:L764" si="807">K746/K$747</f>
        <v>0</v>
      </c>
      <c r="L764" s="113">
        <f t="shared" ca="1" si="807"/>
        <v>0</v>
      </c>
      <c r="M764" s="197">
        <f t="shared" ca="1" si="806"/>
        <v>0</v>
      </c>
      <c r="N764" s="197">
        <f t="shared" ca="1" si="806"/>
        <v>0</v>
      </c>
      <c r="O764" s="197">
        <f t="shared" ca="1" si="806"/>
        <v>0</v>
      </c>
      <c r="P764" s="197">
        <f t="shared" ca="1" si="806"/>
        <v>0</v>
      </c>
    </row>
    <row r="765" spans="2:16" ht="12.6" customHeight="1" x14ac:dyDescent="0.2">
      <c r="B765" s="359" t="s">
        <v>551</v>
      </c>
      <c r="C765" s="327"/>
      <c r="D765" s="117"/>
      <c r="E765" s="117"/>
      <c r="F765" s="117"/>
      <c r="G765" s="117"/>
      <c r="H765" s="117">
        <f t="shared" ref="H765:P765" si="808">H747/H$747</f>
        <v>1</v>
      </c>
      <c r="I765" s="117">
        <f t="shared" si="808"/>
        <v>1</v>
      </c>
      <c r="J765" s="117">
        <f t="shared" si="808"/>
        <v>1</v>
      </c>
      <c r="K765" s="117">
        <f t="shared" ref="K765:L765" si="809">K747/K$747</f>
        <v>1</v>
      </c>
      <c r="L765" s="117">
        <f t="shared" ca="1" si="809"/>
        <v>1</v>
      </c>
      <c r="M765" s="204">
        <f t="shared" ca="1" si="808"/>
        <v>1</v>
      </c>
      <c r="N765" s="204">
        <f t="shared" ca="1" si="808"/>
        <v>1</v>
      </c>
      <c r="O765" s="204">
        <f t="shared" ca="1" si="808"/>
        <v>1</v>
      </c>
      <c r="P765" s="204">
        <f t="shared" ca="1" si="808"/>
        <v>1</v>
      </c>
    </row>
    <row r="766" spans="2:16" ht="12.6" customHeight="1" x14ac:dyDescent="0.2">
      <c r="B766" s="56"/>
      <c r="C766" s="61"/>
      <c r="D766" s="57"/>
      <c r="E766" s="57"/>
      <c r="F766" s="57"/>
      <c r="G766" s="57"/>
      <c r="H766" s="57"/>
      <c r="I766" s="57"/>
      <c r="J766" s="57"/>
      <c r="K766" s="57"/>
      <c r="L766" s="57"/>
      <c r="M766" s="68"/>
      <c r="N766" s="68"/>
      <c r="O766" s="68"/>
      <c r="P766" s="68"/>
    </row>
    <row r="767" spans="2:16" ht="12.6" customHeight="1" x14ac:dyDescent="0.2">
      <c r="B767" s="56" t="s">
        <v>563</v>
      </c>
      <c r="C767" s="61" t="s">
        <v>566</v>
      </c>
      <c r="D767" s="57"/>
      <c r="E767" s="57"/>
      <c r="F767" s="57"/>
      <c r="G767" s="57"/>
      <c r="H767" s="57"/>
      <c r="I767" s="57"/>
      <c r="J767" s="57">
        <f>J777*J$747</f>
        <v>2.7930000000000001</v>
      </c>
      <c r="K767" s="57">
        <f t="shared" ref="K767:P767" si="810">K769-K768</f>
        <v>2.7539999999999996</v>
      </c>
      <c r="L767" s="68">
        <f t="shared" ca="1" si="810"/>
        <v>2.8026</v>
      </c>
      <c r="M767" s="68">
        <f t="shared" ca="1" si="810"/>
        <v>2.8306260000000005</v>
      </c>
      <c r="N767" s="68">
        <f t="shared" ca="1" si="810"/>
        <v>2.8589322600000004</v>
      </c>
      <c r="O767" s="68">
        <f t="shared" ca="1" si="810"/>
        <v>2.8875215826000007</v>
      </c>
      <c r="P767" s="68">
        <f t="shared" ca="1" si="810"/>
        <v>2.9163967984260006</v>
      </c>
    </row>
    <row r="768" spans="2:16" ht="12.6" customHeight="1" x14ac:dyDescent="0.2">
      <c r="B768" s="56" t="s">
        <v>299</v>
      </c>
      <c r="C768" s="61" t="s">
        <v>566</v>
      </c>
      <c r="D768" s="57"/>
      <c r="E768" s="57"/>
      <c r="F768" s="57"/>
      <c r="G768" s="57"/>
      <c r="H768" s="57"/>
      <c r="I768" s="57"/>
      <c r="J768" s="57">
        <f>J778*J$747</f>
        <v>6.5170000000000003</v>
      </c>
      <c r="K768" s="57">
        <f t="shared" ref="K768:P768" si="811">K769*K778</f>
        <v>7.4459999999999997</v>
      </c>
      <c r="L768" s="68">
        <f t="shared" ca="1" si="811"/>
        <v>7.5774000000000008</v>
      </c>
      <c r="M768" s="68">
        <f t="shared" ca="1" si="811"/>
        <v>7.6531739999999999</v>
      </c>
      <c r="N768" s="68">
        <f t="shared" ca="1" si="811"/>
        <v>7.7297057400000009</v>
      </c>
      <c r="O768" s="68">
        <f t="shared" ca="1" si="811"/>
        <v>7.8070027974</v>
      </c>
      <c r="P768" s="68">
        <f t="shared" ca="1" si="811"/>
        <v>7.8850728253740003</v>
      </c>
    </row>
    <row r="769" spans="2:20" ht="12.6" customHeight="1" x14ac:dyDescent="0.2">
      <c r="B769" s="72" t="s">
        <v>551</v>
      </c>
      <c r="C769" s="61"/>
      <c r="D769" s="63"/>
      <c r="E769" s="63"/>
      <c r="F769" s="63"/>
      <c r="G769" s="63"/>
      <c r="H769" s="63"/>
      <c r="I769" s="63"/>
      <c r="J769" s="63">
        <f t="shared" ref="J769:P769" si="812">J747</f>
        <v>9.31</v>
      </c>
      <c r="K769" s="63">
        <f t="shared" si="812"/>
        <v>10.199999999999999</v>
      </c>
      <c r="L769" s="64">
        <f t="shared" ca="1" si="812"/>
        <v>10.38</v>
      </c>
      <c r="M769" s="64">
        <f t="shared" ca="1" si="812"/>
        <v>10.4838</v>
      </c>
      <c r="N769" s="64">
        <f t="shared" ca="1" si="812"/>
        <v>10.588638000000001</v>
      </c>
      <c r="O769" s="64">
        <f t="shared" ca="1" si="812"/>
        <v>10.694524380000001</v>
      </c>
      <c r="P769" s="64">
        <f t="shared" ca="1" si="812"/>
        <v>10.801469623800001</v>
      </c>
    </row>
    <row r="770" spans="2:20" ht="12.6" customHeight="1" x14ac:dyDescent="0.2">
      <c r="B770" s="72"/>
      <c r="C770" s="61"/>
      <c r="D770" s="63"/>
      <c r="E770" s="63"/>
      <c r="F770" s="63"/>
      <c r="G770" s="63"/>
      <c r="H770" s="63"/>
      <c r="I770" s="63"/>
      <c r="J770" s="63"/>
      <c r="K770" s="63"/>
      <c r="L770" s="64"/>
      <c r="M770" s="64"/>
      <c r="N770" s="64"/>
      <c r="O770" s="64"/>
      <c r="P770" s="64"/>
    </row>
    <row r="771" spans="2:20" ht="12.6" customHeight="1" x14ac:dyDescent="0.2">
      <c r="B771" s="331" t="s">
        <v>227</v>
      </c>
      <c r="C771" s="326"/>
      <c r="D771" s="335"/>
      <c r="E771" s="335"/>
      <c r="F771" s="335"/>
      <c r="G771" s="335"/>
      <c r="H771" s="335"/>
      <c r="I771" s="335"/>
      <c r="J771" s="335"/>
      <c r="K771" s="335"/>
      <c r="L771" s="336"/>
      <c r="M771" s="336"/>
      <c r="N771" s="336"/>
      <c r="O771" s="336"/>
      <c r="P771" s="336"/>
    </row>
    <row r="772" spans="2:20" ht="12.6" customHeight="1" x14ac:dyDescent="0.2">
      <c r="B772" s="322" t="s">
        <v>563</v>
      </c>
      <c r="C772" s="326"/>
      <c r="D772" s="113"/>
      <c r="E772" s="113"/>
      <c r="F772" s="113"/>
      <c r="G772" s="113"/>
      <c r="H772" s="113"/>
      <c r="I772" s="113"/>
      <c r="J772" s="113" t="str">
        <f>IFERROR(J767/I767-1,"--")</f>
        <v>--</v>
      </c>
      <c r="K772" s="113">
        <f t="shared" ref="K772:P772" si="813">IFERROR(K767/J767-1,"--")</f>
        <v>-1.3963480128893924E-2</v>
      </c>
      <c r="L772" s="197">
        <f t="shared" ca="1" si="813"/>
        <v>1.7647058823529571E-2</v>
      </c>
      <c r="M772" s="197">
        <f t="shared" ca="1" si="813"/>
        <v>1.0000000000000231E-2</v>
      </c>
      <c r="N772" s="197">
        <f t="shared" ca="1" si="813"/>
        <v>1.0000000000000009E-2</v>
      </c>
      <c r="O772" s="197">
        <f t="shared" ca="1" si="813"/>
        <v>1.0000000000000009E-2</v>
      </c>
      <c r="P772" s="197">
        <f t="shared" ca="1" si="813"/>
        <v>1.0000000000000009E-2</v>
      </c>
    </row>
    <row r="773" spans="2:20" ht="12.6" customHeight="1" x14ac:dyDescent="0.2">
      <c r="B773" s="322" t="s">
        <v>299</v>
      </c>
      <c r="C773" s="326"/>
      <c r="D773" s="113"/>
      <c r="E773" s="113"/>
      <c r="F773" s="113"/>
      <c r="G773" s="113"/>
      <c r="H773" s="113"/>
      <c r="I773" s="113"/>
      <c r="J773" s="113" t="str">
        <f t="shared" ref="J773:P773" si="814">IFERROR(J768/I768-1,"--")</f>
        <v>--</v>
      </c>
      <c r="K773" s="113">
        <f t="shared" si="814"/>
        <v>0.14255025318398018</v>
      </c>
      <c r="L773" s="197">
        <f t="shared" ca="1" si="814"/>
        <v>1.7647058823529571E-2</v>
      </c>
      <c r="M773" s="197">
        <f t="shared" ca="1" si="814"/>
        <v>9.9999999999997868E-3</v>
      </c>
      <c r="N773" s="197">
        <f t="shared" ca="1" si="814"/>
        <v>1.0000000000000231E-2</v>
      </c>
      <c r="O773" s="197">
        <f t="shared" ca="1" si="814"/>
        <v>9.9999999999997868E-3</v>
      </c>
      <c r="P773" s="197">
        <f t="shared" ca="1" si="814"/>
        <v>1.0000000000000009E-2</v>
      </c>
    </row>
    <row r="774" spans="2:20" ht="12.6" customHeight="1" x14ac:dyDescent="0.2">
      <c r="B774" s="331" t="s">
        <v>551</v>
      </c>
      <c r="C774" s="327"/>
      <c r="D774" s="117"/>
      <c r="E774" s="117"/>
      <c r="F774" s="117"/>
      <c r="G774" s="117"/>
      <c r="H774" s="117"/>
      <c r="I774" s="117"/>
      <c r="J774" s="117" t="str">
        <f t="shared" ref="J774:P774" si="815">IFERROR(J769/I769-1,"--")</f>
        <v>--</v>
      </c>
      <c r="K774" s="117">
        <f t="shared" si="815"/>
        <v>9.559613319011806E-2</v>
      </c>
      <c r="L774" s="204">
        <f t="shared" ca="1" si="815"/>
        <v>1.7647058823529571E-2</v>
      </c>
      <c r="M774" s="204">
        <f t="shared" ca="1" si="815"/>
        <v>1.0000000000000009E-2</v>
      </c>
      <c r="N774" s="204">
        <f t="shared" ca="1" si="815"/>
        <v>1.0000000000000009E-2</v>
      </c>
      <c r="O774" s="204">
        <f t="shared" ca="1" si="815"/>
        <v>1.0000000000000009E-2</v>
      </c>
      <c r="P774" s="204">
        <f t="shared" ca="1" si="815"/>
        <v>1.0000000000000009E-2</v>
      </c>
    </row>
    <row r="775" spans="2:20" ht="12.6" customHeight="1" x14ac:dyDescent="0.2">
      <c r="B775" s="331"/>
      <c r="C775" s="326"/>
      <c r="D775" s="335"/>
      <c r="E775" s="335"/>
      <c r="F775" s="335"/>
      <c r="G775" s="335"/>
      <c r="H775" s="335"/>
      <c r="I775" s="335"/>
      <c r="J775" s="335"/>
      <c r="K775" s="335"/>
      <c r="L775" s="336"/>
      <c r="M775" s="336"/>
      <c r="N775" s="336"/>
      <c r="O775" s="336"/>
      <c r="P775" s="336"/>
    </row>
    <row r="776" spans="2:20" ht="12.6" customHeight="1" x14ac:dyDescent="0.2">
      <c r="B776" s="331" t="s">
        <v>287</v>
      </c>
      <c r="C776" s="326"/>
      <c r="D776" s="335"/>
      <c r="E776" s="335"/>
      <c r="F776" s="335"/>
      <c r="G776" s="335"/>
      <c r="H776" s="335"/>
      <c r="I776" s="335"/>
      <c r="J776" s="335"/>
      <c r="K776" s="335"/>
      <c r="L776" s="336"/>
      <c r="M776" s="336"/>
      <c r="N776" s="336"/>
      <c r="O776" s="336"/>
      <c r="P776" s="336"/>
    </row>
    <row r="777" spans="2:20" ht="12.6" customHeight="1" x14ac:dyDescent="0.2">
      <c r="B777" s="322" t="s">
        <v>563</v>
      </c>
      <c r="C777" s="326"/>
      <c r="D777" s="113"/>
      <c r="E777" s="113"/>
      <c r="F777" s="113"/>
      <c r="G777" s="113"/>
      <c r="H777" s="113"/>
      <c r="I777" s="113"/>
      <c r="J777" s="113">
        <v>0.3</v>
      </c>
      <c r="K777" s="113">
        <f t="shared" ref="K777:P777" si="816">1-K778</f>
        <v>0.27</v>
      </c>
      <c r="L777" s="197">
        <f t="shared" si="816"/>
        <v>0.27</v>
      </c>
      <c r="M777" s="197">
        <f t="shared" si="816"/>
        <v>0.27</v>
      </c>
      <c r="N777" s="197">
        <f t="shared" si="816"/>
        <v>0.27</v>
      </c>
      <c r="O777" s="197">
        <f t="shared" si="816"/>
        <v>0.27</v>
      </c>
      <c r="P777" s="197">
        <f t="shared" si="816"/>
        <v>0.27</v>
      </c>
    </row>
    <row r="778" spans="2:20" ht="12.6" customHeight="1" x14ac:dyDescent="0.2">
      <c r="B778" s="359" t="s">
        <v>299</v>
      </c>
      <c r="C778" s="327"/>
      <c r="D778" s="117"/>
      <c r="E778" s="117"/>
      <c r="F778" s="117"/>
      <c r="G778" s="117"/>
      <c r="H778" s="117"/>
      <c r="I778" s="117"/>
      <c r="J778" s="117">
        <v>0.7</v>
      </c>
      <c r="K778" s="117">
        <v>0.73</v>
      </c>
      <c r="L778" s="360">
        <f t="shared" ref="L778:P778" si="817">K778</f>
        <v>0.73</v>
      </c>
      <c r="M778" s="360">
        <f t="shared" si="817"/>
        <v>0.73</v>
      </c>
      <c r="N778" s="360">
        <f t="shared" si="817"/>
        <v>0.73</v>
      </c>
      <c r="O778" s="360">
        <f t="shared" si="817"/>
        <v>0.73</v>
      </c>
      <c r="P778" s="360">
        <f t="shared" si="817"/>
        <v>0.73</v>
      </c>
    </row>
    <row r="779" spans="2:20" ht="12.6" customHeight="1" x14ac:dyDescent="0.2">
      <c r="B779" s="116"/>
      <c r="C779" s="61"/>
      <c r="D779" s="63"/>
      <c r="E779" s="63"/>
      <c r="F779" s="63"/>
      <c r="G779" s="63"/>
      <c r="H779" s="63"/>
      <c r="I779" s="63"/>
      <c r="J779" s="63"/>
      <c r="K779" s="63"/>
      <c r="L779" s="64"/>
      <c r="M779" s="64"/>
      <c r="N779" s="64"/>
      <c r="O779" s="64"/>
      <c r="P779" s="64"/>
    </row>
    <row r="781" spans="2:20" ht="12.6" customHeight="1" x14ac:dyDescent="0.2">
      <c r="B781" s="50" t="s">
        <v>9</v>
      </c>
      <c r="C781" s="50" t="s">
        <v>473</v>
      </c>
      <c r="D781" s="163"/>
      <c r="E781" s="163"/>
      <c r="F781" s="163"/>
      <c r="G781" s="51"/>
      <c r="H781" s="51"/>
      <c r="I781" s="51"/>
      <c r="J781" s="51"/>
      <c r="K781" s="51"/>
      <c r="L781" s="54"/>
      <c r="M781" s="54"/>
      <c r="N781" s="54"/>
      <c r="O781" s="54"/>
      <c r="P781" s="54"/>
    </row>
    <row r="782" spans="2:20" ht="12.6" customHeight="1" x14ac:dyDescent="0.2">
      <c r="B782" s="61" t="s">
        <v>565</v>
      </c>
      <c r="C782" s="61" t="s">
        <v>570</v>
      </c>
      <c r="D782" s="63"/>
      <c r="E782" s="63"/>
      <c r="F782" s="311"/>
      <c r="G782" s="301"/>
      <c r="H782" s="301"/>
      <c r="I782" s="301">
        <f>'Ennore Bulk'!L7</f>
        <v>392.74099999999999</v>
      </c>
      <c r="J782" s="301">
        <f>'Ennore Bulk'!M7</f>
        <v>336.63499999999999</v>
      </c>
      <c r="K782" s="301">
        <f>'Ennore Bulk'!N7</f>
        <v>642.77800000000002</v>
      </c>
      <c r="L782" s="302">
        <f t="shared" ref="L782:P782" si="818">L783*L796</f>
        <v>514.20403491428578</v>
      </c>
      <c r="M782" s="302">
        <f t="shared" si="818"/>
        <v>550.71252139320006</v>
      </c>
      <c r="N782" s="302">
        <f t="shared" si="818"/>
        <v>589.81311041211734</v>
      </c>
      <c r="O782" s="302">
        <f t="shared" si="818"/>
        <v>631.68984125137774</v>
      </c>
      <c r="P782" s="302">
        <f t="shared" si="818"/>
        <v>676.53981998022562</v>
      </c>
      <c r="S782" s="545" t="str">
        <f>IF(ISERROR((J782/D782)^(1/6)-1)," ",(J782/D782)^(1/6)-1)</f>
        <v xml:space="preserve"> </v>
      </c>
      <c r="T782" s="545">
        <f>IF(ISERROR((P782/J782)^(1/6)-1)," ",(P782/J782)^(1/6)-1)</f>
        <v>0.12336877807787983</v>
      </c>
    </row>
    <row r="783" spans="2:20" ht="12.6" customHeight="1" x14ac:dyDescent="0.2">
      <c r="B783" s="59" t="s">
        <v>474</v>
      </c>
      <c r="C783" s="61" t="s">
        <v>476</v>
      </c>
      <c r="D783" s="57"/>
      <c r="E783" s="57"/>
      <c r="F783" s="57"/>
      <c r="G783" s="57"/>
      <c r="H783" s="57"/>
      <c r="I783" s="57">
        <f>I782/I796</f>
        <v>207.79947089947089</v>
      </c>
      <c r="J783" s="57">
        <f>J782/J796</f>
        <v>230.57191780821918</v>
      </c>
      <c r="K783" s="57">
        <f>K782/K796</f>
        <v>306.08476190476188</v>
      </c>
      <c r="L783" s="303">
        <f t="shared" ref="L783:P783" si="819">K783*(1+L784)</f>
        <v>312.20645714285712</v>
      </c>
      <c r="M783" s="303">
        <f t="shared" si="819"/>
        <v>318.45058628571428</v>
      </c>
      <c r="N783" s="303">
        <f t="shared" si="819"/>
        <v>324.81959801142858</v>
      </c>
      <c r="O783" s="303">
        <f t="shared" si="819"/>
        <v>331.31598997165713</v>
      </c>
      <c r="P783" s="303">
        <f t="shared" si="819"/>
        <v>337.94230977109027</v>
      </c>
      <c r="S783" s="545" t="str">
        <f>IF(ISERROR((J783/D783)^(1/6)-1)," ",(J783/D783)^(1/6)-1)</f>
        <v xml:space="preserve"> </v>
      </c>
      <c r="T783" s="545">
        <f>IF(ISERROR((P783/J783)^(1/6)-1)," ",(P783/J783)^(1/6)-1)</f>
        <v>6.5792580790284605E-2</v>
      </c>
    </row>
    <row r="784" spans="2:20" ht="12.6" customHeight="1" x14ac:dyDescent="0.2">
      <c r="B784" s="322" t="s">
        <v>227</v>
      </c>
      <c r="C784" s="323" t="s">
        <v>477</v>
      </c>
      <c r="D784" s="58"/>
      <c r="E784" s="58"/>
      <c r="F784" s="339"/>
      <c r="G784" s="330"/>
      <c r="H784" s="330"/>
      <c r="I784" s="330"/>
      <c r="J784" s="330">
        <f>J783/I783-1</f>
        <v>0.10958857022193835</v>
      </c>
      <c r="K784" s="330">
        <f>K783/J783-1</f>
        <v>0.32750234640174769</v>
      </c>
      <c r="L784" s="354">
        <v>0.02</v>
      </c>
      <c r="M784" s="354">
        <v>0.02</v>
      </c>
      <c r="N784" s="354">
        <v>0.02</v>
      </c>
      <c r="O784" s="354">
        <v>0.02</v>
      </c>
      <c r="P784" s="354">
        <v>0.02</v>
      </c>
      <c r="S784" s="352"/>
      <c r="T784" s="352"/>
    </row>
    <row r="785" spans="2:20" ht="12.6" customHeight="1" x14ac:dyDescent="0.2">
      <c r="B785" s="59"/>
      <c r="C785" s="61"/>
      <c r="D785" s="57"/>
      <c r="E785" s="57"/>
      <c r="F785" s="288"/>
      <c r="G785" s="57"/>
      <c r="H785" s="57"/>
      <c r="I785" s="57"/>
      <c r="J785" s="57"/>
      <c r="K785" s="57"/>
      <c r="L785" s="57"/>
      <c r="M785" s="68"/>
      <c r="N785" s="68"/>
      <c r="O785" s="68"/>
      <c r="P785" s="68"/>
    </row>
    <row r="786" spans="2:20" ht="12.6" customHeight="1" x14ac:dyDescent="0.2">
      <c r="B786" s="72" t="s">
        <v>303</v>
      </c>
      <c r="C786" s="61" t="s">
        <v>4</v>
      </c>
      <c r="D786" s="57"/>
      <c r="E786" s="57"/>
      <c r="F786" s="288"/>
      <c r="G786" s="288"/>
      <c r="H786" s="288">
        <f t="shared" ref="H786:P786" si="820">H94</f>
        <v>2</v>
      </c>
      <c r="I786" s="288">
        <f t="shared" si="820"/>
        <v>2</v>
      </c>
      <c r="J786" s="288">
        <f t="shared" si="820"/>
        <v>2</v>
      </c>
      <c r="K786" s="288">
        <f t="shared" ref="K786" si="821">K94</f>
        <v>2</v>
      </c>
      <c r="L786" s="288">
        <f t="shared" si="820"/>
        <v>2</v>
      </c>
      <c r="M786" s="68">
        <f t="shared" si="820"/>
        <v>2</v>
      </c>
      <c r="N786" s="68">
        <f t="shared" si="820"/>
        <v>2</v>
      </c>
      <c r="O786" s="68">
        <f t="shared" si="820"/>
        <v>2</v>
      </c>
      <c r="P786" s="68">
        <f t="shared" si="820"/>
        <v>2</v>
      </c>
      <c r="S786" s="545" t="str">
        <f>IF(ISERROR((J786/D786)^(1/6)-1)," ",(J786/D786)^(1/6)-1)</f>
        <v xml:space="preserve"> </v>
      </c>
      <c r="T786" s="545">
        <f>IF(ISERROR((P786/J786)^(1/6)-1)," ",(P786/J786)^(1/6)-1)</f>
        <v>0</v>
      </c>
    </row>
    <row r="787" spans="2:20" ht="12.6" customHeight="1" x14ac:dyDescent="0.2">
      <c r="B787" s="202" t="s">
        <v>555</v>
      </c>
      <c r="C787" s="326" t="s">
        <v>4</v>
      </c>
      <c r="D787" s="58"/>
      <c r="E787" s="58"/>
      <c r="F787" s="330"/>
      <c r="G787" s="330"/>
      <c r="H787" s="330">
        <f t="shared" ref="H787:P787" si="822">H796/H786</f>
        <v>0.58011754450499997</v>
      </c>
      <c r="I787" s="330">
        <f t="shared" si="822"/>
        <v>0.94499999999999995</v>
      </c>
      <c r="J787" s="330">
        <f t="shared" si="822"/>
        <v>0.73</v>
      </c>
      <c r="K787" s="330">
        <f t="shared" ref="K787" si="823">K796/K786</f>
        <v>1.05</v>
      </c>
      <c r="L787" s="330">
        <f t="shared" si="822"/>
        <v>0.82350000000000012</v>
      </c>
      <c r="M787" s="324">
        <f t="shared" si="822"/>
        <v>0.86467500000000019</v>
      </c>
      <c r="N787" s="324">
        <f t="shared" si="822"/>
        <v>0.90790875000000026</v>
      </c>
      <c r="O787" s="324">
        <f t="shared" si="822"/>
        <v>0.95330418750000034</v>
      </c>
      <c r="P787" s="324">
        <f t="shared" si="822"/>
        <v>1.0009693968750004</v>
      </c>
      <c r="S787" s="352"/>
      <c r="T787" s="352"/>
    </row>
    <row r="788" spans="2:20" ht="12.6" customHeight="1" x14ac:dyDescent="0.2">
      <c r="B788" s="59"/>
      <c r="C788" s="61"/>
      <c r="D788" s="57"/>
      <c r="E788" s="57"/>
      <c r="F788" s="288"/>
      <c r="G788" s="57"/>
      <c r="H788" s="57"/>
      <c r="I788" s="57"/>
      <c r="J788" s="57"/>
      <c r="K788" s="57"/>
      <c r="L788" s="57"/>
      <c r="M788" s="68"/>
      <c r="N788" s="68"/>
      <c r="O788" s="68"/>
      <c r="P788" s="68"/>
    </row>
    <row r="789" spans="2:20" ht="12.6" customHeight="1" x14ac:dyDescent="0.2">
      <c r="B789" s="72" t="s">
        <v>489</v>
      </c>
      <c r="C789" s="61"/>
      <c r="D789" s="57"/>
      <c r="E789" s="57"/>
      <c r="F789" s="288"/>
      <c r="G789" s="57"/>
      <c r="H789" s="57"/>
      <c r="I789" s="57"/>
      <c r="J789" s="57"/>
      <c r="K789" s="57"/>
      <c r="L789" s="57"/>
      <c r="M789" s="68"/>
      <c r="N789" s="68"/>
      <c r="O789" s="68"/>
      <c r="P789" s="68"/>
    </row>
    <row r="790" spans="2:20" ht="12.6" customHeight="1" x14ac:dyDescent="0.2">
      <c r="B790" s="56" t="s">
        <v>279</v>
      </c>
      <c r="C790" s="61"/>
      <c r="D790" s="288"/>
      <c r="E790" s="288"/>
      <c r="F790" s="288"/>
      <c r="G790" s="288">
        <v>0</v>
      </c>
      <c r="H790" s="288">
        <v>0</v>
      </c>
      <c r="I790" s="288">
        <v>0</v>
      </c>
      <c r="J790" s="288">
        <v>0</v>
      </c>
      <c r="K790" s="288">
        <v>0</v>
      </c>
      <c r="L790" s="288">
        <v>0</v>
      </c>
      <c r="M790" s="303">
        <f t="shared" ref="M790:P790" si="824">L790*(1+M799)</f>
        <v>0</v>
      </c>
      <c r="N790" s="303">
        <f t="shared" si="824"/>
        <v>0</v>
      </c>
      <c r="O790" s="303">
        <f t="shared" si="824"/>
        <v>0</v>
      </c>
      <c r="P790" s="303">
        <f t="shared" si="824"/>
        <v>0</v>
      </c>
      <c r="S790" s="545" t="str">
        <f t="shared" ref="S790:S796" si="825">IF(ISERROR((J790/D790)^(1/6)-1)," ",(J790/D790)^(1/6)-1)</f>
        <v xml:space="preserve"> </v>
      </c>
      <c r="T790" s="545" t="str">
        <f t="shared" ref="T790:T796" si="826">IF(ISERROR((P790/J790)^(1/6)-1)," ",(P790/J790)^(1/6)-1)</f>
        <v xml:space="preserve"> </v>
      </c>
    </row>
    <row r="791" spans="2:20" ht="12.6" customHeight="1" x14ac:dyDescent="0.2">
      <c r="B791" s="56" t="s">
        <v>280</v>
      </c>
      <c r="C791" s="61"/>
      <c r="D791" s="288"/>
      <c r="E791" s="288"/>
      <c r="F791" s="288"/>
      <c r="G791" s="288">
        <v>0</v>
      </c>
      <c r="H791" s="288">
        <v>0</v>
      </c>
      <c r="I791" s="288">
        <v>0</v>
      </c>
      <c r="J791" s="288">
        <v>0</v>
      </c>
      <c r="K791" s="288">
        <v>0</v>
      </c>
      <c r="L791" s="288">
        <v>0</v>
      </c>
      <c r="M791" s="303">
        <f t="shared" ref="M791:P791" si="827">L791*(1+M800)</f>
        <v>0</v>
      </c>
      <c r="N791" s="303">
        <f t="shared" si="827"/>
        <v>0</v>
      </c>
      <c r="O791" s="303">
        <f t="shared" si="827"/>
        <v>0</v>
      </c>
      <c r="P791" s="303">
        <f t="shared" si="827"/>
        <v>0</v>
      </c>
      <c r="S791" s="545" t="str">
        <f t="shared" si="825"/>
        <v xml:space="preserve"> </v>
      </c>
      <c r="T791" s="545" t="str">
        <f t="shared" si="826"/>
        <v xml:space="preserve"> </v>
      </c>
    </row>
    <row r="792" spans="2:20" ht="12.6" customHeight="1" x14ac:dyDescent="0.2">
      <c r="B792" s="56" t="s">
        <v>281</v>
      </c>
      <c r="C792" s="61"/>
      <c r="D792" s="288"/>
      <c r="E792" s="288"/>
      <c r="F792" s="288"/>
      <c r="G792" s="288">
        <v>0</v>
      </c>
      <c r="H792" s="288">
        <v>0</v>
      </c>
      <c r="I792" s="288">
        <v>0</v>
      </c>
      <c r="J792" s="288">
        <v>0</v>
      </c>
      <c r="K792" s="288">
        <v>0</v>
      </c>
      <c r="L792" s="288">
        <v>0</v>
      </c>
      <c r="M792" s="303">
        <f t="shared" ref="M792:P792" si="828">L792*(1+M801)</f>
        <v>0</v>
      </c>
      <c r="N792" s="303">
        <f t="shared" si="828"/>
        <v>0</v>
      </c>
      <c r="O792" s="303">
        <f t="shared" si="828"/>
        <v>0</v>
      </c>
      <c r="P792" s="303">
        <f t="shared" si="828"/>
        <v>0</v>
      </c>
      <c r="S792" s="545" t="str">
        <f t="shared" si="825"/>
        <v xml:space="preserve"> </v>
      </c>
      <c r="T792" s="545" t="str">
        <f t="shared" si="826"/>
        <v xml:space="preserve"> </v>
      </c>
    </row>
    <row r="793" spans="2:20" ht="12.6" customHeight="1" x14ac:dyDescent="0.2">
      <c r="B793" s="56" t="s">
        <v>282</v>
      </c>
      <c r="C793" s="61"/>
      <c r="D793" s="288"/>
      <c r="E793" s="288"/>
      <c r="F793" s="288"/>
      <c r="G793" s="288">
        <v>0</v>
      </c>
      <c r="H793" s="288">
        <v>0</v>
      </c>
      <c r="I793" s="288">
        <v>0</v>
      </c>
      <c r="J793" s="288">
        <v>0</v>
      </c>
      <c r="K793" s="288">
        <v>0</v>
      </c>
      <c r="L793" s="288">
        <v>0</v>
      </c>
      <c r="M793" s="303">
        <f t="shared" ref="M793:P793" si="829">L793*(1+M802)</f>
        <v>0</v>
      </c>
      <c r="N793" s="303">
        <f t="shared" si="829"/>
        <v>0</v>
      </c>
      <c r="O793" s="303">
        <f t="shared" si="829"/>
        <v>0</v>
      </c>
      <c r="P793" s="303">
        <f t="shared" si="829"/>
        <v>0</v>
      </c>
      <c r="S793" s="545" t="str">
        <f t="shared" si="825"/>
        <v xml:space="preserve"> </v>
      </c>
      <c r="T793" s="545" t="str">
        <f t="shared" si="826"/>
        <v xml:space="preserve"> </v>
      </c>
    </row>
    <row r="794" spans="2:20" ht="12.6" customHeight="1" x14ac:dyDescent="0.2">
      <c r="B794" s="56" t="s">
        <v>283</v>
      </c>
      <c r="C794" s="61"/>
      <c r="D794" s="288"/>
      <c r="E794" s="288"/>
      <c r="F794" s="288"/>
      <c r="G794" s="288">
        <v>0</v>
      </c>
      <c r="H794" s="288">
        <v>0</v>
      </c>
      <c r="I794" s="288">
        <v>0</v>
      </c>
      <c r="J794" s="288">
        <v>0</v>
      </c>
      <c r="K794" s="288">
        <v>0</v>
      </c>
      <c r="L794" s="288">
        <v>0</v>
      </c>
      <c r="M794" s="303">
        <f t="shared" ref="M794:P794" si="830">L794*(1+M803)</f>
        <v>0</v>
      </c>
      <c r="N794" s="303">
        <f t="shared" si="830"/>
        <v>0</v>
      </c>
      <c r="O794" s="303">
        <f t="shared" si="830"/>
        <v>0</v>
      </c>
      <c r="P794" s="303">
        <f t="shared" si="830"/>
        <v>0</v>
      </c>
      <c r="S794" s="545" t="str">
        <f t="shared" si="825"/>
        <v xml:space="preserve"> </v>
      </c>
      <c r="T794" s="545" t="str">
        <f t="shared" si="826"/>
        <v xml:space="preserve"> </v>
      </c>
    </row>
    <row r="795" spans="2:20" ht="12.6" customHeight="1" x14ac:dyDescent="0.2">
      <c r="B795" s="56" t="s">
        <v>284</v>
      </c>
      <c r="C795" s="61"/>
      <c r="D795" s="288"/>
      <c r="E795" s="288"/>
      <c r="F795" s="288"/>
      <c r="G795" s="288">
        <v>0.39</v>
      </c>
      <c r="H795" s="288">
        <v>1.1602350890099999</v>
      </c>
      <c r="I795" s="288">
        <v>1.89</v>
      </c>
      <c r="J795" s="288">
        <v>1.46</v>
      </c>
      <c r="K795" s="288">
        <v>2.1</v>
      </c>
      <c r="L795" s="288">
        <v>1.6470000000000002</v>
      </c>
      <c r="M795" s="303">
        <f t="shared" ref="M795:P795" si="831">L795*(1+M804)</f>
        <v>1.7293500000000004</v>
      </c>
      <c r="N795" s="303">
        <f t="shared" si="831"/>
        <v>1.8158175000000005</v>
      </c>
      <c r="O795" s="303">
        <f t="shared" si="831"/>
        <v>1.9066083750000007</v>
      </c>
      <c r="P795" s="303">
        <f t="shared" si="831"/>
        <v>2.0019387937500008</v>
      </c>
      <c r="S795" s="545" t="str">
        <f t="shared" si="825"/>
        <v xml:space="preserve"> </v>
      </c>
      <c r="T795" s="545">
        <f t="shared" si="826"/>
        <v>5.4021953544565182E-2</v>
      </c>
    </row>
    <row r="796" spans="2:20" ht="12.6" customHeight="1" x14ac:dyDescent="0.2">
      <c r="B796" s="72" t="s">
        <v>551</v>
      </c>
      <c r="C796" s="95"/>
      <c r="D796" s="63"/>
      <c r="E796" s="63"/>
      <c r="F796" s="63"/>
      <c r="G796" s="63">
        <f t="shared" ref="G796:P796" si="832">SUM(G790:G795)</f>
        <v>0.39</v>
      </c>
      <c r="H796" s="63">
        <f t="shared" si="832"/>
        <v>1.1602350890099999</v>
      </c>
      <c r="I796" s="63">
        <f t="shared" si="832"/>
        <v>1.89</v>
      </c>
      <c r="J796" s="63">
        <f t="shared" si="832"/>
        <v>1.46</v>
      </c>
      <c r="K796" s="63">
        <f>SUM(K790:K795)</f>
        <v>2.1</v>
      </c>
      <c r="L796" s="63">
        <f>SUM(L790:L795)</f>
        <v>1.6470000000000002</v>
      </c>
      <c r="M796" s="64">
        <f t="shared" si="832"/>
        <v>1.7293500000000004</v>
      </c>
      <c r="N796" s="64">
        <f t="shared" si="832"/>
        <v>1.8158175000000005</v>
      </c>
      <c r="O796" s="64">
        <f t="shared" si="832"/>
        <v>1.9066083750000007</v>
      </c>
      <c r="P796" s="64">
        <f t="shared" si="832"/>
        <v>2.0019387937500008</v>
      </c>
      <c r="Q796" s="352"/>
      <c r="S796" s="367" t="str">
        <f t="shared" si="825"/>
        <v xml:space="preserve"> </v>
      </c>
      <c r="T796" s="545">
        <f t="shared" si="826"/>
        <v>5.4021953544565182E-2</v>
      </c>
    </row>
    <row r="797" spans="2:20" ht="12.6" customHeight="1" x14ac:dyDescent="0.2">
      <c r="B797" s="72"/>
      <c r="C797" s="95"/>
      <c r="D797" s="63"/>
      <c r="E797" s="63"/>
      <c r="F797" s="63"/>
      <c r="G797" s="63"/>
      <c r="H797" s="63"/>
      <c r="I797" s="63"/>
      <c r="J797" s="63"/>
      <c r="K797" s="63"/>
      <c r="L797" s="63"/>
      <c r="M797" s="64"/>
      <c r="N797" s="64"/>
      <c r="O797" s="64"/>
      <c r="P797" s="64"/>
    </row>
    <row r="798" spans="2:20" ht="12.6" customHeight="1" x14ac:dyDescent="0.2">
      <c r="B798" s="116" t="s">
        <v>227</v>
      </c>
      <c r="C798" s="61"/>
      <c r="D798" s="63"/>
      <c r="E798" s="63"/>
      <c r="F798" s="63"/>
      <c r="G798" s="63"/>
      <c r="H798" s="63"/>
      <c r="I798" s="63"/>
      <c r="J798" s="63"/>
      <c r="K798" s="63"/>
      <c r="L798" s="63"/>
      <c r="M798" s="68"/>
      <c r="N798" s="68"/>
      <c r="O798" s="68"/>
      <c r="P798" s="68"/>
    </row>
    <row r="799" spans="2:20" ht="12.6" customHeight="1" x14ac:dyDescent="0.2">
      <c r="B799" s="322" t="s">
        <v>279</v>
      </c>
      <c r="C799" s="355"/>
      <c r="D799" s="113"/>
      <c r="E799" s="113"/>
      <c r="F799" s="113"/>
      <c r="G799" s="113"/>
      <c r="H799" s="113">
        <f t="shared" ref="H799:L805" si="833">IFERROR(H790/G790-1,0)</f>
        <v>0</v>
      </c>
      <c r="I799" s="113">
        <f t="shared" si="833"/>
        <v>0</v>
      </c>
      <c r="J799" s="113">
        <f t="shared" si="833"/>
        <v>0</v>
      </c>
      <c r="K799" s="113">
        <f t="shared" si="833"/>
        <v>0</v>
      </c>
      <c r="L799" s="113">
        <f t="shared" si="833"/>
        <v>0</v>
      </c>
      <c r="M799" s="356">
        <v>0</v>
      </c>
      <c r="N799" s="356">
        <v>0</v>
      </c>
      <c r="O799" s="356">
        <v>0</v>
      </c>
      <c r="P799" s="356">
        <v>0</v>
      </c>
    </row>
    <row r="800" spans="2:20" ht="12.6" customHeight="1" x14ac:dyDescent="0.2">
      <c r="B800" s="322" t="s">
        <v>280</v>
      </c>
      <c r="C800" s="355"/>
      <c r="D800" s="113"/>
      <c r="E800" s="113"/>
      <c r="F800" s="113"/>
      <c r="G800" s="113"/>
      <c r="H800" s="113">
        <f t="shared" si="833"/>
        <v>0</v>
      </c>
      <c r="I800" s="113">
        <f t="shared" si="833"/>
        <v>0</v>
      </c>
      <c r="J800" s="113">
        <f t="shared" si="833"/>
        <v>0</v>
      </c>
      <c r="K800" s="113">
        <f t="shared" si="833"/>
        <v>0</v>
      </c>
      <c r="L800" s="113">
        <f t="shared" si="833"/>
        <v>0</v>
      </c>
      <c r="M800" s="356">
        <v>0</v>
      </c>
      <c r="N800" s="356">
        <v>0</v>
      </c>
      <c r="O800" s="356">
        <v>0</v>
      </c>
      <c r="P800" s="356">
        <v>0</v>
      </c>
    </row>
    <row r="801" spans="2:16" ht="12.6" customHeight="1" x14ac:dyDescent="0.2">
      <c r="B801" s="322" t="s">
        <v>281</v>
      </c>
      <c r="C801" s="355"/>
      <c r="D801" s="113"/>
      <c r="E801" s="113"/>
      <c r="F801" s="113"/>
      <c r="G801" s="113"/>
      <c r="H801" s="113">
        <f t="shared" si="833"/>
        <v>0</v>
      </c>
      <c r="I801" s="113">
        <f t="shared" si="833"/>
        <v>0</v>
      </c>
      <c r="J801" s="113">
        <f t="shared" si="833"/>
        <v>0</v>
      </c>
      <c r="K801" s="113">
        <f t="shared" si="833"/>
        <v>0</v>
      </c>
      <c r="L801" s="113">
        <f t="shared" si="833"/>
        <v>0</v>
      </c>
      <c r="M801" s="356">
        <v>0</v>
      </c>
      <c r="N801" s="356">
        <v>0</v>
      </c>
      <c r="O801" s="356">
        <v>0</v>
      </c>
      <c r="P801" s="356">
        <v>0</v>
      </c>
    </row>
    <row r="802" spans="2:16" ht="12.6" customHeight="1" x14ac:dyDescent="0.2">
      <c r="B802" s="322" t="s">
        <v>282</v>
      </c>
      <c r="C802" s="355"/>
      <c r="D802" s="113"/>
      <c r="E802" s="113"/>
      <c r="F802" s="113"/>
      <c r="G802" s="113"/>
      <c r="H802" s="113">
        <f t="shared" si="833"/>
        <v>0</v>
      </c>
      <c r="I802" s="113">
        <f t="shared" si="833"/>
        <v>0</v>
      </c>
      <c r="J802" s="113">
        <f t="shared" si="833"/>
        <v>0</v>
      </c>
      <c r="K802" s="113">
        <f t="shared" si="833"/>
        <v>0</v>
      </c>
      <c r="L802" s="113">
        <f t="shared" si="833"/>
        <v>0</v>
      </c>
      <c r="M802" s="356">
        <v>0</v>
      </c>
      <c r="N802" s="356">
        <v>0</v>
      </c>
      <c r="O802" s="356">
        <v>0</v>
      </c>
      <c r="P802" s="356">
        <v>0</v>
      </c>
    </row>
    <row r="803" spans="2:16" ht="12.6" customHeight="1" x14ac:dyDescent="0.2">
      <c r="B803" s="322" t="s">
        <v>283</v>
      </c>
      <c r="C803" s="355"/>
      <c r="D803" s="113"/>
      <c r="E803" s="113"/>
      <c r="F803" s="113"/>
      <c r="G803" s="113"/>
      <c r="H803" s="113">
        <f t="shared" si="833"/>
        <v>0</v>
      </c>
      <c r="I803" s="113">
        <f t="shared" si="833"/>
        <v>0</v>
      </c>
      <c r="J803" s="113">
        <f t="shared" si="833"/>
        <v>0</v>
      </c>
      <c r="K803" s="113">
        <f t="shared" si="833"/>
        <v>0</v>
      </c>
      <c r="L803" s="113">
        <f t="shared" si="833"/>
        <v>0</v>
      </c>
      <c r="M803" s="356">
        <v>0</v>
      </c>
      <c r="N803" s="356">
        <v>0</v>
      </c>
      <c r="O803" s="356">
        <v>0</v>
      </c>
      <c r="P803" s="356">
        <v>0</v>
      </c>
    </row>
    <row r="804" spans="2:16" ht="12.6" customHeight="1" x14ac:dyDescent="0.2">
      <c r="B804" s="322" t="s">
        <v>284</v>
      </c>
      <c r="C804" s="355"/>
      <c r="D804" s="113"/>
      <c r="E804" s="113"/>
      <c r="F804" s="113"/>
      <c r="G804" s="113"/>
      <c r="H804" s="113">
        <f t="shared" si="833"/>
        <v>1.9749617666923074</v>
      </c>
      <c r="I804" s="113">
        <f t="shared" si="833"/>
        <v>0.62898021090940315</v>
      </c>
      <c r="J804" s="113">
        <f t="shared" si="833"/>
        <v>-0.22751322751322745</v>
      </c>
      <c r="K804" s="113">
        <f t="shared" si="833"/>
        <v>0.43835616438356184</v>
      </c>
      <c r="L804" s="113">
        <f t="shared" si="833"/>
        <v>-0.21571428571428564</v>
      </c>
      <c r="M804" s="356">
        <v>0.05</v>
      </c>
      <c r="N804" s="356">
        <v>0.05</v>
      </c>
      <c r="O804" s="356">
        <v>0.05</v>
      </c>
      <c r="P804" s="356">
        <v>0.05</v>
      </c>
    </row>
    <row r="805" spans="2:16" ht="12.6" customHeight="1" x14ac:dyDescent="0.2">
      <c r="B805" s="331" t="s">
        <v>551</v>
      </c>
      <c r="C805" s="358"/>
      <c r="D805" s="117"/>
      <c r="E805" s="117"/>
      <c r="F805" s="117"/>
      <c r="G805" s="117"/>
      <c r="H805" s="117">
        <f t="shared" si="833"/>
        <v>1.9749617666923074</v>
      </c>
      <c r="I805" s="117">
        <f t="shared" si="833"/>
        <v>0.62898021090940315</v>
      </c>
      <c r="J805" s="117">
        <f t="shared" si="833"/>
        <v>-0.22751322751322745</v>
      </c>
      <c r="K805" s="117">
        <f t="shared" si="833"/>
        <v>0.43835616438356184</v>
      </c>
      <c r="L805" s="117">
        <f t="shared" si="833"/>
        <v>-0.21571428571428564</v>
      </c>
      <c r="M805" s="204">
        <f t="shared" ref="M805:P805" si="834">IFERROR(M796/L796-1,0)</f>
        <v>5.0000000000000044E-2</v>
      </c>
      <c r="N805" s="204">
        <f t="shared" si="834"/>
        <v>5.0000000000000044E-2</v>
      </c>
      <c r="O805" s="204">
        <f t="shared" si="834"/>
        <v>5.0000000000000044E-2</v>
      </c>
      <c r="P805" s="204">
        <f t="shared" si="834"/>
        <v>5.0000000000000044E-2</v>
      </c>
    </row>
    <row r="806" spans="2:16" ht="12.6" customHeight="1" x14ac:dyDescent="0.2">
      <c r="B806" s="201"/>
      <c r="C806" s="326"/>
      <c r="D806" s="335"/>
      <c r="E806" s="335"/>
      <c r="F806" s="335"/>
      <c r="G806" s="335"/>
      <c r="H806" s="335"/>
      <c r="I806" s="335"/>
      <c r="J806" s="335"/>
      <c r="K806" s="335"/>
      <c r="L806" s="335"/>
      <c r="M806" s="357"/>
      <c r="N806" s="357"/>
      <c r="O806" s="357"/>
      <c r="P806" s="357"/>
    </row>
    <row r="807" spans="2:16" ht="12.6" customHeight="1" x14ac:dyDescent="0.2">
      <c r="B807" s="331" t="s">
        <v>287</v>
      </c>
      <c r="C807" s="326"/>
      <c r="D807" s="335"/>
      <c r="E807" s="335"/>
      <c r="F807" s="335"/>
      <c r="G807" s="335"/>
      <c r="H807" s="335"/>
      <c r="I807" s="335"/>
      <c r="J807" s="335"/>
      <c r="K807" s="335"/>
      <c r="L807" s="335"/>
      <c r="M807" s="357"/>
      <c r="N807" s="357"/>
      <c r="O807" s="357"/>
      <c r="P807" s="357"/>
    </row>
    <row r="808" spans="2:16" ht="12.6" customHeight="1" x14ac:dyDescent="0.2">
      <c r="B808" s="322" t="s">
        <v>279</v>
      </c>
      <c r="C808" s="326"/>
      <c r="D808" s="113"/>
      <c r="E808" s="113"/>
      <c r="F808" s="113"/>
      <c r="G808" s="113"/>
      <c r="H808" s="113">
        <f t="shared" ref="H808:P808" si="835">H790/H$796</f>
        <v>0</v>
      </c>
      <c r="I808" s="113">
        <f t="shared" si="835"/>
        <v>0</v>
      </c>
      <c r="J808" s="113">
        <f t="shared" si="835"/>
        <v>0</v>
      </c>
      <c r="K808" s="113">
        <f t="shared" ref="K808:L808" si="836">K790/K$796</f>
        <v>0</v>
      </c>
      <c r="L808" s="113">
        <f t="shared" si="836"/>
        <v>0</v>
      </c>
      <c r="M808" s="197">
        <f t="shared" si="835"/>
        <v>0</v>
      </c>
      <c r="N808" s="197">
        <f t="shared" si="835"/>
        <v>0</v>
      </c>
      <c r="O808" s="197">
        <f t="shared" si="835"/>
        <v>0</v>
      </c>
      <c r="P808" s="197">
        <f t="shared" si="835"/>
        <v>0</v>
      </c>
    </row>
    <row r="809" spans="2:16" ht="12.6" customHeight="1" x14ac:dyDescent="0.2">
      <c r="B809" s="322" t="s">
        <v>280</v>
      </c>
      <c r="C809" s="326"/>
      <c r="D809" s="113"/>
      <c r="E809" s="113"/>
      <c r="F809" s="113"/>
      <c r="G809" s="113"/>
      <c r="H809" s="113">
        <f t="shared" ref="H809:P809" si="837">H791/H$796</f>
        <v>0</v>
      </c>
      <c r="I809" s="113">
        <f t="shared" si="837"/>
        <v>0</v>
      </c>
      <c r="J809" s="113">
        <f t="shared" si="837"/>
        <v>0</v>
      </c>
      <c r="K809" s="113">
        <f t="shared" ref="K809:L809" si="838">K791/K$796</f>
        <v>0</v>
      </c>
      <c r="L809" s="113">
        <f t="shared" si="838"/>
        <v>0</v>
      </c>
      <c r="M809" s="197">
        <f t="shared" si="837"/>
        <v>0</v>
      </c>
      <c r="N809" s="197">
        <f t="shared" si="837"/>
        <v>0</v>
      </c>
      <c r="O809" s="197">
        <f t="shared" si="837"/>
        <v>0</v>
      </c>
      <c r="P809" s="197">
        <f t="shared" si="837"/>
        <v>0</v>
      </c>
    </row>
    <row r="810" spans="2:16" ht="12.6" customHeight="1" x14ac:dyDescent="0.2">
      <c r="B810" s="322" t="s">
        <v>281</v>
      </c>
      <c r="C810" s="326"/>
      <c r="D810" s="113"/>
      <c r="E810" s="113"/>
      <c r="F810" s="113"/>
      <c r="G810" s="113"/>
      <c r="H810" s="113">
        <f t="shared" ref="H810:P810" si="839">H792/H$796</f>
        <v>0</v>
      </c>
      <c r="I810" s="113">
        <f t="shared" si="839"/>
        <v>0</v>
      </c>
      <c r="J810" s="113">
        <f t="shared" si="839"/>
        <v>0</v>
      </c>
      <c r="K810" s="113">
        <f t="shared" ref="K810:L810" si="840">K792/K$796</f>
        <v>0</v>
      </c>
      <c r="L810" s="113">
        <f t="shared" si="840"/>
        <v>0</v>
      </c>
      <c r="M810" s="197">
        <f t="shared" si="839"/>
        <v>0</v>
      </c>
      <c r="N810" s="197">
        <f t="shared" si="839"/>
        <v>0</v>
      </c>
      <c r="O810" s="197">
        <f t="shared" si="839"/>
        <v>0</v>
      </c>
      <c r="P810" s="197">
        <f t="shared" si="839"/>
        <v>0</v>
      </c>
    </row>
    <row r="811" spans="2:16" ht="12.6" customHeight="1" x14ac:dyDescent="0.2">
      <c r="B811" s="322" t="s">
        <v>282</v>
      </c>
      <c r="C811" s="326"/>
      <c r="D811" s="113"/>
      <c r="E811" s="113"/>
      <c r="F811" s="113"/>
      <c r="G811" s="113"/>
      <c r="H811" s="113">
        <f t="shared" ref="H811:P811" si="841">H793/H$796</f>
        <v>0</v>
      </c>
      <c r="I811" s="113">
        <f t="shared" si="841"/>
        <v>0</v>
      </c>
      <c r="J811" s="113">
        <f t="shared" si="841"/>
        <v>0</v>
      </c>
      <c r="K811" s="113">
        <f t="shared" ref="K811:L811" si="842">K793/K$796</f>
        <v>0</v>
      </c>
      <c r="L811" s="113">
        <f t="shared" si="842"/>
        <v>0</v>
      </c>
      <c r="M811" s="197">
        <f t="shared" si="841"/>
        <v>0</v>
      </c>
      <c r="N811" s="197">
        <f t="shared" si="841"/>
        <v>0</v>
      </c>
      <c r="O811" s="197">
        <f t="shared" si="841"/>
        <v>0</v>
      </c>
      <c r="P811" s="197">
        <f t="shared" si="841"/>
        <v>0</v>
      </c>
    </row>
    <row r="812" spans="2:16" ht="12.6" customHeight="1" x14ac:dyDescent="0.2">
      <c r="B812" s="322" t="s">
        <v>283</v>
      </c>
      <c r="C812" s="326"/>
      <c r="D812" s="113"/>
      <c r="E812" s="113"/>
      <c r="F812" s="113"/>
      <c r="G812" s="113"/>
      <c r="H812" s="113">
        <f t="shared" ref="H812:P812" si="843">H794/H$796</f>
        <v>0</v>
      </c>
      <c r="I812" s="113">
        <f t="shared" si="843"/>
        <v>0</v>
      </c>
      <c r="J812" s="113">
        <f t="shared" si="843"/>
        <v>0</v>
      </c>
      <c r="K812" s="113">
        <f t="shared" ref="K812:L812" si="844">K794/K$796</f>
        <v>0</v>
      </c>
      <c r="L812" s="113">
        <f t="shared" si="844"/>
        <v>0</v>
      </c>
      <c r="M812" s="197">
        <f t="shared" si="843"/>
        <v>0</v>
      </c>
      <c r="N812" s="197">
        <f t="shared" si="843"/>
        <v>0</v>
      </c>
      <c r="O812" s="197">
        <f t="shared" si="843"/>
        <v>0</v>
      </c>
      <c r="P812" s="197">
        <f t="shared" si="843"/>
        <v>0</v>
      </c>
    </row>
    <row r="813" spans="2:16" ht="12.6" customHeight="1" x14ac:dyDescent="0.2">
      <c r="B813" s="322" t="s">
        <v>284</v>
      </c>
      <c r="C813" s="326"/>
      <c r="D813" s="113"/>
      <c r="E813" s="113"/>
      <c r="F813" s="113"/>
      <c r="G813" s="113"/>
      <c r="H813" s="113">
        <f>H795/H$796</f>
        <v>1</v>
      </c>
      <c r="I813" s="113">
        <f>I795/I$796</f>
        <v>1</v>
      </c>
      <c r="J813" s="113">
        <f>J795/J$796</f>
        <v>1</v>
      </c>
      <c r="K813" s="113">
        <f>K795/K$796</f>
        <v>1</v>
      </c>
      <c r="L813" s="113">
        <f>L795/L$796</f>
        <v>1</v>
      </c>
      <c r="M813" s="197">
        <f t="shared" ref="M813:P813" si="845">M795/M$796</f>
        <v>1</v>
      </c>
      <c r="N813" s="197">
        <f t="shared" si="845"/>
        <v>1</v>
      </c>
      <c r="O813" s="197">
        <f t="shared" si="845"/>
        <v>1</v>
      </c>
      <c r="P813" s="197">
        <f t="shared" si="845"/>
        <v>1</v>
      </c>
    </row>
    <row r="814" spans="2:16" ht="12.6" customHeight="1" x14ac:dyDescent="0.2">
      <c r="B814" s="359" t="s">
        <v>551</v>
      </c>
      <c r="C814" s="327"/>
      <c r="D814" s="117"/>
      <c r="E814" s="117"/>
      <c r="F814" s="117"/>
      <c r="G814" s="117"/>
      <c r="H814" s="117">
        <f t="shared" ref="H814:P814" si="846">H796/H$796</f>
        <v>1</v>
      </c>
      <c r="I814" s="117">
        <f t="shared" si="846"/>
        <v>1</v>
      </c>
      <c r="J814" s="117">
        <f t="shared" si="846"/>
        <v>1</v>
      </c>
      <c r="K814" s="117">
        <f t="shared" ref="K814:L814" si="847">K796/K$796</f>
        <v>1</v>
      </c>
      <c r="L814" s="117">
        <f t="shared" si="847"/>
        <v>1</v>
      </c>
      <c r="M814" s="204">
        <f t="shared" si="846"/>
        <v>1</v>
      </c>
      <c r="N814" s="204">
        <f t="shared" si="846"/>
        <v>1</v>
      </c>
      <c r="O814" s="204">
        <f t="shared" si="846"/>
        <v>1</v>
      </c>
      <c r="P814" s="204">
        <f t="shared" si="846"/>
        <v>1</v>
      </c>
    </row>
    <row r="815" spans="2:16" ht="12.6" customHeight="1" x14ac:dyDescent="0.2">
      <c r="B815" s="56"/>
      <c r="C815" s="61"/>
      <c r="D815" s="57"/>
      <c r="E815" s="57"/>
      <c r="F815" s="57"/>
      <c r="G815" s="57"/>
      <c r="H815" s="57"/>
      <c r="I815" s="57"/>
      <c r="J815" s="57"/>
      <c r="K815" s="57"/>
      <c r="L815" s="57"/>
      <c r="M815" s="68"/>
      <c r="N815" s="68"/>
      <c r="O815" s="68"/>
      <c r="P815" s="68"/>
    </row>
    <row r="816" spans="2:16" ht="12.6" customHeight="1" x14ac:dyDescent="0.2">
      <c r="B816" s="56" t="s">
        <v>563</v>
      </c>
      <c r="C816" s="61" t="s">
        <v>566</v>
      </c>
      <c r="D816" s="57"/>
      <c r="E816" s="57"/>
      <c r="F816" s="57"/>
      <c r="G816" s="57"/>
      <c r="H816" s="57"/>
      <c r="I816" s="57"/>
      <c r="J816" s="57">
        <f>J826*J$796</f>
        <v>0.2336</v>
      </c>
      <c r="K816" s="57">
        <f t="shared" ref="K816:P816" si="848">K818-K817</f>
        <v>0.33600000000000008</v>
      </c>
      <c r="L816" s="68">
        <f t="shared" si="848"/>
        <v>0.2635200000000002</v>
      </c>
      <c r="M816" s="68">
        <f t="shared" si="848"/>
        <v>0.27669600000000005</v>
      </c>
      <c r="N816" s="68">
        <f t="shared" si="848"/>
        <v>0.2905308000000002</v>
      </c>
      <c r="O816" s="68">
        <f t="shared" si="848"/>
        <v>0.30505734000000007</v>
      </c>
      <c r="P816" s="68">
        <f t="shared" si="848"/>
        <v>0.32031020700000012</v>
      </c>
    </row>
    <row r="817" spans="2:20" ht="12.6" customHeight="1" x14ac:dyDescent="0.2">
      <c r="B817" s="56" t="s">
        <v>299</v>
      </c>
      <c r="C817" s="61" t="s">
        <v>566</v>
      </c>
      <c r="D817" s="57"/>
      <c r="E817" s="57"/>
      <c r="F817" s="57"/>
      <c r="G817" s="57"/>
      <c r="H817" s="57"/>
      <c r="I817" s="57"/>
      <c r="J817" s="57">
        <f>J827*J$796</f>
        <v>1.2263999999999999</v>
      </c>
      <c r="K817" s="57">
        <f t="shared" ref="K817:P817" si="849">K818*K827</f>
        <v>1.764</v>
      </c>
      <c r="L817" s="68">
        <f t="shared" si="849"/>
        <v>1.38348</v>
      </c>
      <c r="M817" s="68">
        <f t="shared" si="849"/>
        <v>1.4526540000000003</v>
      </c>
      <c r="N817" s="68">
        <f t="shared" si="849"/>
        <v>1.5252867000000003</v>
      </c>
      <c r="O817" s="68">
        <f t="shared" si="849"/>
        <v>1.6015510350000006</v>
      </c>
      <c r="P817" s="68">
        <f t="shared" si="849"/>
        <v>1.6816285867500007</v>
      </c>
    </row>
    <row r="818" spans="2:20" ht="12.6" customHeight="1" x14ac:dyDescent="0.2">
      <c r="B818" s="72" t="s">
        <v>551</v>
      </c>
      <c r="C818" s="61"/>
      <c r="D818" s="63"/>
      <c r="E818" s="63"/>
      <c r="F818" s="63"/>
      <c r="G818" s="63"/>
      <c r="H818" s="63"/>
      <c r="I818" s="63"/>
      <c r="J818" s="63">
        <f>SUM(J816:J817)</f>
        <v>1.46</v>
      </c>
      <c r="K818" s="63">
        <f t="shared" ref="K818:P818" si="850">K796</f>
        <v>2.1</v>
      </c>
      <c r="L818" s="64">
        <f t="shared" si="850"/>
        <v>1.6470000000000002</v>
      </c>
      <c r="M818" s="64">
        <f t="shared" si="850"/>
        <v>1.7293500000000004</v>
      </c>
      <c r="N818" s="64">
        <f t="shared" si="850"/>
        <v>1.8158175000000005</v>
      </c>
      <c r="O818" s="64">
        <f t="shared" si="850"/>
        <v>1.9066083750000007</v>
      </c>
      <c r="P818" s="64">
        <f t="shared" si="850"/>
        <v>2.0019387937500008</v>
      </c>
    </row>
    <row r="819" spans="2:20" ht="12.6" customHeight="1" x14ac:dyDescent="0.2">
      <c r="B819" s="72"/>
      <c r="C819" s="61"/>
      <c r="D819" s="63"/>
      <c r="E819" s="63"/>
      <c r="F819" s="63"/>
      <c r="G819" s="63"/>
      <c r="H819" s="63"/>
      <c r="I819" s="63"/>
      <c r="J819" s="63"/>
      <c r="K819" s="63"/>
      <c r="L819" s="64"/>
      <c r="M819" s="64"/>
      <c r="N819" s="64"/>
      <c r="O819" s="64"/>
      <c r="P819" s="64"/>
    </row>
    <row r="820" spans="2:20" ht="12.6" customHeight="1" x14ac:dyDescent="0.2">
      <c r="B820" s="331" t="s">
        <v>227</v>
      </c>
      <c r="C820" s="326"/>
      <c r="D820" s="335"/>
      <c r="E820" s="335"/>
      <c r="F820" s="335"/>
      <c r="G820" s="335"/>
      <c r="H820" s="335"/>
      <c r="I820" s="335"/>
      <c r="J820" s="335"/>
      <c r="K820" s="335"/>
      <c r="L820" s="336"/>
      <c r="M820" s="336"/>
      <c r="N820" s="336"/>
      <c r="O820" s="336"/>
      <c r="P820" s="336"/>
    </row>
    <row r="821" spans="2:20" ht="12.6" customHeight="1" x14ac:dyDescent="0.2">
      <c r="B821" s="322" t="s">
        <v>563</v>
      </c>
      <c r="C821" s="326"/>
      <c r="D821" s="113"/>
      <c r="E821" s="113"/>
      <c r="F821" s="113"/>
      <c r="G821" s="113"/>
      <c r="H821" s="113"/>
      <c r="I821" s="113"/>
      <c r="J821" s="113" t="str">
        <f>IFERROR(J816/I816-1,"--")</f>
        <v>--</v>
      </c>
      <c r="K821" s="113">
        <f t="shared" ref="K821:P821" si="851">IFERROR(K816/J816-1,"--")</f>
        <v>0.43835616438356206</v>
      </c>
      <c r="L821" s="197">
        <f t="shared" si="851"/>
        <v>-0.2157142857142853</v>
      </c>
      <c r="M821" s="197">
        <f t="shared" si="851"/>
        <v>4.9999999999999378E-2</v>
      </c>
      <c r="N821" s="197">
        <f t="shared" si="851"/>
        <v>5.0000000000000488E-2</v>
      </c>
      <c r="O821" s="197">
        <f t="shared" si="851"/>
        <v>4.99999999999996E-2</v>
      </c>
      <c r="P821" s="197">
        <f t="shared" si="851"/>
        <v>5.0000000000000266E-2</v>
      </c>
    </row>
    <row r="822" spans="2:20" ht="12.6" customHeight="1" x14ac:dyDescent="0.2">
      <c r="B822" s="322" t="s">
        <v>299</v>
      </c>
      <c r="C822" s="326"/>
      <c r="D822" s="113"/>
      <c r="E822" s="113"/>
      <c r="F822" s="113"/>
      <c r="G822" s="113"/>
      <c r="H822" s="113"/>
      <c r="I822" s="113"/>
      <c r="J822" s="113" t="str">
        <f t="shared" ref="J822:P822" si="852">IFERROR(J817/I817-1,"--")</f>
        <v>--</v>
      </c>
      <c r="K822" s="113">
        <f t="shared" si="852"/>
        <v>0.43835616438356184</v>
      </c>
      <c r="L822" s="197">
        <f t="shared" si="852"/>
        <v>-0.21571428571428575</v>
      </c>
      <c r="M822" s="197">
        <f t="shared" si="852"/>
        <v>5.0000000000000266E-2</v>
      </c>
      <c r="N822" s="197">
        <f t="shared" si="852"/>
        <v>5.0000000000000044E-2</v>
      </c>
      <c r="O822" s="197">
        <f t="shared" si="852"/>
        <v>5.0000000000000266E-2</v>
      </c>
      <c r="P822" s="197">
        <f t="shared" si="852"/>
        <v>5.0000000000000044E-2</v>
      </c>
    </row>
    <row r="823" spans="2:20" ht="12.6" customHeight="1" x14ac:dyDescent="0.2">
      <c r="B823" s="331" t="s">
        <v>551</v>
      </c>
      <c r="C823" s="327"/>
      <c r="D823" s="117"/>
      <c r="E823" s="117"/>
      <c r="F823" s="117"/>
      <c r="G823" s="117"/>
      <c r="H823" s="117"/>
      <c r="I823" s="117"/>
      <c r="J823" s="117" t="str">
        <f t="shared" ref="J823:P823" si="853">IFERROR(J818/I818-1,"--")</f>
        <v>--</v>
      </c>
      <c r="K823" s="117">
        <f t="shared" si="853"/>
        <v>0.43835616438356184</v>
      </c>
      <c r="L823" s="204">
        <f t="shared" si="853"/>
        <v>-0.21571428571428564</v>
      </c>
      <c r="M823" s="204">
        <f t="shared" si="853"/>
        <v>5.0000000000000044E-2</v>
      </c>
      <c r="N823" s="204">
        <f t="shared" si="853"/>
        <v>5.0000000000000044E-2</v>
      </c>
      <c r="O823" s="204">
        <f t="shared" si="853"/>
        <v>5.0000000000000044E-2</v>
      </c>
      <c r="P823" s="204">
        <f t="shared" si="853"/>
        <v>5.0000000000000044E-2</v>
      </c>
    </row>
    <row r="824" spans="2:20" ht="12.6" customHeight="1" x14ac:dyDescent="0.2">
      <c r="B824" s="331"/>
      <c r="C824" s="326"/>
      <c r="D824" s="335"/>
      <c r="E824" s="335"/>
      <c r="F824" s="335"/>
      <c r="G824" s="335"/>
      <c r="H824" s="335"/>
      <c r="I824" s="335"/>
      <c r="J824" s="335"/>
      <c r="K824" s="335"/>
      <c r="L824" s="336"/>
      <c r="M824" s="336"/>
      <c r="N824" s="336"/>
      <c r="O824" s="336"/>
      <c r="P824" s="336"/>
    </row>
    <row r="825" spans="2:20" ht="12.6" customHeight="1" x14ac:dyDescent="0.2">
      <c r="B825" s="331" t="s">
        <v>287</v>
      </c>
      <c r="C825" s="326"/>
      <c r="D825" s="335"/>
      <c r="E825" s="335"/>
      <c r="F825" s="335"/>
      <c r="G825" s="335"/>
      <c r="H825" s="335"/>
      <c r="I825" s="335"/>
      <c r="J825" s="335"/>
      <c r="K825" s="335"/>
      <c r="L825" s="336"/>
      <c r="M825" s="336"/>
      <c r="N825" s="336"/>
      <c r="O825" s="336"/>
      <c r="P825" s="336"/>
    </row>
    <row r="826" spans="2:20" ht="12.6" customHeight="1" x14ac:dyDescent="0.2">
      <c r="B826" s="322" t="s">
        <v>563</v>
      </c>
      <c r="C826" s="326"/>
      <c r="D826" s="113"/>
      <c r="E826" s="113"/>
      <c r="F826" s="113"/>
      <c r="G826" s="113"/>
      <c r="H826" s="113"/>
      <c r="I826" s="113"/>
      <c r="J826" s="113">
        <v>0.16</v>
      </c>
      <c r="K826" s="113">
        <f t="shared" ref="K826:P826" si="854">1-K827</f>
        <v>0.16000000000000003</v>
      </c>
      <c r="L826" s="197">
        <f t="shared" si="854"/>
        <v>0.16000000000000003</v>
      </c>
      <c r="M826" s="197">
        <f t="shared" si="854"/>
        <v>0.16000000000000003</v>
      </c>
      <c r="N826" s="197">
        <f t="shared" si="854"/>
        <v>0.16000000000000003</v>
      </c>
      <c r="O826" s="197">
        <f t="shared" si="854"/>
        <v>0.16000000000000003</v>
      </c>
      <c r="P826" s="197">
        <f t="shared" si="854"/>
        <v>0.16000000000000003</v>
      </c>
    </row>
    <row r="827" spans="2:20" ht="12.6" customHeight="1" x14ac:dyDescent="0.2">
      <c r="B827" s="359" t="s">
        <v>299</v>
      </c>
      <c r="C827" s="327"/>
      <c r="D827" s="117"/>
      <c r="E827" s="117"/>
      <c r="F827" s="117"/>
      <c r="G827" s="117"/>
      <c r="H827" s="117"/>
      <c r="I827" s="117"/>
      <c r="J827" s="117">
        <v>0.84</v>
      </c>
      <c r="K827" s="117">
        <v>0.84</v>
      </c>
      <c r="L827" s="360">
        <f t="shared" ref="L827:P827" si="855">K827</f>
        <v>0.84</v>
      </c>
      <c r="M827" s="360">
        <f t="shared" si="855"/>
        <v>0.84</v>
      </c>
      <c r="N827" s="360">
        <f t="shared" si="855"/>
        <v>0.84</v>
      </c>
      <c r="O827" s="360">
        <f t="shared" si="855"/>
        <v>0.84</v>
      </c>
      <c r="P827" s="360">
        <f t="shared" si="855"/>
        <v>0.84</v>
      </c>
    </row>
    <row r="828" spans="2:20" ht="12.6" customHeight="1" x14ac:dyDescent="0.2">
      <c r="B828" s="116"/>
      <c r="C828" s="61"/>
      <c r="D828" s="63"/>
      <c r="E828" s="63"/>
      <c r="F828" s="63"/>
      <c r="G828" s="63"/>
      <c r="H828" s="63"/>
      <c r="I828" s="63"/>
      <c r="J828" s="63"/>
      <c r="K828" s="63"/>
      <c r="L828" s="64"/>
      <c r="M828" s="64"/>
      <c r="N828" s="64"/>
      <c r="O828" s="64"/>
      <c r="P828" s="64"/>
    </row>
    <row r="830" spans="2:20" ht="12.6" customHeight="1" x14ac:dyDescent="0.2">
      <c r="B830" s="50" t="s">
        <v>215</v>
      </c>
      <c r="C830" s="50" t="s">
        <v>473</v>
      </c>
      <c r="D830" s="163"/>
      <c r="E830" s="163"/>
      <c r="F830" s="163"/>
      <c r="G830" s="51"/>
      <c r="H830" s="51"/>
      <c r="I830" s="51"/>
      <c r="J830" s="51"/>
      <c r="K830" s="51"/>
      <c r="L830" s="54"/>
      <c r="M830" s="54"/>
      <c r="N830" s="54"/>
      <c r="O830" s="54"/>
      <c r="P830" s="54"/>
    </row>
    <row r="831" spans="2:20" ht="12.6" customHeight="1" x14ac:dyDescent="0.2">
      <c r="B831" s="61" t="s">
        <v>565</v>
      </c>
      <c r="C831" s="61" t="s">
        <v>570</v>
      </c>
      <c r="D831" s="63"/>
      <c r="E831" s="63"/>
      <c r="F831" s="311"/>
      <c r="G831" s="301">
        <f>'Mangalore Coal'!J7</f>
        <v>762.19899999999996</v>
      </c>
      <c r="H831" s="301">
        <f>'Mangalore Coal'!K7</f>
        <v>1025.9839999999999</v>
      </c>
      <c r="I831" s="301">
        <f>'Mangalore Coal'!L7</f>
        <v>1436.2919999999999</v>
      </c>
      <c r="J831" s="301">
        <f>'Mangalore Coal'!M7</f>
        <v>1641.164</v>
      </c>
      <c r="K831" s="301">
        <f>'Mangalore Coal'!N7</f>
        <v>2185.163</v>
      </c>
      <c r="L831" s="302">
        <f t="shared" ref="L831:P831" ca="1" si="856">L832*L845</f>
        <v>2283.4953350000001</v>
      </c>
      <c r="M831" s="302">
        <f t="shared" ca="1" si="856"/>
        <v>2517.5536068375004</v>
      </c>
      <c r="N831" s="302">
        <f t="shared" ca="1" si="856"/>
        <v>2775.6028515383446</v>
      </c>
      <c r="O831" s="302">
        <f t="shared" ca="1" si="856"/>
        <v>3060.102143821025</v>
      </c>
      <c r="P831" s="302">
        <f t="shared" ca="1" si="856"/>
        <v>3373.7626135626806</v>
      </c>
      <c r="S831" s="545" t="str">
        <f>IF(ISERROR((J831/D831)^(1/6)-1)," ",(J831/D831)^(1/6)-1)</f>
        <v xml:space="preserve"> </v>
      </c>
      <c r="T831" s="545">
        <f ca="1">IF(ISERROR((P831/J831)^(1/6)-1)," ",(P831/J831)^(1/6)-1)</f>
        <v>0.12761390646775173</v>
      </c>
    </row>
    <row r="832" spans="2:20" ht="12.6" customHeight="1" x14ac:dyDescent="0.2">
      <c r="B832" s="59" t="s">
        <v>474</v>
      </c>
      <c r="C832" s="61" t="s">
        <v>476</v>
      </c>
      <c r="D832" s="57"/>
      <c r="E832" s="57"/>
      <c r="F832" s="57"/>
      <c r="G832" s="57">
        <f>G831/G845</f>
        <v>747.25392156862745</v>
      </c>
      <c r="H832" s="57">
        <f>H831/H845</f>
        <v>270.64380611184657</v>
      </c>
      <c r="I832" s="57">
        <f>I831/I845</f>
        <v>322.47238437359675</v>
      </c>
      <c r="J832" s="57">
        <f>J831/J845</f>
        <v>344.05953878406712</v>
      </c>
      <c r="K832" s="57">
        <f>K831/K845</f>
        <v>346.85126984126987</v>
      </c>
      <c r="L832" s="303">
        <f t="shared" ref="L832:P832" si="857">K832*(1+L833)</f>
        <v>364.19383333333337</v>
      </c>
      <c r="M832" s="303">
        <f t="shared" si="857"/>
        <v>382.40352500000006</v>
      </c>
      <c r="N832" s="303">
        <f t="shared" si="857"/>
        <v>401.5237012500001</v>
      </c>
      <c r="O832" s="303">
        <f t="shared" si="857"/>
        <v>421.59988631250013</v>
      </c>
      <c r="P832" s="303">
        <f t="shared" si="857"/>
        <v>442.67988062812515</v>
      </c>
      <c r="S832" s="545" t="str">
        <f>IF(ISERROR((J832/D832)^(1/6)-1)," ",(J832/D832)^(1/6)-1)</f>
        <v xml:space="preserve"> </v>
      </c>
      <c r="T832" s="545">
        <f>IF(ISERROR((P832/J832)^(1/6)-1)," ",(P832/J832)^(1/6)-1)</f>
        <v>4.2900070675822466E-2</v>
      </c>
    </row>
    <row r="833" spans="2:20" ht="12.6" customHeight="1" x14ac:dyDescent="0.2">
      <c r="B833" s="322" t="s">
        <v>227</v>
      </c>
      <c r="C833" s="323" t="s">
        <v>477</v>
      </c>
      <c r="D833" s="58"/>
      <c r="E833" s="58"/>
      <c r="F833" s="339"/>
      <c r="G833" s="330"/>
      <c r="H833" s="330">
        <f>H832/G832-1</f>
        <v>-0.63781547570374209</v>
      </c>
      <c r="I833" s="330">
        <f>I832/H832-1</f>
        <v>0.19150106927010713</v>
      </c>
      <c r="J833" s="330">
        <f>J832/I832-1</f>
        <v>6.6942645189303374E-2</v>
      </c>
      <c r="K833" s="330">
        <f>K832/J832-1</f>
        <v>8.1140928894718467E-3</v>
      </c>
      <c r="L833" s="354">
        <v>0.05</v>
      </c>
      <c r="M833" s="354">
        <v>0.05</v>
      </c>
      <c r="N833" s="354">
        <v>0.05</v>
      </c>
      <c r="O833" s="354">
        <v>0.05</v>
      </c>
      <c r="P833" s="354">
        <v>0.05</v>
      </c>
      <c r="S833" s="352"/>
      <c r="T833" s="352"/>
    </row>
    <row r="834" spans="2:20" ht="12.6" customHeight="1" x14ac:dyDescent="0.2">
      <c r="B834" s="59"/>
      <c r="C834" s="61"/>
      <c r="D834" s="57"/>
      <c r="E834" s="57"/>
      <c r="F834" s="288"/>
      <c r="G834" s="57"/>
      <c r="H834" s="57"/>
      <c r="I834" s="57"/>
      <c r="J834" s="57"/>
      <c r="K834" s="57"/>
      <c r="L834" s="57"/>
      <c r="M834" s="68"/>
      <c r="N834" s="68"/>
      <c r="O834" s="68"/>
      <c r="P834" s="68"/>
    </row>
    <row r="835" spans="2:20" ht="12.6" customHeight="1" x14ac:dyDescent="0.2">
      <c r="B835" s="72" t="s">
        <v>303</v>
      </c>
      <c r="C835" s="61" t="s">
        <v>4</v>
      </c>
      <c r="D835" s="57"/>
      <c r="E835" s="57"/>
      <c r="F835" s="288"/>
      <c r="G835" s="288"/>
      <c r="H835" s="288">
        <f t="shared" ref="H835:P835" si="858">H95</f>
        <v>6.7</v>
      </c>
      <c r="I835" s="288">
        <f t="shared" si="858"/>
        <v>6.7</v>
      </c>
      <c r="J835" s="288">
        <f t="shared" si="858"/>
        <v>6.7</v>
      </c>
      <c r="K835" s="288">
        <f t="shared" ref="K835" si="859">K95</f>
        <v>8.1</v>
      </c>
      <c r="L835" s="288">
        <f t="shared" si="858"/>
        <v>8.1</v>
      </c>
      <c r="M835" s="68">
        <f t="shared" si="858"/>
        <v>8.1</v>
      </c>
      <c r="N835" s="68">
        <f t="shared" si="858"/>
        <v>8.1</v>
      </c>
      <c r="O835" s="68">
        <f t="shared" si="858"/>
        <v>8.1</v>
      </c>
      <c r="P835" s="68">
        <f t="shared" si="858"/>
        <v>8.1</v>
      </c>
      <c r="S835" s="545" t="str">
        <f>IF(ISERROR((J835/D835)^(1/6)-1)," ",(J835/D835)^(1/6)-1)</f>
        <v xml:space="preserve"> </v>
      </c>
      <c r="T835" s="545">
        <f>IF(ISERROR((P835/J835)^(1/6)-1)," ",(P835/J835)^(1/6)-1)</f>
        <v>3.2131508041483459E-2</v>
      </c>
    </row>
    <row r="836" spans="2:20" ht="12.6" customHeight="1" x14ac:dyDescent="0.2">
      <c r="B836" s="202" t="s">
        <v>555</v>
      </c>
      <c r="C836" s="326" t="s">
        <v>4</v>
      </c>
      <c r="D836" s="58"/>
      <c r="E836" s="58"/>
      <c r="F836" s="330"/>
      <c r="G836" s="330"/>
      <c r="H836" s="330">
        <f t="shared" ref="H836:P836" si="860">H845/H835</f>
        <v>0.56580618820895523</v>
      </c>
      <c r="I836" s="330">
        <f t="shared" si="860"/>
        <v>0.66477611940298498</v>
      </c>
      <c r="J836" s="330">
        <f t="shared" si="860"/>
        <v>0.71194029850746265</v>
      </c>
      <c r="K836" s="330">
        <f t="shared" ref="K836" si="861">K845/K835</f>
        <v>0.77777777777777779</v>
      </c>
      <c r="L836" s="330">
        <f t="shared" ca="1" si="860"/>
        <v>0.77407407407407403</v>
      </c>
      <c r="M836" s="324">
        <f t="shared" ca="1" si="860"/>
        <v>0.81277777777777782</v>
      </c>
      <c r="N836" s="324">
        <f t="shared" ca="1" si="860"/>
        <v>0.85341666666666671</v>
      </c>
      <c r="O836" s="324">
        <f t="shared" ca="1" si="860"/>
        <v>0.89608750000000004</v>
      </c>
      <c r="P836" s="324">
        <f t="shared" ca="1" si="860"/>
        <v>0.94089187500000016</v>
      </c>
      <c r="S836" s="352"/>
      <c r="T836" s="352"/>
    </row>
    <row r="837" spans="2:20" ht="12.6" customHeight="1" x14ac:dyDescent="0.2">
      <c r="B837" s="59"/>
      <c r="C837" s="61"/>
      <c r="D837" s="57"/>
      <c r="E837" s="57"/>
      <c r="F837" s="288"/>
      <c r="G837" s="57"/>
      <c r="H837" s="57"/>
      <c r="I837" s="57"/>
      <c r="J837" s="57"/>
      <c r="K837" s="57"/>
      <c r="L837" s="57"/>
      <c r="M837" s="68"/>
      <c r="N837" s="68"/>
      <c r="O837" s="68"/>
      <c r="P837" s="68"/>
    </row>
    <row r="838" spans="2:20" ht="12.6" customHeight="1" x14ac:dyDescent="0.2">
      <c r="B838" s="72" t="s">
        <v>489</v>
      </c>
      <c r="C838" s="61"/>
      <c r="D838" s="57"/>
      <c r="E838" s="57"/>
      <c r="F838" s="288"/>
      <c r="G838" s="57"/>
      <c r="H838" s="57"/>
      <c r="I838" s="57"/>
      <c r="J838" s="57"/>
      <c r="K838" s="57"/>
      <c r="L838" s="57"/>
      <c r="M838" s="68"/>
      <c r="N838" s="68"/>
      <c r="O838" s="68"/>
      <c r="P838" s="68"/>
    </row>
    <row r="839" spans="2:20" ht="12.6" customHeight="1" x14ac:dyDescent="0.2">
      <c r="B839" s="56" t="s">
        <v>279</v>
      </c>
      <c r="C839" s="61"/>
      <c r="D839" s="288"/>
      <c r="E839" s="288"/>
      <c r="F839" s="288"/>
      <c r="G839" s="288">
        <v>0</v>
      </c>
      <c r="H839" s="288">
        <v>0</v>
      </c>
      <c r="I839" s="288">
        <v>0</v>
      </c>
      <c r="J839" s="288">
        <v>0</v>
      </c>
      <c r="K839" s="288">
        <f>$K$845*J857</f>
        <v>0</v>
      </c>
      <c r="L839" s="288">
        <f t="shared" ref="L839:P839" ca="1" si="862">K839*(1+L848)</f>
        <v>0</v>
      </c>
      <c r="M839" s="303">
        <f t="shared" ca="1" si="862"/>
        <v>0</v>
      </c>
      <c r="N839" s="303">
        <f t="shared" ca="1" si="862"/>
        <v>0</v>
      </c>
      <c r="O839" s="303">
        <f t="shared" ca="1" si="862"/>
        <v>0</v>
      </c>
      <c r="P839" s="303">
        <f t="shared" ca="1" si="862"/>
        <v>0</v>
      </c>
      <c r="S839" s="545" t="str">
        <f t="shared" ref="S839:S845" si="863">IF(ISERROR((J839/D839)^(1/6)-1)," ",(J839/D839)^(1/6)-1)</f>
        <v xml:space="preserve"> </v>
      </c>
      <c r="T839" s="545" t="str">
        <f t="shared" ref="T839:T845" ca="1" si="864">IF(ISERROR((P839/J839)^(1/6)-1)," ",(P839/J839)^(1/6)-1)</f>
        <v xml:space="preserve"> </v>
      </c>
    </row>
    <row r="840" spans="2:20" ht="12.6" customHeight="1" x14ac:dyDescent="0.2">
      <c r="B840" s="56" t="s">
        <v>280</v>
      </c>
      <c r="C840" s="61"/>
      <c r="D840" s="288"/>
      <c r="E840" s="288"/>
      <c r="F840" s="288"/>
      <c r="G840" s="288">
        <v>1.02</v>
      </c>
      <c r="H840" s="288">
        <v>3.7909014610000002</v>
      </c>
      <c r="I840" s="288">
        <v>4.4539999999999997</v>
      </c>
      <c r="J840" s="288">
        <v>4.7699999999999996</v>
      </c>
      <c r="K840" s="288">
        <f t="shared" ref="K840:K844" si="865">$K$845*J858</f>
        <v>6.3</v>
      </c>
      <c r="L840" s="288">
        <v>6.27</v>
      </c>
      <c r="M840" s="303">
        <f t="shared" ref="M840:P840" si="866">L840*(1+M849)</f>
        <v>6.5834999999999999</v>
      </c>
      <c r="N840" s="303">
        <f t="shared" si="866"/>
        <v>6.9126750000000001</v>
      </c>
      <c r="O840" s="303">
        <f t="shared" si="866"/>
        <v>7.2583087500000003</v>
      </c>
      <c r="P840" s="303">
        <f t="shared" si="866"/>
        <v>7.6212241875000011</v>
      </c>
      <c r="S840" s="545" t="str">
        <f t="shared" si="863"/>
        <v xml:space="preserve"> </v>
      </c>
      <c r="T840" s="545">
        <f t="shared" si="864"/>
        <v>8.122910159267005E-2</v>
      </c>
    </row>
    <row r="841" spans="2:20" ht="12.6" customHeight="1" x14ac:dyDescent="0.2">
      <c r="B841" s="56" t="s">
        <v>281</v>
      </c>
      <c r="C841" s="61"/>
      <c r="D841" s="288"/>
      <c r="E841" s="288"/>
      <c r="F841" s="288"/>
      <c r="G841" s="288">
        <v>0</v>
      </c>
      <c r="H841" s="288">
        <v>0</v>
      </c>
      <c r="I841" s="288">
        <v>0</v>
      </c>
      <c r="J841" s="288">
        <v>0</v>
      </c>
      <c r="K841" s="288">
        <f t="shared" si="865"/>
        <v>0</v>
      </c>
      <c r="L841" s="288">
        <f t="shared" ref="L841:P841" ca="1" si="867">K841*(1+L850)</f>
        <v>0</v>
      </c>
      <c r="M841" s="303">
        <f t="shared" ca="1" si="867"/>
        <v>0</v>
      </c>
      <c r="N841" s="303">
        <f t="shared" ca="1" si="867"/>
        <v>0</v>
      </c>
      <c r="O841" s="303">
        <f t="shared" ca="1" si="867"/>
        <v>0</v>
      </c>
      <c r="P841" s="303">
        <f t="shared" ca="1" si="867"/>
        <v>0</v>
      </c>
      <c r="S841" s="545" t="str">
        <f t="shared" si="863"/>
        <v xml:space="preserve"> </v>
      </c>
      <c r="T841" s="545" t="str">
        <f t="shared" ca="1" si="864"/>
        <v xml:space="preserve"> </v>
      </c>
    </row>
    <row r="842" spans="2:20" ht="12.6" customHeight="1" x14ac:dyDescent="0.2">
      <c r="B842" s="56" t="s">
        <v>282</v>
      </c>
      <c r="C842" s="61"/>
      <c r="D842" s="288"/>
      <c r="E842" s="288"/>
      <c r="F842" s="288"/>
      <c r="G842" s="288">
        <v>0</v>
      </c>
      <c r="H842" s="288">
        <v>0</v>
      </c>
      <c r="I842" s="288">
        <v>0</v>
      </c>
      <c r="J842" s="288">
        <v>0</v>
      </c>
      <c r="K842" s="288">
        <f t="shared" si="865"/>
        <v>0</v>
      </c>
      <c r="L842" s="288">
        <f t="shared" ref="L842:P842" ca="1" si="868">K842*(1+L851)</f>
        <v>0</v>
      </c>
      <c r="M842" s="303">
        <f t="shared" ca="1" si="868"/>
        <v>0</v>
      </c>
      <c r="N842" s="303">
        <f t="shared" ca="1" si="868"/>
        <v>0</v>
      </c>
      <c r="O842" s="303">
        <f t="shared" ca="1" si="868"/>
        <v>0</v>
      </c>
      <c r="P842" s="303">
        <f t="shared" ca="1" si="868"/>
        <v>0</v>
      </c>
      <c r="S842" s="545" t="str">
        <f t="shared" si="863"/>
        <v xml:space="preserve"> </v>
      </c>
      <c r="T842" s="545" t="str">
        <f t="shared" ca="1" si="864"/>
        <v xml:space="preserve"> </v>
      </c>
    </row>
    <row r="843" spans="2:20" ht="12.6" customHeight="1" x14ac:dyDescent="0.2">
      <c r="B843" s="56" t="s">
        <v>283</v>
      </c>
      <c r="C843" s="61"/>
      <c r="D843" s="288"/>
      <c r="E843" s="288"/>
      <c r="F843" s="288"/>
      <c r="G843" s="288">
        <v>0</v>
      </c>
      <c r="H843" s="288">
        <v>0</v>
      </c>
      <c r="I843" s="288">
        <v>0</v>
      </c>
      <c r="J843" s="288">
        <v>0</v>
      </c>
      <c r="K843" s="288">
        <f t="shared" si="865"/>
        <v>0</v>
      </c>
      <c r="L843" s="288">
        <f t="shared" ref="L843:P843" ca="1" si="869">K843*(1+L852)</f>
        <v>0</v>
      </c>
      <c r="M843" s="303">
        <f t="shared" ca="1" si="869"/>
        <v>0</v>
      </c>
      <c r="N843" s="303">
        <f t="shared" ca="1" si="869"/>
        <v>0</v>
      </c>
      <c r="O843" s="303">
        <f t="shared" ca="1" si="869"/>
        <v>0</v>
      </c>
      <c r="P843" s="303">
        <f t="shared" ca="1" si="869"/>
        <v>0</v>
      </c>
      <c r="S843" s="545" t="str">
        <f t="shared" si="863"/>
        <v xml:space="preserve"> </v>
      </c>
      <c r="T843" s="545" t="str">
        <f t="shared" ca="1" si="864"/>
        <v xml:space="preserve"> </v>
      </c>
    </row>
    <row r="844" spans="2:20" ht="12.6" customHeight="1" x14ac:dyDescent="0.2">
      <c r="B844" s="56" t="s">
        <v>284</v>
      </c>
      <c r="C844" s="61"/>
      <c r="D844" s="288"/>
      <c r="E844" s="288"/>
      <c r="F844" s="288"/>
      <c r="G844" s="288">
        <v>0</v>
      </c>
      <c r="H844" s="288">
        <v>0</v>
      </c>
      <c r="I844" s="288">
        <v>0</v>
      </c>
      <c r="J844" s="288">
        <v>0</v>
      </c>
      <c r="K844" s="288">
        <f t="shared" si="865"/>
        <v>0</v>
      </c>
      <c r="L844" s="288">
        <f t="shared" ref="L844:P844" ca="1" si="870">K844*(1+L853)</f>
        <v>0</v>
      </c>
      <c r="M844" s="303">
        <f t="shared" ca="1" si="870"/>
        <v>0</v>
      </c>
      <c r="N844" s="303">
        <f t="shared" ca="1" si="870"/>
        <v>0</v>
      </c>
      <c r="O844" s="303">
        <f t="shared" ca="1" si="870"/>
        <v>0</v>
      </c>
      <c r="P844" s="303">
        <f t="shared" ca="1" si="870"/>
        <v>0</v>
      </c>
      <c r="S844" s="545" t="str">
        <f t="shared" si="863"/>
        <v xml:space="preserve"> </v>
      </c>
      <c r="T844" s="545" t="str">
        <f t="shared" ca="1" si="864"/>
        <v xml:space="preserve"> </v>
      </c>
    </row>
    <row r="845" spans="2:20" ht="12.6" customHeight="1" x14ac:dyDescent="0.2">
      <c r="B845" s="72" t="s">
        <v>551</v>
      </c>
      <c r="C845" s="95"/>
      <c r="D845" s="63"/>
      <c r="E845" s="63"/>
      <c r="F845" s="63"/>
      <c r="G845" s="63">
        <f t="shared" ref="G845:P845" si="871">SUM(G839:G844)</f>
        <v>1.02</v>
      </c>
      <c r="H845" s="63">
        <f t="shared" si="871"/>
        <v>3.7909014610000002</v>
      </c>
      <c r="I845" s="63">
        <f t="shared" si="871"/>
        <v>4.4539999999999997</v>
      </c>
      <c r="J845" s="63">
        <f t="shared" si="871"/>
        <v>4.7699999999999996</v>
      </c>
      <c r="K845" s="63">
        <f>K11</f>
        <v>6.3</v>
      </c>
      <c r="L845" s="63">
        <f t="shared" ca="1" si="871"/>
        <v>6.27</v>
      </c>
      <c r="M845" s="64">
        <f t="shared" ca="1" si="871"/>
        <v>6.5834999999999999</v>
      </c>
      <c r="N845" s="64">
        <f t="shared" ca="1" si="871"/>
        <v>6.9126750000000001</v>
      </c>
      <c r="O845" s="64">
        <f t="shared" ca="1" si="871"/>
        <v>7.2583087500000003</v>
      </c>
      <c r="P845" s="64">
        <f t="shared" ca="1" si="871"/>
        <v>7.6212241875000011</v>
      </c>
      <c r="S845" s="367" t="str">
        <f t="shared" si="863"/>
        <v xml:space="preserve"> </v>
      </c>
      <c r="T845" s="545">
        <f t="shared" ca="1" si="864"/>
        <v>8.122910159267005E-2</v>
      </c>
    </row>
    <row r="846" spans="2:20" ht="12.6" customHeight="1" x14ac:dyDescent="0.2">
      <c r="B846" s="72"/>
      <c r="C846" s="95"/>
      <c r="D846" s="63"/>
      <c r="E846" s="63"/>
      <c r="F846" s="63"/>
      <c r="G846" s="63"/>
      <c r="H846" s="63"/>
      <c r="I846" s="63"/>
      <c r="J846" s="63"/>
      <c r="K846" s="63"/>
      <c r="L846" s="63"/>
      <c r="M846" s="64"/>
      <c r="N846" s="64"/>
      <c r="O846" s="64"/>
      <c r="P846" s="64"/>
      <c r="Q846" s="1175"/>
    </row>
    <row r="847" spans="2:20" ht="12.6" customHeight="1" x14ac:dyDescent="0.2">
      <c r="B847" s="116" t="s">
        <v>227</v>
      </c>
      <c r="C847" s="61"/>
      <c r="D847" s="63"/>
      <c r="E847" s="63"/>
      <c r="F847" s="63"/>
      <c r="G847" s="63"/>
      <c r="H847" s="63"/>
      <c r="I847" s="63"/>
      <c r="J847" s="63"/>
      <c r="K847" s="63"/>
      <c r="L847" s="63"/>
      <c r="M847" s="68"/>
      <c r="N847" s="68"/>
      <c r="O847" s="68"/>
      <c r="P847" s="68"/>
    </row>
    <row r="848" spans="2:20" ht="12.6" customHeight="1" x14ac:dyDescent="0.2">
      <c r="B848" s="322" t="s">
        <v>279</v>
      </c>
      <c r="C848" s="355"/>
      <c r="D848" s="113"/>
      <c r="E848" s="113"/>
      <c r="F848" s="113"/>
      <c r="G848" s="113"/>
      <c r="H848" s="113">
        <f t="shared" ref="H848:L854" si="872">IFERROR(H839/G839-1,0)</f>
        <v>0</v>
      </c>
      <c r="I848" s="113">
        <f t="shared" si="872"/>
        <v>0</v>
      </c>
      <c r="J848" s="113">
        <f t="shared" si="872"/>
        <v>0</v>
      </c>
      <c r="K848" s="113">
        <f t="shared" si="872"/>
        <v>0</v>
      </c>
      <c r="L848" s="113">
        <f t="shared" ca="1" si="872"/>
        <v>0</v>
      </c>
      <c r="M848" s="356">
        <v>0</v>
      </c>
      <c r="N848" s="356">
        <v>0</v>
      </c>
      <c r="O848" s="356">
        <v>0</v>
      </c>
      <c r="P848" s="356">
        <v>0</v>
      </c>
    </row>
    <row r="849" spans="2:16" ht="12.6" customHeight="1" x14ac:dyDescent="0.2">
      <c r="B849" s="322" t="s">
        <v>280</v>
      </c>
      <c r="C849" s="355"/>
      <c r="D849" s="113"/>
      <c r="E849" s="113"/>
      <c r="F849" s="113"/>
      <c r="G849" s="113"/>
      <c r="H849" s="113">
        <f t="shared" si="872"/>
        <v>2.7165700598039217</v>
      </c>
      <c r="I849" s="113">
        <f t="shared" si="872"/>
        <v>0.17491843188798706</v>
      </c>
      <c r="J849" s="113">
        <f t="shared" si="872"/>
        <v>7.0947462954647378E-2</v>
      </c>
      <c r="K849" s="113">
        <f t="shared" si="872"/>
        <v>0.32075471698113223</v>
      </c>
      <c r="L849" s="113">
        <f t="shared" si="872"/>
        <v>-4.761904761904856E-3</v>
      </c>
      <c r="M849" s="356">
        <v>0.05</v>
      </c>
      <c r="N849" s="356">
        <v>0.05</v>
      </c>
      <c r="O849" s="356">
        <v>0.05</v>
      </c>
      <c r="P849" s="356">
        <v>0.05</v>
      </c>
    </row>
    <row r="850" spans="2:16" ht="12.6" customHeight="1" x14ac:dyDescent="0.2">
      <c r="B850" s="322" t="s">
        <v>281</v>
      </c>
      <c r="C850" s="355"/>
      <c r="D850" s="113"/>
      <c r="E850" s="113"/>
      <c r="F850" s="113"/>
      <c r="G850" s="113"/>
      <c r="H850" s="113">
        <f t="shared" si="872"/>
        <v>0</v>
      </c>
      <c r="I850" s="113">
        <f t="shared" si="872"/>
        <v>0</v>
      </c>
      <c r="J850" s="113">
        <f t="shared" si="872"/>
        <v>0</v>
      </c>
      <c r="K850" s="113">
        <f t="shared" si="872"/>
        <v>0</v>
      </c>
      <c r="L850" s="113">
        <f t="shared" ca="1" si="872"/>
        <v>0</v>
      </c>
      <c r="M850" s="356">
        <v>0</v>
      </c>
      <c r="N850" s="356">
        <v>0</v>
      </c>
      <c r="O850" s="356">
        <v>0</v>
      </c>
      <c r="P850" s="356">
        <v>0</v>
      </c>
    </row>
    <row r="851" spans="2:16" ht="12.6" customHeight="1" x14ac:dyDescent="0.2">
      <c r="B851" s="322" t="s">
        <v>282</v>
      </c>
      <c r="C851" s="355"/>
      <c r="D851" s="113"/>
      <c r="E851" s="113"/>
      <c r="F851" s="113"/>
      <c r="G851" s="113"/>
      <c r="H851" s="113">
        <f t="shared" si="872"/>
        <v>0</v>
      </c>
      <c r="I851" s="113">
        <f t="shared" si="872"/>
        <v>0</v>
      </c>
      <c r="J851" s="113">
        <f t="shared" si="872"/>
        <v>0</v>
      </c>
      <c r="K851" s="113">
        <f t="shared" si="872"/>
        <v>0</v>
      </c>
      <c r="L851" s="113">
        <f t="shared" ca="1" si="872"/>
        <v>0</v>
      </c>
      <c r="M851" s="356">
        <v>0</v>
      </c>
      <c r="N851" s="356">
        <v>0</v>
      </c>
      <c r="O851" s="356">
        <v>0</v>
      </c>
      <c r="P851" s="356">
        <v>0</v>
      </c>
    </row>
    <row r="852" spans="2:16" ht="12.6" customHeight="1" x14ac:dyDescent="0.2">
      <c r="B852" s="322" t="s">
        <v>283</v>
      </c>
      <c r="C852" s="355"/>
      <c r="D852" s="113"/>
      <c r="E852" s="113"/>
      <c r="F852" s="113"/>
      <c r="G852" s="113"/>
      <c r="H852" s="113">
        <f t="shared" si="872"/>
        <v>0</v>
      </c>
      <c r="I852" s="113">
        <f t="shared" si="872"/>
        <v>0</v>
      </c>
      <c r="J852" s="113">
        <f t="shared" si="872"/>
        <v>0</v>
      </c>
      <c r="K852" s="113">
        <f t="shared" si="872"/>
        <v>0</v>
      </c>
      <c r="L852" s="113">
        <f t="shared" ca="1" si="872"/>
        <v>0</v>
      </c>
      <c r="M852" s="356">
        <v>0</v>
      </c>
      <c r="N852" s="356">
        <v>0</v>
      </c>
      <c r="O852" s="356">
        <v>0</v>
      </c>
      <c r="P852" s="356">
        <v>0</v>
      </c>
    </row>
    <row r="853" spans="2:16" ht="12.6" customHeight="1" x14ac:dyDescent="0.2">
      <c r="B853" s="322" t="s">
        <v>284</v>
      </c>
      <c r="C853" s="355"/>
      <c r="D853" s="113"/>
      <c r="E853" s="113"/>
      <c r="F853" s="113"/>
      <c r="G853" s="113"/>
      <c r="H853" s="113">
        <f t="shared" si="872"/>
        <v>0</v>
      </c>
      <c r="I853" s="113">
        <f t="shared" si="872"/>
        <v>0</v>
      </c>
      <c r="J853" s="113">
        <f t="shared" si="872"/>
        <v>0</v>
      </c>
      <c r="K853" s="113">
        <f t="shared" si="872"/>
        <v>0</v>
      </c>
      <c r="L853" s="113">
        <f t="shared" ca="1" si="872"/>
        <v>0</v>
      </c>
      <c r="M853" s="356">
        <v>0</v>
      </c>
      <c r="N853" s="356">
        <v>0</v>
      </c>
      <c r="O853" s="356">
        <v>0</v>
      </c>
      <c r="P853" s="356">
        <v>0</v>
      </c>
    </row>
    <row r="854" spans="2:16" ht="12.6" customHeight="1" x14ac:dyDescent="0.2">
      <c r="B854" s="331" t="s">
        <v>551</v>
      </c>
      <c r="C854" s="358"/>
      <c r="D854" s="117"/>
      <c r="E854" s="117"/>
      <c r="F854" s="117"/>
      <c r="G854" s="117"/>
      <c r="H854" s="117">
        <f t="shared" si="872"/>
        <v>2.7165700598039217</v>
      </c>
      <c r="I854" s="117">
        <f t="shared" si="872"/>
        <v>0.17491843188798706</v>
      </c>
      <c r="J854" s="117">
        <f t="shared" si="872"/>
        <v>7.0947462954647378E-2</v>
      </c>
      <c r="K854" s="117">
        <f t="shared" si="872"/>
        <v>0.32075471698113223</v>
      </c>
      <c r="L854" s="117">
        <f t="shared" ca="1" si="872"/>
        <v>-4.761904761904856E-3</v>
      </c>
      <c r="M854" s="204">
        <f t="shared" ref="M854:P854" ca="1" si="873">IFERROR(M845/L845-1,0)</f>
        <v>5.0000000000000044E-2</v>
      </c>
      <c r="N854" s="204">
        <f t="shared" ca="1" si="873"/>
        <v>5.0000000000000044E-2</v>
      </c>
      <c r="O854" s="204">
        <f t="shared" ca="1" si="873"/>
        <v>5.0000000000000044E-2</v>
      </c>
      <c r="P854" s="204">
        <f t="shared" ca="1" si="873"/>
        <v>5.0000000000000044E-2</v>
      </c>
    </row>
    <row r="855" spans="2:16" ht="12.6" customHeight="1" x14ac:dyDescent="0.2">
      <c r="B855" s="201"/>
      <c r="C855" s="326"/>
      <c r="D855" s="335"/>
      <c r="E855" s="335"/>
      <c r="F855" s="335"/>
      <c r="G855" s="335"/>
      <c r="H855" s="335"/>
      <c r="I855" s="335"/>
      <c r="J855" s="335"/>
      <c r="K855" s="335"/>
      <c r="L855" s="335"/>
      <c r="M855" s="357"/>
      <c r="N855" s="357"/>
      <c r="O855" s="357"/>
      <c r="P855" s="357"/>
    </row>
    <row r="856" spans="2:16" ht="12.6" customHeight="1" x14ac:dyDescent="0.2">
      <c r="B856" s="331" t="s">
        <v>287</v>
      </c>
      <c r="C856" s="326"/>
      <c r="D856" s="335"/>
      <c r="E856" s="335"/>
      <c r="F856" s="335"/>
      <c r="G856" s="335"/>
      <c r="H856" s="335"/>
      <c r="I856" s="335"/>
      <c r="J856" s="335"/>
      <c r="K856" s="335"/>
      <c r="L856" s="335"/>
      <c r="M856" s="357"/>
      <c r="N856" s="357"/>
      <c r="O856" s="357"/>
      <c r="P856" s="357"/>
    </row>
    <row r="857" spans="2:16" ht="12.6" customHeight="1" x14ac:dyDescent="0.2">
      <c r="B857" s="322" t="s">
        <v>279</v>
      </c>
      <c r="C857" s="326"/>
      <c r="D857" s="113"/>
      <c r="E857" s="113"/>
      <c r="F857" s="113"/>
      <c r="G857" s="113"/>
      <c r="H857" s="113">
        <f t="shared" ref="H857:P857" si="874">H839/H$845</f>
        <v>0</v>
      </c>
      <c r="I857" s="113">
        <f t="shared" si="874"/>
        <v>0</v>
      </c>
      <c r="J857" s="113">
        <f t="shared" si="874"/>
        <v>0</v>
      </c>
      <c r="K857" s="113">
        <f t="shared" ref="K857:L857" si="875">K839/K$845</f>
        <v>0</v>
      </c>
      <c r="L857" s="113">
        <f t="shared" ca="1" si="875"/>
        <v>0</v>
      </c>
      <c r="M857" s="197">
        <f t="shared" ca="1" si="874"/>
        <v>0</v>
      </c>
      <c r="N857" s="197">
        <f t="shared" ca="1" si="874"/>
        <v>0</v>
      </c>
      <c r="O857" s="197">
        <f t="shared" ca="1" si="874"/>
        <v>0</v>
      </c>
      <c r="P857" s="197">
        <f t="shared" ca="1" si="874"/>
        <v>0</v>
      </c>
    </row>
    <row r="858" spans="2:16" ht="12.6" customHeight="1" x14ac:dyDescent="0.2">
      <c r="B858" s="322" t="s">
        <v>280</v>
      </c>
      <c r="C858" s="326"/>
      <c r="D858" s="113"/>
      <c r="E858" s="113"/>
      <c r="F858" s="113"/>
      <c r="G858" s="113"/>
      <c r="H858" s="113">
        <f>H840/H$845</f>
        <v>1</v>
      </c>
      <c r="I858" s="113">
        <f>I840/I$845</f>
        <v>1</v>
      </c>
      <c r="J858" s="113">
        <f>J840/J$845</f>
        <v>1</v>
      </c>
      <c r="K858" s="113">
        <f>K840/K$845</f>
        <v>1</v>
      </c>
      <c r="L858" s="113">
        <f ca="1">L840/L$845</f>
        <v>1</v>
      </c>
      <c r="M858" s="197">
        <f t="shared" ref="M858:P858" ca="1" si="876">M840/M$845</f>
        <v>1</v>
      </c>
      <c r="N858" s="197">
        <f t="shared" ca="1" si="876"/>
        <v>1</v>
      </c>
      <c r="O858" s="197">
        <f t="shared" ca="1" si="876"/>
        <v>1</v>
      </c>
      <c r="P858" s="197">
        <f t="shared" ca="1" si="876"/>
        <v>1</v>
      </c>
    </row>
    <row r="859" spans="2:16" ht="12.6" customHeight="1" x14ac:dyDescent="0.2">
      <c r="B859" s="322" t="s">
        <v>281</v>
      </c>
      <c r="C859" s="326"/>
      <c r="D859" s="113"/>
      <c r="E859" s="113"/>
      <c r="F859" s="113"/>
      <c r="G859" s="113"/>
      <c r="H859" s="113">
        <f t="shared" ref="H859:P859" si="877">H841/H$845</f>
        <v>0</v>
      </c>
      <c r="I859" s="113">
        <f t="shared" si="877"/>
        <v>0</v>
      </c>
      <c r="J859" s="113">
        <f t="shared" si="877"/>
        <v>0</v>
      </c>
      <c r="K859" s="113">
        <f t="shared" ref="K859:L859" si="878">K841/K$845</f>
        <v>0</v>
      </c>
      <c r="L859" s="113">
        <f t="shared" ca="1" si="878"/>
        <v>0</v>
      </c>
      <c r="M859" s="197">
        <f t="shared" ca="1" si="877"/>
        <v>0</v>
      </c>
      <c r="N859" s="197">
        <f t="shared" ca="1" si="877"/>
        <v>0</v>
      </c>
      <c r="O859" s="197">
        <f t="shared" ca="1" si="877"/>
        <v>0</v>
      </c>
      <c r="P859" s="197">
        <f t="shared" ca="1" si="877"/>
        <v>0</v>
      </c>
    </row>
    <row r="860" spans="2:16" ht="12.6" customHeight="1" x14ac:dyDescent="0.2">
      <c r="B860" s="322" t="s">
        <v>282</v>
      </c>
      <c r="C860" s="326"/>
      <c r="D860" s="113"/>
      <c r="E860" s="113"/>
      <c r="F860" s="113"/>
      <c r="G860" s="113"/>
      <c r="H860" s="113">
        <f t="shared" ref="H860:P860" si="879">H842/H$845</f>
        <v>0</v>
      </c>
      <c r="I860" s="113">
        <f t="shared" si="879"/>
        <v>0</v>
      </c>
      <c r="J860" s="113">
        <f t="shared" si="879"/>
        <v>0</v>
      </c>
      <c r="K860" s="113">
        <f t="shared" ref="K860:L860" si="880">K842/K$845</f>
        <v>0</v>
      </c>
      <c r="L860" s="113">
        <f t="shared" ca="1" si="880"/>
        <v>0</v>
      </c>
      <c r="M860" s="197">
        <f t="shared" ca="1" si="879"/>
        <v>0</v>
      </c>
      <c r="N860" s="197">
        <f t="shared" ca="1" si="879"/>
        <v>0</v>
      </c>
      <c r="O860" s="197">
        <f t="shared" ca="1" si="879"/>
        <v>0</v>
      </c>
      <c r="P860" s="197">
        <f t="shared" ca="1" si="879"/>
        <v>0</v>
      </c>
    </row>
    <row r="861" spans="2:16" ht="12.6" customHeight="1" x14ac:dyDescent="0.2">
      <c r="B861" s="322" t="s">
        <v>283</v>
      </c>
      <c r="C861" s="326"/>
      <c r="D861" s="113"/>
      <c r="E861" s="113"/>
      <c r="F861" s="113"/>
      <c r="G861" s="113"/>
      <c r="H861" s="113">
        <f t="shared" ref="H861:P861" si="881">H843/H$845</f>
        <v>0</v>
      </c>
      <c r="I861" s="113">
        <f t="shared" si="881"/>
        <v>0</v>
      </c>
      <c r="J861" s="113">
        <f t="shared" si="881"/>
        <v>0</v>
      </c>
      <c r="K861" s="113">
        <f t="shared" ref="K861:L861" si="882">K843/K$845</f>
        <v>0</v>
      </c>
      <c r="L861" s="113">
        <f t="shared" ca="1" si="882"/>
        <v>0</v>
      </c>
      <c r="M861" s="197">
        <f t="shared" ca="1" si="881"/>
        <v>0</v>
      </c>
      <c r="N861" s="197">
        <f t="shared" ca="1" si="881"/>
        <v>0</v>
      </c>
      <c r="O861" s="197">
        <f t="shared" ca="1" si="881"/>
        <v>0</v>
      </c>
      <c r="P861" s="197">
        <f t="shared" ca="1" si="881"/>
        <v>0</v>
      </c>
    </row>
    <row r="862" spans="2:16" ht="12.6" customHeight="1" x14ac:dyDescent="0.2">
      <c r="B862" s="322" t="s">
        <v>284</v>
      </c>
      <c r="C862" s="326"/>
      <c r="D862" s="113"/>
      <c r="E862" s="113"/>
      <c r="F862" s="113"/>
      <c r="G862" s="113"/>
      <c r="H862" s="113">
        <f t="shared" ref="H862:P862" si="883">H844/H$845</f>
        <v>0</v>
      </c>
      <c r="I862" s="113">
        <f t="shared" si="883"/>
        <v>0</v>
      </c>
      <c r="J862" s="113">
        <f t="shared" si="883"/>
        <v>0</v>
      </c>
      <c r="K862" s="113">
        <f t="shared" ref="K862:L862" si="884">K844/K$845</f>
        <v>0</v>
      </c>
      <c r="L862" s="113">
        <f t="shared" ca="1" si="884"/>
        <v>0</v>
      </c>
      <c r="M862" s="197">
        <f t="shared" ca="1" si="883"/>
        <v>0</v>
      </c>
      <c r="N862" s="197">
        <f t="shared" ca="1" si="883"/>
        <v>0</v>
      </c>
      <c r="O862" s="197">
        <f t="shared" ca="1" si="883"/>
        <v>0</v>
      </c>
      <c r="P862" s="197">
        <f t="shared" ca="1" si="883"/>
        <v>0</v>
      </c>
    </row>
    <row r="863" spans="2:16" ht="12.6" customHeight="1" x14ac:dyDescent="0.2">
      <c r="B863" s="359" t="s">
        <v>551</v>
      </c>
      <c r="C863" s="327"/>
      <c r="D863" s="117"/>
      <c r="E863" s="117"/>
      <c r="F863" s="117"/>
      <c r="G863" s="117"/>
      <c r="H863" s="117">
        <f t="shared" ref="H863:P863" si="885">H845/H$845</f>
        <v>1</v>
      </c>
      <c r="I863" s="117">
        <f t="shared" si="885"/>
        <v>1</v>
      </c>
      <c r="J863" s="117">
        <f t="shared" si="885"/>
        <v>1</v>
      </c>
      <c r="K863" s="117">
        <f t="shared" ref="K863:L863" si="886">K845/K$845</f>
        <v>1</v>
      </c>
      <c r="L863" s="117">
        <f t="shared" ca="1" si="886"/>
        <v>1</v>
      </c>
      <c r="M863" s="204">
        <f t="shared" ca="1" si="885"/>
        <v>1</v>
      </c>
      <c r="N863" s="204">
        <f t="shared" ca="1" si="885"/>
        <v>1</v>
      </c>
      <c r="O863" s="204">
        <f t="shared" ca="1" si="885"/>
        <v>1</v>
      </c>
      <c r="P863" s="204">
        <f t="shared" ca="1" si="885"/>
        <v>1</v>
      </c>
    </row>
    <row r="864" spans="2:16" ht="12.6" customHeight="1" x14ac:dyDescent="0.2">
      <c r="B864" s="56"/>
      <c r="C864" s="61"/>
      <c r="D864" s="57"/>
      <c r="E864" s="57"/>
      <c r="F864" s="57"/>
      <c r="G864" s="57"/>
      <c r="H864" s="57"/>
      <c r="I864" s="57"/>
      <c r="J864" s="57"/>
      <c r="K864" s="57"/>
      <c r="L864" s="57"/>
      <c r="M864" s="68"/>
      <c r="N864" s="68"/>
      <c r="O864" s="68"/>
      <c r="P864" s="68"/>
    </row>
    <row r="865" spans="2:20" ht="12.6" customHeight="1" x14ac:dyDescent="0.2">
      <c r="B865" s="56" t="s">
        <v>563</v>
      </c>
      <c r="C865" s="61" t="s">
        <v>566</v>
      </c>
      <c r="D865" s="57"/>
      <c r="E865" s="57"/>
      <c r="F865" s="57"/>
      <c r="G865" s="57"/>
      <c r="H865" s="57"/>
      <c r="I865" s="57"/>
      <c r="J865" s="57">
        <f>J875*J$845</f>
        <v>1.6217999999999999</v>
      </c>
      <c r="K865" s="57">
        <f t="shared" ref="K865:P865" si="887">K867-K866</f>
        <v>2.6460000000000004</v>
      </c>
      <c r="L865" s="68">
        <f t="shared" ca="1" si="887"/>
        <v>2.6334</v>
      </c>
      <c r="M865" s="68">
        <f t="shared" ca="1" si="887"/>
        <v>2.7650700000000001</v>
      </c>
      <c r="N865" s="68">
        <f t="shared" ca="1" si="887"/>
        <v>2.9033234999999999</v>
      </c>
      <c r="O865" s="68">
        <f t="shared" ca="1" si="887"/>
        <v>3.0484896750000008</v>
      </c>
      <c r="P865" s="68">
        <f t="shared" ca="1" si="887"/>
        <v>3.2009141587500007</v>
      </c>
    </row>
    <row r="866" spans="2:20" ht="12.6" customHeight="1" x14ac:dyDescent="0.2">
      <c r="B866" s="56" t="s">
        <v>299</v>
      </c>
      <c r="C866" s="61" t="s">
        <v>566</v>
      </c>
      <c r="D866" s="57"/>
      <c r="E866" s="57"/>
      <c r="F866" s="57"/>
      <c r="G866" s="57"/>
      <c r="H866" s="57"/>
      <c r="I866" s="57"/>
      <c r="J866" s="57">
        <f>J876*J$845</f>
        <v>3.1481999999999997</v>
      </c>
      <c r="K866" s="57">
        <f t="shared" ref="K866:P866" si="888">K867*K876</f>
        <v>3.6539999999999995</v>
      </c>
      <c r="L866" s="68">
        <f t="shared" ca="1" si="888"/>
        <v>3.6365999999999996</v>
      </c>
      <c r="M866" s="68">
        <f t="shared" ca="1" si="888"/>
        <v>3.8184299999999998</v>
      </c>
      <c r="N866" s="68">
        <f t="shared" ca="1" si="888"/>
        <v>4.0093515000000002</v>
      </c>
      <c r="O866" s="68">
        <f t="shared" ca="1" si="888"/>
        <v>4.2098190749999995</v>
      </c>
      <c r="P866" s="68">
        <f t="shared" ca="1" si="888"/>
        <v>4.4203100287500003</v>
      </c>
    </row>
    <row r="867" spans="2:20" ht="12.6" customHeight="1" x14ac:dyDescent="0.2">
      <c r="B867" s="72" t="s">
        <v>551</v>
      </c>
      <c r="C867" s="61"/>
      <c r="D867" s="63"/>
      <c r="E867" s="63"/>
      <c r="F867" s="63"/>
      <c r="G867" s="63"/>
      <c r="H867" s="63"/>
      <c r="I867" s="63"/>
      <c r="J867" s="63">
        <f>SUM(J865:J866)</f>
        <v>4.7699999999999996</v>
      </c>
      <c r="K867" s="63">
        <f t="shared" ref="K867:P867" si="889">K845</f>
        <v>6.3</v>
      </c>
      <c r="L867" s="64">
        <f t="shared" ca="1" si="889"/>
        <v>6.27</v>
      </c>
      <c r="M867" s="64">
        <f t="shared" ca="1" si="889"/>
        <v>6.5834999999999999</v>
      </c>
      <c r="N867" s="64">
        <f t="shared" ca="1" si="889"/>
        <v>6.9126750000000001</v>
      </c>
      <c r="O867" s="64">
        <f t="shared" ca="1" si="889"/>
        <v>7.2583087500000003</v>
      </c>
      <c r="P867" s="64">
        <f t="shared" ca="1" si="889"/>
        <v>7.6212241875000011</v>
      </c>
    </row>
    <row r="868" spans="2:20" ht="12.6" customHeight="1" x14ac:dyDescent="0.2">
      <c r="B868" s="72"/>
      <c r="C868" s="61"/>
      <c r="D868" s="63"/>
      <c r="E868" s="63"/>
      <c r="F868" s="63"/>
      <c r="G868" s="63"/>
      <c r="H868" s="63"/>
      <c r="I868" s="63"/>
      <c r="J868" s="63"/>
      <c r="K868" s="63"/>
      <c r="L868" s="64"/>
      <c r="M868" s="64"/>
      <c r="N868" s="64"/>
      <c r="O868" s="64"/>
      <c r="P868" s="64"/>
    </row>
    <row r="869" spans="2:20" ht="12.6" customHeight="1" x14ac:dyDescent="0.2">
      <c r="B869" s="331" t="s">
        <v>227</v>
      </c>
      <c r="C869" s="326"/>
      <c r="D869" s="335"/>
      <c r="E869" s="335"/>
      <c r="F869" s="335"/>
      <c r="G869" s="335"/>
      <c r="H869" s="335"/>
      <c r="I869" s="335"/>
      <c r="J869" s="335"/>
      <c r="K869" s="335"/>
      <c r="L869" s="336"/>
      <c r="M869" s="336"/>
      <c r="N869" s="336"/>
      <c r="O869" s="336"/>
      <c r="P869" s="336"/>
    </row>
    <row r="870" spans="2:20" ht="12.6" customHeight="1" x14ac:dyDescent="0.2">
      <c r="B870" s="322" t="s">
        <v>563</v>
      </c>
      <c r="C870" s="326"/>
      <c r="D870" s="113"/>
      <c r="E870" s="113"/>
      <c r="F870" s="113"/>
      <c r="G870" s="113"/>
      <c r="H870" s="113"/>
      <c r="I870" s="113"/>
      <c r="J870" s="113" t="str">
        <f>IFERROR(J865/I865-1,"--")</f>
        <v>--</v>
      </c>
      <c r="K870" s="113">
        <f t="shared" ref="K870:P870" si="890">IFERROR(K865/J865-1,"--")</f>
        <v>0.63152053274139885</v>
      </c>
      <c r="L870" s="197">
        <f t="shared" ca="1" si="890"/>
        <v>-4.761904761904856E-3</v>
      </c>
      <c r="M870" s="197">
        <f t="shared" ca="1" si="890"/>
        <v>5.0000000000000044E-2</v>
      </c>
      <c r="N870" s="197">
        <f t="shared" ca="1" si="890"/>
        <v>4.9999999999999822E-2</v>
      </c>
      <c r="O870" s="197">
        <f t="shared" ca="1" si="890"/>
        <v>5.0000000000000266E-2</v>
      </c>
      <c r="P870" s="197">
        <f t="shared" ca="1" si="890"/>
        <v>5.0000000000000044E-2</v>
      </c>
    </row>
    <row r="871" spans="2:20" ht="12.6" customHeight="1" x14ac:dyDescent="0.2">
      <c r="B871" s="322" t="s">
        <v>299</v>
      </c>
      <c r="C871" s="326"/>
      <c r="D871" s="113"/>
      <c r="E871" s="113"/>
      <c r="F871" s="113"/>
      <c r="G871" s="113"/>
      <c r="H871" s="113"/>
      <c r="I871" s="113"/>
      <c r="J871" s="113" t="str">
        <f t="shared" ref="J871:P871" si="891">IFERROR(J866/I866-1,"--")</f>
        <v>--</v>
      </c>
      <c r="K871" s="113">
        <f t="shared" si="891"/>
        <v>0.16066323613493427</v>
      </c>
      <c r="L871" s="197">
        <f t="shared" ca="1" si="891"/>
        <v>-4.761904761904745E-3</v>
      </c>
      <c r="M871" s="197">
        <f t="shared" ca="1" si="891"/>
        <v>5.0000000000000044E-2</v>
      </c>
      <c r="N871" s="197">
        <f t="shared" ca="1" si="891"/>
        <v>5.0000000000000044E-2</v>
      </c>
      <c r="O871" s="197">
        <f t="shared" ca="1" si="891"/>
        <v>4.9999999999999822E-2</v>
      </c>
      <c r="P871" s="197">
        <f t="shared" ca="1" si="891"/>
        <v>5.0000000000000266E-2</v>
      </c>
    </row>
    <row r="872" spans="2:20" ht="12.6" customHeight="1" x14ac:dyDescent="0.2">
      <c r="B872" s="331" t="s">
        <v>551</v>
      </c>
      <c r="C872" s="327"/>
      <c r="D872" s="117"/>
      <c r="E872" s="117"/>
      <c r="F872" s="117"/>
      <c r="G872" s="117"/>
      <c r="H872" s="117"/>
      <c r="I872" s="117"/>
      <c r="J872" s="117" t="str">
        <f t="shared" ref="J872:P872" si="892">IFERROR(J867/I867-1,"--")</f>
        <v>--</v>
      </c>
      <c r="K872" s="117">
        <f t="shared" si="892"/>
        <v>0.32075471698113223</v>
      </c>
      <c r="L872" s="204">
        <f t="shared" ca="1" si="892"/>
        <v>-4.761904761904856E-3</v>
      </c>
      <c r="M872" s="204">
        <f t="shared" ca="1" si="892"/>
        <v>5.0000000000000044E-2</v>
      </c>
      <c r="N872" s="204">
        <f t="shared" ca="1" si="892"/>
        <v>5.0000000000000044E-2</v>
      </c>
      <c r="O872" s="204">
        <f t="shared" ca="1" si="892"/>
        <v>5.0000000000000044E-2</v>
      </c>
      <c r="P872" s="204">
        <f t="shared" ca="1" si="892"/>
        <v>5.0000000000000044E-2</v>
      </c>
    </row>
    <row r="873" spans="2:20" ht="12.6" customHeight="1" x14ac:dyDescent="0.2">
      <c r="B873" s="331"/>
      <c r="C873" s="326"/>
      <c r="D873" s="335"/>
      <c r="E873" s="335"/>
      <c r="F873" s="335"/>
      <c r="G873" s="335"/>
      <c r="H873" s="335"/>
      <c r="I873" s="335"/>
      <c r="J873" s="335"/>
      <c r="K873" s="335"/>
      <c r="L873" s="336"/>
      <c r="M873" s="336"/>
      <c r="N873" s="336"/>
      <c r="O873" s="336"/>
      <c r="P873" s="336"/>
    </row>
    <row r="874" spans="2:20" ht="12.6" customHeight="1" x14ac:dyDescent="0.2">
      <c r="B874" s="331" t="s">
        <v>287</v>
      </c>
      <c r="C874" s="326"/>
      <c r="D874" s="335"/>
      <c r="E874" s="335"/>
      <c r="F874" s="335"/>
      <c r="G874" s="335"/>
      <c r="H874" s="335"/>
      <c r="I874" s="335"/>
      <c r="J874" s="335"/>
      <c r="K874" s="335"/>
      <c r="L874" s="336"/>
      <c r="M874" s="336"/>
      <c r="N874" s="336"/>
      <c r="O874" s="336"/>
      <c r="P874" s="336"/>
    </row>
    <row r="875" spans="2:20" ht="12.6" customHeight="1" x14ac:dyDescent="0.2">
      <c r="B875" s="322" t="s">
        <v>563</v>
      </c>
      <c r="C875" s="326"/>
      <c r="D875" s="113"/>
      <c r="E875" s="113"/>
      <c r="F875" s="113"/>
      <c r="G875" s="113"/>
      <c r="H875" s="113"/>
      <c r="I875" s="113"/>
      <c r="J875" s="113">
        <v>0.34</v>
      </c>
      <c r="K875" s="113">
        <f t="shared" ref="K875:P875" si="893">1-K876</f>
        <v>0.42000000000000004</v>
      </c>
      <c r="L875" s="197">
        <f t="shared" si="893"/>
        <v>0.42000000000000004</v>
      </c>
      <c r="M875" s="197">
        <f t="shared" si="893"/>
        <v>0.42000000000000004</v>
      </c>
      <c r="N875" s="197">
        <f t="shared" si="893"/>
        <v>0.42000000000000004</v>
      </c>
      <c r="O875" s="197">
        <f t="shared" si="893"/>
        <v>0.42000000000000004</v>
      </c>
      <c r="P875" s="197">
        <f t="shared" si="893"/>
        <v>0.42000000000000004</v>
      </c>
    </row>
    <row r="876" spans="2:20" ht="12.6" customHeight="1" x14ac:dyDescent="0.2">
      <c r="B876" s="359" t="s">
        <v>299</v>
      </c>
      <c r="C876" s="327"/>
      <c r="D876" s="117"/>
      <c r="E876" s="117"/>
      <c r="F876" s="117"/>
      <c r="G876" s="117"/>
      <c r="H876" s="117"/>
      <c r="I876" s="117"/>
      <c r="J876" s="117">
        <v>0.66</v>
      </c>
      <c r="K876" s="117">
        <v>0.57999999999999996</v>
      </c>
      <c r="L876" s="360">
        <f t="shared" ref="L876:P876" si="894">K876</f>
        <v>0.57999999999999996</v>
      </c>
      <c r="M876" s="360">
        <f t="shared" si="894"/>
        <v>0.57999999999999996</v>
      </c>
      <c r="N876" s="360">
        <f t="shared" si="894"/>
        <v>0.57999999999999996</v>
      </c>
      <c r="O876" s="360">
        <f t="shared" si="894"/>
        <v>0.57999999999999996</v>
      </c>
      <c r="P876" s="360">
        <f t="shared" si="894"/>
        <v>0.57999999999999996</v>
      </c>
    </row>
    <row r="877" spans="2:20" ht="12.6" customHeight="1" x14ac:dyDescent="0.2">
      <c r="B877" s="116"/>
      <c r="C877" s="61"/>
      <c r="D877" s="63"/>
      <c r="E877" s="63"/>
      <c r="F877" s="63"/>
      <c r="G877" s="63"/>
      <c r="H877" s="63"/>
      <c r="I877" s="63"/>
      <c r="J877" s="63"/>
      <c r="K877" s="63"/>
      <c r="L877" s="64"/>
      <c r="M877" s="64"/>
      <c r="N877" s="64"/>
      <c r="O877" s="64"/>
      <c r="P877" s="64"/>
    </row>
    <row r="879" spans="2:20" ht="12.6" customHeight="1" x14ac:dyDescent="0.2">
      <c r="B879" s="50" t="s">
        <v>216</v>
      </c>
      <c r="C879" s="50" t="s">
        <v>473</v>
      </c>
      <c r="D879" s="163"/>
      <c r="E879" s="163"/>
      <c r="F879" s="163"/>
      <c r="G879" s="51"/>
      <c r="H879" s="51"/>
      <c r="I879" s="51"/>
      <c r="J879" s="51"/>
      <c r="K879" s="51"/>
      <c r="L879" s="54"/>
      <c r="M879" s="54"/>
      <c r="N879" s="54"/>
      <c r="O879" s="54"/>
      <c r="P879" s="54"/>
    </row>
    <row r="880" spans="2:20" ht="12.6" customHeight="1" x14ac:dyDescent="0.2">
      <c r="B880" s="61" t="s">
        <v>565</v>
      </c>
      <c r="C880" s="61" t="s">
        <v>570</v>
      </c>
      <c r="D880" s="63"/>
      <c r="E880" s="63"/>
      <c r="F880" s="311"/>
      <c r="G880" s="301"/>
      <c r="H880" s="301"/>
      <c r="I880" s="301">
        <f>'Mangalore Container'!L7</f>
        <v>419.21899999999999</v>
      </c>
      <c r="J880" s="301">
        <f>'Mangalore Container'!M7</f>
        <v>523.63400000000001</v>
      </c>
      <c r="K880" s="301">
        <f>'Mangalore Container'!N7</f>
        <v>484.012</v>
      </c>
      <c r="L880" s="302">
        <f t="shared" ref="L880:P880" si="895">L881*L894</f>
        <v>528.11759350000011</v>
      </c>
      <c r="M880" s="302">
        <f t="shared" si="895"/>
        <v>693.15434146875009</v>
      </c>
      <c r="N880" s="302">
        <f t="shared" si="895"/>
        <v>800.59326439640654</v>
      </c>
      <c r="O880" s="302">
        <f t="shared" si="895"/>
        <v>891.06030327320059</v>
      </c>
      <c r="P880" s="302">
        <f t="shared" si="895"/>
        <v>991.75011754307218</v>
      </c>
      <c r="S880" s="545" t="str">
        <f>IF(ISERROR((J880/D880)^(1/6)-1)," ",(J880/D880)^(1/6)-1)</f>
        <v xml:space="preserve"> </v>
      </c>
      <c r="T880" s="545">
        <f>IF(ISERROR((P880/J880)^(1/6)-1)," ",(P880/J880)^(1/6)-1)</f>
        <v>0.11231826953437141</v>
      </c>
    </row>
    <row r="881" spans="2:20" ht="12.6" customHeight="1" x14ac:dyDescent="0.2">
      <c r="B881" s="59" t="s">
        <v>474</v>
      </c>
      <c r="C881" s="61" t="s">
        <v>476</v>
      </c>
      <c r="D881" s="57"/>
      <c r="E881" s="57"/>
      <c r="F881" s="57"/>
      <c r="G881" s="57"/>
      <c r="H881" s="57"/>
      <c r="I881" s="57">
        <f>I880/I894</f>
        <v>192.83323217664687</v>
      </c>
      <c r="J881" s="57">
        <f>J880/J894</f>
        <v>202.78894579682174</v>
      </c>
      <c r="K881" s="57">
        <f>K880/K894</f>
        <v>201.67166666666668</v>
      </c>
      <c r="L881" s="303">
        <f t="shared" ref="L881:P881" si="896">K881*(1+L882)</f>
        <v>211.75525000000002</v>
      </c>
      <c r="M881" s="303">
        <f t="shared" si="896"/>
        <v>222.34301250000001</v>
      </c>
      <c r="N881" s="303">
        <f t="shared" si="896"/>
        <v>233.46016312500004</v>
      </c>
      <c r="O881" s="303">
        <f t="shared" si="896"/>
        <v>245.13317128125004</v>
      </c>
      <c r="P881" s="303">
        <f t="shared" si="896"/>
        <v>257.38982984531253</v>
      </c>
      <c r="S881" s="545" t="str">
        <f>IF(ISERROR((J881/D881)^(1/6)-1)," ",(J881/D881)^(1/6)-1)</f>
        <v xml:space="preserve"> </v>
      </c>
      <c r="T881" s="545">
        <f>IF(ISERROR((P881/J881)^(1/6)-1)," ",(P881/J881)^(1/6)-1)</f>
        <v>4.0537774278929017E-2</v>
      </c>
    </row>
    <row r="882" spans="2:20" ht="12.6" customHeight="1" x14ac:dyDescent="0.2">
      <c r="B882" s="322" t="s">
        <v>227</v>
      </c>
      <c r="C882" s="323" t="s">
        <v>477</v>
      </c>
      <c r="D882" s="58"/>
      <c r="E882" s="58"/>
      <c r="F882" s="339"/>
      <c r="G882" s="330"/>
      <c r="H882" s="330"/>
      <c r="I882" s="330"/>
      <c r="J882" s="330">
        <f>J881/I881-1</f>
        <v>5.1628619754995553E-2</v>
      </c>
      <c r="K882" s="330">
        <f>K881/J881-1</f>
        <v>-5.5095662427008252E-3</v>
      </c>
      <c r="L882" s="354">
        <v>0.05</v>
      </c>
      <c r="M882" s="354">
        <v>0.05</v>
      </c>
      <c r="N882" s="354">
        <v>0.05</v>
      </c>
      <c r="O882" s="354">
        <v>0.05</v>
      </c>
      <c r="P882" s="354">
        <v>0.05</v>
      </c>
      <c r="S882" s="352"/>
      <c r="T882" s="352"/>
    </row>
    <row r="883" spans="2:20" ht="12.6" customHeight="1" x14ac:dyDescent="0.2">
      <c r="B883" s="59"/>
      <c r="C883" s="61"/>
      <c r="D883" s="57"/>
      <c r="E883" s="57"/>
      <c r="F883" s="288"/>
      <c r="G883" s="57"/>
      <c r="H883" s="57"/>
      <c r="I883" s="57"/>
      <c r="J883" s="57"/>
      <c r="K883" s="57"/>
      <c r="L883" s="68"/>
      <c r="M883" s="68"/>
      <c r="N883" s="68"/>
      <c r="O883" s="68"/>
      <c r="P883" s="68"/>
    </row>
    <row r="884" spans="2:20" ht="12.6" customHeight="1" x14ac:dyDescent="0.2">
      <c r="B884" s="72" t="s">
        <v>303</v>
      </c>
      <c r="C884" s="61" t="s">
        <v>4</v>
      </c>
      <c r="D884" s="57"/>
      <c r="E884" s="57"/>
      <c r="F884" s="288"/>
      <c r="G884" s="288"/>
      <c r="H884" s="288"/>
      <c r="I884" s="288">
        <f t="shared" ref="I884:P884" si="897">I96</f>
        <v>4.2</v>
      </c>
      <c r="J884" s="288">
        <f t="shared" si="897"/>
        <v>4.2</v>
      </c>
      <c r="K884" s="288">
        <f t="shared" ref="K884:L884" si="898">K96</f>
        <v>4.2</v>
      </c>
      <c r="L884" s="288">
        <f t="shared" si="898"/>
        <v>4.2</v>
      </c>
      <c r="M884" s="68">
        <f t="shared" si="897"/>
        <v>6.0200000000000005</v>
      </c>
      <c r="N884" s="68">
        <f t="shared" si="897"/>
        <v>6.0200000000000005</v>
      </c>
      <c r="O884" s="68">
        <f t="shared" si="897"/>
        <v>6.0200000000000005</v>
      </c>
      <c r="P884" s="68">
        <f t="shared" si="897"/>
        <v>6.0200000000000005</v>
      </c>
      <c r="S884" s="545" t="str">
        <f>IF(ISERROR((J884/D884)^(1/6)-1)," ",(J884/D884)^(1/6)-1)</f>
        <v xml:space="preserve"> </v>
      </c>
      <c r="T884" s="545">
        <f>IF(ISERROR((P884/J884)^(1/6)-1)," ",(P884/J884)^(1/6)-1)</f>
        <v>6.1837030394547687E-2</v>
      </c>
    </row>
    <row r="885" spans="2:20" ht="12.6" customHeight="1" x14ac:dyDescent="0.2">
      <c r="B885" s="202" t="s">
        <v>555</v>
      </c>
      <c r="C885" s="326" t="s">
        <v>4</v>
      </c>
      <c r="D885" s="58"/>
      <c r="E885" s="58"/>
      <c r="F885" s="330"/>
      <c r="G885" s="330"/>
      <c r="H885" s="330"/>
      <c r="I885" s="330">
        <f t="shared" ref="I885:P885" si="899">I894/I884</f>
        <v>0.51761849600494136</v>
      </c>
      <c r="J885" s="330">
        <f t="shared" si="899"/>
        <v>0.61480058202815469</v>
      </c>
      <c r="K885" s="330">
        <f t="shared" ref="K885:L885" si="900">K894/K884</f>
        <v>0.5714285714285714</v>
      </c>
      <c r="L885" s="330">
        <f t="shared" si="900"/>
        <v>0.59380952380952379</v>
      </c>
      <c r="M885" s="324">
        <f t="shared" si="899"/>
        <v>0.51785714285714279</v>
      </c>
      <c r="N885" s="324">
        <f t="shared" si="899"/>
        <v>0.56964285714285723</v>
      </c>
      <c r="O885" s="324">
        <f t="shared" si="899"/>
        <v>0.60382142857142873</v>
      </c>
      <c r="P885" s="324">
        <f t="shared" si="899"/>
        <v>0.64005071428571436</v>
      </c>
      <c r="S885" s="352"/>
      <c r="T885" s="352"/>
    </row>
    <row r="886" spans="2:20" ht="12.6" customHeight="1" x14ac:dyDescent="0.2">
      <c r="B886" s="59"/>
      <c r="C886" s="61"/>
      <c r="D886" s="57"/>
      <c r="E886" s="57"/>
      <c r="F886" s="288"/>
      <c r="G886" s="57"/>
      <c r="H886" s="57"/>
      <c r="I886" s="57"/>
      <c r="J886" s="57"/>
      <c r="K886" s="57"/>
      <c r="L886" s="57"/>
      <c r="M886" s="68"/>
      <c r="N886" s="68"/>
      <c r="O886" s="68"/>
      <c r="P886" s="68"/>
    </row>
    <row r="887" spans="2:20" ht="12.6" customHeight="1" x14ac:dyDescent="0.2">
      <c r="B887" s="72" t="s">
        <v>489</v>
      </c>
      <c r="C887" s="61"/>
      <c r="D887" s="57"/>
      <c r="E887" s="57"/>
      <c r="F887" s="288"/>
      <c r="G887" s="57"/>
      <c r="H887" s="57"/>
      <c r="I887" s="57"/>
      <c r="J887" s="57"/>
      <c r="K887" s="57"/>
      <c r="L887" s="57"/>
      <c r="M887" s="68"/>
      <c r="N887" s="68"/>
      <c r="O887" s="68"/>
      <c r="P887" s="68"/>
    </row>
    <row r="888" spans="2:20" ht="12.6" customHeight="1" x14ac:dyDescent="0.2">
      <c r="B888" s="56" t="s">
        <v>279</v>
      </c>
      <c r="C888" s="61"/>
      <c r="D888" s="288"/>
      <c r="E888" s="288"/>
      <c r="F888" s="288"/>
      <c r="G888" s="288"/>
      <c r="H888" s="288"/>
      <c r="I888" s="288">
        <v>0</v>
      </c>
      <c r="J888" s="288">
        <v>0</v>
      </c>
      <c r="K888" s="288">
        <v>0</v>
      </c>
      <c r="L888" s="288">
        <v>0</v>
      </c>
      <c r="M888" s="303">
        <f t="shared" ref="M888:P888" si="901">L888*(1+M897)</f>
        <v>0</v>
      </c>
      <c r="N888" s="303">
        <f t="shared" si="901"/>
        <v>0</v>
      </c>
      <c r="O888" s="303">
        <f t="shared" si="901"/>
        <v>0</v>
      </c>
      <c r="P888" s="303">
        <f t="shared" si="901"/>
        <v>0</v>
      </c>
      <c r="S888" s="545" t="str">
        <f t="shared" ref="S888:S894" si="902">IF(ISERROR((J888/D888)^(1/6)-1)," ",(J888/D888)^(1/6)-1)</f>
        <v xml:space="preserve"> </v>
      </c>
      <c r="T888" s="545" t="str">
        <f t="shared" ref="T888:T894" si="903">IF(ISERROR((P888/J888)^(1/6)-1)," ",(P888/J888)^(1/6)-1)</f>
        <v xml:space="preserve"> </v>
      </c>
    </row>
    <row r="889" spans="2:20" ht="12.6" customHeight="1" x14ac:dyDescent="0.2">
      <c r="B889" s="56" t="s">
        <v>280</v>
      </c>
      <c r="C889" s="61"/>
      <c r="D889" s="288"/>
      <c r="E889" s="288"/>
      <c r="F889" s="288"/>
      <c r="G889" s="288"/>
      <c r="H889" s="288"/>
      <c r="I889" s="288">
        <v>0</v>
      </c>
      <c r="J889" s="288">
        <v>0</v>
      </c>
      <c r="K889" s="288">
        <v>0</v>
      </c>
      <c r="L889" s="288">
        <v>0</v>
      </c>
      <c r="M889" s="303">
        <f t="shared" ref="M889:P889" si="904">L889*(1+M898)</f>
        <v>0</v>
      </c>
      <c r="N889" s="303">
        <f t="shared" si="904"/>
        <v>0</v>
      </c>
      <c r="O889" s="303">
        <f t="shared" si="904"/>
        <v>0</v>
      </c>
      <c r="P889" s="303">
        <f t="shared" si="904"/>
        <v>0</v>
      </c>
      <c r="S889" s="545" t="str">
        <f t="shared" si="902"/>
        <v xml:space="preserve"> </v>
      </c>
      <c r="T889" s="545" t="str">
        <f t="shared" si="903"/>
        <v xml:space="preserve"> </v>
      </c>
    </row>
    <row r="890" spans="2:20" ht="12.6" customHeight="1" x14ac:dyDescent="0.2">
      <c r="B890" s="56" t="s">
        <v>281</v>
      </c>
      <c r="C890" s="61"/>
      <c r="D890" s="288"/>
      <c r="E890" s="288"/>
      <c r="F890" s="288"/>
      <c r="G890" s="288"/>
      <c r="H890" s="288"/>
      <c r="I890" s="288">
        <v>0</v>
      </c>
      <c r="J890" s="288">
        <v>0</v>
      </c>
      <c r="K890" s="288">
        <v>0</v>
      </c>
      <c r="L890" s="288">
        <v>0</v>
      </c>
      <c r="M890" s="303">
        <f t="shared" ref="M890:P890" si="905">L890*(1+M899)</f>
        <v>0</v>
      </c>
      <c r="N890" s="303">
        <f t="shared" si="905"/>
        <v>0</v>
      </c>
      <c r="O890" s="303">
        <f t="shared" si="905"/>
        <v>0</v>
      </c>
      <c r="P890" s="303">
        <f t="shared" si="905"/>
        <v>0</v>
      </c>
      <c r="S890" s="545" t="str">
        <f t="shared" si="902"/>
        <v xml:space="preserve"> </v>
      </c>
      <c r="T890" s="545" t="str">
        <f t="shared" si="903"/>
        <v xml:space="preserve"> </v>
      </c>
    </row>
    <row r="891" spans="2:20" ht="12.6" customHeight="1" x14ac:dyDescent="0.2">
      <c r="B891" s="56" t="s">
        <v>282</v>
      </c>
      <c r="C891" s="61"/>
      <c r="D891" s="288"/>
      <c r="E891" s="288"/>
      <c r="F891" s="288"/>
      <c r="G891" s="288"/>
      <c r="H891" s="288"/>
      <c r="I891" s="288">
        <v>0</v>
      </c>
      <c r="J891" s="288">
        <v>0</v>
      </c>
      <c r="K891" s="288">
        <v>0</v>
      </c>
      <c r="L891" s="288">
        <v>0</v>
      </c>
      <c r="M891" s="303">
        <f t="shared" ref="M891:P891" si="906">L891*(1+M900)</f>
        <v>0</v>
      </c>
      <c r="N891" s="303">
        <f t="shared" si="906"/>
        <v>0</v>
      </c>
      <c r="O891" s="303">
        <f t="shared" si="906"/>
        <v>0</v>
      </c>
      <c r="P891" s="303">
        <f t="shared" si="906"/>
        <v>0</v>
      </c>
      <c r="S891" s="545" t="str">
        <f t="shared" si="902"/>
        <v xml:space="preserve"> </v>
      </c>
      <c r="T891" s="545" t="str">
        <f t="shared" si="903"/>
        <v xml:space="preserve"> </v>
      </c>
    </row>
    <row r="892" spans="2:20" ht="12.6" customHeight="1" x14ac:dyDescent="0.2">
      <c r="B892" s="56" t="s">
        <v>283</v>
      </c>
      <c r="C892" s="61"/>
      <c r="D892" s="288"/>
      <c r="E892" s="288"/>
      <c r="F892" s="288"/>
      <c r="G892" s="288"/>
      <c r="H892" s="288"/>
      <c r="I892" s="288">
        <v>2.1739976832207537</v>
      </c>
      <c r="J892" s="288">
        <v>2.5821624445182496</v>
      </c>
      <c r="K892" s="288">
        <v>2.4</v>
      </c>
      <c r="L892" s="288">
        <v>2.4940000000000002</v>
      </c>
      <c r="M892" s="303">
        <f t="shared" ref="M892:P892" si="907">L892*(1+M901)</f>
        <v>3.1175000000000002</v>
      </c>
      <c r="N892" s="303">
        <f t="shared" si="907"/>
        <v>3.4292500000000006</v>
      </c>
      <c r="O892" s="303">
        <f t="shared" si="907"/>
        <v>3.6350050000000009</v>
      </c>
      <c r="P892" s="303">
        <f t="shared" si="907"/>
        <v>3.8531053000000011</v>
      </c>
      <c r="S892" s="545" t="str">
        <f t="shared" si="902"/>
        <v xml:space="preserve"> </v>
      </c>
      <c r="T892" s="545">
        <f t="shared" si="903"/>
        <v>6.8984035976190183E-2</v>
      </c>
    </row>
    <row r="893" spans="2:20" ht="12.6" customHeight="1" x14ac:dyDescent="0.2">
      <c r="B893" s="56" t="s">
        <v>284</v>
      </c>
      <c r="C893" s="61"/>
      <c r="D893" s="288"/>
      <c r="E893" s="288"/>
      <c r="F893" s="288"/>
      <c r="G893" s="288"/>
      <c r="H893" s="288"/>
      <c r="I893" s="288">
        <v>0</v>
      </c>
      <c r="J893" s="288">
        <v>0</v>
      </c>
      <c r="K893" s="288">
        <v>0</v>
      </c>
      <c r="L893" s="288">
        <v>0</v>
      </c>
      <c r="M893" s="303">
        <f t="shared" ref="M893:P893" si="908">L893*(1+M902)</f>
        <v>0</v>
      </c>
      <c r="N893" s="303">
        <f t="shared" si="908"/>
        <v>0</v>
      </c>
      <c r="O893" s="303">
        <f t="shared" si="908"/>
        <v>0</v>
      </c>
      <c r="P893" s="303">
        <f t="shared" si="908"/>
        <v>0</v>
      </c>
      <c r="S893" s="545" t="str">
        <f t="shared" si="902"/>
        <v xml:space="preserve"> </v>
      </c>
      <c r="T893" s="545" t="str">
        <f t="shared" si="903"/>
        <v xml:space="preserve"> </v>
      </c>
    </row>
    <row r="894" spans="2:20" ht="12.6" customHeight="1" x14ac:dyDescent="0.2">
      <c r="B894" s="72" t="s">
        <v>551</v>
      </c>
      <c r="C894" s="95"/>
      <c r="D894" s="63"/>
      <c r="E894" s="63"/>
      <c r="F894" s="63"/>
      <c r="G894" s="63"/>
      <c r="H894" s="63"/>
      <c r="I894" s="63">
        <f t="shared" ref="I894:P894" si="909">SUM(I888:I893)</f>
        <v>2.1739976832207537</v>
      </c>
      <c r="J894" s="63">
        <f t="shared" si="909"/>
        <v>2.5821624445182496</v>
      </c>
      <c r="K894" s="63">
        <v>2.4</v>
      </c>
      <c r="L894" s="63">
        <f t="shared" si="909"/>
        <v>2.4940000000000002</v>
      </c>
      <c r="M894" s="64">
        <f t="shared" si="909"/>
        <v>3.1175000000000002</v>
      </c>
      <c r="N894" s="64">
        <f t="shared" si="909"/>
        <v>3.4292500000000006</v>
      </c>
      <c r="O894" s="64">
        <f t="shared" si="909"/>
        <v>3.6350050000000009</v>
      </c>
      <c r="P894" s="64">
        <f t="shared" si="909"/>
        <v>3.8531053000000011</v>
      </c>
      <c r="S894" s="367" t="str">
        <f t="shared" si="902"/>
        <v xml:space="preserve"> </v>
      </c>
      <c r="T894" s="545">
        <f t="shared" si="903"/>
        <v>6.8984035976190183E-2</v>
      </c>
    </row>
    <row r="895" spans="2:20" ht="12.6" customHeight="1" x14ac:dyDescent="0.2">
      <c r="B895" s="72"/>
      <c r="C895" s="95"/>
      <c r="D895" s="63"/>
      <c r="E895" s="63"/>
      <c r="F895" s="63"/>
      <c r="G895" s="63"/>
      <c r="H895" s="63"/>
      <c r="I895" s="63"/>
      <c r="J895" s="63"/>
      <c r="K895" s="63"/>
      <c r="L895" s="63"/>
      <c r="M895" s="64"/>
      <c r="N895" s="64"/>
      <c r="O895" s="64"/>
      <c r="P895" s="64"/>
      <c r="Q895" s="352"/>
    </row>
    <row r="896" spans="2:20" ht="12.6" customHeight="1" x14ac:dyDescent="0.2">
      <c r="B896" s="116" t="s">
        <v>227</v>
      </c>
      <c r="C896" s="61"/>
      <c r="D896" s="63"/>
      <c r="E896" s="63"/>
      <c r="F896" s="63"/>
      <c r="G896" s="63"/>
      <c r="H896" s="63"/>
      <c r="I896" s="63"/>
      <c r="J896" s="63"/>
      <c r="K896" s="63"/>
      <c r="L896" s="63"/>
      <c r="M896" s="68"/>
      <c r="N896" s="68"/>
      <c r="O896" s="68"/>
      <c r="P896" s="68"/>
    </row>
    <row r="897" spans="2:16" ht="12.6" customHeight="1" x14ac:dyDescent="0.2">
      <c r="B897" s="322" t="s">
        <v>279</v>
      </c>
      <c r="C897" s="355"/>
      <c r="D897" s="113"/>
      <c r="E897" s="113"/>
      <c r="F897" s="113"/>
      <c r="G897" s="113"/>
      <c r="H897" s="113"/>
      <c r="I897" s="113"/>
      <c r="J897" s="113">
        <f t="shared" ref="J897:L903" si="910">IFERROR(J888/I888-1,0)</f>
        <v>0</v>
      </c>
      <c r="K897" s="113">
        <f t="shared" si="910"/>
        <v>0</v>
      </c>
      <c r="L897" s="113">
        <f t="shared" si="910"/>
        <v>0</v>
      </c>
      <c r="M897" s="356">
        <v>0</v>
      </c>
      <c r="N897" s="356">
        <v>0</v>
      </c>
      <c r="O897" s="356">
        <v>0</v>
      </c>
      <c r="P897" s="356">
        <v>0</v>
      </c>
    </row>
    <row r="898" spans="2:16" ht="12.6" customHeight="1" x14ac:dyDescent="0.2">
      <c r="B898" s="322" t="s">
        <v>280</v>
      </c>
      <c r="C898" s="355"/>
      <c r="D898" s="113"/>
      <c r="E898" s="113"/>
      <c r="F898" s="113"/>
      <c r="G898" s="113"/>
      <c r="H898" s="113"/>
      <c r="I898" s="113"/>
      <c r="J898" s="113">
        <f t="shared" si="910"/>
        <v>0</v>
      </c>
      <c r="K898" s="113">
        <f t="shared" si="910"/>
        <v>0</v>
      </c>
      <c r="L898" s="113">
        <f t="shared" si="910"/>
        <v>0</v>
      </c>
      <c r="M898" s="356">
        <v>0</v>
      </c>
      <c r="N898" s="356">
        <v>0</v>
      </c>
      <c r="O898" s="356">
        <v>0</v>
      </c>
      <c r="P898" s="356">
        <v>0</v>
      </c>
    </row>
    <row r="899" spans="2:16" ht="12.6" customHeight="1" x14ac:dyDescent="0.2">
      <c r="B899" s="322" t="s">
        <v>281</v>
      </c>
      <c r="C899" s="355"/>
      <c r="D899" s="113"/>
      <c r="E899" s="113"/>
      <c r="F899" s="113"/>
      <c r="G899" s="113"/>
      <c r="H899" s="113"/>
      <c r="I899" s="113"/>
      <c r="J899" s="113">
        <f t="shared" si="910"/>
        <v>0</v>
      </c>
      <c r="K899" s="113">
        <f t="shared" si="910"/>
        <v>0</v>
      </c>
      <c r="L899" s="113">
        <f t="shared" si="910"/>
        <v>0</v>
      </c>
      <c r="M899" s="356">
        <v>0</v>
      </c>
      <c r="N899" s="356">
        <v>0</v>
      </c>
      <c r="O899" s="356">
        <v>0</v>
      </c>
      <c r="P899" s="356">
        <v>0</v>
      </c>
    </row>
    <row r="900" spans="2:16" ht="12.6" customHeight="1" x14ac:dyDescent="0.2">
      <c r="B900" s="322" t="s">
        <v>282</v>
      </c>
      <c r="C900" s="355"/>
      <c r="D900" s="113"/>
      <c r="E900" s="113"/>
      <c r="F900" s="113"/>
      <c r="G900" s="113"/>
      <c r="H900" s="113"/>
      <c r="I900" s="113"/>
      <c r="J900" s="113">
        <f t="shared" si="910"/>
        <v>0</v>
      </c>
      <c r="K900" s="113">
        <f t="shared" si="910"/>
        <v>0</v>
      </c>
      <c r="L900" s="113">
        <f t="shared" si="910"/>
        <v>0</v>
      </c>
      <c r="M900" s="356">
        <v>0</v>
      </c>
      <c r="N900" s="356">
        <v>0</v>
      </c>
      <c r="O900" s="356">
        <v>0</v>
      </c>
      <c r="P900" s="356">
        <v>0</v>
      </c>
    </row>
    <row r="901" spans="2:16" ht="12.6" customHeight="1" x14ac:dyDescent="0.2">
      <c r="B901" s="322" t="s">
        <v>283</v>
      </c>
      <c r="C901" s="355"/>
      <c r="D901" s="113"/>
      <c r="E901" s="113"/>
      <c r="F901" s="113"/>
      <c r="G901" s="113"/>
      <c r="H901" s="113"/>
      <c r="I901" s="113"/>
      <c r="J901" s="113">
        <f t="shared" si="910"/>
        <v>0.1877484803446543</v>
      </c>
      <c r="K901" s="113">
        <f t="shared" si="910"/>
        <v>-7.0546469647937093E-2</v>
      </c>
      <c r="L901" s="113">
        <f t="shared" si="910"/>
        <v>3.9166666666666794E-2</v>
      </c>
      <c r="M901" s="356">
        <v>0.25</v>
      </c>
      <c r="N901" s="356">
        <v>0.1</v>
      </c>
      <c r="O901" s="356">
        <v>0.06</v>
      </c>
      <c r="P901" s="356">
        <v>0.06</v>
      </c>
    </row>
    <row r="902" spans="2:16" ht="12.6" customHeight="1" x14ac:dyDescent="0.2">
      <c r="B902" s="322" t="s">
        <v>284</v>
      </c>
      <c r="C902" s="355"/>
      <c r="D902" s="113"/>
      <c r="E902" s="113"/>
      <c r="F902" s="113"/>
      <c r="G902" s="113"/>
      <c r="H902" s="113"/>
      <c r="I902" s="113"/>
      <c r="J902" s="113">
        <f t="shared" si="910"/>
        <v>0</v>
      </c>
      <c r="K902" s="113">
        <f t="shared" si="910"/>
        <v>0</v>
      </c>
      <c r="L902" s="113">
        <f t="shared" si="910"/>
        <v>0</v>
      </c>
      <c r="M902" s="356">
        <v>0</v>
      </c>
      <c r="N902" s="356">
        <v>0</v>
      </c>
      <c r="O902" s="356">
        <v>0</v>
      </c>
      <c r="P902" s="356">
        <v>0</v>
      </c>
    </row>
    <row r="903" spans="2:16" ht="12.6" customHeight="1" x14ac:dyDescent="0.2">
      <c r="B903" s="331" t="s">
        <v>551</v>
      </c>
      <c r="C903" s="358"/>
      <c r="D903" s="117"/>
      <c r="E903" s="117"/>
      <c r="F903" s="117"/>
      <c r="G903" s="117"/>
      <c r="H903" s="117"/>
      <c r="I903" s="117"/>
      <c r="J903" s="117">
        <f t="shared" si="910"/>
        <v>0.1877484803446543</v>
      </c>
      <c r="K903" s="117">
        <f t="shared" si="910"/>
        <v>-7.0546469647937093E-2</v>
      </c>
      <c r="L903" s="117">
        <f t="shared" si="910"/>
        <v>3.9166666666666794E-2</v>
      </c>
      <c r="M903" s="204">
        <f t="shared" ref="M903:P903" si="911">IFERROR(M894/L894-1,0)</f>
        <v>0.25</v>
      </c>
      <c r="N903" s="204">
        <f t="shared" si="911"/>
        <v>0.10000000000000009</v>
      </c>
      <c r="O903" s="204">
        <f t="shared" si="911"/>
        <v>6.0000000000000053E-2</v>
      </c>
      <c r="P903" s="204">
        <f t="shared" si="911"/>
        <v>6.0000000000000053E-2</v>
      </c>
    </row>
    <row r="904" spans="2:16" ht="12.6" customHeight="1" x14ac:dyDescent="0.2">
      <c r="B904" s="201"/>
      <c r="C904" s="326"/>
      <c r="D904" s="335"/>
      <c r="E904" s="335"/>
      <c r="F904" s="335"/>
      <c r="G904" s="335"/>
      <c r="H904" s="335"/>
      <c r="I904" s="335"/>
      <c r="J904" s="335"/>
      <c r="K904" s="335"/>
      <c r="L904" s="335"/>
      <c r="M904" s="357"/>
      <c r="N904" s="357"/>
      <c r="O904" s="357"/>
      <c r="P904" s="357"/>
    </row>
    <row r="905" spans="2:16" ht="12.6" customHeight="1" x14ac:dyDescent="0.2">
      <c r="B905" s="331" t="s">
        <v>287</v>
      </c>
      <c r="C905" s="326"/>
      <c r="D905" s="335"/>
      <c r="E905" s="335"/>
      <c r="F905" s="335"/>
      <c r="G905" s="335"/>
      <c r="H905" s="335"/>
      <c r="I905" s="335"/>
      <c r="J905" s="335"/>
      <c r="K905" s="335"/>
      <c r="L905" s="335"/>
      <c r="M905" s="357"/>
      <c r="N905" s="357"/>
      <c r="O905" s="357"/>
      <c r="P905" s="357"/>
    </row>
    <row r="906" spans="2:16" ht="12.6" customHeight="1" x14ac:dyDescent="0.2">
      <c r="B906" s="322" t="s">
        <v>279</v>
      </c>
      <c r="C906" s="326"/>
      <c r="D906" s="113"/>
      <c r="E906" s="113"/>
      <c r="F906" s="113"/>
      <c r="G906" s="113"/>
      <c r="H906" s="113"/>
      <c r="I906" s="113">
        <f>I888/I$894</f>
        <v>0</v>
      </c>
      <c r="J906" s="113">
        <f>J888/J$894</f>
        <v>0</v>
      </c>
      <c r="K906" s="113">
        <f>K888/K$894</f>
        <v>0</v>
      </c>
      <c r="L906" s="113">
        <f>L888/L$894</f>
        <v>0</v>
      </c>
      <c r="M906" s="197">
        <f t="shared" ref="M906:P906" si="912">M888/M$894</f>
        <v>0</v>
      </c>
      <c r="N906" s="197">
        <f t="shared" si="912"/>
        <v>0</v>
      </c>
      <c r="O906" s="197">
        <f t="shared" si="912"/>
        <v>0</v>
      </c>
      <c r="P906" s="197">
        <f t="shared" si="912"/>
        <v>0</v>
      </c>
    </row>
    <row r="907" spans="2:16" ht="12.6" customHeight="1" x14ac:dyDescent="0.2">
      <c r="B907" s="322" t="s">
        <v>280</v>
      </c>
      <c r="C907" s="326"/>
      <c r="D907" s="113"/>
      <c r="E907" s="113"/>
      <c r="F907" s="113"/>
      <c r="G907" s="113"/>
      <c r="H907" s="113"/>
      <c r="I907" s="113">
        <f t="shared" ref="I907:P907" si="913">I889/I$894</f>
        <v>0</v>
      </c>
      <c r="J907" s="113">
        <f t="shared" si="913"/>
        <v>0</v>
      </c>
      <c r="K907" s="113">
        <f t="shared" ref="K907:L907" si="914">K889/K$894</f>
        <v>0</v>
      </c>
      <c r="L907" s="113">
        <f t="shared" si="914"/>
        <v>0</v>
      </c>
      <c r="M907" s="197">
        <f t="shared" si="913"/>
        <v>0</v>
      </c>
      <c r="N907" s="197">
        <f t="shared" si="913"/>
        <v>0</v>
      </c>
      <c r="O907" s="197">
        <f t="shared" si="913"/>
        <v>0</v>
      </c>
      <c r="P907" s="197">
        <f t="shared" si="913"/>
        <v>0</v>
      </c>
    </row>
    <row r="908" spans="2:16" ht="12.6" customHeight="1" x14ac:dyDescent="0.2">
      <c r="B908" s="322" t="s">
        <v>281</v>
      </c>
      <c r="C908" s="326"/>
      <c r="D908" s="113"/>
      <c r="E908" s="113"/>
      <c r="F908" s="113"/>
      <c r="G908" s="113"/>
      <c r="H908" s="113"/>
      <c r="I908" s="113">
        <f t="shared" ref="I908:P908" si="915">I890/I$894</f>
        <v>0</v>
      </c>
      <c r="J908" s="113">
        <f t="shared" si="915"/>
        <v>0</v>
      </c>
      <c r="K908" s="113">
        <f t="shared" ref="K908:L908" si="916">K890/K$894</f>
        <v>0</v>
      </c>
      <c r="L908" s="113">
        <f t="shared" si="916"/>
        <v>0</v>
      </c>
      <c r="M908" s="197">
        <f t="shared" si="915"/>
        <v>0</v>
      </c>
      <c r="N908" s="197">
        <f t="shared" si="915"/>
        <v>0</v>
      </c>
      <c r="O908" s="197">
        <f t="shared" si="915"/>
        <v>0</v>
      </c>
      <c r="P908" s="197">
        <f t="shared" si="915"/>
        <v>0</v>
      </c>
    </row>
    <row r="909" spans="2:16" ht="12.6" customHeight="1" x14ac:dyDescent="0.2">
      <c r="B909" s="322" t="s">
        <v>282</v>
      </c>
      <c r="C909" s="326"/>
      <c r="D909" s="113"/>
      <c r="E909" s="113"/>
      <c r="F909" s="113"/>
      <c r="G909" s="113"/>
      <c r="H909" s="113"/>
      <c r="I909" s="113">
        <f t="shared" ref="I909:P909" si="917">I891/I$894</f>
        <v>0</v>
      </c>
      <c r="J909" s="113">
        <f t="shared" si="917"/>
        <v>0</v>
      </c>
      <c r="K909" s="113">
        <f t="shared" ref="K909:L909" si="918">K891/K$894</f>
        <v>0</v>
      </c>
      <c r="L909" s="113">
        <f t="shared" si="918"/>
        <v>0</v>
      </c>
      <c r="M909" s="197">
        <f t="shared" si="917"/>
        <v>0</v>
      </c>
      <c r="N909" s="197">
        <f t="shared" si="917"/>
        <v>0</v>
      </c>
      <c r="O909" s="197">
        <f t="shared" si="917"/>
        <v>0</v>
      </c>
      <c r="P909" s="197">
        <f t="shared" si="917"/>
        <v>0</v>
      </c>
    </row>
    <row r="910" spans="2:16" ht="12.6" customHeight="1" x14ac:dyDescent="0.2">
      <c r="B910" s="322" t="s">
        <v>283</v>
      </c>
      <c r="C910" s="326"/>
      <c r="D910" s="113"/>
      <c r="E910" s="113"/>
      <c r="F910" s="113"/>
      <c r="G910" s="113"/>
      <c r="H910" s="113"/>
      <c r="I910" s="113">
        <f t="shared" ref="I910:P910" si="919">I892/I$894</f>
        <v>1</v>
      </c>
      <c r="J910" s="113">
        <f t="shared" si="919"/>
        <v>1</v>
      </c>
      <c r="K910" s="113">
        <f t="shared" ref="K910:L910" si="920">K892/K$894</f>
        <v>1</v>
      </c>
      <c r="L910" s="113">
        <f t="shared" si="920"/>
        <v>1</v>
      </c>
      <c r="M910" s="197">
        <f t="shared" si="919"/>
        <v>1</v>
      </c>
      <c r="N910" s="197">
        <f t="shared" si="919"/>
        <v>1</v>
      </c>
      <c r="O910" s="197">
        <f t="shared" si="919"/>
        <v>1</v>
      </c>
      <c r="P910" s="197">
        <f t="shared" si="919"/>
        <v>1</v>
      </c>
    </row>
    <row r="911" spans="2:16" ht="12.6" customHeight="1" x14ac:dyDescent="0.2">
      <c r="B911" s="322" t="s">
        <v>284</v>
      </c>
      <c r="C911" s="326"/>
      <c r="D911" s="113"/>
      <c r="E911" s="113"/>
      <c r="F911" s="113"/>
      <c r="G911" s="113"/>
      <c r="H911" s="113"/>
      <c r="I911" s="113">
        <f t="shared" ref="I911:P911" si="921">I893/I$894</f>
        <v>0</v>
      </c>
      <c r="J911" s="113">
        <f t="shared" si="921"/>
        <v>0</v>
      </c>
      <c r="K911" s="113">
        <f t="shared" ref="K911:L911" si="922">K893/K$894</f>
        <v>0</v>
      </c>
      <c r="L911" s="113">
        <f t="shared" si="922"/>
        <v>0</v>
      </c>
      <c r="M911" s="197">
        <f t="shared" si="921"/>
        <v>0</v>
      </c>
      <c r="N911" s="197">
        <f t="shared" si="921"/>
        <v>0</v>
      </c>
      <c r="O911" s="197">
        <f t="shared" si="921"/>
        <v>0</v>
      </c>
      <c r="P911" s="197">
        <f t="shared" si="921"/>
        <v>0</v>
      </c>
    </row>
    <row r="912" spans="2:16" ht="12.6" customHeight="1" x14ac:dyDescent="0.2">
      <c r="B912" s="359" t="s">
        <v>551</v>
      </c>
      <c r="C912" s="327"/>
      <c r="D912" s="117"/>
      <c r="E912" s="117"/>
      <c r="F912" s="117"/>
      <c r="G912" s="117"/>
      <c r="H912" s="117"/>
      <c r="I912" s="117">
        <f t="shared" ref="I912:P912" si="923">I894/I$894</f>
        <v>1</v>
      </c>
      <c r="J912" s="117">
        <f t="shared" si="923"/>
        <v>1</v>
      </c>
      <c r="K912" s="117">
        <f t="shared" ref="K912:L912" si="924">K894/K$894</f>
        <v>1</v>
      </c>
      <c r="L912" s="117">
        <f t="shared" si="924"/>
        <v>1</v>
      </c>
      <c r="M912" s="204">
        <f t="shared" si="923"/>
        <v>1</v>
      </c>
      <c r="N912" s="204">
        <f t="shared" si="923"/>
        <v>1</v>
      </c>
      <c r="O912" s="204">
        <f t="shared" si="923"/>
        <v>1</v>
      </c>
      <c r="P912" s="204">
        <f t="shared" si="923"/>
        <v>1</v>
      </c>
    </row>
    <row r="913" spans="1:171" ht="12.6" customHeight="1" x14ac:dyDescent="0.2">
      <c r="B913" s="56"/>
      <c r="C913" s="61"/>
      <c r="D913" s="57"/>
      <c r="E913" s="57"/>
      <c r="F913" s="57"/>
      <c r="G913" s="57"/>
      <c r="H913" s="57"/>
      <c r="I913" s="57"/>
      <c r="J913" s="57"/>
      <c r="K913" s="57"/>
      <c r="L913" s="68"/>
      <c r="M913" s="68"/>
      <c r="N913" s="68"/>
      <c r="O913" s="68"/>
      <c r="P913" s="68"/>
    </row>
    <row r="914" spans="1:171" ht="12.6" customHeight="1" x14ac:dyDescent="0.2">
      <c r="B914" s="56" t="s">
        <v>563</v>
      </c>
      <c r="C914" s="61" t="s">
        <v>566</v>
      </c>
      <c r="D914" s="57"/>
      <c r="E914" s="57"/>
      <c r="F914" s="57"/>
      <c r="G914" s="57"/>
      <c r="H914" s="57"/>
      <c r="I914" s="57"/>
      <c r="J914" s="57">
        <f>J924*J$894</f>
        <v>2.5821624445182496E-2</v>
      </c>
      <c r="K914" s="57">
        <f t="shared" ref="K914:P914" si="925">K916-K915</f>
        <v>0</v>
      </c>
      <c r="L914" s="68">
        <f t="shared" si="925"/>
        <v>0</v>
      </c>
      <c r="M914" s="68">
        <f t="shared" si="925"/>
        <v>0</v>
      </c>
      <c r="N914" s="68">
        <f t="shared" si="925"/>
        <v>0</v>
      </c>
      <c r="O914" s="68">
        <f t="shared" si="925"/>
        <v>0</v>
      </c>
      <c r="P914" s="68">
        <f t="shared" si="925"/>
        <v>0</v>
      </c>
    </row>
    <row r="915" spans="1:171" ht="12.6" customHeight="1" x14ac:dyDescent="0.2">
      <c r="B915" s="56" t="s">
        <v>299</v>
      </c>
      <c r="C915" s="61" t="s">
        <v>566</v>
      </c>
      <c r="D915" s="57"/>
      <c r="E915" s="57"/>
      <c r="F915" s="57"/>
      <c r="G915" s="57"/>
      <c r="H915" s="57"/>
      <c r="I915" s="57"/>
      <c r="J915" s="57">
        <f>J925*J$894</f>
        <v>2.5563408200730673</v>
      </c>
      <c r="K915" s="57">
        <f t="shared" ref="K915:P915" si="926">K916*K925</f>
        <v>2.4</v>
      </c>
      <c r="L915" s="68">
        <f t="shared" si="926"/>
        <v>2.4940000000000002</v>
      </c>
      <c r="M915" s="68">
        <f t="shared" si="926"/>
        <v>3.1175000000000002</v>
      </c>
      <c r="N915" s="68">
        <f t="shared" si="926"/>
        <v>3.4292500000000006</v>
      </c>
      <c r="O915" s="68">
        <f t="shared" si="926"/>
        <v>3.6350050000000009</v>
      </c>
      <c r="P915" s="68">
        <f t="shared" si="926"/>
        <v>3.8531053000000011</v>
      </c>
    </row>
    <row r="916" spans="1:171" ht="12.6" customHeight="1" x14ac:dyDescent="0.2">
      <c r="B916" s="72" t="s">
        <v>551</v>
      </c>
      <c r="C916" s="61"/>
      <c r="D916" s="63"/>
      <c r="E916" s="63"/>
      <c r="F916" s="63"/>
      <c r="G916" s="63"/>
      <c r="H916" s="63"/>
      <c r="I916" s="63"/>
      <c r="J916" s="63">
        <f>SUM(J914:J915)</f>
        <v>2.5821624445182496</v>
      </c>
      <c r="K916" s="63">
        <f t="shared" ref="K916:P916" si="927">K894</f>
        <v>2.4</v>
      </c>
      <c r="L916" s="64">
        <f t="shared" si="927"/>
        <v>2.4940000000000002</v>
      </c>
      <c r="M916" s="64">
        <f t="shared" si="927"/>
        <v>3.1175000000000002</v>
      </c>
      <c r="N916" s="64">
        <f t="shared" si="927"/>
        <v>3.4292500000000006</v>
      </c>
      <c r="O916" s="64">
        <f t="shared" si="927"/>
        <v>3.6350050000000009</v>
      </c>
      <c r="P916" s="64">
        <f t="shared" si="927"/>
        <v>3.8531053000000011</v>
      </c>
    </row>
    <row r="917" spans="1:171" ht="12.6" customHeight="1" x14ac:dyDescent="0.2">
      <c r="B917" s="72"/>
      <c r="C917" s="61"/>
      <c r="D917" s="63"/>
      <c r="E917" s="63"/>
      <c r="F917" s="63"/>
      <c r="G917" s="63"/>
      <c r="H917" s="63"/>
      <c r="I917" s="63"/>
      <c r="J917" s="63"/>
      <c r="K917" s="63"/>
      <c r="L917" s="64"/>
      <c r="M917" s="64"/>
      <c r="N917" s="64"/>
      <c r="O917" s="64"/>
      <c r="P917" s="64"/>
    </row>
    <row r="918" spans="1:171" ht="12.6" customHeight="1" x14ac:dyDescent="0.2">
      <c r="B918" s="331" t="s">
        <v>227</v>
      </c>
      <c r="C918" s="326"/>
      <c r="D918" s="335"/>
      <c r="E918" s="335"/>
      <c r="F918" s="335"/>
      <c r="G918" s="335"/>
      <c r="H918" s="335"/>
      <c r="I918" s="335"/>
      <c r="J918" s="335"/>
      <c r="K918" s="335"/>
      <c r="L918" s="336"/>
      <c r="M918" s="336"/>
      <c r="N918" s="336"/>
      <c r="O918" s="336"/>
      <c r="P918" s="336"/>
    </row>
    <row r="919" spans="1:171" ht="12.6" customHeight="1" x14ac:dyDescent="0.2">
      <c r="B919" s="322" t="s">
        <v>563</v>
      </c>
      <c r="C919" s="326"/>
      <c r="D919" s="113"/>
      <c r="E919" s="113"/>
      <c r="F919" s="113"/>
      <c r="G919" s="113"/>
      <c r="H919" s="113"/>
      <c r="I919" s="113"/>
      <c r="J919" s="113" t="str">
        <f>IFERROR(J914/I914-1,"--")</f>
        <v>--</v>
      </c>
      <c r="K919" s="113">
        <f t="shared" ref="K919:P919" si="928">IFERROR(K914/J914-1,"--")</f>
        <v>-1</v>
      </c>
      <c r="L919" s="197" t="str">
        <f t="shared" si="928"/>
        <v>--</v>
      </c>
      <c r="M919" s="197" t="str">
        <f t="shared" si="928"/>
        <v>--</v>
      </c>
      <c r="N919" s="197" t="str">
        <f t="shared" si="928"/>
        <v>--</v>
      </c>
      <c r="O919" s="197" t="str">
        <f t="shared" si="928"/>
        <v>--</v>
      </c>
      <c r="P919" s="197" t="str">
        <f t="shared" si="928"/>
        <v>--</v>
      </c>
    </row>
    <row r="920" spans="1:171" ht="12.6" customHeight="1" x14ac:dyDescent="0.2">
      <c r="B920" s="322" t="s">
        <v>299</v>
      </c>
      <c r="C920" s="326"/>
      <c r="D920" s="113"/>
      <c r="E920" s="113"/>
      <c r="F920" s="113"/>
      <c r="G920" s="113"/>
      <c r="H920" s="113"/>
      <c r="I920" s="113"/>
      <c r="J920" s="113" t="str">
        <f t="shared" ref="J920:P920" si="929">IFERROR(J915/I915-1,"--")</f>
        <v>--</v>
      </c>
      <c r="K920" s="113">
        <f t="shared" si="929"/>
        <v>-6.1158050149431431E-2</v>
      </c>
      <c r="L920" s="197">
        <f t="shared" si="929"/>
        <v>3.9166666666666794E-2</v>
      </c>
      <c r="M920" s="197">
        <f t="shared" si="929"/>
        <v>0.25</v>
      </c>
      <c r="N920" s="197">
        <f t="shared" si="929"/>
        <v>0.10000000000000009</v>
      </c>
      <c r="O920" s="197">
        <f t="shared" si="929"/>
        <v>6.0000000000000053E-2</v>
      </c>
      <c r="P920" s="197">
        <f t="shared" si="929"/>
        <v>6.0000000000000053E-2</v>
      </c>
    </row>
    <row r="921" spans="1:171" ht="12.6" customHeight="1" x14ac:dyDescent="0.2">
      <c r="B921" s="331" t="s">
        <v>551</v>
      </c>
      <c r="C921" s="327"/>
      <c r="D921" s="117"/>
      <c r="E921" s="117"/>
      <c r="F921" s="117"/>
      <c r="G921" s="117"/>
      <c r="H921" s="117"/>
      <c r="I921" s="117"/>
      <c r="J921" s="117" t="str">
        <f t="shared" ref="J921:P921" si="930">IFERROR(J916/I916-1,"--")</f>
        <v>--</v>
      </c>
      <c r="K921" s="117">
        <f t="shared" si="930"/>
        <v>-7.0546469647937093E-2</v>
      </c>
      <c r="L921" s="204">
        <f t="shared" si="930"/>
        <v>3.9166666666666794E-2</v>
      </c>
      <c r="M921" s="204">
        <f t="shared" si="930"/>
        <v>0.25</v>
      </c>
      <c r="N921" s="204">
        <f t="shared" si="930"/>
        <v>0.10000000000000009</v>
      </c>
      <c r="O921" s="204">
        <f t="shared" si="930"/>
        <v>6.0000000000000053E-2</v>
      </c>
      <c r="P921" s="204">
        <f t="shared" si="930"/>
        <v>6.0000000000000053E-2</v>
      </c>
    </row>
    <row r="922" spans="1:171" ht="12.6" customHeight="1" x14ac:dyDescent="0.2">
      <c r="B922" s="331"/>
      <c r="C922" s="326"/>
      <c r="D922" s="335"/>
      <c r="E922" s="335"/>
      <c r="F922" s="335"/>
      <c r="G922" s="335"/>
      <c r="H922" s="335"/>
      <c r="I922" s="335"/>
      <c r="J922" s="335"/>
      <c r="K922" s="335"/>
      <c r="L922" s="336"/>
      <c r="M922" s="336"/>
      <c r="N922" s="336"/>
      <c r="O922" s="336"/>
      <c r="P922" s="336"/>
    </row>
    <row r="923" spans="1:171" ht="12.6" customHeight="1" x14ac:dyDescent="0.2">
      <c r="B923" s="331" t="s">
        <v>287</v>
      </c>
      <c r="C923" s="326"/>
      <c r="D923" s="335"/>
      <c r="E923" s="335"/>
      <c r="F923" s="335"/>
      <c r="G923" s="335"/>
      <c r="H923" s="335"/>
      <c r="I923" s="335"/>
      <c r="J923" s="335"/>
      <c r="K923" s="335"/>
      <c r="L923" s="336"/>
      <c r="M923" s="336"/>
      <c r="N923" s="336"/>
      <c r="O923" s="336"/>
      <c r="P923" s="336"/>
    </row>
    <row r="924" spans="1:171" ht="12.6" customHeight="1" x14ac:dyDescent="0.2">
      <c r="B924" s="322" t="s">
        <v>563</v>
      </c>
      <c r="C924" s="326"/>
      <c r="D924" s="113"/>
      <c r="E924" s="113"/>
      <c r="F924" s="113"/>
      <c r="G924" s="113"/>
      <c r="H924" s="113"/>
      <c r="I924" s="113"/>
      <c r="J924" s="113">
        <v>0.01</v>
      </c>
      <c r="K924" s="113">
        <f t="shared" ref="K924:P924" si="931">1-K925</f>
        <v>0</v>
      </c>
      <c r="L924" s="197">
        <f t="shared" si="931"/>
        <v>0</v>
      </c>
      <c r="M924" s="197">
        <f t="shared" si="931"/>
        <v>0</v>
      </c>
      <c r="N924" s="197">
        <f t="shared" si="931"/>
        <v>0</v>
      </c>
      <c r="O924" s="197">
        <f t="shared" si="931"/>
        <v>0</v>
      </c>
      <c r="P924" s="197">
        <f t="shared" si="931"/>
        <v>0</v>
      </c>
    </row>
    <row r="925" spans="1:171" ht="12.6" customHeight="1" x14ac:dyDescent="0.2">
      <c r="B925" s="359" t="s">
        <v>299</v>
      </c>
      <c r="C925" s="327"/>
      <c r="D925" s="117"/>
      <c r="E925" s="117"/>
      <c r="F925" s="117"/>
      <c r="G925" s="117"/>
      <c r="H925" s="117"/>
      <c r="I925" s="117"/>
      <c r="J925" s="117">
        <v>0.99</v>
      </c>
      <c r="K925" s="117">
        <v>1</v>
      </c>
      <c r="L925" s="360">
        <f t="shared" ref="L925:P925" si="932">K925</f>
        <v>1</v>
      </c>
      <c r="M925" s="360">
        <f t="shared" si="932"/>
        <v>1</v>
      </c>
      <c r="N925" s="360">
        <f t="shared" si="932"/>
        <v>1</v>
      </c>
      <c r="O925" s="360">
        <f t="shared" si="932"/>
        <v>1</v>
      </c>
      <c r="P925" s="360">
        <f t="shared" si="932"/>
        <v>1</v>
      </c>
    </row>
    <row r="926" spans="1:171" ht="12.6" customHeight="1" x14ac:dyDescent="0.2">
      <c r="B926" s="116"/>
      <c r="C926" s="61"/>
      <c r="D926" s="63"/>
      <c r="E926" s="63"/>
      <c r="F926" s="63"/>
      <c r="G926" s="63"/>
      <c r="H926" s="63"/>
      <c r="I926" s="63"/>
      <c r="J926" s="63"/>
      <c r="K926" s="63"/>
      <c r="L926" s="64"/>
      <c r="M926" s="64"/>
      <c r="N926" s="64"/>
      <c r="O926" s="64"/>
      <c r="P926" s="64"/>
    </row>
    <row r="927" spans="1:171" ht="12.6" customHeight="1" x14ac:dyDescent="0.2">
      <c r="A927" s="87"/>
      <c r="B927" s="206"/>
      <c r="C927" s="191"/>
      <c r="D927" s="42"/>
      <c r="E927" s="42"/>
      <c r="F927" s="42"/>
      <c r="G927" s="42"/>
      <c r="H927" s="42"/>
      <c r="I927" s="42"/>
      <c r="J927" s="42"/>
      <c r="K927" s="42"/>
      <c r="L927" s="42"/>
      <c r="M927" s="42"/>
      <c r="N927" s="42"/>
      <c r="O927" s="42"/>
      <c r="P927" s="42"/>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c r="AO927" s="87"/>
      <c r="AP927" s="87"/>
      <c r="AQ927" s="87"/>
      <c r="AR927" s="87"/>
      <c r="AS927" s="87"/>
      <c r="AT927" s="87"/>
      <c r="AU927" s="87"/>
      <c r="AV927" s="87"/>
      <c r="AW927" s="87"/>
      <c r="AX927" s="87"/>
      <c r="AY927" s="87"/>
      <c r="BA927" s="87"/>
      <c r="BB927" s="87"/>
      <c r="BC927" s="87"/>
      <c r="BD927" s="87"/>
      <c r="BE927" s="87"/>
      <c r="BF927" s="87"/>
      <c r="BG927" s="87"/>
      <c r="BH927" s="87"/>
      <c r="BI927" s="87"/>
      <c r="BJ927" s="87"/>
      <c r="BK927" s="87"/>
      <c r="BL927" s="87"/>
      <c r="BM927" s="87"/>
      <c r="BN927" s="87"/>
      <c r="BP927" s="87"/>
      <c r="BQ927" s="87"/>
      <c r="BR927" s="87"/>
      <c r="BS927" s="87"/>
      <c r="BT927" s="87"/>
      <c r="BU927" s="87"/>
      <c r="BV927" s="87"/>
      <c r="BW927" s="87"/>
      <c r="BX927" s="87"/>
      <c r="BY927" s="87"/>
      <c r="BZ927" s="87"/>
      <c r="CB927" s="87"/>
      <c r="CC927" s="87"/>
      <c r="CD927" s="87"/>
      <c r="CE927" s="87"/>
      <c r="CF927" s="87"/>
      <c r="CG927" s="87"/>
      <c r="CH927" s="87"/>
      <c r="CI927" s="87"/>
      <c r="CJ927" s="87"/>
      <c r="CK927" s="87"/>
      <c r="CL927" s="87"/>
      <c r="CN927" s="87"/>
      <c r="CO927" s="87"/>
      <c r="CP927" s="87"/>
      <c r="CQ927" s="87"/>
      <c r="CR927" s="87"/>
      <c r="CS927" s="87"/>
      <c r="CT927" s="87"/>
      <c r="CU927" s="87"/>
      <c r="CV927" s="87"/>
      <c r="CW927" s="87"/>
      <c r="CX927" s="87"/>
      <c r="CZ927" s="87"/>
      <c r="DA927" s="87"/>
      <c r="DB927" s="87"/>
      <c r="DC927" s="87"/>
      <c r="DD927" s="87"/>
      <c r="DE927" s="87"/>
      <c r="DF927" s="87"/>
      <c r="DG927" s="87"/>
      <c r="DH927" s="87"/>
      <c r="DI927" s="87"/>
      <c r="DJ927" s="87"/>
      <c r="DL927" s="87"/>
      <c r="DM927" s="87"/>
      <c r="DN927" s="87"/>
      <c r="DO927" s="87"/>
      <c r="DP927" s="87"/>
      <c r="DQ927" s="87"/>
      <c r="DR927" s="87"/>
      <c r="DS927" s="87"/>
      <c r="DT927" s="87"/>
      <c r="DU927" s="87"/>
      <c r="DV927" s="87"/>
      <c r="DX927" s="87"/>
      <c r="DY927" s="87"/>
      <c r="DZ927" s="87"/>
      <c r="EA927" s="87"/>
      <c r="EB927" s="87"/>
      <c r="EC927" s="87"/>
      <c r="ED927" s="87"/>
      <c r="EE927" s="87"/>
      <c r="EF927" s="87"/>
      <c r="EG927" s="87"/>
      <c r="EH927" s="87"/>
      <c r="EJ927" s="87"/>
      <c r="EK927" s="87"/>
      <c r="EL927" s="87"/>
      <c r="EM927" s="87"/>
      <c r="EN927" s="87"/>
      <c r="EO927" s="87"/>
      <c r="EP927" s="87"/>
      <c r="EQ927" s="87"/>
      <c r="ER927" s="87"/>
      <c r="ES927" s="87"/>
      <c r="ET927" s="87"/>
      <c r="EV927" s="87"/>
      <c r="EW927" s="87"/>
      <c r="EX927" s="87"/>
      <c r="EY927" s="87"/>
      <c r="EZ927" s="87"/>
      <c r="FA927" s="87"/>
      <c r="FB927" s="87"/>
      <c r="FC927" s="87"/>
      <c r="FD927" s="87"/>
      <c r="FE927" s="87"/>
      <c r="FF927" s="87"/>
      <c r="FH927" s="87"/>
      <c r="FI927" s="87"/>
      <c r="FJ927" s="87"/>
      <c r="FK927" s="87"/>
      <c r="FL927" s="87"/>
      <c r="FM927" s="87"/>
      <c r="FN927" s="87"/>
      <c r="FO927" s="87"/>
    </row>
    <row r="928" spans="1:171" ht="12.6" customHeight="1" x14ac:dyDescent="0.2">
      <c r="B928" s="50" t="s">
        <v>571</v>
      </c>
      <c r="C928" s="50" t="s">
        <v>473</v>
      </c>
      <c r="D928" s="163"/>
      <c r="E928" s="163"/>
      <c r="F928" s="163"/>
      <c r="G928" s="51"/>
      <c r="H928" s="51"/>
      <c r="I928" s="51"/>
      <c r="J928" s="51"/>
      <c r="K928" s="51"/>
      <c r="L928" s="54"/>
      <c r="M928" s="54"/>
      <c r="N928" s="54"/>
      <c r="O928" s="54"/>
      <c r="P928" s="54"/>
    </row>
    <row r="929" spans="2:17" ht="12.6" customHeight="1" x14ac:dyDescent="0.2">
      <c r="B929" s="61" t="s">
        <v>565</v>
      </c>
      <c r="C929" s="61" t="s">
        <v>570</v>
      </c>
      <c r="D929" s="63"/>
      <c r="E929" s="63">
        <f>[3]Standalone!D7</f>
        <v>2708.3339999999998</v>
      </c>
      <c r="F929" s="311">
        <f>Standalone!E7</f>
        <v>2845.712</v>
      </c>
      <c r="G929" s="301">
        <f>Standalone!F7</f>
        <v>3202.5889999999999</v>
      </c>
      <c r="H929" s="301">
        <f>Standalone!G7</f>
        <v>4579.7240000000002</v>
      </c>
      <c r="I929" s="301">
        <f>Standalone!H7</f>
        <v>5144.4459999999999</v>
      </c>
      <c r="J929" s="301">
        <f>Standalone!I7</f>
        <v>5343.8</v>
      </c>
      <c r="K929" s="301">
        <f>Standalone!J7</f>
        <v>5199.3</v>
      </c>
      <c r="L929" s="302">
        <f t="shared" ref="L929:P929" si="933">L930*L943</f>
        <v>6801.334312500001</v>
      </c>
      <c r="M929" s="302">
        <f t="shared" si="933"/>
        <v>7141.4010281250021</v>
      </c>
      <c r="N929" s="302">
        <f t="shared" si="933"/>
        <v>7648.4405011218787</v>
      </c>
      <c r="O929" s="302">
        <f t="shared" si="933"/>
        <v>8191.4797767015325</v>
      </c>
      <c r="P929" s="302">
        <f t="shared" si="933"/>
        <v>8773.074840847341</v>
      </c>
    </row>
    <row r="930" spans="2:17" ht="12.6" customHeight="1" x14ac:dyDescent="0.2">
      <c r="B930" s="59" t="s">
        <v>474</v>
      </c>
      <c r="C930" s="61" t="s">
        <v>476</v>
      </c>
      <c r="D930" s="57"/>
      <c r="E930" s="57">
        <f t="shared" ref="E930" si="934">E929/E943</f>
        <v>646.38042959427207</v>
      </c>
      <c r="F930" s="57">
        <f t="shared" ref="F930:J930" si="935">F929/F943</f>
        <v>896.02414741675886</v>
      </c>
      <c r="G930" s="57">
        <f t="shared" si="935"/>
        <v>892.08607242339838</v>
      </c>
      <c r="H930" s="57">
        <f t="shared" si="935"/>
        <v>1512.5979590058607</v>
      </c>
      <c r="I930" s="57">
        <f t="shared" si="935"/>
        <v>1905.3503703703702</v>
      </c>
      <c r="J930" s="288">
        <f t="shared" si="935"/>
        <v>2016.5283018867926</v>
      </c>
      <c r="K930" s="288">
        <f t="shared" ref="K930" si="936">K929/K943</f>
        <v>2166.375</v>
      </c>
      <c r="L930" s="303">
        <f t="shared" ref="L930:P930" si="937">K930*(1+L931)</f>
        <v>2274.6937499999999</v>
      </c>
      <c r="M930" s="303">
        <f t="shared" si="937"/>
        <v>2388.4284375000002</v>
      </c>
      <c r="N930" s="303">
        <f t="shared" si="937"/>
        <v>2507.8498593750005</v>
      </c>
      <c r="O930" s="303">
        <f t="shared" si="937"/>
        <v>2633.2423523437506</v>
      </c>
      <c r="P930" s="303">
        <f t="shared" si="937"/>
        <v>2764.9044699609381</v>
      </c>
    </row>
    <row r="931" spans="2:17" ht="12.6" customHeight="1" x14ac:dyDescent="0.2">
      <c r="B931" s="322" t="s">
        <v>227</v>
      </c>
      <c r="C931" s="323" t="s">
        <v>477</v>
      </c>
      <c r="D931" s="58"/>
      <c r="E931" s="58"/>
      <c r="F931" s="339">
        <f t="shared" ref="F931:K931" si="938">F930/E930-1</f>
        <v>0.38621793976526519</v>
      </c>
      <c r="G931" s="330">
        <f t="shared" si="938"/>
        <v>-4.3950545358782955E-3</v>
      </c>
      <c r="H931" s="330">
        <f t="shared" si="938"/>
        <v>0.69557400991230534</v>
      </c>
      <c r="I931" s="330">
        <f t="shared" si="938"/>
        <v>0.25965419894037267</v>
      </c>
      <c r="J931" s="330">
        <f t="shared" si="938"/>
        <v>5.8350387018221372E-2</v>
      </c>
      <c r="K931" s="330">
        <f t="shared" si="938"/>
        <v>7.4309246229274928E-2</v>
      </c>
      <c r="L931" s="354">
        <v>0.05</v>
      </c>
      <c r="M931" s="354">
        <v>0.05</v>
      </c>
      <c r="N931" s="354">
        <v>0.05</v>
      </c>
      <c r="O931" s="354">
        <v>0.05</v>
      </c>
      <c r="P931" s="354">
        <v>0.05</v>
      </c>
    </row>
    <row r="932" spans="2:17" ht="12.6" customHeight="1" x14ac:dyDescent="0.2">
      <c r="B932" s="59"/>
      <c r="C932" s="61"/>
      <c r="D932" s="57"/>
      <c r="E932" s="57"/>
      <c r="F932" s="288"/>
      <c r="G932" s="57"/>
      <c r="H932" s="57"/>
      <c r="I932" s="57"/>
      <c r="J932" s="57"/>
      <c r="K932" s="57"/>
      <c r="L932" s="57"/>
      <c r="M932" s="68"/>
      <c r="N932" s="68"/>
      <c r="O932" s="68"/>
      <c r="P932" s="68"/>
    </row>
    <row r="933" spans="2:17" ht="12.6" customHeight="1" x14ac:dyDescent="0.2">
      <c r="B933" s="72" t="s">
        <v>303</v>
      </c>
      <c r="C933" s="61" t="s">
        <v>4</v>
      </c>
      <c r="D933" s="57"/>
      <c r="E933" s="57"/>
      <c r="F933" s="288"/>
      <c r="G933" s="288"/>
      <c r="H933" s="288"/>
      <c r="I933" s="288"/>
      <c r="J933" s="288"/>
      <c r="K933" s="288"/>
      <c r="L933" s="288"/>
      <c r="M933" s="68"/>
      <c r="N933" s="68"/>
      <c r="O933" s="68"/>
      <c r="P933" s="68"/>
    </row>
    <row r="934" spans="2:17" ht="12.6" customHeight="1" x14ac:dyDescent="0.2">
      <c r="B934" s="202" t="s">
        <v>555</v>
      </c>
      <c r="C934" s="326" t="s">
        <v>4</v>
      </c>
      <c r="D934" s="58"/>
      <c r="E934" s="58"/>
      <c r="F934" s="330"/>
      <c r="G934" s="330"/>
      <c r="H934" s="330"/>
      <c r="I934" s="330"/>
      <c r="J934" s="330"/>
      <c r="K934" s="330"/>
      <c r="L934" s="330"/>
      <c r="M934" s="324"/>
      <c r="N934" s="324"/>
      <c r="O934" s="324"/>
      <c r="P934" s="324"/>
    </row>
    <row r="935" spans="2:17" ht="12.6" customHeight="1" x14ac:dyDescent="0.2">
      <c r="B935" s="59"/>
      <c r="C935" s="61"/>
      <c r="D935" s="57"/>
      <c r="E935" s="57"/>
      <c r="F935" s="288"/>
      <c r="G935" s="57"/>
      <c r="H935" s="57"/>
      <c r="I935" s="57"/>
      <c r="J935" s="57"/>
      <c r="K935" s="57"/>
      <c r="L935" s="57"/>
      <c r="M935" s="68"/>
      <c r="N935" s="68"/>
      <c r="O935" s="68"/>
      <c r="P935" s="68"/>
    </row>
    <row r="936" spans="2:17" ht="12.6" customHeight="1" x14ac:dyDescent="0.2">
      <c r="B936" s="72" t="s">
        <v>489</v>
      </c>
      <c r="C936" s="61"/>
      <c r="D936" s="57"/>
      <c r="E936" s="57"/>
      <c r="F936" s="288"/>
      <c r="G936" s="57"/>
      <c r="H936" s="57"/>
      <c r="I936" s="57"/>
      <c r="J936" s="57"/>
      <c r="K936" s="57"/>
      <c r="L936" s="57"/>
      <c r="M936" s="68"/>
      <c r="N936" s="68"/>
      <c r="O936" s="68"/>
      <c r="P936" s="68"/>
    </row>
    <row r="937" spans="2:17" ht="12.6" customHeight="1" x14ac:dyDescent="0.2">
      <c r="B937" s="56" t="s">
        <v>279</v>
      </c>
      <c r="C937" s="61"/>
      <c r="D937" s="288"/>
      <c r="E937" s="288">
        <v>4.1899999999999995</v>
      </c>
      <c r="F937" s="288">
        <v>3.1759322649999988</v>
      </c>
      <c r="G937" s="288">
        <v>3.59</v>
      </c>
      <c r="H937" s="288">
        <v>3.0277205999999999</v>
      </c>
      <c r="I937" s="288">
        <v>2.7</v>
      </c>
      <c r="J937" s="288">
        <v>2.65</v>
      </c>
      <c r="K937" s="288">
        <f>$K$943*J955</f>
        <v>2.4</v>
      </c>
      <c r="L937" s="288">
        <v>2.9900000000000007</v>
      </c>
      <c r="M937" s="303">
        <f t="shared" ref="M937:P937" si="939">L937*(1+M946)</f>
        <v>2.9900000000000007</v>
      </c>
      <c r="N937" s="303">
        <f t="shared" si="939"/>
        <v>3.0498000000000007</v>
      </c>
      <c r="O937" s="303">
        <f t="shared" si="939"/>
        <v>3.110796000000001</v>
      </c>
      <c r="P937" s="303">
        <f t="shared" si="939"/>
        <v>3.1730119200000009</v>
      </c>
    </row>
    <row r="938" spans="2:17" ht="12.6" customHeight="1" x14ac:dyDescent="0.2">
      <c r="B938" s="56" t="s">
        <v>280</v>
      </c>
      <c r="C938" s="61"/>
      <c r="D938" s="288"/>
      <c r="E938" s="288">
        <v>0</v>
      </c>
      <c r="F938" s="288">
        <v>0</v>
      </c>
      <c r="G938" s="288">
        <v>0</v>
      </c>
      <c r="H938" s="288">
        <v>0</v>
      </c>
      <c r="I938" s="288">
        <v>0</v>
      </c>
      <c r="J938" s="288">
        <v>0</v>
      </c>
      <c r="K938" s="288">
        <f t="shared" ref="K938:K942" si="940">$K$943*J956</f>
        <v>0</v>
      </c>
      <c r="L938" s="288">
        <v>0</v>
      </c>
      <c r="M938" s="303">
        <f t="shared" ref="M938:P938" si="941">L938*(1+M947)</f>
        <v>0</v>
      </c>
      <c r="N938" s="303">
        <f t="shared" si="941"/>
        <v>0</v>
      </c>
      <c r="O938" s="303">
        <f t="shared" si="941"/>
        <v>0</v>
      </c>
      <c r="P938" s="303">
        <f t="shared" si="941"/>
        <v>0</v>
      </c>
    </row>
    <row r="939" spans="2:17" ht="12.6" customHeight="1" x14ac:dyDescent="0.2">
      <c r="B939" s="56" t="s">
        <v>281</v>
      </c>
      <c r="C939" s="61"/>
      <c r="D939" s="288"/>
      <c r="E939" s="288">
        <v>0</v>
      </c>
      <c r="F939" s="288">
        <v>0</v>
      </c>
      <c r="G939" s="288">
        <v>0</v>
      </c>
      <c r="H939" s="288">
        <v>0</v>
      </c>
      <c r="I939" s="288">
        <v>0</v>
      </c>
      <c r="J939" s="288">
        <v>0</v>
      </c>
      <c r="K939" s="288">
        <f t="shared" si="940"/>
        <v>0</v>
      </c>
      <c r="L939" s="288">
        <v>0</v>
      </c>
      <c r="M939" s="303">
        <f t="shared" ref="M939:P939" si="942">L939*(1+M948)</f>
        <v>0</v>
      </c>
      <c r="N939" s="303">
        <f t="shared" si="942"/>
        <v>0</v>
      </c>
      <c r="O939" s="303">
        <f t="shared" si="942"/>
        <v>0</v>
      </c>
      <c r="P939" s="303">
        <f t="shared" si="942"/>
        <v>0</v>
      </c>
    </row>
    <row r="940" spans="2:17" ht="12.6" customHeight="1" x14ac:dyDescent="0.2">
      <c r="B940" s="56" t="s">
        <v>282</v>
      </c>
      <c r="C940" s="61"/>
      <c r="D940" s="288"/>
      <c r="E940" s="288">
        <v>0</v>
      </c>
      <c r="F940" s="288">
        <v>0</v>
      </c>
      <c r="G940" s="288">
        <v>0</v>
      </c>
      <c r="H940" s="288">
        <v>0</v>
      </c>
      <c r="I940" s="288">
        <v>0</v>
      </c>
      <c r="J940" s="288">
        <v>0</v>
      </c>
      <c r="K940" s="288">
        <f t="shared" si="940"/>
        <v>0</v>
      </c>
      <c r="L940" s="288">
        <v>0</v>
      </c>
      <c r="M940" s="303">
        <f t="shared" ref="M940:P940" si="943">L940*(1+M949)</f>
        <v>0</v>
      </c>
      <c r="N940" s="303">
        <f t="shared" si="943"/>
        <v>0</v>
      </c>
      <c r="O940" s="303">
        <f t="shared" si="943"/>
        <v>0</v>
      </c>
      <c r="P940" s="303">
        <f t="shared" si="943"/>
        <v>0</v>
      </c>
    </row>
    <row r="941" spans="2:17" ht="12.6" customHeight="1" x14ac:dyDescent="0.2">
      <c r="B941" s="56" t="s">
        <v>283</v>
      </c>
      <c r="C941" s="61"/>
      <c r="D941" s="288"/>
      <c r="E941" s="288">
        <v>0</v>
      </c>
      <c r="F941" s="288">
        <v>0</v>
      </c>
      <c r="G941" s="288">
        <v>0</v>
      </c>
      <c r="H941" s="288">
        <v>0</v>
      </c>
      <c r="I941" s="288">
        <v>0</v>
      </c>
      <c r="J941" s="288">
        <v>0</v>
      </c>
      <c r="K941" s="288">
        <f t="shared" si="940"/>
        <v>0</v>
      </c>
      <c r="L941" s="288">
        <v>0</v>
      </c>
      <c r="M941" s="303">
        <f t="shared" ref="M941:P941" si="944">L941*(1+M950)</f>
        <v>0</v>
      </c>
      <c r="N941" s="303">
        <f t="shared" si="944"/>
        <v>0</v>
      </c>
      <c r="O941" s="303">
        <f t="shared" si="944"/>
        <v>0</v>
      </c>
      <c r="P941" s="303">
        <f t="shared" si="944"/>
        <v>0</v>
      </c>
    </row>
    <row r="942" spans="2:17" ht="12.6" customHeight="1" x14ac:dyDescent="0.2">
      <c r="B942" s="56" t="s">
        <v>284</v>
      </c>
      <c r="C942" s="61"/>
      <c r="D942" s="288"/>
      <c r="E942" s="288">
        <v>0</v>
      </c>
      <c r="F942" s="288">
        <v>0</v>
      </c>
      <c r="G942" s="288">
        <v>0</v>
      </c>
      <c r="H942" s="288">
        <v>0</v>
      </c>
      <c r="I942" s="288">
        <v>0</v>
      </c>
      <c r="J942" s="288">
        <v>0</v>
      </c>
      <c r="K942" s="288">
        <f t="shared" si="940"/>
        <v>0</v>
      </c>
      <c r="L942" s="288">
        <v>0</v>
      </c>
      <c r="M942" s="303">
        <f t="shared" ref="M942:P942" si="945">L942*(1+M951)</f>
        <v>0</v>
      </c>
      <c r="N942" s="303">
        <f t="shared" si="945"/>
        <v>0</v>
      </c>
      <c r="O942" s="303">
        <f t="shared" si="945"/>
        <v>0</v>
      </c>
      <c r="P942" s="303">
        <f t="shared" si="945"/>
        <v>0</v>
      </c>
    </row>
    <row r="943" spans="2:17" ht="12.6" customHeight="1" x14ac:dyDescent="0.2">
      <c r="B943" s="72" t="s">
        <v>551</v>
      </c>
      <c r="C943" s="95"/>
      <c r="D943" s="63"/>
      <c r="E943" s="63">
        <f t="shared" ref="E943" si="946">SUM(E937:E942)</f>
        <v>4.1899999999999995</v>
      </c>
      <c r="F943" s="63">
        <f t="shared" ref="F943:P943" si="947">SUM(F937:F942)</f>
        <v>3.1759322649999988</v>
      </c>
      <c r="G943" s="63">
        <f t="shared" si="947"/>
        <v>3.59</v>
      </c>
      <c r="H943" s="63">
        <f t="shared" si="947"/>
        <v>3.0277205999999999</v>
      </c>
      <c r="I943" s="63">
        <f t="shared" si="947"/>
        <v>2.7</v>
      </c>
      <c r="J943" s="63">
        <f t="shared" si="947"/>
        <v>2.65</v>
      </c>
      <c r="K943" s="63">
        <f>K3</f>
        <v>2.4</v>
      </c>
      <c r="L943" s="63">
        <v>2.9900000000000007</v>
      </c>
      <c r="M943" s="64">
        <f t="shared" si="947"/>
        <v>2.9900000000000007</v>
      </c>
      <c r="N943" s="64">
        <f t="shared" si="947"/>
        <v>3.0498000000000007</v>
      </c>
      <c r="O943" s="64">
        <f t="shared" si="947"/>
        <v>3.110796000000001</v>
      </c>
      <c r="P943" s="64">
        <f t="shared" si="947"/>
        <v>3.1730119200000009</v>
      </c>
    </row>
    <row r="944" spans="2:17" ht="12.6" customHeight="1" x14ac:dyDescent="0.2">
      <c r="B944" s="72"/>
      <c r="C944" s="95"/>
      <c r="D944" s="63"/>
      <c r="E944" s="63"/>
      <c r="F944" s="63"/>
      <c r="G944" s="63"/>
      <c r="H944" s="63"/>
      <c r="I944" s="63"/>
      <c r="J944" s="63"/>
      <c r="K944" s="63"/>
      <c r="L944" s="63"/>
      <c r="M944" s="64"/>
      <c r="N944" s="64"/>
      <c r="O944" s="64"/>
      <c r="P944" s="64"/>
      <c r="Q944" s="352"/>
    </row>
    <row r="945" spans="2:16" ht="12.6" customHeight="1" x14ac:dyDescent="0.2">
      <c r="B945" s="116" t="s">
        <v>227</v>
      </c>
      <c r="C945" s="61"/>
      <c r="D945" s="63"/>
      <c r="E945" s="63"/>
      <c r="F945" s="63"/>
      <c r="G945" s="63"/>
      <c r="H945" s="63"/>
      <c r="I945" s="63"/>
      <c r="J945" s="63"/>
      <c r="K945" s="63"/>
      <c r="L945" s="63"/>
      <c r="M945" s="68"/>
      <c r="N945" s="68"/>
      <c r="O945" s="68"/>
      <c r="P945" s="68"/>
    </row>
    <row r="946" spans="2:16" ht="12.6" customHeight="1" x14ac:dyDescent="0.2">
      <c r="B946" s="322" t="s">
        <v>279</v>
      </c>
      <c r="C946" s="355"/>
      <c r="D946" s="113"/>
      <c r="E946" s="113">
        <f t="shared" ref="E946:E952" si="948">IFERROR(E937/D937-1,0)</f>
        <v>0</v>
      </c>
      <c r="F946" s="113">
        <f t="shared" ref="F946:I952" si="949">IFERROR(F937/E937-1,0)</f>
        <v>-0.24202093914081169</v>
      </c>
      <c r="G946" s="113">
        <f t="shared" si="949"/>
        <v>0.13037675254072245</v>
      </c>
      <c r="H946" s="113">
        <f t="shared" si="949"/>
        <v>-0.15662378830083568</v>
      </c>
      <c r="I946" s="113">
        <f t="shared" si="949"/>
        <v>-0.1082400403788909</v>
      </c>
      <c r="J946" s="113">
        <f t="shared" ref="J946:L952" si="950">IFERROR(J937/I937-1,0)</f>
        <v>-1.8518518518518601E-2</v>
      </c>
      <c r="K946" s="113">
        <f t="shared" si="950"/>
        <v>-9.4339622641509413E-2</v>
      </c>
      <c r="L946" s="113">
        <f t="shared" si="950"/>
        <v>0.24583333333333357</v>
      </c>
      <c r="M946" s="356">
        <v>0</v>
      </c>
      <c r="N946" s="356">
        <v>0.02</v>
      </c>
      <c r="O946" s="356">
        <v>0.02</v>
      </c>
      <c r="P946" s="356">
        <v>0.02</v>
      </c>
    </row>
    <row r="947" spans="2:16" ht="12.6" customHeight="1" x14ac:dyDescent="0.2">
      <c r="B947" s="322" t="s">
        <v>280</v>
      </c>
      <c r="C947" s="355"/>
      <c r="D947" s="113"/>
      <c r="E947" s="113">
        <f t="shared" si="948"/>
        <v>0</v>
      </c>
      <c r="F947" s="113">
        <f t="shared" si="949"/>
        <v>0</v>
      </c>
      <c r="G947" s="113">
        <f t="shared" si="949"/>
        <v>0</v>
      </c>
      <c r="H947" s="113">
        <f t="shared" si="949"/>
        <v>0</v>
      </c>
      <c r="I947" s="113">
        <f t="shared" si="949"/>
        <v>0</v>
      </c>
      <c r="J947" s="113">
        <f t="shared" si="950"/>
        <v>0</v>
      </c>
      <c r="K947" s="113">
        <f t="shared" si="950"/>
        <v>0</v>
      </c>
      <c r="L947" s="113">
        <f t="shared" si="950"/>
        <v>0</v>
      </c>
      <c r="M947" s="356">
        <v>0</v>
      </c>
      <c r="N947" s="356">
        <v>0</v>
      </c>
      <c r="O947" s="356">
        <v>0</v>
      </c>
      <c r="P947" s="356">
        <v>0</v>
      </c>
    </row>
    <row r="948" spans="2:16" ht="12.6" customHeight="1" x14ac:dyDescent="0.2">
      <c r="B948" s="322" t="s">
        <v>281</v>
      </c>
      <c r="C948" s="355"/>
      <c r="D948" s="113"/>
      <c r="E948" s="113">
        <f t="shared" si="948"/>
        <v>0</v>
      </c>
      <c r="F948" s="113">
        <f t="shared" si="949"/>
        <v>0</v>
      </c>
      <c r="G948" s="113">
        <f t="shared" si="949"/>
        <v>0</v>
      </c>
      <c r="H948" s="113">
        <f t="shared" si="949"/>
        <v>0</v>
      </c>
      <c r="I948" s="113">
        <f t="shared" si="949"/>
        <v>0</v>
      </c>
      <c r="J948" s="113">
        <f t="shared" si="950"/>
        <v>0</v>
      </c>
      <c r="K948" s="113">
        <f t="shared" si="950"/>
        <v>0</v>
      </c>
      <c r="L948" s="113">
        <f t="shared" si="950"/>
        <v>0</v>
      </c>
      <c r="M948" s="356">
        <v>0</v>
      </c>
      <c r="N948" s="356">
        <v>0</v>
      </c>
      <c r="O948" s="356">
        <v>0</v>
      </c>
      <c r="P948" s="356">
        <v>0</v>
      </c>
    </row>
    <row r="949" spans="2:16" ht="12.6" customHeight="1" x14ac:dyDescent="0.2">
      <c r="B949" s="322" t="s">
        <v>282</v>
      </c>
      <c r="C949" s="355"/>
      <c r="D949" s="113"/>
      <c r="E949" s="113">
        <f t="shared" si="948"/>
        <v>0</v>
      </c>
      <c r="F949" s="113">
        <f t="shared" si="949"/>
        <v>0</v>
      </c>
      <c r="G949" s="113">
        <f t="shared" si="949"/>
        <v>0</v>
      </c>
      <c r="H949" s="113">
        <f t="shared" si="949"/>
        <v>0</v>
      </c>
      <c r="I949" s="113">
        <f t="shared" si="949"/>
        <v>0</v>
      </c>
      <c r="J949" s="113">
        <f t="shared" si="950"/>
        <v>0</v>
      </c>
      <c r="K949" s="113">
        <f t="shared" si="950"/>
        <v>0</v>
      </c>
      <c r="L949" s="113">
        <f t="shared" si="950"/>
        <v>0</v>
      </c>
      <c r="M949" s="356">
        <v>0</v>
      </c>
      <c r="N949" s="356">
        <v>0</v>
      </c>
      <c r="O949" s="356">
        <v>0</v>
      </c>
      <c r="P949" s="356">
        <v>0</v>
      </c>
    </row>
    <row r="950" spans="2:16" ht="12.6" customHeight="1" x14ac:dyDescent="0.2">
      <c r="B950" s="322" t="s">
        <v>283</v>
      </c>
      <c r="C950" s="355"/>
      <c r="D950" s="113"/>
      <c r="E950" s="113">
        <f t="shared" si="948"/>
        <v>0</v>
      </c>
      <c r="F950" s="113">
        <f t="shared" si="949"/>
        <v>0</v>
      </c>
      <c r="G950" s="113">
        <f t="shared" si="949"/>
        <v>0</v>
      </c>
      <c r="H950" s="113">
        <f t="shared" si="949"/>
        <v>0</v>
      </c>
      <c r="I950" s="113">
        <f t="shared" si="949"/>
        <v>0</v>
      </c>
      <c r="J950" s="113">
        <f t="shared" si="950"/>
        <v>0</v>
      </c>
      <c r="K950" s="113">
        <f t="shared" si="950"/>
        <v>0</v>
      </c>
      <c r="L950" s="113">
        <f t="shared" si="950"/>
        <v>0</v>
      </c>
      <c r="M950" s="356">
        <v>0</v>
      </c>
      <c r="N950" s="356">
        <v>0</v>
      </c>
      <c r="O950" s="356">
        <v>0</v>
      </c>
      <c r="P950" s="356">
        <v>0</v>
      </c>
    </row>
    <row r="951" spans="2:16" ht="12.6" customHeight="1" x14ac:dyDescent="0.2">
      <c r="B951" s="322" t="s">
        <v>284</v>
      </c>
      <c r="C951" s="355"/>
      <c r="D951" s="113"/>
      <c r="E951" s="113">
        <f t="shared" si="948"/>
        <v>0</v>
      </c>
      <c r="F951" s="113">
        <f t="shared" si="949"/>
        <v>0</v>
      </c>
      <c r="G951" s="113">
        <f t="shared" si="949"/>
        <v>0</v>
      </c>
      <c r="H951" s="113">
        <f t="shared" si="949"/>
        <v>0</v>
      </c>
      <c r="I951" s="113">
        <f t="shared" si="949"/>
        <v>0</v>
      </c>
      <c r="J951" s="113">
        <f t="shared" si="950"/>
        <v>0</v>
      </c>
      <c r="K951" s="113">
        <f t="shared" si="950"/>
        <v>0</v>
      </c>
      <c r="L951" s="113">
        <f t="shared" si="950"/>
        <v>0</v>
      </c>
      <c r="M951" s="356">
        <v>0</v>
      </c>
      <c r="N951" s="356">
        <v>0</v>
      </c>
      <c r="O951" s="356">
        <v>0</v>
      </c>
      <c r="P951" s="356">
        <v>0</v>
      </c>
    </row>
    <row r="952" spans="2:16" ht="12.6" customHeight="1" x14ac:dyDescent="0.2">
      <c r="B952" s="331" t="s">
        <v>551</v>
      </c>
      <c r="C952" s="358"/>
      <c r="D952" s="117"/>
      <c r="E952" s="117">
        <f t="shared" si="948"/>
        <v>0</v>
      </c>
      <c r="F952" s="117">
        <f t="shared" si="949"/>
        <v>-0.24202093914081169</v>
      </c>
      <c r="G952" s="117">
        <f t="shared" si="949"/>
        <v>0.13037675254072245</v>
      </c>
      <c r="H952" s="117">
        <f t="shared" si="949"/>
        <v>-0.15662378830083568</v>
      </c>
      <c r="I952" s="117">
        <f t="shared" si="949"/>
        <v>-0.1082400403788909</v>
      </c>
      <c r="J952" s="117">
        <f t="shared" si="950"/>
        <v>-1.8518518518518601E-2</v>
      </c>
      <c r="K952" s="117">
        <f t="shared" si="950"/>
        <v>-9.4339622641509413E-2</v>
      </c>
      <c r="L952" s="117">
        <f t="shared" si="950"/>
        <v>0.24583333333333357</v>
      </c>
      <c r="M952" s="204">
        <f t="shared" ref="M952:P952" si="951">IFERROR(M943/L943-1,0)</f>
        <v>0</v>
      </c>
      <c r="N952" s="204">
        <f t="shared" si="951"/>
        <v>2.0000000000000018E-2</v>
      </c>
      <c r="O952" s="204">
        <f t="shared" si="951"/>
        <v>2.0000000000000018E-2</v>
      </c>
      <c r="P952" s="204">
        <f t="shared" si="951"/>
        <v>2.0000000000000018E-2</v>
      </c>
    </row>
    <row r="953" spans="2:16" ht="12.6" customHeight="1" x14ac:dyDescent="0.2">
      <c r="B953" s="201"/>
      <c r="C953" s="326"/>
      <c r="D953" s="335"/>
      <c r="E953" s="335"/>
      <c r="F953" s="335"/>
      <c r="G953" s="335"/>
      <c r="H953" s="335"/>
      <c r="I953" s="335"/>
      <c r="J953" s="335"/>
      <c r="K953" s="335"/>
      <c r="L953" s="335"/>
      <c r="M953" s="357"/>
      <c r="N953" s="357"/>
      <c r="O953" s="357"/>
      <c r="P953" s="357"/>
    </row>
    <row r="954" spans="2:16" ht="12.6" customHeight="1" x14ac:dyDescent="0.2">
      <c r="B954" s="331" t="s">
        <v>287</v>
      </c>
      <c r="C954" s="326"/>
      <c r="D954" s="335"/>
      <c r="E954" s="335"/>
      <c r="F954" s="335"/>
      <c r="G954" s="335"/>
      <c r="H954" s="335"/>
      <c r="I954" s="335"/>
      <c r="J954" s="335"/>
      <c r="K954" s="335"/>
      <c r="L954" s="335"/>
      <c r="M954" s="357"/>
      <c r="N954" s="357"/>
      <c r="O954" s="357"/>
      <c r="P954" s="357"/>
    </row>
    <row r="955" spans="2:16" ht="12.6" customHeight="1" x14ac:dyDescent="0.2">
      <c r="B955" s="322" t="s">
        <v>279</v>
      </c>
      <c r="C955" s="326"/>
      <c r="D955" s="113"/>
      <c r="E955" s="113">
        <f t="shared" ref="E955:E961" si="952">E937/E$943</f>
        <v>1</v>
      </c>
      <c r="F955" s="113">
        <f t="shared" ref="F955:J955" si="953">F937/F$943</f>
        <v>1</v>
      </c>
      <c r="G955" s="113">
        <f t="shared" si="953"/>
        <v>1</v>
      </c>
      <c r="H955" s="113">
        <f t="shared" si="953"/>
        <v>1</v>
      </c>
      <c r="I955" s="113">
        <f t="shared" si="953"/>
        <v>1</v>
      </c>
      <c r="J955" s="113">
        <f t="shared" si="953"/>
        <v>1</v>
      </c>
      <c r="K955" s="113">
        <f t="shared" ref="K955:L955" si="954">K937/K$943</f>
        <v>1</v>
      </c>
      <c r="L955" s="113">
        <f t="shared" si="954"/>
        <v>1</v>
      </c>
      <c r="M955" s="197">
        <f t="shared" ref="M955:P955" si="955">M937/M$943</f>
        <v>1</v>
      </c>
      <c r="N955" s="197">
        <f t="shared" si="955"/>
        <v>1</v>
      </c>
      <c r="O955" s="197">
        <f t="shared" si="955"/>
        <v>1</v>
      </c>
      <c r="P955" s="197">
        <f t="shared" si="955"/>
        <v>1</v>
      </c>
    </row>
    <row r="956" spans="2:16" ht="12.6" customHeight="1" x14ac:dyDescent="0.2">
      <c r="B956" s="322" t="s">
        <v>280</v>
      </c>
      <c r="C956" s="326"/>
      <c r="D956" s="113"/>
      <c r="E956" s="113">
        <f t="shared" si="952"/>
        <v>0</v>
      </c>
      <c r="F956" s="113">
        <f t="shared" ref="F956:P956" si="956">F938/F$943</f>
        <v>0</v>
      </c>
      <c r="G956" s="113">
        <f t="shared" si="956"/>
        <v>0</v>
      </c>
      <c r="H956" s="113">
        <f t="shared" si="956"/>
        <v>0</v>
      </c>
      <c r="I956" s="113">
        <f t="shared" si="956"/>
        <v>0</v>
      </c>
      <c r="J956" s="113">
        <f t="shared" si="956"/>
        <v>0</v>
      </c>
      <c r="K956" s="113">
        <f t="shared" ref="K956:L956" si="957">K938/K$943</f>
        <v>0</v>
      </c>
      <c r="L956" s="113">
        <f t="shared" si="957"/>
        <v>0</v>
      </c>
      <c r="M956" s="197">
        <f t="shared" si="956"/>
        <v>0</v>
      </c>
      <c r="N956" s="197">
        <f t="shared" si="956"/>
        <v>0</v>
      </c>
      <c r="O956" s="197">
        <f t="shared" si="956"/>
        <v>0</v>
      </c>
      <c r="P956" s="197">
        <f t="shared" si="956"/>
        <v>0</v>
      </c>
    </row>
    <row r="957" spans="2:16" ht="12.6" customHeight="1" x14ac:dyDescent="0.2">
      <c r="B957" s="322" t="s">
        <v>281</v>
      </c>
      <c r="C957" s="326"/>
      <c r="D957" s="113"/>
      <c r="E957" s="113">
        <f t="shared" si="952"/>
        <v>0</v>
      </c>
      <c r="F957" s="113">
        <f t="shared" ref="F957:P957" si="958">F939/F$943</f>
        <v>0</v>
      </c>
      <c r="G957" s="113">
        <f t="shared" si="958"/>
        <v>0</v>
      </c>
      <c r="H957" s="113">
        <f t="shared" si="958"/>
        <v>0</v>
      </c>
      <c r="I957" s="113">
        <f t="shared" si="958"/>
        <v>0</v>
      </c>
      <c r="J957" s="113">
        <f t="shared" si="958"/>
        <v>0</v>
      </c>
      <c r="K957" s="113">
        <f t="shared" ref="K957:L957" si="959">K939/K$943</f>
        <v>0</v>
      </c>
      <c r="L957" s="113">
        <f t="shared" si="959"/>
        <v>0</v>
      </c>
      <c r="M957" s="197">
        <f t="shared" si="958"/>
        <v>0</v>
      </c>
      <c r="N957" s="197">
        <f t="shared" si="958"/>
        <v>0</v>
      </c>
      <c r="O957" s="197">
        <f t="shared" si="958"/>
        <v>0</v>
      </c>
      <c r="P957" s="197">
        <f t="shared" si="958"/>
        <v>0</v>
      </c>
    </row>
    <row r="958" spans="2:16" ht="12.6" customHeight="1" x14ac:dyDescent="0.2">
      <c r="B958" s="322" t="s">
        <v>282</v>
      </c>
      <c r="C958" s="326"/>
      <c r="D958" s="113"/>
      <c r="E958" s="113">
        <f t="shared" si="952"/>
        <v>0</v>
      </c>
      <c r="F958" s="113">
        <f t="shared" ref="F958:P958" si="960">F940/F$943</f>
        <v>0</v>
      </c>
      <c r="G958" s="113">
        <f t="shared" si="960"/>
        <v>0</v>
      </c>
      <c r="H958" s="113">
        <f t="shared" si="960"/>
        <v>0</v>
      </c>
      <c r="I958" s="113">
        <f t="shared" si="960"/>
        <v>0</v>
      </c>
      <c r="J958" s="113">
        <f t="shared" si="960"/>
        <v>0</v>
      </c>
      <c r="K958" s="113">
        <f t="shared" ref="K958:L958" si="961">K940/K$943</f>
        <v>0</v>
      </c>
      <c r="L958" s="113">
        <f t="shared" si="961"/>
        <v>0</v>
      </c>
      <c r="M958" s="197">
        <f t="shared" si="960"/>
        <v>0</v>
      </c>
      <c r="N958" s="197">
        <f t="shared" si="960"/>
        <v>0</v>
      </c>
      <c r="O958" s="197">
        <f t="shared" si="960"/>
        <v>0</v>
      </c>
      <c r="P958" s="197">
        <f t="shared" si="960"/>
        <v>0</v>
      </c>
    </row>
    <row r="959" spans="2:16" ht="12.6" customHeight="1" x14ac:dyDescent="0.2">
      <c r="B959" s="322" t="s">
        <v>283</v>
      </c>
      <c r="C959" s="326"/>
      <c r="D959" s="113"/>
      <c r="E959" s="113">
        <f t="shared" si="952"/>
        <v>0</v>
      </c>
      <c r="F959" s="113">
        <f t="shared" ref="F959:P959" si="962">F941/F$943</f>
        <v>0</v>
      </c>
      <c r="G959" s="113">
        <f t="shared" si="962"/>
        <v>0</v>
      </c>
      <c r="H959" s="113">
        <f t="shared" si="962"/>
        <v>0</v>
      </c>
      <c r="I959" s="113">
        <f t="shared" si="962"/>
        <v>0</v>
      </c>
      <c r="J959" s="113">
        <f t="shared" si="962"/>
        <v>0</v>
      </c>
      <c r="K959" s="113">
        <f t="shared" ref="K959:L959" si="963">K941/K$943</f>
        <v>0</v>
      </c>
      <c r="L959" s="113">
        <f t="shared" si="963"/>
        <v>0</v>
      </c>
      <c r="M959" s="197">
        <f t="shared" si="962"/>
        <v>0</v>
      </c>
      <c r="N959" s="197">
        <f t="shared" si="962"/>
        <v>0</v>
      </c>
      <c r="O959" s="197">
        <f t="shared" si="962"/>
        <v>0</v>
      </c>
      <c r="P959" s="197">
        <f t="shared" si="962"/>
        <v>0</v>
      </c>
    </row>
    <row r="960" spans="2:16" ht="12.6" customHeight="1" x14ac:dyDescent="0.2">
      <c r="B960" s="322" t="s">
        <v>284</v>
      </c>
      <c r="C960" s="326"/>
      <c r="D960" s="113"/>
      <c r="E960" s="113">
        <f t="shared" si="952"/>
        <v>0</v>
      </c>
      <c r="F960" s="113">
        <f t="shared" ref="F960:P960" si="964">F942/F$943</f>
        <v>0</v>
      </c>
      <c r="G960" s="113">
        <f t="shared" si="964"/>
        <v>0</v>
      </c>
      <c r="H960" s="113">
        <f t="shared" si="964"/>
        <v>0</v>
      </c>
      <c r="I960" s="113">
        <f t="shared" si="964"/>
        <v>0</v>
      </c>
      <c r="J960" s="113">
        <f t="shared" si="964"/>
        <v>0</v>
      </c>
      <c r="K960" s="113">
        <f t="shared" ref="K960:L960" si="965">K942/K$943</f>
        <v>0</v>
      </c>
      <c r="L960" s="113">
        <f t="shared" si="965"/>
        <v>0</v>
      </c>
      <c r="M960" s="197">
        <f t="shared" si="964"/>
        <v>0</v>
      </c>
      <c r="N960" s="197">
        <f t="shared" si="964"/>
        <v>0</v>
      </c>
      <c r="O960" s="197">
        <f t="shared" si="964"/>
        <v>0</v>
      </c>
      <c r="P960" s="197">
        <f t="shared" si="964"/>
        <v>0</v>
      </c>
    </row>
    <row r="961" spans="1:171" ht="12.6" customHeight="1" x14ac:dyDescent="0.2">
      <c r="B961" s="359" t="s">
        <v>551</v>
      </c>
      <c r="C961" s="327"/>
      <c r="D961" s="117"/>
      <c r="E961" s="117">
        <f t="shared" si="952"/>
        <v>1</v>
      </c>
      <c r="F961" s="117">
        <f t="shared" ref="F961:P961" si="966">F943/F$943</f>
        <v>1</v>
      </c>
      <c r="G961" s="117">
        <f t="shared" si="966"/>
        <v>1</v>
      </c>
      <c r="H961" s="117">
        <f t="shared" si="966"/>
        <v>1</v>
      </c>
      <c r="I961" s="117">
        <f t="shared" si="966"/>
        <v>1</v>
      </c>
      <c r="J961" s="117">
        <f t="shared" si="966"/>
        <v>1</v>
      </c>
      <c r="K961" s="117">
        <f t="shared" ref="K961:L961" si="967">K943/K$943</f>
        <v>1</v>
      </c>
      <c r="L961" s="117">
        <f t="shared" si="967"/>
        <v>1</v>
      </c>
      <c r="M961" s="204">
        <f t="shared" si="966"/>
        <v>1</v>
      </c>
      <c r="N961" s="204">
        <f t="shared" si="966"/>
        <v>1</v>
      </c>
      <c r="O961" s="204">
        <f t="shared" si="966"/>
        <v>1</v>
      </c>
      <c r="P961" s="204">
        <f t="shared" si="966"/>
        <v>1</v>
      </c>
    </row>
    <row r="962" spans="1:171" ht="12.6" customHeight="1" x14ac:dyDescent="0.2">
      <c r="B962" s="56"/>
      <c r="C962" s="61"/>
      <c r="D962" s="57"/>
      <c r="E962" s="57"/>
      <c r="F962" s="57"/>
      <c r="G962" s="57"/>
      <c r="H962" s="57"/>
      <c r="I962" s="57"/>
      <c r="J962" s="57"/>
      <c r="K962" s="57"/>
      <c r="L962" s="57"/>
      <c r="M962" s="68"/>
      <c r="N962" s="68"/>
      <c r="O962" s="68"/>
      <c r="P962" s="68"/>
    </row>
    <row r="963" spans="1:171" ht="12.6" customHeight="1" x14ac:dyDescent="0.2">
      <c r="B963" s="56" t="s">
        <v>563</v>
      </c>
      <c r="C963" s="61" t="s">
        <v>566</v>
      </c>
      <c r="D963" s="57"/>
      <c r="E963" s="57"/>
      <c r="F963" s="57"/>
      <c r="G963" s="57"/>
      <c r="H963" s="57"/>
      <c r="I963" s="57"/>
      <c r="J963" s="57">
        <f>J973*J$943</f>
        <v>2.6499999999999999E-2</v>
      </c>
      <c r="K963" s="57">
        <f t="shared" ref="K963:P963" si="968">K965-K964</f>
        <v>2.3519999999999999</v>
      </c>
      <c r="L963" s="68">
        <f t="shared" si="968"/>
        <v>2.9302000000000006</v>
      </c>
      <c r="M963" s="68">
        <f t="shared" si="968"/>
        <v>2.9302000000000006</v>
      </c>
      <c r="N963" s="68">
        <f t="shared" si="968"/>
        <v>2.9888040000000009</v>
      </c>
      <c r="O963" s="68">
        <f t="shared" si="968"/>
        <v>3.0485800800000011</v>
      </c>
      <c r="P963" s="68">
        <f t="shared" si="968"/>
        <v>3.1095516816000011</v>
      </c>
    </row>
    <row r="964" spans="1:171" ht="12.6" customHeight="1" x14ac:dyDescent="0.2">
      <c r="B964" s="56" t="s">
        <v>299</v>
      </c>
      <c r="C964" s="61" t="s">
        <v>566</v>
      </c>
      <c r="D964" s="57"/>
      <c r="E964" s="57"/>
      <c r="F964" s="57"/>
      <c r="G964" s="57"/>
      <c r="H964" s="57"/>
      <c r="I964" s="57"/>
      <c r="J964" s="57">
        <f>J974*J$943</f>
        <v>2.6234999999999999</v>
      </c>
      <c r="K964" s="57">
        <f t="shared" ref="K964:P964" si="969">K965*K974</f>
        <v>4.8000000000000001E-2</v>
      </c>
      <c r="L964" s="68">
        <f t="shared" si="969"/>
        <v>5.9800000000000013E-2</v>
      </c>
      <c r="M964" s="68">
        <f t="shared" si="969"/>
        <v>5.9800000000000013E-2</v>
      </c>
      <c r="N964" s="68">
        <f t="shared" si="969"/>
        <v>6.0996000000000015E-2</v>
      </c>
      <c r="O964" s="68">
        <f t="shared" si="969"/>
        <v>6.2215920000000022E-2</v>
      </c>
      <c r="P964" s="68">
        <f t="shared" si="969"/>
        <v>6.3460238400000021E-2</v>
      </c>
    </row>
    <row r="965" spans="1:171" ht="12.6" customHeight="1" x14ac:dyDescent="0.2">
      <c r="B965" s="72" t="s">
        <v>551</v>
      </c>
      <c r="C965" s="61"/>
      <c r="D965" s="63"/>
      <c r="E965" s="63"/>
      <c r="F965" s="63"/>
      <c r="G965" s="63"/>
      <c r="H965" s="63"/>
      <c r="I965" s="63"/>
      <c r="J965" s="63">
        <f>SUM(J963:J964)</f>
        <v>2.65</v>
      </c>
      <c r="K965" s="63">
        <f t="shared" ref="K965:P965" si="970">K943</f>
        <v>2.4</v>
      </c>
      <c r="L965" s="64">
        <f t="shared" si="970"/>
        <v>2.9900000000000007</v>
      </c>
      <c r="M965" s="64">
        <f t="shared" si="970"/>
        <v>2.9900000000000007</v>
      </c>
      <c r="N965" s="64">
        <f t="shared" si="970"/>
        <v>3.0498000000000007</v>
      </c>
      <c r="O965" s="64">
        <f t="shared" si="970"/>
        <v>3.110796000000001</v>
      </c>
      <c r="P965" s="64">
        <f t="shared" si="970"/>
        <v>3.1730119200000009</v>
      </c>
    </row>
    <row r="966" spans="1:171" ht="12.6" customHeight="1" x14ac:dyDescent="0.2">
      <c r="B966" s="72"/>
      <c r="C966" s="61"/>
      <c r="D966" s="63"/>
      <c r="E966" s="63"/>
      <c r="F966" s="63"/>
      <c r="G966" s="63"/>
      <c r="H966" s="63"/>
      <c r="I966" s="63"/>
      <c r="J966" s="63"/>
      <c r="K966" s="63"/>
      <c r="L966" s="64"/>
      <c r="M966" s="64"/>
      <c r="N966" s="64"/>
      <c r="O966" s="64"/>
      <c r="P966" s="64"/>
    </row>
    <row r="967" spans="1:171" ht="12.6" customHeight="1" x14ac:dyDescent="0.2">
      <c r="B967" s="331" t="s">
        <v>227</v>
      </c>
      <c r="C967" s="326"/>
      <c r="D967" s="335"/>
      <c r="E967" s="335"/>
      <c r="F967" s="335"/>
      <c r="G967" s="335"/>
      <c r="H967" s="335"/>
      <c r="I967" s="335"/>
      <c r="J967" s="335"/>
      <c r="K967" s="335"/>
      <c r="L967" s="336"/>
      <c r="M967" s="336"/>
      <c r="N967" s="336"/>
      <c r="O967" s="336"/>
      <c r="P967" s="336"/>
    </row>
    <row r="968" spans="1:171" ht="12.6" customHeight="1" x14ac:dyDescent="0.2">
      <c r="B968" s="322" t="s">
        <v>563</v>
      </c>
      <c r="C968" s="326"/>
      <c r="D968" s="113"/>
      <c r="E968" s="113"/>
      <c r="F968" s="113"/>
      <c r="G968" s="113"/>
      <c r="H968" s="113"/>
      <c r="I968" s="113"/>
      <c r="J968" s="113" t="str">
        <f>IFERROR(J963/I963-1,"--")</f>
        <v>--</v>
      </c>
      <c r="K968" s="113">
        <f t="shared" ref="K968:P968" si="971">IFERROR(K963/J963-1,"--")</f>
        <v>87.754716981132077</v>
      </c>
      <c r="L968" s="197">
        <f t="shared" si="971"/>
        <v>0.24583333333333357</v>
      </c>
      <c r="M968" s="197">
        <f t="shared" si="971"/>
        <v>0</v>
      </c>
      <c r="N968" s="197">
        <f t="shared" si="971"/>
        <v>2.0000000000000018E-2</v>
      </c>
      <c r="O968" s="197">
        <f t="shared" si="971"/>
        <v>2.0000000000000018E-2</v>
      </c>
      <c r="P968" s="197">
        <f t="shared" si="971"/>
        <v>2.0000000000000018E-2</v>
      </c>
    </row>
    <row r="969" spans="1:171" ht="12.6" customHeight="1" x14ac:dyDescent="0.2">
      <c r="B969" s="322" t="s">
        <v>299</v>
      </c>
      <c r="C969" s="326"/>
      <c r="D969" s="113"/>
      <c r="E969" s="113"/>
      <c r="F969" s="113"/>
      <c r="G969" s="113"/>
      <c r="H969" s="113"/>
      <c r="I969" s="113"/>
      <c r="J969" s="113" t="str">
        <f t="shared" ref="J969:P969" si="972">IFERROR(J964/I964-1,"--")</f>
        <v>--</v>
      </c>
      <c r="K969" s="113">
        <f t="shared" si="972"/>
        <v>-0.98170383076043455</v>
      </c>
      <c r="L969" s="197">
        <f t="shared" si="972"/>
        <v>0.24583333333333357</v>
      </c>
      <c r="M969" s="197">
        <f t="shared" si="972"/>
        <v>0</v>
      </c>
      <c r="N969" s="197">
        <f t="shared" si="972"/>
        <v>2.0000000000000018E-2</v>
      </c>
      <c r="O969" s="197">
        <f t="shared" si="972"/>
        <v>2.0000000000000018E-2</v>
      </c>
      <c r="P969" s="197">
        <f t="shared" si="972"/>
        <v>2.0000000000000018E-2</v>
      </c>
    </row>
    <row r="970" spans="1:171" ht="12.6" customHeight="1" x14ac:dyDescent="0.2">
      <c r="B970" s="331" t="s">
        <v>551</v>
      </c>
      <c r="C970" s="327"/>
      <c r="D970" s="117"/>
      <c r="E970" s="117"/>
      <c r="F970" s="117"/>
      <c r="G970" s="117"/>
      <c r="H970" s="117"/>
      <c r="I970" s="117"/>
      <c r="J970" s="117" t="str">
        <f t="shared" ref="J970:P970" si="973">IFERROR(J965/I965-1,"--")</f>
        <v>--</v>
      </c>
      <c r="K970" s="117">
        <f t="shared" si="973"/>
        <v>-9.4339622641509413E-2</v>
      </c>
      <c r="L970" s="204">
        <f t="shared" si="973"/>
        <v>0.24583333333333357</v>
      </c>
      <c r="M970" s="204">
        <f t="shared" si="973"/>
        <v>0</v>
      </c>
      <c r="N970" s="204">
        <f t="shared" si="973"/>
        <v>2.0000000000000018E-2</v>
      </c>
      <c r="O970" s="204">
        <f t="shared" si="973"/>
        <v>2.0000000000000018E-2</v>
      </c>
      <c r="P970" s="204">
        <f t="shared" si="973"/>
        <v>2.0000000000000018E-2</v>
      </c>
    </row>
    <row r="971" spans="1:171" ht="12.6" customHeight="1" x14ac:dyDescent="0.2">
      <c r="B971" s="331"/>
      <c r="C971" s="326"/>
      <c r="D971" s="335"/>
      <c r="E971" s="335"/>
      <c r="F971" s="335"/>
      <c r="G971" s="335"/>
      <c r="H971" s="335"/>
      <c r="I971" s="335"/>
      <c r="J971" s="335"/>
      <c r="K971" s="335"/>
      <c r="L971" s="336"/>
      <c r="M971" s="336"/>
      <c r="N971" s="336"/>
      <c r="O971" s="336"/>
      <c r="P971" s="336"/>
    </row>
    <row r="972" spans="1:171" ht="12.6" customHeight="1" x14ac:dyDescent="0.2">
      <c r="B972" s="331" t="s">
        <v>287</v>
      </c>
      <c r="C972" s="326"/>
      <c r="D972" s="335"/>
      <c r="E972" s="335"/>
      <c r="F972" s="335"/>
      <c r="G972" s="335"/>
      <c r="H972" s="335"/>
      <c r="I972" s="335"/>
      <c r="J972" s="335"/>
      <c r="K972" s="335"/>
      <c r="L972" s="336"/>
      <c r="M972" s="336"/>
      <c r="N972" s="336"/>
      <c r="O972" s="336"/>
      <c r="P972" s="336"/>
    </row>
    <row r="973" spans="1:171" ht="12.6" customHeight="1" x14ac:dyDescent="0.2">
      <c r="B973" s="322" t="s">
        <v>563</v>
      </c>
      <c r="C973" s="326"/>
      <c r="D973" s="113"/>
      <c r="E973" s="113"/>
      <c r="F973" s="113"/>
      <c r="G973" s="113"/>
      <c r="H973" s="113"/>
      <c r="I973" s="113"/>
      <c r="J973" s="113">
        <v>0.01</v>
      </c>
      <c r="K973" s="113">
        <f t="shared" ref="K973:P973" si="974">1-K974</f>
        <v>0.98</v>
      </c>
      <c r="L973" s="197">
        <f t="shared" si="974"/>
        <v>0.98</v>
      </c>
      <c r="M973" s="197">
        <f t="shared" si="974"/>
        <v>0.98</v>
      </c>
      <c r="N973" s="197">
        <f t="shared" si="974"/>
        <v>0.98</v>
      </c>
      <c r="O973" s="197">
        <f t="shared" si="974"/>
        <v>0.98</v>
      </c>
      <c r="P973" s="197">
        <f t="shared" si="974"/>
        <v>0.98</v>
      </c>
    </row>
    <row r="974" spans="1:171" ht="12.6" customHeight="1" x14ac:dyDescent="0.2">
      <c r="B974" s="359" t="s">
        <v>299</v>
      </c>
      <c r="C974" s="327"/>
      <c r="D974" s="117"/>
      <c r="E974" s="117"/>
      <c r="F974" s="117"/>
      <c r="G974" s="117"/>
      <c r="H974" s="117"/>
      <c r="I974" s="117"/>
      <c r="J974" s="117">
        <v>0.99</v>
      </c>
      <c r="K974" s="117">
        <v>0.02</v>
      </c>
      <c r="L974" s="360">
        <f t="shared" ref="L974:P974" si="975">K974</f>
        <v>0.02</v>
      </c>
      <c r="M974" s="360">
        <f t="shared" si="975"/>
        <v>0.02</v>
      </c>
      <c r="N974" s="360">
        <f t="shared" si="975"/>
        <v>0.02</v>
      </c>
      <c r="O974" s="360">
        <f t="shared" si="975"/>
        <v>0.02</v>
      </c>
      <c r="P974" s="360">
        <f t="shared" si="975"/>
        <v>0.02</v>
      </c>
    </row>
    <row r="975" spans="1:171" ht="12.6" customHeight="1" x14ac:dyDescent="0.2">
      <c r="A975" s="87"/>
      <c r="B975" s="206"/>
      <c r="C975" s="191"/>
      <c r="D975" s="42"/>
      <c r="E975" s="42"/>
      <c r="F975" s="42"/>
      <c r="G975" s="42"/>
      <c r="H975" s="42"/>
      <c r="I975" s="42"/>
      <c r="J975" s="42"/>
      <c r="K975" s="42"/>
      <c r="L975" s="42"/>
      <c r="M975" s="42"/>
      <c r="N975" s="42"/>
      <c r="O975" s="42"/>
      <c r="P975" s="42"/>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c r="AO975" s="87"/>
      <c r="AP975" s="87"/>
      <c r="AQ975" s="87"/>
      <c r="AR975" s="87"/>
      <c r="AS975" s="87"/>
      <c r="AT975" s="87"/>
      <c r="AU975" s="87"/>
      <c r="AV975" s="87"/>
      <c r="AW975" s="87"/>
      <c r="AX975" s="87"/>
      <c r="AY975" s="87"/>
      <c r="BA975" s="87"/>
      <c r="BB975" s="87"/>
      <c r="BC975" s="87"/>
      <c r="BD975" s="87"/>
      <c r="BE975" s="87"/>
      <c r="BF975" s="87"/>
      <c r="BG975" s="87"/>
      <c r="BH975" s="87"/>
      <c r="BI975" s="87"/>
      <c r="BJ975" s="87"/>
      <c r="BK975" s="87"/>
      <c r="BL975" s="87"/>
      <c r="BM975" s="87"/>
      <c r="BN975" s="87"/>
      <c r="BP975" s="87"/>
      <c r="BQ975" s="87"/>
      <c r="BR975" s="87"/>
      <c r="BS975" s="87"/>
      <c r="BT975" s="87"/>
      <c r="BU975" s="87"/>
      <c r="BV975" s="87"/>
      <c r="BW975" s="87"/>
      <c r="BX975" s="87"/>
      <c r="BY975" s="87"/>
      <c r="BZ975" s="87"/>
      <c r="CB975" s="87"/>
      <c r="CC975" s="87"/>
      <c r="CD975" s="87"/>
      <c r="CE975" s="87"/>
      <c r="CF975" s="87"/>
      <c r="CG975" s="87"/>
      <c r="CH975" s="87"/>
      <c r="CI975" s="87"/>
      <c r="CJ975" s="87"/>
      <c r="CK975" s="87"/>
      <c r="CL975" s="87"/>
      <c r="CN975" s="87"/>
      <c r="CO975" s="87"/>
      <c r="CP975" s="87"/>
      <c r="CQ975" s="87"/>
      <c r="CR975" s="87"/>
      <c r="CS975" s="87"/>
      <c r="CT975" s="87"/>
      <c r="CU975" s="87"/>
      <c r="CV975" s="87"/>
      <c r="CW975" s="87"/>
      <c r="CX975" s="87"/>
      <c r="CZ975" s="87"/>
      <c r="DA975" s="87"/>
      <c r="DB975" s="87"/>
      <c r="DC975" s="87"/>
      <c r="DD975" s="87"/>
      <c r="DE975" s="87"/>
      <c r="DF975" s="87"/>
      <c r="DG975" s="87"/>
      <c r="DH975" s="87"/>
      <c r="DI975" s="87"/>
      <c r="DJ975" s="87"/>
      <c r="DL975" s="87"/>
      <c r="DM975" s="87"/>
      <c r="DN975" s="87"/>
      <c r="DO975" s="87"/>
      <c r="DP975" s="87"/>
      <c r="DQ975" s="87"/>
      <c r="DR975" s="87"/>
      <c r="DS975" s="87"/>
      <c r="DT975" s="87"/>
      <c r="DU975" s="87"/>
      <c r="DV975" s="87"/>
      <c r="DX975" s="87"/>
      <c r="DY975" s="87"/>
      <c r="DZ975" s="87"/>
      <c r="EA975" s="87"/>
      <c r="EB975" s="87"/>
      <c r="EC975" s="87"/>
      <c r="ED975" s="87"/>
      <c r="EE975" s="87"/>
      <c r="EF975" s="87"/>
      <c r="EG975" s="87"/>
      <c r="EH975" s="87"/>
      <c r="EJ975" s="87"/>
      <c r="EK975" s="87"/>
      <c r="EL975" s="87"/>
      <c r="EM975" s="87"/>
      <c r="EN975" s="87"/>
      <c r="EO975" s="87"/>
      <c r="EP975" s="87"/>
      <c r="EQ975" s="87"/>
      <c r="ER975" s="87"/>
      <c r="ES975" s="87"/>
      <c r="ET975" s="87"/>
      <c r="EV975" s="87"/>
      <c r="EW975" s="87"/>
      <c r="EX975" s="87"/>
      <c r="EY975" s="87"/>
      <c r="EZ975" s="87"/>
      <c r="FA975" s="87"/>
      <c r="FB975" s="87"/>
      <c r="FC975" s="87"/>
      <c r="FD975" s="87"/>
      <c r="FE975" s="87"/>
      <c r="FF975" s="87"/>
      <c r="FH975" s="87"/>
      <c r="FI975" s="87"/>
      <c r="FJ975" s="87"/>
      <c r="FK975" s="87"/>
      <c r="FL975" s="87"/>
      <c r="FM975" s="87"/>
      <c r="FN975" s="87"/>
      <c r="FO975" s="87"/>
    </row>
    <row r="976" spans="1:171" ht="12.6" customHeight="1" x14ac:dyDescent="0.2">
      <c r="B976" s="50" t="s">
        <v>2</v>
      </c>
      <c r="C976" s="50" t="s">
        <v>473</v>
      </c>
      <c r="D976" s="163"/>
      <c r="E976" s="163"/>
      <c r="F976" s="163"/>
      <c r="G976" s="51"/>
      <c r="H976" s="51"/>
      <c r="I976" s="51"/>
      <c r="J976" s="51"/>
      <c r="K976" s="51"/>
      <c r="L976" s="54"/>
      <c r="M976" s="54"/>
      <c r="N976" s="54"/>
      <c r="O976" s="54"/>
      <c r="P976" s="54"/>
    </row>
    <row r="977" spans="2:19" ht="12.6" customHeight="1" x14ac:dyDescent="0.2">
      <c r="B977" s="61" t="s">
        <v>565</v>
      </c>
      <c r="C977" s="61" t="s">
        <v>570</v>
      </c>
      <c r="D977" s="63"/>
      <c r="E977" s="63"/>
      <c r="F977" s="311"/>
      <c r="G977" s="301">
        <v>1640.9</v>
      </c>
      <c r="H977" s="301">
        <v>1951.9</v>
      </c>
      <c r="I977" s="301">
        <v>2116.3000000000002</v>
      </c>
      <c r="J977" s="301">
        <f>PNP!M16</f>
        <v>2447.3319999999994</v>
      </c>
      <c r="K977" s="301">
        <f>PNP!N16</f>
        <v>2813.9479999999999</v>
      </c>
      <c r="L977" s="302">
        <f t="shared" ref="L977:P977" si="976">L978*L991</f>
        <v>2758.3750851345453</v>
      </c>
      <c r="M977" s="302">
        <f t="shared" si="976"/>
        <v>3203.8526613837748</v>
      </c>
      <c r="N977" s="302">
        <f t="shared" si="976"/>
        <v>3300.6090117575645</v>
      </c>
      <c r="O977" s="302">
        <f t="shared" si="976"/>
        <v>3500.2958569688972</v>
      </c>
      <c r="P977" s="302">
        <f t="shared" si="976"/>
        <v>3712.063756315516</v>
      </c>
      <c r="S977" s="37" t="s">
        <v>781</v>
      </c>
    </row>
    <row r="978" spans="2:19" ht="12.6" customHeight="1" x14ac:dyDescent="0.2">
      <c r="B978" s="59" t="s">
        <v>474</v>
      </c>
      <c r="C978" s="61" t="s">
        <v>476</v>
      </c>
      <c r="D978" s="57"/>
      <c r="E978" s="57"/>
      <c r="F978" s="57"/>
      <c r="G978" s="57"/>
      <c r="H978" s="57"/>
      <c r="I978" s="57"/>
      <c r="J978" s="288"/>
      <c r="K978" s="288">
        <f>K977/K991</f>
        <v>511.62690909090907</v>
      </c>
      <c r="L978" s="303">
        <f>K978*(1+L979)</f>
        <v>516.74317818181817</v>
      </c>
      <c r="M978" s="303">
        <f>L978*(1+M979)</f>
        <v>521.91060996363638</v>
      </c>
      <c r="N978" s="303">
        <f>M978*(1+N979)</f>
        <v>527.12971606327278</v>
      </c>
      <c r="O978" s="303">
        <f>N978*(1+O979)</f>
        <v>532.40101322390547</v>
      </c>
      <c r="P978" s="303">
        <f>O978*(1+P979)</f>
        <v>537.72502335614456</v>
      </c>
      <c r="S978" s="37" t="s">
        <v>782</v>
      </c>
    </row>
    <row r="979" spans="2:19" ht="12.6" customHeight="1" x14ac:dyDescent="0.2">
      <c r="B979" s="322" t="s">
        <v>227</v>
      </c>
      <c r="C979" s="323" t="s">
        <v>477</v>
      </c>
      <c r="D979" s="58"/>
      <c r="E979" s="58"/>
      <c r="F979" s="339"/>
      <c r="G979" s="330"/>
      <c r="H979" s="330"/>
      <c r="I979" s="330"/>
      <c r="J979" s="353"/>
      <c r="K979" s="353"/>
      <c r="L979" s="354">
        <v>0.01</v>
      </c>
      <c r="M979" s="354">
        <v>0.01</v>
      </c>
      <c r="N979" s="354">
        <v>0.01</v>
      </c>
      <c r="O979" s="354">
        <v>0.01</v>
      </c>
      <c r="P979" s="354">
        <v>0.01</v>
      </c>
      <c r="S979" s="37" t="s">
        <v>783</v>
      </c>
    </row>
    <row r="980" spans="2:19" ht="12.6" customHeight="1" x14ac:dyDescent="0.2">
      <c r="B980" s="59"/>
      <c r="C980" s="61"/>
      <c r="D980" s="57"/>
      <c r="E980" s="57"/>
      <c r="F980" s="288"/>
      <c r="G980" s="57"/>
      <c r="H980" s="57"/>
      <c r="I980" s="57"/>
      <c r="J980" s="57"/>
      <c r="K980" s="57"/>
      <c r="L980" s="68"/>
      <c r="M980" s="68"/>
      <c r="N980" s="68"/>
      <c r="O980" s="68"/>
      <c r="P980" s="68"/>
      <c r="S980" s="37" t="s">
        <v>784</v>
      </c>
    </row>
    <row r="981" spans="2:19" ht="12.6" customHeight="1" x14ac:dyDescent="0.2">
      <c r="B981" s="72" t="s">
        <v>303</v>
      </c>
      <c r="C981" s="61" t="s">
        <v>4</v>
      </c>
      <c r="D981" s="57"/>
      <c r="E981" s="57"/>
      <c r="F981" s="288"/>
      <c r="G981" s="288"/>
      <c r="H981" s="288"/>
      <c r="I981" s="288"/>
      <c r="J981" s="288">
        <f t="shared" ref="J981:P981" si="977">J97</f>
        <v>5</v>
      </c>
      <c r="K981" s="288">
        <f t="shared" ref="K981" si="978">K97</f>
        <v>8</v>
      </c>
      <c r="L981" s="68">
        <f t="shared" si="977"/>
        <v>8</v>
      </c>
      <c r="M981" s="68">
        <f t="shared" si="977"/>
        <v>8</v>
      </c>
      <c r="N981" s="68">
        <f t="shared" si="977"/>
        <v>8</v>
      </c>
      <c r="O981" s="68">
        <f t="shared" si="977"/>
        <v>8</v>
      </c>
      <c r="P981" s="68">
        <f t="shared" si="977"/>
        <v>8</v>
      </c>
    </row>
    <row r="982" spans="2:19" ht="12.6" customHeight="1" x14ac:dyDescent="0.2">
      <c r="B982" s="202" t="s">
        <v>555</v>
      </c>
      <c r="C982" s="326" t="s">
        <v>4</v>
      </c>
      <c r="D982" s="58"/>
      <c r="E982" s="58"/>
      <c r="F982" s="330"/>
      <c r="G982" s="330"/>
      <c r="H982" s="330"/>
      <c r="I982" s="330"/>
      <c r="J982" s="330">
        <f t="shared" ref="J982:P982" si="979">J991/J981</f>
        <v>0.26400000000000001</v>
      </c>
      <c r="K982" s="330">
        <f t="shared" ref="K982" si="980">K991/K981</f>
        <v>0.6875</v>
      </c>
      <c r="L982" s="324">
        <f t="shared" si="979"/>
        <v>0.66725000000000001</v>
      </c>
      <c r="M982" s="324">
        <f t="shared" si="979"/>
        <v>0.76733750000000001</v>
      </c>
      <c r="N982" s="324">
        <f t="shared" si="979"/>
        <v>0.78268424999999997</v>
      </c>
      <c r="O982" s="324">
        <f t="shared" si="979"/>
        <v>0.82181846250000001</v>
      </c>
      <c r="P982" s="324">
        <f t="shared" si="979"/>
        <v>0.86290938562500008</v>
      </c>
    </row>
    <row r="983" spans="2:19" ht="12.6" customHeight="1" x14ac:dyDescent="0.2">
      <c r="B983" s="59"/>
      <c r="C983" s="61"/>
      <c r="D983" s="57"/>
      <c r="E983" s="57"/>
      <c r="F983" s="288"/>
      <c r="G983" s="57"/>
      <c r="H983" s="57"/>
      <c r="I983" s="57"/>
      <c r="J983" s="57"/>
      <c r="K983" s="57"/>
      <c r="L983" s="57"/>
      <c r="M983" s="68"/>
      <c r="N983" s="68"/>
      <c r="O983" s="68"/>
      <c r="P983" s="68"/>
    </row>
    <row r="984" spans="2:19" ht="12.6" customHeight="1" x14ac:dyDescent="0.2">
      <c r="B984" s="72" t="s">
        <v>489</v>
      </c>
      <c r="C984" s="61"/>
      <c r="D984" s="57"/>
      <c r="E984" s="57"/>
      <c r="F984" s="288"/>
      <c r="G984" s="57"/>
      <c r="H984" s="57"/>
      <c r="I984" s="57"/>
      <c r="J984" s="57"/>
      <c r="K984" s="57"/>
      <c r="L984" s="57"/>
      <c r="M984" s="68"/>
      <c r="N984" s="68"/>
      <c r="O984" s="68"/>
      <c r="P984" s="68"/>
    </row>
    <row r="985" spans="2:19" ht="12.6" customHeight="1" x14ac:dyDescent="0.2">
      <c r="B985" s="56" t="s">
        <v>279</v>
      </c>
      <c r="C985" s="61"/>
      <c r="D985" s="288"/>
      <c r="E985" s="288"/>
      <c r="F985" s="288"/>
      <c r="G985" s="288"/>
      <c r="H985" s="288"/>
      <c r="I985" s="288"/>
      <c r="J985" s="288">
        <v>0</v>
      </c>
      <c r="K985" s="288">
        <f>$K$991*J1003</f>
        <v>0</v>
      </c>
      <c r="L985" s="288">
        <v>0</v>
      </c>
      <c r="M985" s="303">
        <f t="shared" ref="M985:P985" si="981">L985*(1+M994)</f>
        <v>0</v>
      </c>
      <c r="N985" s="303">
        <f t="shared" si="981"/>
        <v>0</v>
      </c>
      <c r="O985" s="303">
        <f t="shared" si="981"/>
        <v>0</v>
      </c>
      <c r="P985" s="303">
        <f t="shared" si="981"/>
        <v>0</v>
      </c>
    </row>
    <row r="986" spans="2:19" ht="12.6" customHeight="1" x14ac:dyDescent="0.2">
      <c r="B986" s="56" t="s">
        <v>280</v>
      </c>
      <c r="C986" s="61"/>
      <c r="D986" s="288"/>
      <c r="E986" s="288"/>
      <c r="F986" s="288"/>
      <c r="G986" s="288"/>
      <c r="H986" s="288"/>
      <c r="I986" s="288"/>
      <c r="J986" s="288">
        <v>0</v>
      </c>
      <c r="K986" s="288">
        <f t="shared" ref="K986:K990" si="982">$K$991*J1004</f>
        <v>0</v>
      </c>
      <c r="L986" s="288">
        <v>0</v>
      </c>
      <c r="M986" s="303">
        <f t="shared" ref="M986:P986" si="983">L986*(1+M995)</f>
        <v>0</v>
      </c>
      <c r="N986" s="303">
        <f t="shared" si="983"/>
        <v>0</v>
      </c>
      <c r="O986" s="303">
        <f t="shared" si="983"/>
        <v>0</v>
      </c>
      <c r="P986" s="303">
        <f t="shared" si="983"/>
        <v>0</v>
      </c>
    </row>
    <row r="987" spans="2:19" ht="12.6" customHeight="1" x14ac:dyDescent="0.2">
      <c r="B987" s="56" t="s">
        <v>281</v>
      </c>
      <c r="C987" s="61"/>
      <c r="D987" s="288"/>
      <c r="E987" s="288"/>
      <c r="F987" s="288"/>
      <c r="G987" s="288"/>
      <c r="H987" s="288"/>
      <c r="I987" s="288"/>
      <c r="J987" s="288">
        <v>0</v>
      </c>
      <c r="K987" s="288">
        <f t="shared" si="982"/>
        <v>0</v>
      </c>
      <c r="L987" s="288">
        <v>0</v>
      </c>
      <c r="M987" s="303">
        <f t="shared" ref="M987:P987" si="984">L987*(1+M996)</f>
        <v>0</v>
      </c>
      <c r="N987" s="303">
        <f t="shared" si="984"/>
        <v>0</v>
      </c>
      <c r="O987" s="303">
        <f t="shared" si="984"/>
        <v>0</v>
      </c>
      <c r="P987" s="303">
        <f t="shared" si="984"/>
        <v>0</v>
      </c>
    </row>
    <row r="988" spans="2:19" ht="12.6" customHeight="1" x14ac:dyDescent="0.2">
      <c r="B988" s="56" t="s">
        <v>282</v>
      </c>
      <c r="C988" s="61"/>
      <c r="D988" s="288"/>
      <c r="E988" s="288"/>
      <c r="F988" s="288"/>
      <c r="G988" s="288"/>
      <c r="H988" s="288"/>
      <c r="I988" s="288"/>
      <c r="J988" s="288">
        <v>0</v>
      </c>
      <c r="K988" s="288">
        <f t="shared" si="982"/>
        <v>0</v>
      </c>
      <c r="L988" s="288">
        <v>0</v>
      </c>
      <c r="M988" s="303">
        <f t="shared" ref="M988:P988" si="985">L988*(1+M997)</f>
        <v>0</v>
      </c>
      <c r="N988" s="303">
        <f t="shared" si="985"/>
        <v>0</v>
      </c>
      <c r="O988" s="303">
        <f t="shared" si="985"/>
        <v>0</v>
      </c>
      <c r="P988" s="303">
        <f t="shared" si="985"/>
        <v>0</v>
      </c>
      <c r="S988" s="37" t="s">
        <v>1917</v>
      </c>
    </row>
    <row r="989" spans="2:19" ht="12.6" customHeight="1" x14ac:dyDescent="0.2">
      <c r="B989" s="56" t="s">
        <v>283</v>
      </c>
      <c r="C989" s="61"/>
      <c r="D989" s="288"/>
      <c r="E989" s="288"/>
      <c r="F989" s="288"/>
      <c r="G989" s="288"/>
      <c r="H989" s="288"/>
      <c r="I989" s="288"/>
      <c r="J989" s="288">
        <v>0</v>
      </c>
      <c r="K989" s="288">
        <f t="shared" si="982"/>
        <v>0</v>
      </c>
      <c r="L989" s="288">
        <v>0</v>
      </c>
      <c r="M989" s="303">
        <f t="shared" ref="M989:P989" si="986">L989*(1+M998)</f>
        <v>0</v>
      </c>
      <c r="N989" s="303">
        <f t="shared" si="986"/>
        <v>0</v>
      </c>
      <c r="O989" s="303">
        <f t="shared" si="986"/>
        <v>0</v>
      </c>
      <c r="P989" s="303">
        <f t="shared" si="986"/>
        <v>0</v>
      </c>
      <c r="S989" s="37" t="s">
        <v>1918</v>
      </c>
    </row>
    <row r="990" spans="2:19" ht="12.6" customHeight="1" x14ac:dyDescent="0.2">
      <c r="B990" s="56" t="s">
        <v>284</v>
      </c>
      <c r="C990" s="61"/>
      <c r="D990" s="288"/>
      <c r="E990" s="288"/>
      <c r="F990" s="288"/>
      <c r="G990" s="288"/>
      <c r="H990" s="288"/>
      <c r="I990" s="288"/>
      <c r="J990" s="288">
        <v>1.32</v>
      </c>
      <c r="K990" s="288">
        <f t="shared" si="982"/>
        <v>5.5</v>
      </c>
      <c r="L990" s="288">
        <v>5.3380000000000001</v>
      </c>
      <c r="M990" s="303">
        <f t="shared" ref="M990:P990" si="987">L990*(1+M999)</f>
        <v>6.1387</v>
      </c>
      <c r="N990" s="303">
        <f t="shared" si="987"/>
        <v>6.2614739999999998</v>
      </c>
      <c r="O990" s="303">
        <f t="shared" si="987"/>
        <v>6.5745477000000001</v>
      </c>
      <c r="P990" s="303">
        <f t="shared" si="987"/>
        <v>6.9032750850000006</v>
      </c>
      <c r="S990" s="37" t="s">
        <v>1919</v>
      </c>
    </row>
    <row r="991" spans="2:19" ht="12.6" customHeight="1" x14ac:dyDescent="0.2">
      <c r="B991" s="72" t="s">
        <v>551</v>
      </c>
      <c r="C991" s="95"/>
      <c r="D991" s="63"/>
      <c r="E991" s="63"/>
      <c r="F991" s="63"/>
      <c r="G991" s="63"/>
      <c r="H991" s="63"/>
      <c r="I991" s="63">
        <f t="shared" ref="I991:P991" si="988">SUM(I985:I990)</f>
        <v>0</v>
      </c>
      <c r="J991" s="63">
        <f t="shared" si="988"/>
        <v>1.32</v>
      </c>
      <c r="K991" s="63">
        <f>K13</f>
        <v>5.5</v>
      </c>
      <c r="L991" s="63">
        <f t="shared" si="988"/>
        <v>5.3380000000000001</v>
      </c>
      <c r="M991" s="64">
        <f t="shared" si="988"/>
        <v>6.1387</v>
      </c>
      <c r="N991" s="64">
        <f t="shared" si="988"/>
        <v>6.2614739999999998</v>
      </c>
      <c r="O991" s="64">
        <f t="shared" si="988"/>
        <v>6.5745477000000001</v>
      </c>
      <c r="P991" s="64">
        <f t="shared" si="988"/>
        <v>6.9032750850000006</v>
      </c>
      <c r="Q991" s="352"/>
      <c r="S991" s="37" t="s">
        <v>1920</v>
      </c>
    </row>
    <row r="992" spans="2:19" ht="12.6" customHeight="1" x14ac:dyDescent="0.2">
      <c r="B992" s="72"/>
      <c r="C992" s="95"/>
      <c r="D992" s="63"/>
      <c r="E992" s="63"/>
      <c r="F992" s="63"/>
      <c r="G992" s="63"/>
      <c r="H992" s="63"/>
      <c r="I992" s="63"/>
      <c r="J992" s="63"/>
      <c r="K992" s="63"/>
      <c r="L992" s="63"/>
      <c r="M992" s="64"/>
      <c r="N992" s="64"/>
      <c r="O992" s="64"/>
      <c r="P992" s="64"/>
      <c r="S992" s="37" t="s">
        <v>1921</v>
      </c>
    </row>
    <row r="993" spans="2:16" ht="12.6" customHeight="1" x14ac:dyDescent="0.2">
      <c r="B993" s="116" t="s">
        <v>227</v>
      </c>
      <c r="C993" s="61"/>
      <c r="D993" s="63"/>
      <c r="E993" s="63"/>
      <c r="F993" s="63"/>
      <c r="G993" s="63"/>
      <c r="H993" s="63"/>
      <c r="I993" s="63"/>
      <c r="J993" s="63"/>
      <c r="K993" s="63"/>
      <c r="L993" s="63"/>
      <c r="M993" s="68"/>
      <c r="N993" s="68"/>
      <c r="O993" s="68"/>
      <c r="P993" s="68"/>
    </row>
    <row r="994" spans="2:16" ht="12.6" customHeight="1" x14ac:dyDescent="0.2">
      <c r="B994" s="322" t="s">
        <v>279</v>
      </c>
      <c r="C994" s="355"/>
      <c r="D994" s="113"/>
      <c r="E994" s="113"/>
      <c r="F994" s="113"/>
      <c r="G994" s="113"/>
      <c r="H994" s="113"/>
      <c r="I994" s="113"/>
      <c r="J994" s="113">
        <f t="shared" ref="J994:L1000" si="989">IFERROR(J985/I985-1,0)</f>
        <v>0</v>
      </c>
      <c r="K994" s="113">
        <f t="shared" si="989"/>
        <v>0</v>
      </c>
      <c r="L994" s="113">
        <f t="shared" si="989"/>
        <v>0</v>
      </c>
      <c r="M994" s="356">
        <v>0</v>
      </c>
      <c r="N994" s="356">
        <v>0</v>
      </c>
      <c r="O994" s="356">
        <v>0</v>
      </c>
      <c r="P994" s="356">
        <v>0</v>
      </c>
    </row>
    <row r="995" spans="2:16" ht="12.6" customHeight="1" x14ac:dyDescent="0.2">
      <c r="B995" s="322" t="s">
        <v>280</v>
      </c>
      <c r="C995" s="355"/>
      <c r="D995" s="113"/>
      <c r="E995" s="113"/>
      <c r="F995" s="113"/>
      <c r="G995" s="113"/>
      <c r="H995" s="113"/>
      <c r="I995" s="113"/>
      <c r="J995" s="113">
        <f t="shared" si="989"/>
        <v>0</v>
      </c>
      <c r="K995" s="113">
        <f t="shared" si="989"/>
        <v>0</v>
      </c>
      <c r="L995" s="113">
        <f t="shared" si="989"/>
        <v>0</v>
      </c>
      <c r="M995" s="356">
        <v>0.05</v>
      </c>
      <c r="N995" s="356">
        <v>0.05</v>
      </c>
      <c r="O995" s="356">
        <v>0.05</v>
      </c>
      <c r="P995" s="356">
        <v>0.05</v>
      </c>
    </row>
    <row r="996" spans="2:16" ht="12.6" customHeight="1" x14ac:dyDescent="0.2">
      <c r="B996" s="322" t="s">
        <v>281</v>
      </c>
      <c r="C996" s="355"/>
      <c r="D996" s="113"/>
      <c r="E996" s="113"/>
      <c r="F996" s="113"/>
      <c r="G996" s="113"/>
      <c r="H996" s="113"/>
      <c r="I996" s="113"/>
      <c r="J996" s="113">
        <f t="shared" si="989"/>
        <v>0</v>
      </c>
      <c r="K996" s="113">
        <f t="shared" si="989"/>
        <v>0</v>
      </c>
      <c r="L996" s="113">
        <f t="shared" si="989"/>
        <v>0</v>
      </c>
      <c r="M996" s="356">
        <v>0</v>
      </c>
      <c r="N996" s="356">
        <v>0</v>
      </c>
      <c r="O996" s="356">
        <v>0</v>
      </c>
      <c r="P996" s="356">
        <v>0</v>
      </c>
    </row>
    <row r="997" spans="2:16" ht="12.6" customHeight="1" x14ac:dyDescent="0.2">
      <c r="B997" s="322" t="s">
        <v>282</v>
      </c>
      <c r="C997" s="355"/>
      <c r="D997" s="113"/>
      <c r="E997" s="113"/>
      <c r="F997" s="113"/>
      <c r="G997" s="113"/>
      <c r="H997" s="113"/>
      <c r="I997" s="113"/>
      <c r="J997" s="113">
        <f t="shared" si="989"/>
        <v>0</v>
      </c>
      <c r="K997" s="113">
        <f t="shared" si="989"/>
        <v>0</v>
      </c>
      <c r="L997" s="113">
        <f t="shared" si="989"/>
        <v>0</v>
      </c>
      <c r="M997" s="356">
        <v>0</v>
      </c>
      <c r="N997" s="356">
        <v>0</v>
      </c>
      <c r="O997" s="356">
        <v>0</v>
      </c>
      <c r="P997" s="356">
        <v>0</v>
      </c>
    </row>
    <row r="998" spans="2:16" ht="12.6" customHeight="1" x14ac:dyDescent="0.2">
      <c r="B998" s="322" t="s">
        <v>283</v>
      </c>
      <c r="C998" s="355"/>
      <c r="D998" s="113"/>
      <c r="E998" s="113"/>
      <c r="F998" s="113"/>
      <c r="G998" s="113"/>
      <c r="H998" s="113"/>
      <c r="I998" s="113"/>
      <c r="J998" s="113">
        <f t="shared" si="989"/>
        <v>0</v>
      </c>
      <c r="K998" s="113">
        <f t="shared" si="989"/>
        <v>0</v>
      </c>
      <c r="L998" s="113">
        <f t="shared" si="989"/>
        <v>0</v>
      </c>
      <c r="M998" s="356">
        <v>0</v>
      </c>
      <c r="N998" s="356">
        <v>0</v>
      </c>
      <c r="O998" s="356">
        <v>0</v>
      </c>
      <c r="P998" s="356">
        <v>0</v>
      </c>
    </row>
    <row r="999" spans="2:16" ht="12.6" customHeight="1" x14ac:dyDescent="0.2">
      <c r="B999" s="322" t="s">
        <v>284</v>
      </c>
      <c r="C999" s="355"/>
      <c r="D999" s="113"/>
      <c r="E999" s="113"/>
      <c r="F999" s="113"/>
      <c r="G999" s="113"/>
      <c r="H999" s="113"/>
      <c r="I999" s="113"/>
      <c r="J999" s="113">
        <f t="shared" si="989"/>
        <v>0</v>
      </c>
      <c r="K999" s="113">
        <f t="shared" si="989"/>
        <v>3.1666666666666661</v>
      </c>
      <c r="L999" s="113">
        <f t="shared" si="989"/>
        <v>-2.94545454545454E-2</v>
      </c>
      <c r="M999" s="356">
        <v>0.15</v>
      </c>
      <c r="N999" s="356">
        <v>0.02</v>
      </c>
      <c r="O999" s="356">
        <v>0.05</v>
      </c>
      <c r="P999" s="356">
        <v>0.05</v>
      </c>
    </row>
    <row r="1000" spans="2:16" ht="12.6" customHeight="1" x14ac:dyDescent="0.2">
      <c r="B1000" s="331" t="s">
        <v>551</v>
      </c>
      <c r="C1000" s="358"/>
      <c r="D1000" s="117"/>
      <c r="E1000" s="117"/>
      <c r="F1000" s="117"/>
      <c r="G1000" s="117"/>
      <c r="H1000" s="117"/>
      <c r="I1000" s="117"/>
      <c r="J1000" s="117">
        <f t="shared" si="989"/>
        <v>0</v>
      </c>
      <c r="K1000" s="117">
        <f t="shared" si="989"/>
        <v>3.1666666666666661</v>
      </c>
      <c r="L1000" s="117">
        <f t="shared" si="989"/>
        <v>-2.94545454545454E-2</v>
      </c>
      <c r="M1000" s="204">
        <f t="shared" ref="M1000:P1000" si="990">IFERROR(M991/L991-1,0)</f>
        <v>0.14999999999999991</v>
      </c>
      <c r="N1000" s="204">
        <f t="shared" si="990"/>
        <v>2.0000000000000018E-2</v>
      </c>
      <c r="O1000" s="204">
        <f t="shared" si="990"/>
        <v>5.0000000000000044E-2</v>
      </c>
      <c r="P1000" s="204">
        <f t="shared" si="990"/>
        <v>5.0000000000000044E-2</v>
      </c>
    </row>
    <row r="1001" spans="2:16" ht="12.6" customHeight="1" x14ac:dyDescent="0.2">
      <c r="B1001" s="201"/>
      <c r="C1001" s="326"/>
      <c r="D1001" s="335"/>
      <c r="E1001" s="335"/>
      <c r="F1001" s="335"/>
      <c r="G1001" s="335"/>
      <c r="H1001" s="335"/>
      <c r="I1001" s="335"/>
      <c r="J1001" s="335"/>
      <c r="K1001" s="335"/>
      <c r="L1001" s="335"/>
      <c r="M1001" s="357"/>
      <c r="N1001" s="357"/>
      <c r="O1001" s="357"/>
      <c r="P1001" s="357"/>
    </row>
    <row r="1002" spans="2:16" ht="12.6" customHeight="1" x14ac:dyDescent="0.2">
      <c r="B1002" s="331" t="s">
        <v>287</v>
      </c>
      <c r="C1002" s="326"/>
      <c r="D1002" s="335"/>
      <c r="E1002" s="335"/>
      <c r="F1002" s="335"/>
      <c r="G1002" s="335"/>
      <c r="H1002" s="335"/>
      <c r="I1002" s="335"/>
      <c r="J1002" s="335"/>
      <c r="K1002" s="335"/>
      <c r="L1002" s="335"/>
      <c r="M1002" s="357"/>
      <c r="N1002" s="357"/>
      <c r="O1002" s="357"/>
      <c r="P1002" s="357"/>
    </row>
    <row r="1003" spans="2:16" ht="12.6" customHeight="1" x14ac:dyDescent="0.2">
      <c r="B1003" s="322" t="s">
        <v>279</v>
      </c>
      <c r="C1003" s="326"/>
      <c r="D1003" s="113"/>
      <c r="E1003" s="113"/>
      <c r="F1003" s="113"/>
      <c r="G1003" s="113"/>
      <c r="H1003" s="113"/>
      <c r="I1003" s="113"/>
      <c r="J1003" s="113">
        <f>J985/J$991</f>
        <v>0</v>
      </c>
      <c r="K1003" s="113">
        <f>K985/K$991</f>
        <v>0</v>
      </c>
      <c r="L1003" s="113">
        <f>L985/L$991</f>
        <v>0</v>
      </c>
      <c r="M1003" s="197">
        <f t="shared" ref="M1003:P1003" si="991">M985/M$991</f>
        <v>0</v>
      </c>
      <c r="N1003" s="197">
        <f t="shared" si="991"/>
        <v>0</v>
      </c>
      <c r="O1003" s="197">
        <f t="shared" si="991"/>
        <v>0</v>
      </c>
      <c r="P1003" s="197">
        <f t="shared" si="991"/>
        <v>0</v>
      </c>
    </row>
    <row r="1004" spans="2:16" ht="12.6" customHeight="1" x14ac:dyDescent="0.2">
      <c r="B1004" s="322" t="s">
        <v>280</v>
      </c>
      <c r="C1004" s="326"/>
      <c r="D1004" s="113"/>
      <c r="E1004" s="113"/>
      <c r="F1004" s="113"/>
      <c r="G1004" s="113"/>
      <c r="H1004" s="113"/>
      <c r="I1004" s="113"/>
      <c r="J1004" s="113">
        <f t="shared" ref="J1004:P1004" si="992">J986/J$991</f>
        <v>0</v>
      </c>
      <c r="K1004" s="113">
        <f t="shared" ref="K1004:L1004" si="993">K986/K$991</f>
        <v>0</v>
      </c>
      <c r="L1004" s="113">
        <f t="shared" si="993"/>
        <v>0</v>
      </c>
      <c r="M1004" s="197">
        <f t="shared" si="992"/>
        <v>0</v>
      </c>
      <c r="N1004" s="197">
        <f t="shared" si="992"/>
        <v>0</v>
      </c>
      <c r="O1004" s="197">
        <f t="shared" si="992"/>
        <v>0</v>
      </c>
      <c r="P1004" s="197">
        <f t="shared" si="992"/>
        <v>0</v>
      </c>
    </row>
    <row r="1005" spans="2:16" ht="12.6" customHeight="1" x14ac:dyDescent="0.2">
      <c r="B1005" s="322" t="s">
        <v>281</v>
      </c>
      <c r="C1005" s="326"/>
      <c r="D1005" s="113"/>
      <c r="E1005" s="113"/>
      <c r="F1005" s="113"/>
      <c r="G1005" s="113"/>
      <c r="H1005" s="113"/>
      <c r="I1005" s="113"/>
      <c r="J1005" s="113">
        <f t="shared" ref="J1005:P1005" si="994">J987/J$991</f>
        <v>0</v>
      </c>
      <c r="K1005" s="113">
        <f t="shared" ref="K1005:L1005" si="995">K987/K$991</f>
        <v>0</v>
      </c>
      <c r="L1005" s="113">
        <f t="shared" si="995"/>
        <v>0</v>
      </c>
      <c r="M1005" s="197">
        <f t="shared" si="994"/>
        <v>0</v>
      </c>
      <c r="N1005" s="197">
        <f t="shared" si="994"/>
        <v>0</v>
      </c>
      <c r="O1005" s="197">
        <f t="shared" si="994"/>
        <v>0</v>
      </c>
      <c r="P1005" s="197">
        <f t="shared" si="994"/>
        <v>0</v>
      </c>
    </row>
    <row r="1006" spans="2:16" ht="12.6" customHeight="1" x14ac:dyDescent="0.2">
      <c r="B1006" s="322" t="s">
        <v>282</v>
      </c>
      <c r="C1006" s="326"/>
      <c r="D1006" s="113"/>
      <c r="E1006" s="113"/>
      <c r="F1006" s="113"/>
      <c r="G1006" s="113"/>
      <c r="H1006" s="113"/>
      <c r="I1006" s="113"/>
      <c r="J1006" s="113">
        <f t="shared" ref="J1006:P1006" si="996">J988/J$991</f>
        <v>0</v>
      </c>
      <c r="K1006" s="113">
        <f t="shared" ref="K1006:L1006" si="997">K988/K$991</f>
        <v>0</v>
      </c>
      <c r="L1006" s="113">
        <f t="shared" si="997"/>
        <v>0</v>
      </c>
      <c r="M1006" s="197">
        <f t="shared" si="996"/>
        <v>0</v>
      </c>
      <c r="N1006" s="197">
        <f t="shared" si="996"/>
        <v>0</v>
      </c>
      <c r="O1006" s="197">
        <f t="shared" si="996"/>
        <v>0</v>
      </c>
      <c r="P1006" s="197">
        <f t="shared" si="996"/>
        <v>0</v>
      </c>
    </row>
    <row r="1007" spans="2:16" ht="12.6" customHeight="1" x14ac:dyDescent="0.2">
      <c r="B1007" s="322" t="s">
        <v>283</v>
      </c>
      <c r="C1007" s="326"/>
      <c r="D1007" s="113"/>
      <c r="E1007" s="113"/>
      <c r="F1007" s="113"/>
      <c r="G1007" s="113"/>
      <c r="H1007" s="113"/>
      <c r="I1007" s="113"/>
      <c r="J1007" s="113">
        <f t="shared" ref="J1007:P1007" si="998">J989/J$991</f>
        <v>0</v>
      </c>
      <c r="K1007" s="113">
        <f t="shared" ref="K1007:L1007" si="999">K989/K$991</f>
        <v>0</v>
      </c>
      <c r="L1007" s="113">
        <f t="shared" si="999"/>
        <v>0</v>
      </c>
      <c r="M1007" s="197">
        <f t="shared" si="998"/>
        <v>0</v>
      </c>
      <c r="N1007" s="197">
        <f t="shared" si="998"/>
        <v>0</v>
      </c>
      <c r="O1007" s="197">
        <f t="shared" si="998"/>
        <v>0</v>
      </c>
      <c r="P1007" s="197">
        <f t="shared" si="998"/>
        <v>0</v>
      </c>
    </row>
    <row r="1008" spans="2:16" ht="12.6" customHeight="1" x14ac:dyDescent="0.2">
      <c r="B1008" s="322" t="s">
        <v>284</v>
      </c>
      <c r="C1008" s="326"/>
      <c r="D1008" s="113"/>
      <c r="E1008" s="113"/>
      <c r="F1008" s="113"/>
      <c r="G1008" s="113"/>
      <c r="H1008" s="113"/>
      <c r="I1008" s="113"/>
      <c r="J1008" s="113">
        <f t="shared" ref="J1008:P1008" si="1000">J990/J$991</f>
        <v>1</v>
      </c>
      <c r="K1008" s="113">
        <f t="shared" ref="K1008:L1008" si="1001">K990/K$991</f>
        <v>1</v>
      </c>
      <c r="L1008" s="113">
        <f t="shared" si="1001"/>
        <v>1</v>
      </c>
      <c r="M1008" s="197">
        <f t="shared" si="1000"/>
        <v>1</v>
      </c>
      <c r="N1008" s="197">
        <f t="shared" si="1000"/>
        <v>1</v>
      </c>
      <c r="O1008" s="197">
        <f t="shared" si="1000"/>
        <v>1</v>
      </c>
      <c r="P1008" s="197">
        <f t="shared" si="1000"/>
        <v>1</v>
      </c>
    </row>
    <row r="1009" spans="1:171" ht="12.6" customHeight="1" x14ac:dyDescent="0.2">
      <c r="B1009" s="359" t="s">
        <v>551</v>
      </c>
      <c r="C1009" s="327"/>
      <c r="D1009" s="117"/>
      <c r="E1009" s="117"/>
      <c r="F1009" s="117"/>
      <c r="G1009" s="117"/>
      <c r="H1009" s="117"/>
      <c r="I1009" s="117"/>
      <c r="J1009" s="117">
        <f t="shared" ref="J1009:P1009" si="1002">J991/J$991</f>
        <v>1</v>
      </c>
      <c r="K1009" s="117">
        <f t="shared" ref="K1009:L1009" si="1003">K991/K$991</f>
        <v>1</v>
      </c>
      <c r="L1009" s="117">
        <f t="shared" si="1003"/>
        <v>1</v>
      </c>
      <c r="M1009" s="204">
        <f t="shared" si="1002"/>
        <v>1</v>
      </c>
      <c r="N1009" s="204">
        <f t="shared" si="1002"/>
        <v>1</v>
      </c>
      <c r="O1009" s="204">
        <f t="shared" si="1002"/>
        <v>1</v>
      </c>
      <c r="P1009" s="204">
        <f t="shared" si="1002"/>
        <v>1</v>
      </c>
    </row>
    <row r="1010" spans="1:171" ht="12.6" customHeight="1" x14ac:dyDescent="0.2">
      <c r="B1010" s="56"/>
      <c r="C1010" s="61"/>
      <c r="D1010" s="57"/>
      <c r="E1010" s="57"/>
      <c r="F1010" s="57"/>
      <c r="G1010" s="57"/>
      <c r="H1010" s="57"/>
      <c r="I1010" s="57"/>
      <c r="J1010" s="57"/>
      <c r="K1010" s="57"/>
      <c r="L1010" s="57"/>
      <c r="M1010" s="68"/>
      <c r="N1010" s="68"/>
      <c r="O1010" s="68"/>
      <c r="P1010" s="68"/>
    </row>
    <row r="1011" spans="1:171" ht="12.6" customHeight="1" x14ac:dyDescent="0.2">
      <c r="B1011" s="56" t="s">
        <v>563</v>
      </c>
      <c r="C1011" s="61" t="s">
        <v>566</v>
      </c>
      <c r="D1011" s="57"/>
      <c r="E1011" s="57"/>
      <c r="F1011" s="57"/>
      <c r="G1011" s="57"/>
      <c r="H1011" s="57"/>
      <c r="I1011" s="57"/>
      <c r="J1011" s="57">
        <f>J1021*J$991</f>
        <v>1.3200000000000002E-2</v>
      </c>
      <c r="K1011" s="57">
        <f t="shared" ref="K1011:P1011" si="1004">K1013-K1012</f>
        <v>0.22000000000000064</v>
      </c>
      <c r="L1011" s="68">
        <f t="shared" si="1004"/>
        <v>0.21351999999999993</v>
      </c>
      <c r="M1011" s="68">
        <f t="shared" si="1004"/>
        <v>0.24554800000000032</v>
      </c>
      <c r="N1011" s="68">
        <f t="shared" si="1004"/>
        <v>0.25045896000000045</v>
      </c>
      <c r="O1011" s="68">
        <f t="shared" si="1004"/>
        <v>0.26298190800000043</v>
      </c>
      <c r="P1011" s="68">
        <f t="shared" si="1004"/>
        <v>0.27613100340000063</v>
      </c>
    </row>
    <row r="1012" spans="1:171" ht="12.6" customHeight="1" x14ac:dyDescent="0.2">
      <c r="B1012" s="56" t="s">
        <v>299</v>
      </c>
      <c r="C1012" s="61" t="s">
        <v>566</v>
      </c>
      <c r="D1012" s="57"/>
      <c r="E1012" s="57"/>
      <c r="F1012" s="57"/>
      <c r="G1012" s="57"/>
      <c r="H1012" s="57"/>
      <c r="I1012" s="57"/>
      <c r="J1012" s="57">
        <f>J1022*J$991</f>
        <v>1.3068</v>
      </c>
      <c r="K1012" s="57">
        <f t="shared" ref="K1012:P1012" si="1005">K1013*K1022</f>
        <v>5.2799999999999994</v>
      </c>
      <c r="L1012" s="68">
        <f t="shared" si="1005"/>
        <v>5.1244800000000001</v>
      </c>
      <c r="M1012" s="68">
        <f t="shared" si="1005"/>
        <v>5.8931519999999997</v>
      </c>
      <c r="N1012" s="68">
        <f t="shared" si="1005"/>
        <v>6.0110150399999993</v>
      </c>
      <c r="O1012" s="68">
        <f t="shared" si="1005"/>
        <v>6.3115657919999997</v>
      </c>
      <c r="P1012" s="68">
        <f t="shared" si="1005"/>
        <v>6.6271440816</v>
      </c>
    </row>
    <row r="1013" spans="1:171" ht="12.6" customHeight="1" x14ac:dyDescent="0.2">
      <c r="B1013" s="72" t="s">
        <v>551</v>
      </c>
      <c r="C1013" s="61"/>
      <c r="D1013" s="63"/>
      <c r="E1013" s="63"/>
      <c r="F1013" s="63"/>
      <c r="G1013" s="63"/>
      <c r="H1013" s="63"/>
      <c r="I1013" s="63"/>
      <c r="J1013" s="63">
        <f>SUM(J1011:J1012)</f>
        <v>1.32</v>
      </c>
      <c r="K1013" s="63">
        <f t="shared" ref="K1013:P1013" si="1006">K991</f>
        <v>5.5</v>
      </c>
      <c r="L1013" s="64">
        <f t="shared" si="1006"/>
        <v>5.3380000000000001</v>
      </c>
      <c r="M1013" s="64">
        <f t="shared" si="1006"/>
        <v>6.1387</v>
      </c>
      <c r="N1013" s="64">
        <f t="shared" si="1006"/>
        <v>6.2614739999999998</v>
      </c>
      <c r="O1013" s="64">
        <f t="shared" si="1006"/>
        <v>6.5745477000000001</v>
      </c>
      <c r="P1013" s="64">
        <f t="shared" si="1006"/>
        <v>6.9032750850000006</v>
      </c>
    </row>
    <row r="1014" spans="1:171" ht="12.6" customHeight="1" x14ac:dyDescent="0.2">
      <c r="B1014" s="72"/>
      <c r="C1014" s="61"/>
      <c r="D1014" s="63"/>
      <c r="E1014" s="63"/>
      <c r="F1014" s="63"/>
      <c r="G1014" s="63"/>
      <c r="H1014" s="63"/>
      <c r="I1014" s="63"/>
      <c r="J1014" s="63"/>
      <c r="K1014" s="63"/>
      <c r="L1014" s="64"/>
      <c r="M1014" s="64"/>
      <c r="N1014" s="64"/>
      <c r="O1014" s="64"/>
      <c r="P1014" s="64"/>
    </row>
    <row r="1015" spans="1:171" ht="12.6" customHeight="1" x14ac:dyDescent="0.2">
      <c r="B1015" s="331" t="s">
        <v>227</v>
      </c>
      <c r="C1015" s="326"/>
      <c r="D1015" s="335"/>
      <c r="E1015" s="335"/>
      <c r="F1015" s="335"/>
      <c r="G1015" s="335"/>
      <c r="H1015" s="335"/>
      <c r="I1015" s="335"/>
      <c r="J1015" s="335"/>
      <c r="K1015" s="335"/>
      <c r="L1015" s="336"/>
      <c r="M1015" s="336"/>
      <c r="N1015" s="336"/>
      <c r="O1015" s="336"/>
      <c r="P1015" s="336"/>
    </row>
    <row r="1016" spans="1:171" ht="12.6" customHeight="1" x14ac:dyDescent="0.2">
      <c r="B1016" s="322" t="s">
        <v>563</v>
      </c>
      <c r="C1016" s="326"/>
      <c r="D1016" s="113"/>
      <c r="E1016" s="113"/>
      <c r="F1016" s="113"/>
      <c r="G1016" s="113"/>
      <c r="H1016" s="113"/>
      <c r="I1016" s="113"/>
      <c r="J1016" s="113" t="str">
        <f>IFERROR(J1011/I1011-1,"--")</f>
        <v>--</v>
      </c>
      <c r="K1016" s="113">
        <f t="shared" ref="K1016:P1016" si="1007">IFERROR(K1011/J1011-1,"--")</f>
        <v>15.666666666666714</v>
      </c>
      <c r="L1016" s="197">
        <f t="shared" si="1007"/>
        <v>-2.945454545454862E-2</v>
      </c>
      <c r="M1016" s="197">
        <f t="shared" si="1007"/>
        <v>0.15000000000000191</v>
      </c>
      <c r="N1016" s="197">
        <f t="shared" si="1007"/>
        <v>2.0000000000000462E-2</v>
      </c>
      <c r="O1016" s="197">
        <f t="shared" si="1007"/>
        <v>4.9999999999999822E-2</v>
      </c>
      <c r="P1016" s="197">
        <f t="shared" si="1007"/>
        <v>5.0000000000000711E-2</v>
      </c>
    </row>
    <row r="1017" spans="1:171" ht="12.6" customHeight="1" x14ac:dyDescent="0.2">
      <c r="B1017" s="322" t="s">
        <v>299</v>
      </c>
      <c r="C1017" s="326"/>
      <c r="D1017" s="113"/>
      <c r="E1017" s="113"/>
      <c r="F1017" s="113"/>
      <c r="G1017" s="113"/>
      <c r="H1017" s="113"/>
      <c r="I1017" s="113"/>
      <c r="J1017" s="113" t="str">
        <f t="shared" ref="J1017:P1017" si="1008">IFERROR(J1012/I1012-1,"--")</f>
        <v>--</v>
      </c>
      <c r="K1017" s="113">
        <f t="shared" si="1008"/>
        <v>3.0404040404040398</v>
      </c>
      <c r="L1017" s="197">
        <f t="shared" si="1008"/>
        <v>-2.9454545454545289E-2</v>
      </c>
      <c r="M1017" s="197">
        <f t="shared" si="1008"/>
        <v>0.14999999999999991</v>
      </c>
      <c r="N1017" s="197">
        <f t="shared" si="1008"/>
        <v>2.0000000000000018E-2</v>
      </c>
      <c r="O1017" s="197">
        <f t="shared" si="1008"/>
        <v>5.0000000000000044E-2</v>
      </c>
      <c r="P1017" s="197">
        <f t="shared" si="1008"/>
        <v>5.0000000000000044E-2</v>
      </c>
    </row>
    <row r="1018" spans="1:171" ht="12.6" customHeight="1" x14ac:dyDescent="0.2">
      <c r="B1018" s="331" t="s">
        <v>551</v>
      </c>
      <c r="C1018" s="327"/>
      <c r="D1018" s="117"/>
      <c r="E1018" s="117"/>
      <c r="F1018" s="117"/>
      <c r="G1018" s="117"/>
      <c r="H1018" s="117"/>
      <c r="I1018" s="117"/>
      <c r="J1018" s="117" t="str">
        <f t="shared" ref="J1018:P1018" si="1009">IFERROR(J1013/I1013-1,"--")</f>
        <v>--</v>
      </c>
      <c r="K1018" s="117">
        <f t="shared" si="1009"/>
        <v>3.1666666666666661</v>
      </c>
      <c r="L1018" s="204">
        <f t="shared" si="1009"/>
        <v>-2.94545454545454E-2</v>
      </c>
      <c r="M1018" s="204">
        <f t="shared" si="1009"/>
        <v>0.14999999999999991</v>
      </c>
      <c r="N1018" s="204">
        <f t="shared" si="1009"/>
        <v>2.0000000000000018E-2</v>
      </c>
      <c r="O1018" s="204">
        <f t="shared" si="1009"/>
        <v>5.0000000000000044E-2</v>
      </c>
      <c r="P1018" s="204">
        <f t="shared" si="1009"/>
        <v>5.0000000000000044E-2</v>
      </c>
    </row>
    <row r="1019" spans="1:171" ht="12.6" customHeight="1" x14ac:dyDescent="0.2">
      <c r="B1019" s="331"/>
      <c r="C1019" s="326"/>
      <c r="D1019" s="335"/>
      <c r="E1019" s="335"/>
      <c r="F1019" s="335"/>
      <c r="G1019" s="335"/>
      <c r="H1019" s="335"/>
      <c r="I1019" s="335"/>
      <c r="J1019" s="335"/>
      <c r="K1019" s="335"/>
      <c r="L1019" s="336"/>
      <c r="M1019" s="336"/>
      <c r="N1019" s="336"/>
      <c r="O1019" s="336"/>
      <c r="P1019" s="336"/>
    </row>
    <row r="1020" spans="1:171" ht="12.6" customHeight="1" x14ac:dyDescent="0.2">
      <c r="B1020" s="331" t="s">
        <v>287</v>
      </c>
      <c r="C1020" s="326"/>
      <c r="D1020" s="335"/>
      <c r="E1020" s="335"/>
      <c r="F1020" s="335"/>
      <c r="G1020" s="335"/>
      <c r="H1020" s="335"/>
      <c r="I1020" s="335"/>
      <c r="J1020" s="335"/>
      <c r="K1020" s="335"/>
      <c r="L1020" s="336"/>
      <c r="M1020" s="336"/>
      <c r="N1020" s="336"/>
      <c r="O1020" s="336"/>
      <c r="P1020" s="336"/>
    </row>
    <row r="1021" spans="1:171" ht="12.6" customHeight="1" x14ac:dyDescent="0.2">
      <c r="B1021" s="322" t="s">
        <v>563</v>
      </c>
      <c r="C1021" s="326"/>
      <c r="D1021" s="113"/>
      <c r="E1021" s="113"/>
      <c r="F1021" s="113"/>
      <c r="G1021" s="113"/>
      <c r="H1021" s="113"/>
      <c r="I1021" s="113"/>
      <c r="J1021" s="113">
        <v>0.01</v>
      </c>
      <c r="K1021" s="113">
        <f t="shared" ref="K1021:P1021" si="1010">1-K1022</f>
        <v>4.0000000000000036E-2</v>
      </c>
      <c r="L1021" s="197">
        <f t="shared" si="1010"/>
        <v>4.0000000000000036E-2</v>
      </c>
      <c r="M1021" s="197">
        <f t="shared" si="1010"/>
        <v>4.0000000000000036E-2</v>
      </c>
      <c r="N1021" s="197">
        <f t="shared" si="1010"/>
        <v>4.0000000000000036E-2</v>
      </c>
      <c r="O1021" s="197">
        <f t="shared" si="1010"/>
        <v>4.0000000000000036E-2</v>
      </c>
      <c r="P1021" s="197">
        <f t="shared" si="1010"/>
        <v>4.0000000000000036E-2</v>
      </c>
    </row>
    <row r="1022" spans="1:171" ht="12.6" customHeight="1" x14ac:dyDescent="0.2">
      <c r="B1022" s="359" t="s">
        <v>299</v>
      </c>
      <c r="C1022" s="327"/>
      <c r="D1022" s="117"/>
      <c r="E1022" s="117"/>
      <c r="F1022" s="117"/>
      <c r="G1022" s="117"/>
      <c r="H1022" s="117"/>
      <c r="I1022" s="117"/>
      <c r="J1022" s="117">
        <v>0.99</v>
      </c>
      <c r="K1022" s="117">
        <v>0.96</v>
      </c>
      <c r="L1022" s="360">
        <f t="shared" ref="L1022:P1022" si="1011">K1022</f>
        <v>0.96</v>
      </c>
      <c r="M1022" s="360">
        <f t="shared" si="1011"/>
        <v>0.96</v>
      </c>
      <c r="N1022" s="360">
        <f t="shared" si="1011"/>
        <v>0.96</v>
      </c>
      <c r="O1022" s="360">
        <f t="shared" si="1011"/>
        <v>0.96</v>
      </c>
      <c r="P1022" s="360">
        <f t="shared" si="1011"/>
        <v>0.96</v>
      </c>
    </row>
    <row r="1023" spans="1:171" ht="12.6" customHeight="1" x14ac:dyDescent="0.2">
      <c r="B1023" s="112"/>
      <c r="C1023" s="61"/>
      <c r="D1023" s="289"/>
      <c r="E1023" s="289"/>
      <c r="F1023" s="289"/>
      <c r="G1023" s="289"/>
      <c r="H1023" s="289"/>
      <c r="I1023" s="289"/>
      <c r="J1023" s="289"/>
      <c r="K1023" s="289"/>
      <c r="L1023" s="306"/>
      <c r="M1023" s="306"/>
      <c r="N1023" s="306"/>
      <c r="O1023" s="306"/>
      <c r="P1023" s="306"/>
    </row>
    <row r="1024" spans="1:171" ht="12.6" customHeight="1" x14ac:dyDescent="0.2">
      <c r="A1024" s="87"/>
      <c r="B1024" s="206"/>
      <c r="C1024" s="191"/>
      <c r="D1024" s="42"/>
      <c r="E1024" s="42"/>
      <c r="F1024" s="42"/>
      <c r="G1024" s="42"/>
      <c r="H1024" s="42"/>
      <c r="I1024" s="42"/>
      <c r="J1024" s="42"/>
      <c r="K1024" s="42"/>
      <c r="L1024" s="42"/>
      <c r="M1024" s="42"/>
      <c r="N1024" s="42"/>
      <c r="O1024" s="42"/>
      <c r="P1024" s="42"/>
      <c r="Q1024" s="87"/>
      <c r="R1024" s="87"/>
      <c r="S1024" s="87"/>
      <c r="T1024" s="87"/>
      <c r="U1024" s="87"/>
      <c r="V1024" s="87"/>
      <c r="W1024" s="87"/>
      <c r="X1024" s="87"/>
      <c r="Y1024" s="87"/>
      <c r="Z1024" s="87"/>
      <c r="AA1024" s="87"/>
      <c r="AB1024" s="87"/>
      <c r="AC1024" s="87"/>
      <c r="AD1024" s="87"/>
      <c r="AE1024" s="87"/>
      <c r="AF1024" s="87"/>
      <c r="AG1024" s="87"/>
      <c r="AH1024" s="87"/>
      <c r="AI1024" s="87"/>
      <c r="AJ1024" s="87"/>
      <c r="AK1024" s="87"/>
      <c r="AL1024" s="87"/>
      <c r="AM1024" s="87"/>
      <c r="AO1024" s="87"/>
      <c r="AP1024" s="87"/>
      <c r="AQ1024" s="87"/>
      <c r="AR1024" s="87"/>
      <c r="AS1024" s="87"/>
      <c r="AT1024" s="87"/>
      <c r="AU1024" s="87"/>
      <c r="AV1024" s="87"/>
      <c r="AW1024" s="87"/>
      <c r="AX1024" s="87"/>
      <c r="AY1024" s="87"/>
      <c r="BA1024" s="87"/>
      <c r="BB1024" s="87"/>
      <c r="BC1024" s="87"/>
      <c r="BD1024" s="87"/>
      <c r="BE1024" s="87"/>
      <c r="BF1024" s="87"/>
      <c r="BG1024" s="87"/>
      <c r="BH1024" s="87"/>
      <c r="BI1024" s="87"/>
      <c r="BJ1024" s="87"/>
      <c r="BK1024" s="87"/>
      <c r="BL1024" s="87"/>
      <c r="BM1024" s="87"/>
      <c r="BN1024" s="87"/>
      <c r="BP1024" s="87"/>
      <c r="BQ1024" s="87"/>
      <c r="BR1024" s="87"/>
      <c r="BS1024" s="87"/>
      <c r="BT1024" s="87"/>
      <c r="BU1024" s="87"/>
      <c r="BV1024" s="87"/>
      <c r="BW1024" s="87"/>
      <c r="BX1024" s="87"/>
      <c r="BY1024" s="87"/>
      <c r="BZ1024" s="87"/>
      <c r="CB1024" s="87"/>
      <c r="CC1024" s="87"/>
      <c r="CD1024" s="87"/>
      <c r="CE1024" s="87"/>
      <c r="CF1024" s="87"/>
      <c r="CG1024" s="87"/>
      <c r="CH1024" s="87"/>
      <c r="CI1024" s="87"/>
      <c r="CJ1024" s="87"/>
      <c r="CK1024" s="87"/>
      <c r="CL1024" s="87"/>
      <c r="CN1024" s="87"/>
      <c r="CO1024" s="87"/>
      <c r="CP1024" s="87"/>
      <c r="CQ1024" s="87"/>
      <c r="CR1024" s="87"/>
      <c r="CS1024" s="87"/>
      <c r="CT1024" s="87"/>
      <c r="CU1024" s="87"/>
      <c r="CV1024" s="87"/>
      <c r="CW1024" s="87"/>
      <c r="CX1024" s="87"/>
      <c r="CZ1024" s="87"/>
      <c r="DA1024" s="87"/>
      <c r="DB1024" s="87"/>
      <c r="DC1024" s="87"/>
      <c r="DD1024" s="87"/>
      <c r="DE1024" s="87"/>
      <c r="DF1024" s="87"/>
      <c r="DG1024" s="87"/>
      <c r="DH1024" s="87"/>
      <c r="DI1024" s="87"/>
      <c r="DJ1024" s="87"/>
      <c r="DL1024" s="87"/>
      <c r="DM1024" s="87"/>
      <c r="DN1024" s="87"/>
      <c r="DO1024" s="87"/>
      <c r="DP1024" s="87"/>
      <c r="DQ1024" s="87"/>
      <c r="DR1024" s="87"/>
      <c r="DS1024" s="87"/>
      <c r="DT1024" s="87"/>
      <c r="DU1024" s="87"/>
      <c r="DV1024" s="87"/>
      <c r="DX1024" s="87"/>
      <c r="DY1024" s="87"/>
      <c r="DZ1024" s="87"/>
      <c r="EA1024" s="87"/>
      <c r="EB1024" s="87"/>
      <c r="EC1024" s="87"/>
      <c r="ED1024" s="87"/>
      <c r="EE1024" s="87"/>
      <c r="EF1024" s="87"/>
      <c r="EG1024" s="87"/>
      <c r="EH1024" s="87"/>
      <c r="EJ1024" s="87"/>
      <c r="EK1024" s="87"/>
      <c r="EL1024" s="87"/>
      <c r="EM1024" s="87"/>
      <c r="EN1024" s="87"/>
      <c r="EO1024" s="87"/>
      <c r="EP1024" s="87"/>
      <c r="EQ1024" s="87"/>
      <c r="ER1024" s="87"/>
      <c r="ES1024" s="87"/>
      <c r="ET1024" s="87"/>
      <c r="EV1024" s="87"/>
      <c r="EW1024" s="87"/>
      <c r="EX1024" s="87"/>
      <c r="EY1024" s="87"/>
      <c r="EZ1024" s="87"/>
      <c r="FA1024" s="87"/>
      <c r="FB1024" s="87"/>
      <c r="FC1024" s="87"/>
      <c r="FD1024" s="87"/>
      <c r="FE1024" s="87"/>
      <c r="FF1024" s="87"/>
      <c r="FH1024" s="87"/>
      <c r="FI1024" s="87"/>
      <c r="FJ1024" s="87"/>
      <c r="FK1024" s="87"/>
      <c r="FL1024" s="87"/>
      <c r="FM1024" s="87"/>
      <c r="FN1024" s="87"/>
      <c r="FO1024" s="87"/>
    </row>
    <row r="1025" spans="2:21" ht="12.6" customHeight="1" x14ac:dyDescent="0.2">
      <c r="B1025" s="50" t="s">
        <v>572</v>
      </c>
      <c r="C1025" s="50" t="s">
        <v>473</v>
      </c>
      <c r="D1025" s="163"/>
      <c r="E1025" s="163"/>
      <c r="F1025" s="163"/>
      <c r="G1025" s="51" t="s">
        <v>777</v>
      </c>
      <c r="H1025" s="51" t="s">
        <v>775</v>
      </c>
      <c r="I1025" s="51" t="s">
        <v>776</v>
      </c>
      <c r="J1025" s="51" t="s">
        <v>273</v>
      </c>
      <c r="K1025" s="54"/>
      <c r="L1025" s="54"/>
      <c r="M1025" s="54"/>
      <c r="N1025" s="54"/>
      <c r="O1025" s="54"/>
      <c r="P1025" s="54"/>
    </row>
    <row r="1026" spans="2:21" ht="12.6" customHeight="1" x14ac:dyDescent="0.2">
      <c r="B1026" s="59" t="s">
        <v>779</v>
      </c>
      <c r="C1026" s="61" t="s">
        <v>778</v>
      </c>
      <c r="D1026" s="57"/>
      <c r="E1026" s="57"/>
      <c r="F1026" s="288"/>
      <c r="G1026" s="288">
        <v>26.56</v>
      </c>
      <c r="H1026" s="288">
        <v>24.21</v>
      </c>
      <c r="I1026" s="288">
        <v>18.3</v>
      </c>
      <c r="J1026" s="343">
        <v>30</v>
      </c>
      <c r="K1026" s="290">
        <v>30</v>
      </c>
      <c r="L1026" s="290">
        <v>30</v>
      </c>
      <c r="M1026" s="290">
        <v>26</v>
      </c>
      <c r="N1026" s="290">
        <v>26</v>
      </c>
      <c r="O1026" s="290">
        <v>24</v>
      </c>
      <c r="P1026" s="290">
        <v>24</v>
      </c>
      <c r="Q1026" s="37" t="s">
        <v>690</v>
      </c>
      <c r="R1026" s="37" t="s">
        <v>691</v>
      </c>
      <c r="U1026" s="37">
        <v>465000</v>
      </c>
    </row>
    <row r="1027" spans="2:21" ht="12.6" customHeight="1" x14ac:dyDescent="0.2">
      <c r="B1027" s="59" t="s">
        <v>565</v>
      </c>
      <c r="C1027" s="61" t="s">
        <v>340</v>
      </c>
      <c r="D1027" s="57"/>
      <c r="E1027" s="57"/>
      <c r="F1027" s="288"/>
      <c r="G1027" s="288">
        <f t="shared" ref="G1027:P1027" si="1012">G1026*G1028</f>
        <v>1968.9512319999999</v>
      </c>
      <c r="H1027" s="288">
        <f t="shared" si="1012"/>
        <v>1789.1190000000001</v>
      </c>
      <c r="I1027" s="288">
        <f t="shared" si="1012"/>
        <v>1438.3799999999999</v>
      </c>
      <c r="J1027" s="288">
        <f t="shared" si="1012"/>
        <v>2475</v>
      </c>
      <c r="K1027" s="303">
        <f t="shared" si="1012"/>
        <v>2499.75</v>
      </c>
      <c r="L1027" s="303">
        <f t="shared" si="1012"/>
        <v>2524.7475000000004</v>
      </c>
      <c r="M1027" s="303">
        <f t="shared" si="1012"/>
        <v>2209.9956450000004</v>
      </c>
      <c r="N1027" s="303">
        <f t="shared" si="1012"/>
        <v>2232.0956014500002</v>
      </c>
      <c r="O1027" s="303">
        <f t="shared" si="1012"/>
        <v>2080.9998991980005</v>
      </c>
      <c r="P1027" s="303">
        <f t="shared" si="1012"/>
        <v>2101.8098981899807</v>
      </c>
      <c r="R1027" s="37" t="s">
        <v>692</v>
      </c>
      <c r="T1027" s="37" t="s">
        <v>693</v>
      </c>
    </row>
    <row r="1028" spans="2:21" ht="12.6" customHeight="1" x14ac:dyDescent="0.2">
      <c r="B1028" s="59" t="s">
        <v>780</v>
      </c>
      <c r="C1028" s="61"/>
      <c r="D1028" s="57"/>
      <c r="E1028" s="57"/>
      <c r="F1028" s="288"/>
      <c r="G1028" s="309">
        <v>74.132199999999997</v>
      </c>
      <c r="H1028" s="309">
        <v>73.900000000000006</v>
      </c>
      <c r="I1028" s="309">
        <v>78.599999999999994</v>
      </c>
      <c r="J1028" s="309">
        <v>82.5</v>
      </c>
      <c r="K1028" s="303">
        <f t="shared" ref="K1028:P1028" si="1013">J1028*(1+K1029)</f>
        <v>83.325000000000003</v>
      </c>
      <c r="L1028" s="303">
        <f t="shared" si="1013"/>
        <v>84.15825000000001</v>
      </c>
      <c r="M1028" s="303">
        <f t="shared" si="1013"/>
        <v>84.999832500000011</v>
      </c>
      <c r="N1028" s="303">
        <f t="shared" si="1013"/>
        <v>85.849830825000012</v>
      </c>
      <c r="O1028" s="303">
        <f t="shared" si="1013"/>
        <v>86.708329133250018</v>
      </c>
      <c r="P1028" s="303">
        <f t="shared" si="1013"/>
        <v>87.575412424582524</v>
      </c>
    </row>
    <row r="1029" spans="2:21" s="352" customFormat="1" ht="12.6" customHeight="1" x14ac:dyDescent="0.2">
      <c r="B1029" s="201"/>
      <c r="C1029" s="326"/>
      <c r="D1029" s="58"/>
      <c r="E1029" s="58"/>
      <c r="F1029" s="339"/>
      <c r="G1029" s="361"/>
      <c r="H1029" s="113">
        <f>H1028/G1028-1</f>
        <v>-3.1322421296008374E-3</v>
      </c>
      <c r="I1029" s="113">
        <f>I1028/H1028-1</f>
        <v>6.3599458728010649E-2</v>
      </c>
      <c r="J1029" s="113">
        <f>J1028/I1028-1</f>
        <v>4.961832061068705E-2</v>
      </c>
      <c r="K1029" s="354">
        <v>0.01</v>
      </c>
      <c r="L1029" s="354">
        <v>0.01</v>
      </c>
      <c r="M1029" s="354">
        <v>0.01</v>
      </c>
      <c r="N1029" s="354">
        <v>0.01</v>
      </c>
      <c r="O1029" s="354">
        <v>0.01</v>
      </c>
      <c r="P1029" s="354">
        <v>0.01</v>
      </c>
    </row>
    <row r="1030" spans="2:21" ht="12.6" customHeight="1" x14ac:dyDescent="0.2">
      <c r="B1030" s="112"/>
      <c r="C1030" s="105"/>
      <c r="D1030" s="57"/>
      <c r="E1030" s="57"/>
      <c r="F1030" s="288"/>
      <c r="G1030" s="288"/>
      <c r="H1030" s="294"/>
      <c r="I1030" s="294"/>
      <c r="J1030" s="304"/>
      <c r="K1030" s="304"/>
      <c r="L1030" s="304"/>
      <c r="M1030" s="305"/>
      <c r="N1030" s="305"/>
      <c r="O1030" s="305"/>
      <c r="P1030" s="305"/>
    </row>
    <row r="1031" spans="2:21" ht="12.6" customHeight="1" x14ac:dyDescent="0.2">
      <c r="B1031" s="72" t="s">
        <v>303</v>
      </c>
      <c r="C1031" s="61" t="s">
        <v>4</v>
      </c>
      <c r="D1031" s="57"/>
      <c r="E1031" s="57"/>
      <c r="F1031" s="288"/>
      <c r="G1031" s="288"/>
      <c r="H1031" s="288"/>
      <c r="I1031" s="288"/>
      <c r="J1031" s="288">
        <f t="shared" ref="J1031:P1031" si="1014">J98</f>
        <v>5</v>
      </c>
      <c r="K1031" s="288">
        <f t="shared" si="1014"/>
        <v>5</v>
      </c>
      <c r="L1031" s="288">
        <f t="shared" si="1014"/>
        <v>5</v>
      </c>
      <c r="M1031" s="68">
        <f t="shared" si="1014"/>
        <v>5</v>
      </c>
      <c r="N1031" s="68">
        <f t="shared" si="1014"/>
        <v>5</v>
      </c>
      <c r="O1031" s="68">
        <f t="shared" si="1014"/>
        <v>5</v>
      </c>
      <c r="P1031" s="68">
        <f t="shared" si="1014"/>
        <v>5</v>
      </c>
    </row>
    <row r="1032" spans="2:21" ht="12.6" customHeight="1" x14ac:dyDescent="0.2">
      <c r="B1032" s="202" t="s">
        <v>555</v>
      </c>
      <c r="C1032" s="326" t="s">
        <v>4</v>
      </c>
      <c r="D1032" s="58"/>
      <c r="E1032" s="58"/>
      <c r="F1032" s="330"/>
      <c r="G1032" s="330"/>
      <c r="H1032" s="330"/>
      <c r="I1032" s="330"/>
      <c r="J1032" s="330">
        <f t="shared" ref="J1032:P1032" si="1015">J1041/J1031</f>
        <v>0.28599999999999998</v>
      </c>
      <c r="K1032" s="330">
        <f t="shared" si="1015"/>
        <v>1.46</v>
      </c>
      <c r="L1032" s="330">
        <f t="shared" si="1015"/>
        <v>1.1419999999999999</v>
      </c>
      <c r="M1032" s="324">
        <f t="shared" si="1015"/>
        <v>0.57099999999999995</v>
      </c>
      <c r="N1032" s="324">
        <f t="shared" si="1015"/>
        <v>0.99924999999999997</v>
      </c>
      <c r="O1032" s="324">
        <f t="shared" si="1015"/>
        <v>1.1991000000000001</v>
      </c>
      <c r="P1032" s="324">
        <f t="shared" si="1015"/>
        <v>1.247064</v>
      </c>
    </row>
    <row r="1033" spans="2:21" ht="12.6" customHeight="1" x14ac:dyDescent="0.2">
      <c r="B1033" s="59"/>
      <c r="C1033" s="61"/>
      <c r="D1033" s="57"/>
      <c r="E1033" s="57"/>
      <c r="F1033" s="288"/>
      <c r="G1033" s="57"/>
      <c r="H1033" s="57"/>
      <c r="I1033" s="57"/>
      <c r="J1033" s="57"/>
      <c r="K1033" s="57"/>
      <c r="L1033" s="57"/>
      <c r="M1033" s="68"/>
      <c r="N1033" s="68"/>
      <c r="O1033" s="68"/>
      <c r="P1033" s="68"/>
    </row>
    <row r="1034" spans="2:21" ht="12.6" customHeight="1" x14ac:dyDescent="0.2">
      <c r="B1034" s="72" t="s">
        <v>489</v>
      </c>
      <c r="C1034" s="61"/>
      <c r="D1034" s="57"/>
      <c r="E1034" s="57"/>
      <c r="F1034" s="288"/>
      <c r="G1034" s="57"/>
      <c r="H1034" s="57"/>
      <c r="I1034" s="57"/>
      <c r="J1034" s="57"/>
      <c r="K1034" s="57"/>
      <c r="L1034" s="57"/>
      <c r="M1034" s="68"/>
      <c r="N1034" s="68"/>
      <c r="O1034" s="68"/>
      <c r="P1034" s="68"/>
    </row>
    <row r="1035" spans="2:21" ht="12.6" customHeight="1" x14ac:dyDescent="0.2">
      <c r="B1035" s="56" t="s">
        <v>279</v>
      </c>
      <c r="C1035" s="61"/>
      <c r="D1035" s="288"/>
      <c r="E1035" s="288"/>
      <c r="F1035" s="288"/>
      <c r="G1035" s="288"/>
      <c r="H1035" s="288"/>
      <c r="I1035" s="288"/>
      <c r="J1035" s="288">
        <v>0</v>
      </c>
      <c r="K1035" s="288">
        <f>$K$1041*J1053</f>
        <v>0</v>
      </c>
      <c r="L1035" s="288">
        <v>0</v>
      </c>
      <c r="M1035" s="303">
        <f t="shared" ref="M1035:P1035" si="1016">L1035*(1+M1044)</f>
        <v>0</v>
      </c>
      <c r="N1035" s="303">
        <f t="shared" si="1016"/>
        <v>0</v>
      </c>
      <c r="O1035" s="303">
        <f t="shared" si="1016"/>
        <v>0</v>
      </c>
      <c r="P1035" s="303">
        <f t="shared" si="1016"/>
        <v>0</v>
      </c>
    </row>
    <row r="1036" spans="2:21" ht="12.6" customHeight="1" x14ac:dyDescent="0.2">
      <c r="B1036" s="56" t="s">
        <v>280</v>
      </c>
      <c r="C1036" s="61"/>
      <c r="D1036" s="288"/>
      <c r="E1036" s="288"/>
      <c r="F1036" s="288"/>
      <c r="G1036" s="288"/>
      <c r="H1036" s="288"/>
      <c r="I1036" s="288"/>
      <c r="J1036" s="288">
        <v>0</v>
      </c>
      <c r="K1036" s="288">
        <f t="shared" ref="K1036:K1040" si="1017">$K$1041*J1054</f>
        <v>0</v>
      </c>
      <c r="L1036" s="288">
        <v>0</v>
      </c>
      <c r="M1036" s="303">
        <f t="shared" ref="M1036:P1036" si="1018">L1036*(1+M1045)</f>
        <v>0</v>
      </c>
      <c r="N1036" s="303">
        <f t="shared" si="1018"/>
        <v>0</v>
      </c>
      <c r="O1036" s="303">
        <f t="shared" si="1018"/>
        <v>0</v>
      </c>
      <c r="P1036" s="303">
        <f t="shared" si="1018"/>
        <v>0</v>
      </c>
    </row>
    <row r="1037" spans="2:21" ht="12.6" customHeight="1" x14ac:dyDescent="0.2">
      <c r="B1037" s="56" t="s">
        <v>281</v>
      </c>
      <c r="C1037" s="61"/>
      <c r="D1037" s="288"/>
      <c r="E1037" s="288"/>
      <c r="F1037" s="288"/>
      <c r="G1037" s="288"/>
      <c r="H1037" s="288"/>
      <c r="I1037" s="288"/>
      <c r="J1037" s="288">
        <v>0</v>
      </c>
      <c r="K1037" s="288">
        <f t="shared" si="1017"/>
        <v>0</v>
      </c>
      <c r="L1037" s="288">
        <v>0</v>
      </c>
      <c r="M1037" s="303">
        <f t="shared" ref="M1037:P1037" si="1019">L1037*(1+M1046)</f>
        <v>0</v>
      </c>
      <c r="N1037" s="303">
        <f t="shared" si="1019"/>
        <v>0</v>
      </c>
      <c r="O1037" s="303">
        <f t="shared" si="1019"/>
        <v>0</v>
      </c>
      <c r="P1037" s="303">
        <f t="shared" si="1019"/>
        <v>0</v>
      </c>
    </row>
    <row r="1038" spans="2:21" ht="12.6" customHeight="1" x14ac:dyDescent="0.2">
      <c r="B1038" s="56" t="s">
        <v>282</v>
      </c>
      <c r="C1038" s="61"/>
      <c r="D1038" s="288"/>
      <c r="E1038" s="288"/>
      <c r="F1038" s="288"/>
      <c r="G1038" s="288"/>
      <c r="H1038" s="288"/>
      <c r="I1038" s="288"/>
      <c r="J1038" s="288">
        <v>1.43</v>
      </c>
      <c r="K1038" s="288">
        <f t="shared" si="1017"/>
        <v>7.3</v>
      </c>
      <c r="L1038" s="288">
        <v>5.71</v>
      </c>
      <c r="M1038" s="1018">
        <f t="shared" ref="M1038:P1038" si="1020">L1038*(1+M1047)</f>
        <v>2.855</v>
      </c>
      <c r="N1038" s="303">
        <f t="shared" si="1020"/>
        <v>4.9962499999999999</v>
      </c>
      <c r="O1038" s="303">
        <f t="shared" si="1020"/>
        <v>5.9954999999999998</v>
      </c>
      <c r="P1038" s="303">
        <f t="shared" si="1020"/>
        <v>6.2353199999999998</v>
      </c>
    </row>
    <row r="1039" spans="2:21" ht="12.6" customHeight="1" x14ac:dyDescent="0.2">
      <c r="B1039" s="56" t="s">
        <v>283</v>
      </c>
      <c r="C1039" s="61"/>
      <c r="D1039" s="288"/>
      <c r="E1039" s="288"/>
      <c r="F1039" s="288"/>
      <c r="G1039" s="288"/>
      <c r="H1039" s="288"/>
      <c r="I1039" s="288"/>
      <c r="J1039" s="288">
        <v>0</v>
      </c>
      <c r="K1039" s="288">
        <f t="shared" si="1017"/>
        <v>0</v>
      </c>
      <c r="L1039" s="288">
        <v>0</v>
      </c>
      <c r="M1039" s="303">
        <f t="shared" ref="M1039:P1039" si="1021">L1039*(1+M1048)</f>
        <v>0</v>
      </c>
      <c r="N1039" s="303">
        <f t="shared" si="1021"/>
        <v>0</v>
      </c>
      <c r="O1039" s="303">
        <f t="shared" si="1021"/>
        <v>0</v>
      </c>
      <c r="P1039" s="303">
        <f t="shared" si="1021"/>
        <v>0</v>
      </c>
    </row>
    <row r="1040" spans="2:21" ht="12.6" customHeight="1" x14ac:dyDescent="0.2">
      <c r="B1040" s="56" t="s">
        <v>284</v>
      </c>
      <c r="C1040" s="61"/>
      <c r="D1040" s="288"/>
      <c r="E1040" s="288"/>
      <c r="F1040" s="288"/>
      <c r="G1040" s="288"/>
      <c r="H1040" s="288"/>
      <c r="I1040" s="288"/>
      <c r="J1040" s="288">
        <v>0</v>
      </c>
      <c r="K1040" s="288">
        <f t="shared" si="1017"/>
        <v>0</v>
      </c>
      <c r="L1040" s="288">
        <v>0</v>
      </c>
      <c r="M1040" s="303">
        <f t="shared" ref="M1040:P1040" si="1022">L1040*(1+M1049)</f>
        <v>0</v>
      </c>
      <c r="N1040" s="303">
        <f t="shared" si="1022"/>
        <v>0</v>
      </c>
      <c r="O1040" s="303">
        <f t="shared" si="1022"/>
        <v>0</v>
      </c>
      <c r="P1040" s="303">
        <f t="shared" si="1022"/>
        <v>0</v>
      </c>
    </row>
    <row r="1041" spans="2:17" ht="12.6" customHeight="1" x14ac:dyDescent="0.2">
      <c r="B1041" s="72" t="s">
        <v>551</v>
      </c>
      <c r="C1041" s="95"/>
      <c r="D1041" s="63"/>
      <c r="E1041" s="63"/>
      <c r="F1041" s="63"/>
      <c r="G1041" s="63"/>
      <c r="H1041" s="63"/>
      <c r="I1041" s="63">
        <f t="shared" ref="I1041:P1041" si="1023">SUM(I1035:I1040)</f>
        <v>0</v>
      </c>
      <c r="J1041" s="63">
        <f t="shared" si="1023"/>
        <v>1.43</v>
      </c>
      <c r="K1041" s="63">
        <f>K14</f>
        <v>7.3</v>
      </c>
      <c r="L1041" s="63">
        <f t="shared" si="1023"/>
        <v>5.71</v>
      </c>
      <c r="M1041" s="64">
        <f t="shared" si="1023"/>
        <v>2.855</v>
      </c>
      <c r="N1041" s="64">
        <f t="shared" si="1023"/>
        <v>4.9962499999999999</v>
      </c>
      <c r="O1041" s="64">
        <f t="shared" si="1023"/>
        <v>5.9954999999999998</v>
      </c>
      <c r="P1041" s="64">
        <f t="shared" si="1023"/>
        <v>6.2353199999999998</v>
      </c>
      <c r="Q1041" s="352"/>
    </row>
    <row r="1042" spans="2:17" ht="12.6" customHeight="1" x14ac:dyDescent="0.2">
      <c r="B1042" s="72"/>
      <c r="C1042" s="95"/>
      <c r="D1042" s="63"/>
      <c r="E1042" s="63"/>
      <c r="F1042" s="63"/>
      <c r="G1042" s="63"/>
      <c r="H1042" s="63"/>
      <c r="I1042" s="63"/>
      <c r="J1042" s="63"/>
      <c r="K1042" s="63"/>
      <c r="L1042" s="63"/>
      <c r="M1042" s="64"/>
      <c r="N1042" s="64"/>
      <c r="O1042" s="64"/>
      <c r="P1042" s="64"/>
    </row>
    <row r="1043" spans="2:17" ht="12.6" customHeight="1" x14ac:dyDescent="0.2">
      <c r="B1043" s="116" t="s">
        <v>227</v>
      </c>
      <c r="C1043" s="61"/>
      <c r="D1043" s="63"/>
      <c r="E1043" s="63"/>
      <c r="F1043" s="63"/>
      <c r="G1043" s="63"/>
      <c r="H1043" s="63"/>
      <c r="I1043" s="63"/>
      <c r="J1043" s="63"/>
      <c r="K1043" s="63"/>
      <c r="L1043" s="63"/>
      <c r="M1043" s="68"/>
      <c r="N1043" s="68"/>
      <c r="O1043" s="68"/>
      <c r="P1043" s="68"/>
    </row>
    <row r="1044" spans="2:17" ht="12.6" customHeight="1" x14ac:dyDescent="0.2">
      <c r="B1044" s="322" t="s">
        <v>279</v>
      </c>
      <c r="C1044" s="355"/>
      <c r="D1044" s="113"/>
      <c r="E1044" s="113"/>
      <c r="F1044" s="113"/>
      <c r="G1044" s="113"/>
      <c r="H1044" s="113"/>
      <c r="I1044" s="113"/>
      <c r="J1044" s="113">
        <f t="shared" ref="J1044:L1050" si="1024">IFERROR(J1035/I1035-1,0)</f>
        <v>0</v>
      </c>
      <c r="K1044" s="113">
        <f t="shared" si="1024"/>
        <v>0</v>
      </c>
      <c r="L1044" s="113">
        <f t="shared" si="1024"/>
        <v>0</v>
      </c>
      <c r="M1044" s="356">
        <v>0</v>
      </c>
      <c r="N1044" s="356">
        <v>0</v>
      </c>
      <c r="O1044" s="356">
        <v>0</v>
      </c>
      <c r="P1044" s="356">
        <v>0</v>
      </c>
    </row>
    <row r="1045" spans="2:17" ht="12.6" customHeight="1" x14ac:dyDescent="0.2">
      <c r="B1045" s="322" t="s">
        <v>280</v>
      </c>
      <c r="C1045" s="355"/>
      <c r="D1045" s="113"/>
      <c r="E1045" s="113"/>
      <c r="F1045" s="113"/>
      <c r="G1045" s="113"/>
      <c r="H1045" s="113"/>
      <c r="I1045" s="113"/>
      <c r="J1045" s="113">
        <f t="shared" si="1024"/>
        <v>0</v>
      </c>
      <c r="K1045" s="113">
        <f t="shared" si="1024"/>
        <v>0</v>
      </c>
      <c r="L1045" s="113">
        <f t="shared" si="1024"/>
        <v>0</v>
      </c>
      <c r="M1045" s="356">
        <v>0</v>
      </c>
      <c r="N1045" s="356">
        <v>0</v>
      </c>
      <c r="O1045" s="356">
        <v>0</v>
      </c>
      <c r="P1045" s="356">
        <v>0</v>
      </c>
    </row>
    <row r="1046" spans="2:17" ht="12.6" customHeight="1" x14ac:dyDescent="0.2">
      <c r="B1046" s="322" t="s">
        <v>281</v>
      </c>
      <c r="C1046" s="355"/>
      <c r="D1046" s="113"/>
      <c r="E1046" s="113"/>
      <c r="F1046" s="113"/>
      <c r="G1046" s="113"/>
      <c r="H1046" s="113"/>
      <c r="I1046" s="113"/>
      <c r="J1046" s="113">
        <f t="shared" si="1024"/>
        <v>0</v>
      </c>
      <c r="K1046" s="113">
        <f t="shared" si="1024"/>
        <v>0</v>
      </c>
      <c r="L1046" s="113">
        <f t="shared" si="1024"/>
        <v>0</v>
      </c>
      <c r="M1046" s="356">
        <v>0</v>
      </c>
      <c r="N1046" s="356">
        <v>0</v>
      </c>
      <c r="O1046" s="356">
        <v>0</v>
      </c>
      <c r="P1046" s="356">
        <v>0</v>
      </c>
    </row>
    <row r="1047" spans="2:17" ht="12.6" customHeight="1" x14ac:dyDescent="0.2">
      <c r="B1047" s="322" t="s">
        <v>282</v>
      </c>
      <c r="C1047" s="355"/>
      <c r="D1047" s="113"/>
      <c r="E1047" s="113"/>
      <c r="F1047" s="113"/>
      <c r="G1047" s="113"/>
      <c r="H1047" s="113"/>
      <c r="I1047" s="113"/>
      <c r="J1047" s="113">
        <f t="shared" si="1024"/>
        <v>0</v>
      </c>
      <c r="K1047" s="113">
        <f t="shared" si="1024"/>
        <v>4.104895104895105</v>
      </c>
      <c r="L1047" s="113">
        <f t="shared" si="1024"/>
        <v>-0.21780821917808213</v>
      </c>
      <c r="M1047" s="356">
        <v>-0.5</v>
      </c>
      <c r="N1047" s="356">
        <v>0.75</v>
      </c>
      <c r="O1047" s="356">
        <v>0.2</v>
      </c>
      <c r="P1047" s="356">
        <v>0.04</v>
      </c>
    </row>
    <row r="1048" spans="2:17" ht="12.6" customHeight="1" x14ac:dyDescent="0.2">
      <c r="B1048" s="322" t="s">
        <v>283</v>
      </c>
      <c r="C1048" s="355"/>
      <c r="D1048" s="113"/>
      <c r="E1048" s="113"/>
      <c r="F1048" s="113"/>
      <c r="G1048" s="113"/>
      <c r="H1048" s="113"/>
      <c r="I1048" s="113"/>
      <c r="J1048" s="113">
        <f t="shared" si="1024"/>
        <v>0</v>
      </c>
      <c r="K1048" s="113">
        <f t="shared" si="1024"/>
        <v>0</v>
      </c>
      <c r="L1048" s="113">
        <f t="shared" si="1024"/>
        <v>0</v>
      </c>
      <c r="M1048" s="356">
        <v>0</v>
      </c>
      <c r="N1048" s="356">
        <v>0</v>
      </c>
      <c r="O1048" s="356">
        <v>0</v>
      </c>
      <c r="P1048" s="356">
        <v>0</v>
      </c>
    </row>
    <row r="1049" spans="2:17" ht="12.6" customHeight="1" x14ac:dyDescent="0.2">
      <c r="B1049" s="322" t="s">
        <v>284</v>
      </c>
      <c r="C1049" s="355"/>
      <c r="D1049" s="113"/>
      <c r="E1049" s="113"/>
      <c r="F1049" s="113"/>
      <c r="G1049" s="113"/>
      <c r="H1049" s="113"/>
      <c r="I1049" s="113"/>
      <c r="J1049" s="113">
        <f t="shared" si="1024"/>
        <v>0</v>
      </c>
      <c r="K1049" s="113">
        <f t="shared" si="1024"/>
        <v>0</v>
      </c>
      <c r="L1049" s="113">
        <f t="shared" si="1024"/>
        <v>0</v>
      </c>
      <c r="M1049" s="356">
        <v>0</v>
      </c>
      <c r="N1049" s="356">
        <v>0</v>
      </c>
      <c r="O1049" s="356">
        <v>0</v>
      </c>
      <c r="P1049" s="356">
        <v>0</v>
      </c>
    </row>
    <row r="1050" spans="2:17" ht="12.6" customHeight="1" x14ac:dyDescent="0.2">
      <c r="B1050" s="331" t="s">
        <v>551</v>
      </c>
      <c r="C1050" s="358"/>
      <c r="D1050" s="117"/>
      <c r="E1050" s="117"/>
      <c r="F1050" s="117"/>
      <c r="G1050" s="117"/>
      <c r="H1050" s="117"/>
      <c r="I1050" s="117"/>
      <c r="J1050" s="117">
        <f t="shared" si="1024"/>
        <v>0</v>
      </c>
      <c r="K1050" s="117">
        <f t="shared" si="1024"/>
        <v>4.104895104895105</v>
      </c>
      <c r="L1050" s="117">
        <f t="shared" si="1024"/>
        <v>-0.21780821917808213</v>
      </c>
      <c r="M1050" s="204">
        <f t="shared" ref="M1050:P1050" si="1025">IFERROR(M1041/L1041-1,0)</f>
        <v>-0.5</v>
      </c>
      <c r="N1050" s="204">
        <f t="shared" si="1025"/>
        <v>0.75</v>
      </c>
      <c r="O1050" s="204">
        <f t="shared" si="1025"/>
        <v>0.19999999999999996</v>
      </c>
      <c r="P1050" s="204">
        <f t="shared" si="1025"/>
        <v>4.0000000000000036E-2</v>
      </c>
    </row>
    <row r="1051" spans="2:17" ht="12.6" customHeight="1" x14ac:dyDescent="0.2">
      <c r="B1051" s="201"/>
      <c r="C1051" s="326"/>
      <c r="D1051" s="335"/>
      <c r="E1051" s="335"/>
      <c r="F1051" s="335"/>
      <c r="G1051" s="335"/>
      <c r="H1051" s="335"/>
      <c r="I1051" s="335"/>
      <c r="J1051" s="335"/>
      <c r="K1051" s="335"/>
      <c r="L1051" s="335"/>
      <c r="M1051" s="357"/>
      <c r="N1051" s="357"/>
      <c r="O1051" s="357"/>
      <c r="P1051" s="357"/>
    </row>
    <row r="1052" spans="2:17" ht="12.6" customHeight="1" x14ac:dyDescent="0.2">
      <c r="B1052" s="331" t="s">
        <v>287</v>
      </c>
      <c r="C1052" s="326"/>
      <c r="D1052" s="335"/>
      <c r="E1052" s="335"/>
      <c r="F1052" s="335"/>
      <c r="G1052" s="335"/>
      <c r="H1052" s="335"/>
      <c r="I1052" s="335"/>
      <c r="J1052" s="335"/>
      <c r="K1052" s="335"/>
      <c r="L1052" s="335"/>
      <c r="M1052" s="357"/>
      <c r="N1052" s="357"/>
      <c r="O1052" s="357"/>
      <c r="P1052" s="357"/>
    </row>
    <row r="1053" spans="2:17" ht="12.6" customHeight="1" x14ac:dyDescent="0.2">
      <c r="B1053" s="322" t="s">
        <v>279</v>
      </c>
      <c r="C1053" s="326"/>
      <c r="D1053" s="113"/>
      <c r="E1053" s="113"/>
      <c r="F1053" s="113"/>
      <c r="G1053" s="113"/>
      <c r="H1053" s="113"/>
      <c r="I1053" s="113"/>
      <c r="J1053" s="113">
        <f>J1035/J$1041</f>
        <v>0</v>
      </c>
      <c r="K1053" s="113">
        <f>K1035/K$1041</f>
        <v>0</v>
      </c>
      <c r="L1053" s="113">
        <f>L1035/L$1041</f>
        <v>0</v>
      </c>
      <c r="M1053" s="197">
        <f t="shared" ref="M1053:P1053" si="1026">M1035/M$1041</f>
        <v>0</v>
      </c>
      <c r="N1053" s="197">
        <f t="shared" si="1026"/>
        <v>0</v>
      </c>
      <c r="O1053" s="197">
        <f t="shared" si="1026"/>
        <v>0</v>
      </c>
      <c r="P1053" s="197">
        <f t="shared" si="1026"/>
        <v>0</v>
      </c>
    </row>
    <row r="1054" spans="2:17" ht="12.6" customHeight="1" x14ac:dyDescent="0.2">
      <c r="B1054" s="322" t="s">
        <v>280</v>
      </c>
      <c r="C1054" s="326"/>
      <c r="D1054" s="113"/>
      <c r="E1054" s="113"/>
      <c r="F1054" s="113"/>
      <c r="G1054" s="113"/>
      <c r="H1054" s="113"/>
      <c r="I1054" s="113"/>
      <c r="J1054" s="113">
        <f t="shared" ref="J1054:P1054" si="1027">J1036/J$1041</f>
        <v>0</v>
      </c>
      <c r="K1054" s="113">
        <f t="shared" ref="K1054:L1054" si="1028">K1036/K$1041</f>
        <v>0</v>
      </c>
      <c r="L1054" s="113">
        <f t="shared" si="1028"/>
        <v>0</v>
      </c>
      <c r="M1054" s="197">
        <f t="shared" si="1027"/>
        <v>0</v>
      </c>
      <c r="N1054" s="197">
        <f t="shared" si="1027"/>
        <v>0</v>
      </c>
      <c r="O1054" s="197">
        <f t="shared" si="1027"/>
        <v>0</v>
      </c>
      <c r="P1054" s="197">
        <f t="shared" si="1027"/>
        <v>0</v>
      </c>
    </row>
    <row r="1055" spans="2:17" ht="12.6" customHeight="1" x14ac:dyDescent="0.2">
      <c r="B1055" s="322" t="s">
        <v>281</v>
      </c>
      <c r="C1055" s="326"/>
      <c r="D1055" s="113"/>
      <c r="E1055" s="113"/>
      <c r="F1055" s="113"/>
      <c r="G1055" s="113"/>
      <c r="H1055" s="113"/>
      <c r="I1055" s="113"/>
      <c r="J1055" s="113">
        <f t="shared" ref="J1055:P1055" si="1029">J1037/J$1041</f>
        <v>0</v>
      </c>
      <c r="K1055" s="113">
        <f t="shared" ref="K1055:L1055" si="1030">K1037/K$1041</f>
        <v>0</v>
      </c>
      <c r="L1055" s="113">
        <f t="shared" si="1030"/>
        <v>0</v>
      </c>
      <c r="M1055" s="197">
        <f t="shared" si="1029"/>
        <v>0</v>
      </c>
      <c r="N1055" s="197">
        <f t="shared" si="1029"/>
        <v>0</v>
      </c>
      <c r="O1055" s="197">
        <f t="shared" si="1029"/>
        <v>0</v>
      </c>
      <c r="P1055" s="197">
        <f t="shared" si="1029"/>
        <v>0</v>
      </c>
    </row>
    <row r="1056" spans="2:17" ht="12.6" customHeight="1" x14ac:dyDescent="0.2">
      <c r="B1056" s="322" t="s">
        <v>282</v>
      </c>
      <c r="C1056" s="326"/>
      <c r="D1056" s="113"/>
      <c r="E1056" s="113"/>
      <c r="F1056" s="113"/>
      <c r="G1056" s="113"/>
      <c r="H1056" s="113"/>
      <c r="I1056" s="113"/>
      <c r="J1056" s="113">
        <f t="shared" ref="J1056:P1056" si="1031">J1038/J$1041</f>
        <v>1</v>
      </c>
      <c r="K1056" s="113">
        <f t="shared" ref="K1056:L1056" si="1032">K1038/K$1041</f>
        <v>1</v>
      </c>
      <c r="L1056" s="113">
        <f t="shared" si="1032"/>
        <v>1</v>
      </c>
      <c r="M1056" s="197">
        <f t="shared" si="1031"/>
        <v>1</v>
      </c>
      <c r="N1056" s="197">
        <f t="shared" si="1031"/>
        <v>1</v>
      </c>
      <c r="O1056" s="197">
        <f t="shared" si="1031"/>
        <v>1</v>
      </c>
      <c r="P1056" s="197">
        <f t="shared" si="1031"/>
        <v>1</v>
      </c>
    </row>
    <row r="1057" spans="2:16" ht="12.6" customHeight="1" x14ac:dyDescent="0.2">
      <c r="B1057" s="322" t="s">
        <v>283</v>
      </c>
      <c r="C1057" s="326"/>
      <c r="D1057" s="113"/>
      <c r="E1057" s="113"/>
      <c r="F1057" s="113"/>
      <c r="G1057" s="113"/>
      <c r="H1057" s="113"/>
      <c r="I1057" s="113"/>
      <c r="J1057" s="113">
        <f t="shared" ref="J1057:P1057" si="1033">J1039/J$1041</f>
        <v>0</v>
      </c>
      <c r="K1057" s="113">
        <f t="shared" ref="K1057:L1057" si="1034">K1039/K$1041</f>
        <v>0</v>
      </c>
      <c r="L1057" s="113">
        <f t="shared" si="1034"/>
        <v>0</v>
      </c>
      <c r="M1057" s="197">
        <f t="shared" si="1033"/>
        <v>0</v>
      </c>
      <c r="N1057" s="197">
        <f t="shared" si="1033"/>
        <v>0</v>
      </c>
      <c r="O1057" s="197">
        <f t="shared" si="1033"/>
        <v>0</v>
      </c>
      <c r="P1057" s="197">
        <f t="shared" si="1033"/>
        <v>0</v>
      </c>
    </row>
    <row r="1058" spans="2:16" ht="12.6" customHeight="1" x14ac:dyDescent="0.2">
      <c r="B1058" s="322" t="s">
        <v>284</v>
      </c>
      <c r="C1058" s="326"/>
      <c r="D1058" s="113"/>
      <c r="E1058" s="113"/>
      <c r="F1058" s="113"/>
      <c r="G1058" s="113"/>
      <c r="H1058" s="113"/>
      <c r="I1058" s="113"/>
      <c r="J1058" s="113">
        <f t="shared" ref="J1058:P1058" si="1035">J1040/J$1041</f>
        <v>0</v>
      </c>
      <c r="K1058" s="113">
        <f t="shared" ref="K1058:L1058" si="1036">K1040/K$1041</f>
        <v>0</v>
      </c>
      <c r="L1058" s="113">
        <f t="shared" si="1036"/>
        <v>0</v>
      </c>
      <c r="M1058" s="197">
        <f t="shared" si="1035"/>
        <v>0</v>
      </c>
      <c r="N1058" s="197">
        <f t="shared" si="1035"/>
        <v>0</v>
      </c>
      <c r="O1058" s="197">
        <f t="shared" si="1035"/>
        <v>0</v>
      </c>
      <c r="P1058" s="197">
        <f t="shared" si="1035"/>
        <v>0</v>
      </c>
    </row>
    <row r="1059" spans="2:16" ht="12.6" customHeight="1" x14ac:dyDescent="0.2">
      <c r="B1059" s="359" t="s">
        <v>551</v>
      </c>
      <c r="C1059" s="327"/>
      <c r="D1059" s="117"/>
      <c r="E1059" s="117"/>
      <c r="F1059" s="117"/>
      <c r="G1059" s="117"/>
      <c r="H1059" s="117"/>
      <c r="I1059" s="117"/>
      <c r="J1059" s="117">
        <f t="shared" ref="J1059:P1059" si="1037">J1041/J$1041</f>
        <v>1</v>
      </c>
      <c r="K1059" s="117">
        <f t="shared" ref="K1059:L1059" si="1038">K1041/K$1041</f>
        <v>1</v>
      </c>
      <c r="L1059" s="117">
        <f t="shared" si="1038"/>
        <v>1</v>
      </c>
      <c r="M1059" s="204">
        <f t="shared" si="1037"/>
        <v>1</v>
      </c>
      <c r="N1059" s="204">
        <f t="shared" si="1037"/>
        <v>1</v>
      </c>
      <c r="O1059" s="204">
        <f t="shared" si="1037"/>
        <v>1</v>
      </c>
      <c r="P1059" s="204">
        <f t="shared" si="1037"/>
        <v>1</v>
      </c>
    </row>
    <row r="1060" spans="2:16" ht="12.6" customHeight="1" x14ac:dyDescent="0.2">
      <c r="B1060" s="56"/>
      <c r="C1060" s="61"/>
      <c r="D1060" s="57"/>
      <c r="E1060" s="57"/>
      <c r="F1060" s="57"/>
      <c r="G1060" s="57"/>
      <c r="H1060" s="57"/>
      <c r="I1060" s="57"/>
      <c r="J1060" s="57"/>
      <c r="K1060" s="57"/>
      <c r="L1060" s="68"/>
      <c r="M1060" s="68"/>
      <c r="N1060" s="68"/>
      <c r="O1060" s="68"/>
      <c r="P1060" s="68"/>
    </row>
    <row r="1061" spans="2:16" ht="12.6" customHeight="1" x14ac:dyDescent="0.2">
      <c r="B1061" s="56" t="s">
        <v>563</v>
      </c>
      <c r="C1061" s="61" t="s">
        <v>566</v>
      </c>
      <c r="D1061" s="57"/>
      <c r="E1061" s="57"/>
      <c r="F1061" s="57"/>
      <c r="G1061" s="57"/>
      <c r="H1061" s="57"/>
      <c r="I1061" s="57"/>
      <c r="J1061" s="57">
        <f>J1071*J$1041</f>
        <v>0</v>
      </c>
      <c r="K1061" s="57">
        <f t="shared" ref="K1061:P1061" si="1039">K1063-K1062</f>
        <v>0</v>
      </c>
      <c r="L1061" s="68">
        <f t="shared" si="1039"/>
        <v>0</v>
      </c>
      <c r="M1061" s="68">
        <f t="shared" si="1039"/>
        <v>0</v>
      </c>
      <c r="N1061" s="68">
        <f t="shared" si="1039"/>
        <v>0</v>
      </c>
      <c r="O1061" s="68">
        <f t="shared" si="1039"/>
        <v>0</v>
      </c>
      <c r="P1061" s="68">
        <f t="shared" si="1039"/>
        <v>0</v>
      </c>
    </row>
    <row r="1062" spans="2:16" ht="12.6" customHeight="1" x14ac:dyDescent="0.2">
      <c r="B1062" s="56" t="s">
        <v>299</v>
      </c>
      <c r="C1062" s="61" t="s">
        <v>566</v>
      </c>
      <c r="D1062" s="57"/>
      <c r="E1062" s="57"/>
      <c r="F1062" s="57"/>
      <c r="G1062" s="57"/>
      <c r="H1062" s="57"/>
      <c r="I1062" s="57"/>
      <c r="J1062" s="57">
        <f>J1072*J$1041</f>
        <v>1.43</v>
      </c>
      <c r="K1062" s="57">
        <f t="shared" ref="K1062:P1062" si="1040">K1063*K1072</f>
        <v>7.3</v>
      </c>
      <c r="L1062" s="68">
        <f t="shared" si="1040"/>
        <v>5.71</v>
      </c>
      <c r="M1062" s="68">
        <f t="shared" si="1040"/>
        <v>2.855</v>
      </c>
      <c r="N1062" s="68">
        <f t="shared" si="1040"/>
        <v>4.9962499999999999</v>
      </c>
      <c r="O1062" s="68">
        <f t="shared" si="1040"/>
        <v>5.9954999999999998</v>
      </c>
      <c r="P1062" s="68">
        <f t="shared" si="1040"/>
        <v>6.2353199999999998</v>
      </c>
    </row>
    <row r="1063" spans="2:16" ht="12.6" customHeight="1" x14ac:dyDescent="0.2">
      <c r="B1063" s="72" t="s">
        <v>551</v>
      </c>
      <c r="C1063" s="61"/>
      <c r="D1063" s="63"/>
      <c r="E1063" s="63"/>
      <c r="F1063" s="63"/>
      <c r="G1063" s="63"/>
      <c r="H1063" s="63"/>
      <c r="I1063" s="63"/>
      <c r="J1063" s="63">
        <f>SUM(J1061:J1062)</f>
        <v>1.43</v>
      </c>
      <c r="K1063" s="63">
        <f t="shared" ref="K1063:P1063" si="1041">K1041</f>
        <v>7.3</v>
      </c>
      <c r="L1063" s="64">
        <f t="shared" si="1041"/>
        <v>5.71</v>
      </c>
      <c r="M1063" s="64">
        <f t="shared" si="1041"/>
        <v>2.855</v>
      </c>
      <c r="N1063" s="64">
        <f t="shared" si="1041"/>
        <v>4.9962499999999999</v>
      </c>
      <c r="O1063" s="64">
        <f t="shared" si="1041"/>
        <v>5.9954999999999998</v>
      </c>
      <c r="P1063" s="64">
        <f t="shared" si="1041"/>
        <v>6.2353199999999998</v>
      </c>
    </row>
    <row r="1064" spans="2:16" ht="12.6" customHeight="1" x14ac:dyDescent="0.2">
      <c r="B1064" s="72"/>
      <c r="C1064" s="61"/>
      <c r="D1064" s="63"/>
      <c r="E1064" s="63"/>
      <c r="F1064" s="63"/>
      <c r="G1064" s="63"/>
      <c r="H1064" s="63"/>
      <c r="I1064" s="63"/>
      <c r="J1064" s="63"/>
      <c r="K1064" s="63"/>
      <c r="L1064" s="64"/>
      <c r="M1064" s="64"/>
      <c r="N1064" s="64"/>
      <c r="O1064" s="64"/>
      <c r="P1064" s="64"/>
    </row>
    <row r="1065" spans="2:16" ht="12.6" customHeight="1" x14ac:dyDescent="0.2">
      <c r="B1065" s="331" t="s">
        <v>227</v>
      </c>
      <c r="C1065" s="326"/>
      <c r="D1065" s="335"/>
      <c r="E1065" s="335"/>
      <c r="F1065" s="335"/>
      <c r="G1065" s="335"/>
      <c r="H1065" s="335"/>
      <c r="I1065" s="335"/>
      <c r="J1065" s="335"/>
      <c r="K1065" s="335"/>
      <c r="L1065" s="336"/>
      <c r="M1065" s="336"/>
      <c r="N1065" s="336"/>
      <c r="O1065" s="336"/>
      <c r="P1065" s="336"/>
    </row>
    <row r="1066" spans="2:16" ht="12.6" customHeight="1" x14ac:dyDescent="0.2">
      <c r="B1066" s="322" t="s">
        <v>563</v>
      </c>
      <c r="C1066" s="326"/>
      <c r="D1066" s="113"/>
      <c r="E1066" s="113"/>
      <c r="F1066" s="113"/>
      <c r="G1066" s="113"/>
      <c r="H1066" s="113"/>
      <c r="I1066" s="113"/>
      <c r="J1066" s="113" t="str">
        <f>IFERROR(J1061/I1061-1,"--")</f>
        <v>--</v>
      </c>
      <c r="K1066" s="113" t="str">
        <f t="shared" ref="K1066:P1066" si="1042">IFERROR(K1061/J1061-1,"--")</f>
        <v>--</v>
      </c>
      <c r="L1066" s="197" t="str">
        <f t="shared" si="1042"/>
        <v>--</v>
      </c>
      <c r="M1066" s="197" t="str">
        <f t="shared" si="1042"/>
        <v>--</v>
      </c>
      <c r="N1066" s="197" t="str">
        <f t="shared" si="1042"/>
        <v>--</v>
      </c>
      <c r="O1066" s="197" t="str">
        <f t="shared" si="1042"/>
        <v>--</v>
      </c>
      <c r="P1066" s="197" t="str">
        <f t="shared" si="1042"/>
        <v>--</v>
      </c>
    </row>
    <row r="1067" spans="2:16" ht="12.6" customHeight="1" x14ac:dyDescent="0.2">
      <c r="B1067" s="322" t="s">
        <v>299</v>
      </c>
      <c r="C1067" s="326"/>
      <c r="D1067" s="113"/>
      <c r="E1067" s="113"/>
      <c r="F1067" s="113"/>
      <c r="G1067" s="113"/>
      <c r="H1067" s="113"/>
      <c r="I1067" s="113"/>
      <c r="J1067" s="113" t="str">
        <f t="shared" ref="J1067:P1067" si="1043">IFERROR(J1062/I1062-1,"--")</f>
        <v>--</v>
      </c>
      <c r="K1067" s="113">
        <f t="shared" si="1043"/>
        <v>4.104895104895105</v>
      </c>
      <c r="L1067" s="197">
        <f t="shared" si="1043"/>
        <v>-0.21780821917808213</v>
      </c>
      <c r="M1067" s="197">
        <f t="shared" si="1043"/>
        <v>-0.5</v>
      </c>
      <c r="N1067" s="197">
        <f t="shared" si="1043"/>
        <v>0.75</v>
      </c>
      <c r="O1067" s="197">
        <f t="shared" si="1043"/>
        <v>0.19999999999999996</v>
      </c>
      <c r="P1067" s="197">
        <f t="shared" si="1043"/>
        <v>4.0000000000000036E-2</v>
      </c>
    </row>
    <row r="1068" spans="2:16" ht="12.6" customHeight="1" x14ac:dyDescent="0.2">
      <c r="B1068" s="331" t="s">
        <v>551</v>
      </c>
      <c r="C1068" s="327"/>
      <c r="D1068" s="117"/>
      <c r="E1068" s="117"/>
      <c r="F1068" s="117"/>
      <c r="G1068" s="117"/>
      <c r="H1068" s="117"/>
      <c r="I1068" s="117"/>
      <c r="J1068" s="117" t="str">
        <f t="shared" ref="J1068:P1068" si="1044">IFERROR(J1063/I1063-1,"--")</f>
        <v>--</v>
      </c>
      <c r="K1068" s="117">
        <f t="shared" si="1044"/>
        <v>4.104895104895105</v>
      </c>
      <c r="L1068" s="204">
        <f t="shared" si="1044"/>
        <v>-0.21780821917808213</v>
      </c>
      <c r="M1068" s="204">
        <f t="shared" si="1044"/>
        <v>-0.5</v>
      </c>
      <c r="N1068" s="204">
        <f t="shared" si="1044"/>
        <v>0.75</v>
      </c>
      <c r="O1068" s="204">
        <f t="shared" si="1044"/>
        <v>0.19999999999999996</v>
      </c>
      <c r="P1068" s="204">
        <f t="shared" si="1044"/>
        <v>4.0000000000000036E-2</v>
      </c>
    </row>
    <row r="1069" spans="2:16" ht="12.6" customHeight="1" x14ac:dyDescent="0.2">
      <c r="B1069" s="331"/>
      <c r="C1069" s="326"/>
      <c r="D1069" s="335"/>
      <c r="E1069" s="335"/>
      <c r="F1069" s="335"/>
      <c r="G1069" s="335"/>
      <c r="H1069" s="335"/>
      <c r="I1069" s="335"/>
      <c r="J1069" s="335"/>
      <c r="K1069" s="335"/>
      <c r="L1069" s="336"/>
      <c r="M1069" s="336"/>
      <c r="N1069" s="336"/>
      <c r="O1069" s="336"/>
      <c r="P1069" s="336"/>
    </row>
    <row r="1070" spans="2:16" ht="12.6" customHeight="1" x14ac:dyDescent="0.2">
      <c r="B1070" s="331" t="s">
        <v>287</v>
      </c>
      <c r="C1070" s="326"/>
      <c r="D1070" s="335"/>
      <c r="E1070" s="335"/>
      <c r="F1070" s="335"/>
      <c r="G1070" s="335"/>
      <c r="H1070" s="335"/>
      <c r="I1070" s="335"/>
      <c r="J1070" s="335"/>
      <c r="K1070" s="335"/>
      <c r="L1070" s="336"/>
      <c r="M1070" s="336"/>
      <c r="N1070" s="336"/>
      <c r="O1070" s="336"/>
      <c r="P1070" s="336"/>
    </row>
    <row r="1071" spans="2:16" ht="12.6" customHeight="1" x14ac:dyDescent="0.2">
      <c r="B1071" s="322" t="s">
        <v>563</v>
      </c>
      <c r="C1071" s="326"/>
      <c r="D1071" s="113"/>
      <c r="E1071" s="113"/>
      <c r="F1071" s="113"/>
      <c r="G1071" s="113"/>
      <c r="H1071" s="113"/>
      <c r="I1071" s="113"/>
      <c r="J1071" s="113">
        <v>0</v>
      </c>
      <c r="K1071" s="113">
        <f t="shared" ref="K1071:P1071" si="1045">1-K1072</f>
        <v>0</v>
      </c>
      <c r="L1071" s="197">
        <f t="shared" si="1045"/>
        <v>0</v>
      </c>
      <c r="M1071" s="197">
        <f t="shared" si="1045"/>
        <v>0</v>
      </c>
      <c r="N1071" s="197">
        <f t="shared" si="1045"/>
        <v>0</v>
      </c>
      <c r="O1071" s="197">
        <f t="shared" si="1045"/>
        <v>0</v>
      </c>
      <c r="P1071" s="197">
        <f t="shared" si="1045"/>
        <v>0</v>
      </c>
    </row>
    <row r="1072" spans="2:16" ht="12.6" customHeight="1" x14ac:dyDescent="0.2">
      <c r="B1072" s="359" t="s">
        <v>299</v>
      </c>
      <c r="C1072" s="327"/>
      <c r="D1072" s="117"/>
      <c r="E1072" s="117"/>
      <c r="F1072" s="117"/>
      <c r="G1072" s="117"/>
      <c r="H1072" s="117"/>
      <c r="I1072" s="117"/>
      <c r="J1072" s="117">
        <v>1</v>
      </c>
      <c r="K1072" s="117">
        <f t="shared" ref="K1072:P1072" si="1046">J1072</f>
        <v>1</v>
      </c>
      <c r="L1072" s="360">
        <f t="shared" si="1046"/>
        <v>1</v>
      </c>
      <c r="M1072" s="360">
        <f t="shared" si="1046"/>
        <v>1</v>
      </c>
      <c r="N1072" s="360">
        <f t="shared" si="1046"/>
        <v>1</v>
      </c>
      <c r="O1072" s="360">
        <f t="shared" si="1046"/>
        <v>1</v>
      </c>
      <c r="P1072" s="360">
        <f t="shared" si="1046"/>
        <v>1</v>
      </c>
    </row>
    <row r="1073" spans="1:171" ht="12.6" customHeight="1" x14ac:dyDescent="0.2">
      <c r="B1073" s="116"/>
      <c r="C1073" s="61"/>
      <c r="D1073" s="63"/>
      <c r="E1073" s="63"/>
      <c r="F1073" s="63"/>
      <c r="G1073" s="63"/>
      <c r="H1073" s="63"/>
      <c r="I1073" s="63"/>
      <c r="J1073" s="63"/>
      <c r="K1073" s="63"/>
      <c r="L1073" s="64"/>
      <c r="M1073" s="64"/>
      <c r="N1073" s="64"/>
      <c r="O1073" s="64"/>
      <c r="P1073" s="64"/>
    </row>
    <row r="1074" spans="1:171" ht="12.6" customHeight="1" x14ac:dyDescent="0.2">
      <c r="A1074" s="87"/>
      <c r="B1074" s="206"/>
      <c r="C1074" s="191"/>
      <c r="D1074" s="42"/>
      <c r="E1074" s="42"/>
      <c r="F1074" s="42"/>
      <c r="G1074" s="42"/>
      <c r="H1074" s="42"/>
      <c r="I1074" s="42"/>
      <c r="J1074" s="42"/>
      <c r="K1074" s="42"/>
      <c r="L1074" s="42"/>
      <c r="M1074" s="42"/>
      <c r="N1074" s="42"/>
      <c r="O1074" s="42"/>
      <c r="P1074" s="42"/>
      <c r="Q1074" s="87"/>
      <c r="R1074" s="87"/>
      <c r="S1074" s="87"/>
      <c r="T1074" s="87"/>
      <c r="U1074" s="87"/>
      <c r="V1074" s="87"/>
      <c r="W1074" s="87"/>
      <c r="X1074" s="87"/>
      <c r="Y1074" s="87"/>
      <c r="Z1074" s="87"/>
      <c r="AA1074" s="87"/>
      <c r="AB1074" s="87"/>
      <c r="AC1074" s="87"/>
      <c r="AD1074" s="87"/>
      <c r="AE1074" s="87"/>
      <c r="AF1074" s="87"/>
      <c r="AG1074" s="87"/>
      <c r="AH1074" s="87"/>
      <c r="AI1074" s="87"/>
      <c r="AJ1074" s="87"/>
      <c r="AK1074" s="87"/>
      <c r="AL1074" s="87"/>
      <c r="AM1074" s="87"/>
      <c r="AO1074" s="87"/>
      <c r="AP1074" s="87"/>
      <c r="AQ1074" s="87"/>
      <c r="AR1074" s="87"/>
      <c r="AS1074" s="87"/>
      <c r="AT1074" s="87"/>
      <c r="AU1074" s="87"/>
      <c r="AV1074" s="87"/>
      <c r="AW1074" s="87"/>
      <c r="AX1074" s="87"/>
      <c r="AY1074" s="87"/>
      <c r="BA1074" s="87"/>
      <c r="BB1074" s="87"/>
      <c r="BC1074" s="87"/>
      <c r="BD1074" s="87"/>
      <c r="BE1074" s="87"/>
      <c r="BF1074" s="87"/>
      <c r="BG1074" s="87"/>
      <c r="BH1074" s="87"/>
      <c r="BI1074" s="87"/>
      <c r="BJ1074" s="87"/>
      <c r="BK1074" s="87"/>
      <c r="BL1074" s="87"/>
      <c r="BM1074" s="87"/>
      <c r="BN1074" s="87"/>
      <c r="BP1074" s="87"/>
      <c r="BQ1074" s="87"/>
      <c r="BR1074" s="87"/>
      <c r="BS1074" s="87"/>
      <c r="BT1074" s="87"/>
      <c r="BU1074" s="87"/>
      <c r="BV1074" s="87"/>
      <c r="BW1074" s="87"/>
      <c r="BX1074" s="87"/>
      <c r="BY1074" s="87"/>
      <c r="BZ1074" s="87"/>
      <c r="CB1074" s="87"/>
      <c r="CC1074" s="87"/>
      <c r="CD1074" s="87"/>
      <c r="CE1074" s="87"/>
      <c r="CF1074" s="87"/>
      <c r="CG1074" s="87"/>
      <c r="CH1074" s="87"/>
      <c r="CI1074" s="87"/>
      <c r="CJ1074" s="87"/>
      <c r="CK1074" s="87"/>
      <c r="CL1074" s="87"/>
      <c r="CN1074" s="87"/>
      <c r="CO1074" s="87"/>
      <c r="CP1074" s="87"/>
      <c r="CQ1074" s="87"/>
      <c r="CR1074" s="87"/>
      <c r="CS1074" s="87"/>
      <c r="CT1074" s="87"/>
      <c r="CU1074" s="87"/>
      <c r="CV1074" s="87"/>
      <c r="CW1074" s="87"/>
      <c r="CX1074" s="87"/>
      <c r="CZ1074" s="87"/>
      <c r="DA1074" s="87"/>
      <c r="DB1074" s="87"/>
      <c r="DC1074" s="87"/>
      <c r="DD1074" s="87"/>
      <c r="DE1074" s="87"/>
      <c r="DF1074" s="87"/>
      <c r="DG1074" s="87"/>
      <c r="DH1074" s="87"/>
      <c r="DI1074" s="87"/>
      <c r="DJ1074" s="87"/>
      <c r="DL1074" s="87"/>
      <c r="DM1074" s="87"/>
      <c r="DN1074" s="87"/>
      <c r="DO1074" s="87"/>
      <c r="DP1074" s="87"/>
      <c r="DQ1074" s="87"/>
      <c r="DR1074" s="87"/>
      <c r="DS1074" s="87"/>
      <c r="DT1074" s="87"/>
      <c r="DU1074" s="87"/>
      <c r="DV1074" s="87"/>
      <c r="DX1074" s="87"/>
      <c r="DY1074" s="87"/>
      <c r="DZ1074" s="87"/>
      <c r="EA1074" s="87"/>
      <c r="EB1074" s="87"/>
      <c r="EC1074" s="87"/>
      <c r="ED1074" s="87"/>
      <c r="EE1074" s="87"/>
      <c r="EF1074" s="87"/>
      <c r="EG1074" s="87"/>
      <c r="EH1074" s="87"/>
      <c r="EJ1074" s="87"/>
      <c r="EK1074" s="87"/>
      <c r="EL1074" s="87"/>
      <c r="EM1074" s="87"/>
      <c r="EN1074" s="87"/>
      <c r="EO1074" s="87"/>
      <c r="EP1074" s="87"/>
      <c r="EQ1074" s="87"/>
      <c r="ER1074" s="87"/>
      <c r="ES1074" s="87"/>
      <c r="ET1074" s="87"/>
      <c r="EV1074" s="87"/>
      <c r="EW1074" s="87"/>
      <c r="EX1074" s="87"/>
      <c r="EY1074" s="87"/>
      <c r="EZ1074" s="87"/>
      <c r="FA1074" s="87"/>
      <c r="FB1074" s="87"/>
      <c r="FC1074" s="87"/>
      <c r="FD1074" s="87"/>
      <c r="FE1074" s="87"/>
      <c r="FF1074" s="87"/>
      <c r="FH1074" s="87"/>
      <c r="FI1074" s="87"/>
      <c r="FJ1074" s="87"/>
      <c r="FK1074" s="87"/>
      <c r="FL1074" s="87"/>
      <c r="FM1074" s="87"/>
      <c r="FN1074" s="87"/>
      <c r="FO1074" s="87"/>
    </row>
    <row r="1075" spans="1:171" ht="12.6" customHeight="1" x14ac:dyDescent="0.2">
      <c r="B1075" s="50" t="s">
        <v>553</v>
      </c>
      <c r="C1075" s="50" t="s">
        <v>473</v>
      </c>
      <c r="D1075" s="163"/>
      <c r="E1075" s="163"/>
      <c r="F1075" s="163"/>
      <c r="G1075" s="51"/>
      <c r="H1075" s="51"/>
      <c r="I1075" s="51"/>
      <c r="J1075" s="51"/>
      <c r="K1075" s="51"/>
      <c r="L1075" s="54"/>
      <c r="M1075" s="54"/>
      <c r="N1075" s="54"/>
      <c r="O1075" s="54"/>
      <c r="P1075" s="54"/>
    </row>
    <row r="1076" spans="1:171" ht="12.6" customHeight="1" x14ac:dyDescent="0.2">
      <c r="B1076" s="61" t="s">
        <v>565</v>
      </c>
      <c r="C1076" s="61" t="s">
        <v>570</v>
      </c>
      <c r="D1076" s="63"/>
      <c r="E1076" s="63"/>
      <c r="F1076" s="311"/>
      <c r="G1076" s="301"/>
      <c r="H1076" s="301"/>
      <c r="I1076" s="301"/>
      <c r="J1076" s="301"/>
      <c r="K1076" s="301">
        <f t="shared" ref="K1076:P1076" si="1047">K1077*K1090</f>
        <v>293.01679411764712</v>
      </c>
      <c r="L1076" s="302">
        <f t="shared" ca="1" si="1047"/>
        <v>1704.8205443088239</v>
      </c>
      <c r="M1076" s="302">
        <f t="shared" ca="1" si="1047"/>
        <v>1884.4642571691179</v>
      </c>
      <c r="N1076" s="302">
        <f t="shared" ca="1" si="1047"/>
        <v>1978.6874700275741</v>
      </c>
      <c r="O1076" s="302">
        <f t="shared" ca="1" si="1047"/>
        <v>2077.6218435289529</v>
      </c>
      <c r="P1076" s="302">
        <f t="shared" ca="1" si="1047"/>
        <v>2181.5029357054009</v>
      </c>
    </row>
    <row r="1077" spans="1:171" ht="12.6" customHeight="1" x14ac:dyDescent="0.2">
      <c r="B1077" s="59" t="s">
        <v>1829</v>
      </c>
      <c r="C1077" s="61" t="s">
        <v>476</v>
      </c>
      <c r="D1077" s="57"/>
      <c r="E1077" s="57"/>
      <c r="F1077" s="57"/>
      <c r="G1077" s="57"/>
      <c r="H1077" s="57"/>
      <c r="I1077" s="57"/>
      <c r="J1077" s="288"/>
      <c r="K1077" s="288">
        <f>K734+5</f>
        <v>325.57421568627456</v>
      </c>
      <c r="L1077" s="303">
        <f>K1077*(1+L1078)</f>
        <v>341.85292647058827</v>
      </c>
      <c r="M1077" s="303">
        <f>L1077*(1+M1078)</f>
        <v>358.94557279411771</v>
      </c>
      <c r="N1077" s="303">
        <f>M1077*(1+N1078)</f>
        <v>376.89285143382364</v>
      </c>
      <c r="O1077" s="303">
        <f>N1077*(1+O1078)</f>
        <v>395.73749400551486</v>
      </c>
      <c r="P1077" s="303">
        <f>O1077*(1+P1078)</f>
        <v>415.52436870579061</v>
      </c>
    </row>
    <row r="1078" spans="1:171" ht="12.6" customHeight="1" x14ac:dyDescent="0.2">
      <c r="B1078" s="322" t="s">
        <v>227</v>
      </c>
      <c r="C1078" s="323" t="s">
        <v>477</v>
      </c>
      <c r="D1078" s="58"/>
      <c r="E1078" s="58"/>
      <c r="F1078" s="339"/>
      <c r="G1078" s="330"/>
      <c r="H1078" s="330"/>
      <c r="I1078" s="330"/>
      <c r="J1078" s="353"/>
      <c r="K1078" s="353">
        <v>0.05</v>
      </c>
      <c r="L1078" s="354">
        <v>0.05</v>
      </c>
      <c r="M1078" s="354">
        <v>0.05</v>
      </c>
      <c r="N1078" s="354">
        <v>0.05</v>
      </c>
      <c r="O1078" s="354">
        <v>0.05</v>
      </c>
      <c r="P1078" s="354">
        <v>0.05</v>
      </c>
    </row>
    <row r="1079" spans="1:171" ht="12.6" customHeight="1" x14ac:dyDescent="0.2">
      <c r="B1079" s="59"/>
      <c r="C1079" s="61"/>
      <c r="D1079" s="57"/>
      <c r="E1079" s="57"/>
      <c r="F1079" s="288"/>
      <c r="G1079" s="57"/>
      <c r="H1079" s="57"/>
      <c r="I1079" s="57"/>
      <c r="J1079" s="57"/>
      <c r="K1079" s="57"/>
      <c r="L1079" s="68"/>
      <c r="M1079" s="68"/>
      <c r="N1079" s="68"/>
      <c r="O1079" s="68"/>
      <c r="P1079" s="68"/>
      <c r="R1079" s="37" t="s">
        <v>694</v>
      </c>
    </row>
    <row r="1080" spans="1:171" ht="12.6" customHeight="1" x14ac:dyDescent="0.2">
      <c r="B1080" s="72" t="s">
        <v>303</v>
      </c>
      <c r="C1080" s="61" t="s">
        <v>4</v>
      </c>
      <c r="D1080" s="57"/>
      <c r="E1080" s="57"/>
      <c r="F1080" s="288"/>
      <c r="G1080" s="288"/>
      <c r="H1080" s="288"/>
      <c r="I1080" s="288"/>
      <c r="J1080" s="288"/>
      <c r="K1080" s="288">
        <f t="shared" ref="K1080:P1080" si="1048">K99</f>
        <v>0</v>
      </c>
      <c r="L1080" s="68">
        <f t="shared" si="1048"/>
        <v>0</v>
      </c>
      <c r="M1080" s="68">
        <f t="shared" si="1048"/>
        <v>7</v>
      </c>
      <c r="N1080" s="68">
        <f t="shared" si="1048"/>
        <v>7</v>
      </c>
      <c r="O1080" s="68">
        <f t="shared" si="1048"/>
        <v>7</v>
      </c>
      <c r="P1080" s="68">
        <f t="shared" si="1048"/>
        <v>7</v>
      </c>
      <c r="R1080" s="37" t="s">
        <v>696</v>
      </c>
    </row>
    <row r="1081" spans="1:171" ht="12.6" customHeight="1" x14ac:dyDescent="0.2">
      <c r="B1081" s="202" t="s">
        <v>555</v>
      </c>
      <c r="C1081" s="326" t="s">
        <v>4</v>
      </c>
      <c r="D1081" s="58"/>
      <c r="E1081" s="58"/>
      <c r="F1081" s="330"/>
      <c r="G1081" s="330"/>
      <c r="H1081" s="330"/>
      <c r="I1081" s="330"/>
      <c r="J1081" s="330"/>
      <c r="K1081" s="330"/>
      <c r="L1081" s="324">
        <v>0.55000000000000004</v>
      </c>
      <c r="M1081" s="324">
        <v>0.75</v>
      </c>
      <c r="N1081" s="324">
        <v>0.75</v>
      </c>
      <c r="O1081" s="324">
        <v>0.75</v>
      </c>
      <c r="P1081" s="324">
        <v>0.75</v>
      </c>
      <c r="R1081" s="37" t="s">
        <v>695</v>
      </c>
    </row>
    <row r="1082" spans="1:171" ht="12.6" customHeight="1" x14ac:dyDescent="0.2">
      <c r="B1082" s="59"/>
      <c r="C1082" s="61"/>
      <c r="D1082" s="57"/>
      <c r="E1082" s="57"/>
      <c r="F1082" s="288"/>
      <c r="G1082" s="57"/>
      <c r="H1082" s="57"/>
      <c r="I1082" s="57"/>
      <c r="J1082" s="57"/>
      <c r="K1082" s="57"/>
      <c r="L1082" s="57"/>
      <c r="M1082" s="68"/>
      <c r="N1082" s="68"/>
      <c r="O1082" s="68"/>
      <c r="P1082" s="68"/>
    </row>
    <row r="1083" spans="1:171" ht="12.6" customHeight="1" x14ac:dyDescent="0.2">
      <c r="B1083" s="72" t="s">
        <v>489</v>
      </c>
      <c r="C1083" s="61"/>
      <c r="D1083" s="57"/>
      <c r="E1083" s="57"/>
      <c r="F1083" s="288"/>
      <c r="G1083" s="57"/>
      <c r="H1083" s="57"/>
      <c r="I1083" s="57"/>
      <c r="J1083" s="57"/>
      <c r="K1083" s="57"/>
      <c r="L1083" s="57"/>
      <c r="M1083" s="68"/>
      <c r="N1083" s="68"/>
      <c r="O1083" s="68"/>
      <c r="P1083" s="68"/>
    </row>
    <row r="1084" spans="1:171" ht="12.6" customHeight="1" x14ac:dyDescent="0.2">
      <c r="B1084" s="56" t="s">
        <v>279</v>
      </c>
      <c r="C1084" s="61"/>
      <c r="D1084" s="288"/>
      <c r="E1084" s="288"/>
      <c r="F1084" s="288"/>
      <c r="G1084" s="288"/>
      <c r="H1084" s="288"/>
      <c r="I1084" s="288"/>
      <c r="J1084" s="288"/>
      <c r="K1084" s="288">
        <f>$K$1090*K1102</f>
        <v>0</v>
      </c>
      <c r="L1084" s="288">
        <f t="shared" ref="L1084:P1084" ca="1" si="1049">K1084*(1+L1093)</f>
        <v>0</v>
      </c>
      <c r="M1084" s="303">
        <f t="shared" ca="1" si="1049"/>
        <v>0</v>
      </c>
      <c r="N1084" s="303">
        <f t="shared" ca="1" si="1049"/>
        <v>0</v>
      </c>
      <c r="O1084" s="303">
        <f t="shared" ca="1" si="1049"/>
        <v>0</v>
      </c>
      <c r="P1084" s="303">
        <f t="shared" ca="1" si="1049"/>
        <v>0</v>
      </c>
      <c r="R1084" s="37" t="s">
        <v>697</v>
      </c>
    </row>
    <row r="1085" spans="1:171" ht="12.6" customHeight="1" x14ac:dyDescent="0.2">
      <c r="B1085" s="56" t="s">
        <v>280</v>
      </c>
      <c r="C1085" s="61"/>
      <c r="D1085" s="288"/>
      <c r="E1085" s="288"/>
      <c r="F1085" s="288"/>
      <c r="G1085" s="288"/>
      <c r="H1085" s="288"/>
      <c r="I1085" s="288"/>
      <c r="J1085" s="288"/>
      <c r="K1085" s="288">
        <f t="shared" ref="K1085:K1089" si="1050">$K$1090*K1103</f>
        <v>0</v>
      </c>
      <c r="L1085" s="288">
        <f t="shared" ref="L1085:P1085" ca="1" si="1051">K1085*(1+L1094)</f>
        <v>0</v>
      </c>
      <c r="M1085" s="303">
        <f t="shared" ca="1" si="1051"/>
        <v>0</v>
      </c>
      <c r="N1085" s="303">
        <f t="shared" ca="1" si="1051"/>
        <v>0</v>
      </c>
      <c r="O1085" s="303">
        <f t="shared" ca="1" si="1051"/>
        <v>0</v>
      </c>
      <c r="P1085" s="303">
        <f t="shared" ca="1" si="1051"/>
        <v>0</v>
      </c>
    </row>
    <row r="1086" spans="1:171" ht="12.6" customHeight="1" x14ac:dyDescent="0.2">
      <c r="B1086" s="56" t="s">
        <v>281</v>
      </c>
      <c r="C1086" s="61"/>
      <c r="D1086" s="288"/>
      <c r="E1086" s="288"/>
      <c r="F1086" s="288"/>
      <c r="G1086" s="288"/>
      <c r="H1086" s="288"/>
      <c r="I1086" s="288"/>
      <c r="J1086" s="288"/>
      <c r="K1086" s="288">
        <f t="shared" si="1050"/>
        <v>0</v>
      </c>
      <c r="L1086" s="288">
        <f t="shared" ref="L1086:P1086" ca="1" si="1052">K1086*(1+L1095)</f>
        <v>0</v>
      </c>
      <c r="M1086" s="303">
        <f t="shared" ca="1" si="1052"/>
        <v>0</v>
      </c>
      <c r="N1086" s="303">
        <f t="shared" ca="1" si="1052"/>
        <v>0</v>
      </c>
      <c r="O1086" s="303">
        <f t="shared" ca="1" si="1052"/>
        <v>0</v>
      </c>
      <c r="P1086" s="303">
        <f t="shared" ca="1" si="1052"/>
        <v>0</v>
      </c>
      <c r="R1086" s="38" t="s">
        <v>698</v>
      </c>
    </row>
    <row r="1087" spans="1:171" ht="12.6" customHeight="1" x14ac:dyDescent="0.2">
      <c r="B1087" s="56" t="s">
        <v>282</v>
      </c>
      <c r="C1087" s="61"/>
      <c r="D1087" s="288"/>
      <c r="E1087" s="288"/>
      <c r="F1087" s="288"/>
      <c r="G1087" s="288"/>
      <c r="H1087" s="288"/>
      <c r="I1087" s="288"/>
      <c r="J1087" s="288"/>
      <c r="K1087" s="288">
        <f t="shared" si="1050"/>
        <v>0</v>
      </c>
      <c r="L1087" s="288">
        <f t="shared" ref="L1087:P1087" ca="1" si="1053">K1087*(1+L1096)</f>
        <v>0</v>
      </c>
      <c r="M1087" s="303">
        <f t="shared" ca="1" si="1053"/>
        <v>0</v>
      </c>
      <c r="N1087" s="303">
        <f t="shared" ca="1" si="1053"/>
        <v>0</v>
      </c>
      <c r="O1087" s="303">
        <f t="shared" ca="1" si="1053"/>
        <v>0</v>
      </c>
      <c r="P1087" s="303">
        <f t="shared" ca="1" si="1053"/>
        <v>0</v>
      </c>
      <c r="R1087" s="243" t="s">
        <v>699</v>
      </c>
    </row>
    <row r="1088" spans="1:171" ht="12.6" customHeight="1" x14ac:dyDescent="0.2">
      <c r="B1088" s="56" t="s">
        <v>283</v>
      </c>
      <c r="C1088" s="61"/>
      <c r="D1088" s="288"/>
      <c r="E1088" s="288"/>
      <c r="F1088" s="288"/>
      <c r="G1088" s="288"/>
      <c r="H1088" s="288"/>
      <c r="I1088" s="288"/>
      <c r="J1088" s="288"/>
      <c r="K1088" s="288">
        <f t="shared" si="1050"/>
        <v>0</v>
      </c>
      <c r="L1088" s="288">
        <f t="shared" ref="L1088:P1088" ca="1" si="1054">K1088*(1+L1097)</f>
        <v>0</v>
      </c>
      <c r="M1088" s="303">
        <f t="shared" ca="1" si="1054"/>
        <v>0</v>
      </c>
      <c r="N1088" s="303">
        <f t="shared" ca="1" si="1054"/>
        <v>0</v>
      </c>
      <c r="O1088" s="303">
        <f t="shared" ca="1" si="1054"/>
        <v>0</v>
      </c>
      <c r="P1088" s="303">
        <f t="shared" ca="1" si="1054"/>
        <v>0</v>
      </c>
    </row>
    <row r="1089" spans="2:17" ht="12.6" customHeight="1" x14ac:dyDescent="0.2">
      <c r="B1089" s="56" t="s">
        <v>284</v>
      </c>
      <c r="C1089" s="61"/>
      <c r="D1089" s="288"/>
      <c r="E1089" s="288"/>
      <c r="F1089" s="288"/>
      <c r="G1089" s="288"/>
      <c r="H1089" s="288"/>
      <c r="I1089" s="288"/>
      <c r="J1089" s="288"/>
      <c r="K1089" s="288">
        <f t="shared" si="1050"/>
        <v>0.9</v>
      </c>
      <c r="L1089" s="288">
        <v>4.9870000000000001</v>
      </c>
      <c r="M1089" s="303">
        <f t="shared" ref="M1089:P1089" si="1055">M1080*M1081</f>
        <v>5.25</v>
      </c>
      <c r="N1089" s="303">
        <f t="shared" si="1055"/>
        <v>5.25</v>
      </c>
      <c r="O1089" s="303">
        <f t="shared" si="1055"/>
        <v>5.25</v>
      </c>
      <c r="P1089" s="303">
        <f t="shared" si="1055"/>
        <v>5.25</v>
      </c>
      <c r="Q1089" s="352"/>
    </row>
    <row r="1090" spans="2:17" ht="12.6" customHeight="1" x14ac:dyDescent="0.2">
      <c r="B1090" s="72" t="s">
        <v>551</v>
      </c>
      <c r="C1090" s="95"/>
      <c r="D1090" s="63"/>
      <c r="E1090" s="63"/>
      <c r="F1090" s="63"/>
      <c r="G1090" s="63"/>
      <c r="H1090" s="63"/>
      <c r="I1090" s="63"/>
      <c r="J1090" s="63"/>
      <c r="K1090" s="63">
        <f>K15</f>
        <v>0.9</v>
      </c>
      <c r="L1090" s="63">
        <f t="shared" ref="L1090:P1090" ca="1" si="1056">SUM(L1084:L1089)</f>
        <v>4.9870000000000001</v>
      </c>
      <c r="M1090" s="64">
        <f t="shared" ca="1" si="1056"/>
        <v>5.25</v>
      </c>
      <c r="N1090" s="64">
        <f t="shared" ca="1" si="1056"/>
        <v>5.25</v>
      </c>
      <c r="O1090" s="64">
        <f t="shared" ca="1" si="1056"/>
        <v>5.25</v>
      </c>
      <c r="P1090" s="64">
        <f t="shared" ca="1" si="1056"/>
        <v>5.25</v>
      </c>
    </row>
    <row r="1091" spans="2:17" ht="12.6" customHeight="1" x14ac:dyDescent="0.2">
      <c r="B1091" s="72"/>
      <c r="C1091" s="95"/>
      <c r="D1091" s="63"/>
      <c r="E1091" s="63"/>
      <c r="F1091" s="63"/>
      <c r="G1091" s="63"/>
      <c r="H1091" s="63"/>
      <c r="I1091" s="63"/>
      <c r="J1091" s="63"/>
      <c r="K1091" s="63"/>
      <c r="L1091" s="63"/>
      <c r="M1091" s="64"/>
      <c r="N1091" s="64"/>
      <c r="O1091" s="64"/>
      <c r="P1091" s="64"/>
      <c r="Q1091" s="352">
        <f ca="1">L15/L1090-1</f>
        <v>6.0156406657307926E-4</v>
      </c>
    </row>
    <row r="1092" spans="2:17" ht="12.6" customHeight="1" x14ac:dyDescent="0.2">
      <c r="B1092" s="116" t="s">
        <v>227</v>
      </c>
      <c r="C1092" s="61"/>
      <c r="D1092" s="63"/>
      <c r="E1092" s="63"/>
      <c r="F1092" s="63"/>
      <c r="G1092" s="63"/>
      <c r="H1092" s="63"/>
      <c r="I1092" s="63"/>
      <c r="J1092" s="63"/>
      <c r="K1092" s="63"/>
      <c r="L1092" s="63"/>
      <c r="M1092" s="68"/>
      <c r="N1092" s="68"/>
      <c r="O1092" s="68"/>
      <c r="P1092" s="68"/>
    </row>
    <row r="1093" spans="2:17" ht="12.6" customHeight="1" x14ac:dyDescent="0.2">
      <c r="B1093" s="322" t="s">
        <v>279</v>
      </c>
      <c r="C1093" s="355"/>
      <c r="D1093" s="113"/>
      <c r="E1093" s="113"/>
      <c r="F1093" s="113"/>
      <c r="G1093" s="113"/>
      <c r="H1093" s="113"/>
      <c r="I1093" s="113"/>
      <c r="J1093" s="113"/>
      <c r="K1093" s="113"/>
      <c r="L1093" s="113">
        <f t="shared" ref="L1093:L1098" ca="1" si="1057">IFERROR(L1084/K1084-1,0)</f>
        <v>0</v>
      </c>
      <c r="M1093" s="356">
        <v>0</v>
      </c>
      <c r="N1093" s="356">
        <v>0</v>
      </c>
      <c r="O1093" s="356">
        <v>0</v>
      </c>
      <c r="P1093" s="356">
        <v>0</v>
      </c>
    </row>
    <row r="1094" spans="2:17" ht="12.6" customHeight="1" x14ac:dyDescent="0.2">
      <c r="B1094" s="322" t="s">
        <v>280</v>
      </c>
      <c r="C1094" s="355"/>
      <c r="D1094" s="113"/>
      <c r="E1094" s="113"/>
      <c r="F1094" s="113"/>
      <c r="G1094" s="113"/>
      <c r="H1094" s="113"/>
      <c r="I1094" s="113"/>
      <c r="J1094" s="113"/>
      <c r="K1094" s="113"/>
      <c r="L1094" s="113">
        <f t="shared" ca="1" si="1057"/>
        <v>0</v>
      </c>
      <c r="M1094" s="356">
        <v>0</v>
      </c>
      <c r="N1094" s="356">
        <v>0</v>
      </c>
      <c r="O1094" s="356">
        <v>0</v>
      </c>
      <c r="P1094" s="356">
        <v>0</v>
      </c>
    </row>
    <row r="1095" spans="2:17" ht="12.6" customHeight="1" x14ac:dyDescent="0.2">
      <c r="B1095" s="322" t="s">
        <v>281</v>
      </c>
      <c r="C1095" s="355"/>
      <c r="D1095" s="113"/>
      <c r="E1095" s="113"/>
      <c r="F1095" s="113"/>
      <c r="G1095" s="113"/>
      <c r="H1095" s="113"/>
      <c r="I1095" s="113"/>
      <c r="J1095" s="113"/>
      <c r="K1095" s="113"/>
      <c r="L1095" s="113">
        <f t="shared" ca="1" si="1057"/>
        <v>0</v>
      </c>
      <c r="M1095" s="356">
        <v>0</v>
      </c>
      <c r="N1095" s="356">
        <v>0</v>
      </c>
      <c r="O1095" s="356">
        <v>0</v>
      </c>
      <c r="P1095" s="356">
        <v>0</v>
      </c>
    </row>
    <row r="1096" spans="2:17" ht="12.6" customHeight="1" x14ac:dyDescent="0.2">
      <c r="B1096" s="322" t="s">
        <v>282</v>
      </c>
      <c r="C1096" s="355"/>
      <c r="D1096" s="113"/>
      <c r="E1096" s="113"/>
      <c r="F1096" s="113"/>
      <c r="G1096" s="113"/>
      <c r="H1096" s="113"/>
      <c r="I1096" s="113"/>
      <c r="J1096" s="113"/>
      <c r="K1096" s="113"/>
      <c r="L1096" s="113">
        <f t="shared" ca="1" si="1057"/>
        <v>0</v>
      </c>
      <c r="M1096" s="356">
        <v>0</v>
      </c>
      <c r="N1096" s="356">
        <v>0</v>
      </c>
      <c r="O1096" s="356">
        <v>0</v>
      </c>
      <c r="P1096" s="356">
        <v>0</v>
      </c>
    </row>
    <row r="1097" spans="2:17" ht="12.6" customHeight="1" x14ac:dyDescent="0.2">
      <c r="B1097" s="322" t="s">
        <v>283</v>
      </c>
      <c r="C1097" s="355"/>
      <c r="D1097" s="113"/>
      <c r="E1097" s="113"/>
      <c r="F1097" s="113"/>
      <c r="G1097" s="113"/>
      <c r="H1097" s="113"/>
      <c r="I1097" s="113"/>
      <c r="J1097" s="113"/>
      <c r="K1097" s="113"/>
      <c r="L1097" s="113">
        <f t="shared" ca="1" si="1057"/>
        <v>0</v>
      </c>
      <c r="M1097" s="356">
        <v>0</v>
      </c>
      <c r="N1097" s="356">
        <v>0</v>
      </c>
      <c r="O1097" s="356">
        <v>0</v>
      </c>
      <c r="P1097" s="356">
        <v>0</v>
      </c>
    </row>
    <row r="1098" spans="2:17" ht="12.6" customHeight="1" x14ac:dyDescent="0.2">
      <c r="B1098" s="322" t="s">
        <v>284</v>
      </c>
      <c r="C1098" s="355"/>
      <c r="D1098" s="113"/>
      <c r="E1098" s="113"/>
      <c r="F1098" s="113"/>
      <c r="G1098" s="113"/>
      <c r="H1098" s="113"/>
      <c r="I1098" s="113"/>
      <c r="J1098" s="113"/>
      <c r="K1098" s="113"/>
      <c r="L1098" s="113">
        <f t="shared" si="1057"/>
        <v>4.5411111111111113</v>
      </c>
      <c r="M1098" s="356">
        <v>0</v>
      </c>
      <c r="N1098" s="356">
        <v>0</v>
      </c>
      <c r="O1098" s="356">
        <v>0</v>
      </c>
      <c r="P1098" s="356">
        <v>0</v>
      </c>
    </row>
    <row r="1099" spans="2:17" ht="12.6" customHeight="1" x14ac:dyDescent="0.2">
      <c r="B1099" s="331" t="s">
        <v>551</v>
      </c>
      <c r="C1099" s="358"/>
      <c r="D1099" s="117"/>
      <c r="E1099" s="117"/>
      <c r="F1099" s="117"/>
      <c r="G1099" s="117"/>
      <c r="H1099" s="117"/>
      <c r="I1099" s="117"/>
      <c r="J1099" s="117"/>
      <c r="K1099" s="117"/>
      <c r="L1099" s="117">
        <f ca="1">IFERROR(L1090/K1090-1,0)</f>
        <v>4.5411111111111113</v>
      </c>
      <c r="M1099" s="204">
        <f ca="1">IFERROR(M1090/L1090-1,0)</f>
        <v>5.2737116502907577E-2</v>
      </c>
      <c r="N1099" s="204">
        <f ca="1">IFERROR(N1090/M1090-1,0)</f>
        <v>0</v>
      </c>
      <c r="O1099" s="204">
        <f ca="1">IFERROR(O1090/N1090-1,0)</f>
        <v>0</v>
      </c>
      <c r="P1099" s="204">
        <f ca="1">IFERROR(P1090/O1090-1,0)</f>
        <v>0</v>
      </c>
    </row>
    <row r="1100" spans="2:17" ht="12.6" customHeight="1" x14ac:dyDescent="0.2">
      <c r="B1100" s="201"/>
      <c r="C1100" s="326"/>
      <c r="D1100" s="335"/>
      <c r="E1100" s="335"/>
      <c r="F1100" s="335"/>
      <c r="G1100" s="335"/>
      <c r="H1100" s="335"/>
      <c r="I1100" s="335"/>
      <c r="J1100" s="335"/>
      <c r="K1100" s="335"/>
      <c r="L1100" s="335"/>
      <c r="M1100" s="357"/>
      <c r="N1100" s="357"/>
      <c r="O1100" s="357"/>
      <c r="P1100" s="357"/>
    </row>
    <row r="1101" spans="2:17" ht="12.6" customHeight="1" x14ac:dyDescent="0.2">
      <c r="B1101" s="331" t="s">
        <v>287</v>
      </c>
      <c r="C1101" s="326"/>
      <c r="D1101" s="335"/>
      <c r="E1101" s="335"/>
      <c r="F1101" s="335"/>
      <c r="G1101" s="335"/>
      <c r="H1101" s="335"/>
      <c r="I1101" s="335"/>
      <c r="J1101" s="335"/>
      <c r="K1101" s="335"/>
      <c r="L1101" s="335"/>
      <c r="M1101" s="357"/>
      <c r="N1101" s="357"/>
      <c r="O1101" s="357"/>
      <c r="P1101" s="357"/>
    </row>
    <row r="1102" spans="2:17" ht="12.6" customHeight="1" x14ac:dyDescent="0.2">
      <c r="B1102" s="322" t="s">
        <v>279</v>
      </c>
      <c r="C1102" s="326"/>
      <c r="D1102" s="113"/>
      <c r="E1102" s="113"/>
      <c r="F1102" s="113"/>
      <c r="G1102" s="113"/>
      <c r="H1102" s="113"/>
      <c r="I1102" s="113"/>
      <c r="J1102" s="113"/>
      <c r="K1102" s="113">
        <v>0</v>
      </c>
      <c r="L1102" s="113">
        <f t="shared" ref="L1102" ca="1" si="1058">L1084/L$1090</f>
        <v>0</v>
      </c>
      <c r="M1102" s="197">
        <f t="shared" ref="M1102:P1108" ca="1" si="1059">M1084/M$1090</f>
        <v>0</v>
      </c>
      <c r="N1102" s="197">
        <f t="shared" ca="1" si="1059"/>
        <v>0</v>
      </c>
      <c r="O1102" s="197">
        <f t="shared" ca="1" si="1059"/>
        <v>0</v>
      </c>
      <c r="P1102" s="197">
        <f t="shared" ca="1" si="1059"/>
        <v>0</v>
      </c>
    </row>
    <row r="1103" spans="2:17" ht="12.6" customHeight="1" x14ac:dyDescent="0.2">
      <c r="B1103" s="322" t="s">
        <v>280</v>
      </c>
      <c r="C1103" s="326"/>
      <c r="D1103" s="113"/>
      <c r="E1103" s="113"/>
      <c r="F1103" s="113"/>
      <c r="G1103" s="113"/>
      <c r="H1103" s="113"/>
      <c r="I1103" s="113"/>
      <c r="J1103" s="113"/>
      <c r="K1103" s="113">
        <v>0</v>
      </c>
      <c r="L1103" s="113">
        <f t="shared" ref="L1103" ca="1" si="1060">L1085/L$1090</f>
        <v>0</v>
      </c>
      <c r="M1103" s="197">
        <f t="shared" ca="1" si="1059"/>
        <v>0</v>
      </c>
      <c r="N1103" s="197">
        <f t="shared" ca="1" si="1059"/>
        <v>0</v>
      </c>
      <c r="O1103" s="197">
        <f t="shared" ca="1" si="1059"/>
        <v>0</v>
      </c>
      <c r="P1103" s="197">
        <f t="shared" ca="1" si="1059"/>
        <v>0</v>
      </c>
    </row>
    <row r="1104" spans="2:17" ht="12.6" customHeight="1" x14ac:dyDescent="0.2">
      <c r="B1104" s="322" t="s">
        <v>281</v>
      </c>
      <c r="C1104" s="326"/>
      <c r="D1104" s="113"/>
      <c r="E1104" s="113"/>
      <c r="F1104" s="113"/>
      <c r="G1104" s="113"/>
      <c r="H1104" s="113"/>
      <c r="I1104" s="113"/>
      <c r="J1104" s="113"/>
      <c r="K1104" s="113">
        <v>0</v>
      </c>
      <c r="L1104" s="113">
        <f t="shared" ref="L1104" ca="1" si="1061">L1086/L$1090</f>
        <v>0</v>
      </c>
      <c r="M1104" s="197">
        <f t="shared" ca="1" si="1059"/>
        <v>0</v>
      </c>
      <c r="N1104" s="197">
        <f t="shared" ca="1" si="1059"/>
        <v>0</v>
      </c>
      <c r="O1104" s="197">
        <f t="shared" ca="1" si="1059"/>
        <v>0</v>
      </c>
      <c r="P1104" s="197">
        <f t="shared" ca="1" si="1059"/>
        <v>0</v>
      </c>
    </row>
    <row r="1105" spans="2:16" ht="12.6" customHeight="1" x14ac:dyDescent="0.2">
      <c r="B1105" s="322" t="s">
        <v>282</v>
      </c>
      <c r="C1105" s="326"/>
      <c r="D1105" s="113"/>
      <c r="E1105" s="113"/>
      <c r="F1105" s="113"/>
      <c r="G1105" s="113"/>
      <c r="H1105" s="113"/>
      <c r="I1105" s="113"/>
      <c r="J1105" s="113"/>
      <c r="K1105" s="113">
        <v>0</v>
      </c>
      <c r="L1105" s="113">
        <f t="shared" ref="L1105" ca="1" si="1062">L1087/L$1090</f>
        <v>0</v>
      </c>
      <c r="M1105" s="197">
        <f t="shared" ca="1" si="1059"/>
        <v>0</v>
      </c>
      <c r="N1105" s="197">
        <f t="shared" ca="1" si="1059"/>
        <v>0</v>
      </c>
      <c r="O1105" s="197">
        <f t="shared" ca="1" si="1059"/>
        <v>0</v>
      </c>
      <c r="P1105" s="197">
        <f t="shared" ca="1" si="1059"/>
        <v>0</v>
      </c>
    </row>
    <row r="1106" spans="2:16" ht="12.6" customHeight="1" x14ac:dyDescent="0.2">
      <c r="B1106" s="322" t="s">
        <v>283</v>
      </c>
      <c r="C1106" s="326"/>
      <c r="D1106" s="113"/>
      <c r="E1106" s="113"/>
      <c r="F1106" s="113"/>
      <c r="G1106" s="113"/>
      <c r="H1106" s="113"/>
      <c r="I1106" s="113"/>
      <c r="J1106" s="113"/>
      <c r="K1106" s="113">
        <v>0</v>
      </c>
      <c r="L1106" s="113">
        <f t="shared" ref="L1106" ca="1" si="1063">L1088/L$1090</f>
        <v>0</v>
      </c>
      <c r="M1106" s="197">
        <f t="shared" ca="1" si="1059"/>
        <v>0</v>
      </c>
      <c r="N1106" s="197">
        <f t="shared" ca="1" si="1059"/>
        <v>0</v>
      </c>
      <c r="O1106" s="197">
        <f t="shared" ca="1" si="1059"/>
        <v>0</v>
      </c>
      <c r="P1106" s="197">
        <f t="shared" ca="1" si="1059"/>
        <v>0</v>
      </c>
    </row>
    <row r="1107" spans="2:16" ht="12.6" customHeight="1" x14ac:dyDescent="0.2">
      <c r="B1107" s="322" t="s">
        <v>284</v>
      </c>
      <c r="C1107" s="326"/>
      <c r="D1107" s="113"/>
      <c r="E1107" s="113"/>
      <c r="F1107" s="113"/>
      <c r="G1107" s="113"/>
      <c r="H1107" s="113"/>
      <c r="I1107" s="113"/>
      <c r="J1107" s="113"/>
      <c r="K1107" s="113">
        <v>1</v>
      </c>
      <c r="L1107" s="113">
        <f t="shared" ref="L1107" ca="1" si="1064">L1089/L$1090</f>
        <v>1</v>
      </c>
      <c r="M1107" s="197">
        <f t="shared" ca="1" si="1059"/>
        <v>1</v>
      </c>
      <c r="N1107" s="197">
        <f t="shared" ca="1" si="1059"/>
        <v>1</v>
      </c>
      <c r="O1107" s="197">
        <f t="shared" ca="1" si="1059"/>
        <v>1</v>
      </c>
      <c r="P1107" s="197">
        <f t="shared" ca="1" si="1059"/>
        <v>1</v>
      </c>
    </row>
    <row r="1108" spans="2:16" ht="12.6" customHeight="1" x14ac:dyDescent="0.2">
      <c r="B1108" s="359" t="s">
        <v>551</v>
      </c>
      <c r="C1108" s="327"/>
      <c r="D1108" s="117"/>
      <c r="E1108" s="117"/>
      <c r="F1108" s="117"/>
      <c r="G1108" s="117"/>
      <c r="H1108" s="117"/>
      <c r="I1108" s="117"/>
      <c r="J1108" s="117"/>
      <c r="K1108" s="117">
        <v>1</v>
      </c>
      <c r="L1108" s="117">
        <f t="shared" ref="L1108" ca="1" si="1065">L1090/L$1090</f>
        <v>1</v>
      </c>
      <c r="M1108" s="204">
        <f t="shared" ca="1" si="1059"/>
        <v>1</v>
      </c>
      <c r="N1108" s="204">
        <f t="shared" ca="1" si="1059"/>
        <v>1</v>
      </c>
      <c r="O1108" s="204">
        <f t="shared" ca="1" si="1059"/>
        <v>1</v>
      </c>
      <c r="P1108" s="204">
        <f t="shared" ca="1" si="1059"/>
        <v>1</v>
      </c>
    </row>
    <row r="1109" spans="2:16" ht="12.6" customHeight="1" x14ac:dyDescent="0.2">
      <c r="B1109" s="56"/>
      <c r="C1109" s="61"/>
      <c r="D1109" s="57"/>
      <c r="E1109" s="57"/>
      <c r="F1109" s="57"/>
      <c r="G1109" s="57"/>
      <c r="H1109" s="57"/>
      <c r="I1109" s="57"/>
      <c r="J1109" s="57"/>
      <c r="K1109" s="57"/>
      <c r="L1109" s="57"/>
      <c r="M1109" s="68"/>
      <c r="N1109" s="68"/>
      <c r="O1109" s="68"/>
      <c r="P1109" s="68"/>
    </row>
    <row r="1110" spans="2:16" ht="12.6" customHeight="1" x14ac:dyDescent="0.2">
      <c r="B1110" s="56" t="s">
        <v>563</v>
      </c>
      <c r="C1110" s="61" t="s">
        <v>566</v>
      </c>
      <c r="D1110" s="57"/>
      <c r="E1110" s="57"/>
      <c r="F1110" s="57"/>
      <c r="G1110" s="57"/>
      <c r="H1110" s="57"/>
      <c r="I1110" s="57"/>
      <c r="J1110" s="57"/>
      <c r="K1110" s="57">
        <f t="shared" ref="K1110:P1110" si="1066">K1112-K1111</f>
        <v>0</v>
      </c>
      <c r="L1110" s="68">
        <f t="shared" ca="1" si="1066"/>
        <v>0</v>
      </c>
      <c r="M1110" s="68">
        <f t="shared" ca="1" si="1066"/>
        <v>0</v>
      </c>
      <c r="N1110" s="68">
        <f t="shared" ca="1" si="1066"/>
        <v>0</v>
      </c>
      <c r="O1110" s="68">
        <f t="shared" ca="1" si="1066"/>
        <v>0</v>
      </c>
      <c r="P1110" s="68">
        <f t="shared" ca="1" si="1066"/>
        <v>0</v>
      </c>
    </row>
    <row r="1111" spans="2:16" ht="12.6" customHeight="1" x14ac:dyDescent="0.2">
      <c r="B1111" s="56" t="s">
        <v>299</v>
      </c>
      <c r="C1111" s="61" t="s">
        <v>566</v>
      </c>
      <c r="D1111" s="57"/>
      <c r="E1111" s="57"/>
      <c r="F1111" s="57"/>
      <c r="G1111" s="57"/>
      <c r="H1111" s="57"/>
      <c r="I1111" s="57"/>
      <c r="J1111" s="57"/>
      <c r="K1111" s="57">
        <f t="shared" ref="K1111:P1111" si="1067">K1112*K1121</f>
        <v>0.9</v>
      </c>
      <c r="L1111" s="68">
        <f t="shared" ca="1" si="1067"/>
        <v>4.9870000000000001</v>
      </c>
      <c r="M1111" s="68">
        <f t="shared" ca="1" si="1067"/>
        <v>5.25</v>
      </c>
      <c r="N1111" s="68">
        <f t="shared" ca="1" si="1067"/>
        <v>5.25</v>
      </c>
      <c r="O1111" s="68">
        <f t="shared" ca="1" si="1067"/>
        <v>5.25</v>
      </c>
      <c r="P1111" s="68">
        <f t="shared" ca="1" si="1067"/>
        <v>5.25</v>
      </c>
    </row>
    <row r="1112" spans="2:16" ht="12.6" customHeight="1" x14ac:dyDescent="0.2">
      <c r="B1112" s="72" t="s">
        <v>551</v>
      </c>
      <c r="C1112" s="61"/>
      <c r="D1112" s="63"/>
      <c r="E1112" s="63"/>
      <c r="F1112" s="63"/>
      <c r="G1112" s="63"/>
      <c r="H1112" s="63"/>
      <c r="I1112" s="63"/>
      <c r="J1112" s="63"/>
      <c r="K1112" s="63">
        <f t="shared" ref="K1112:P1112" si="1068">K1090</f>
        <v>0.9</v>
      </c>
      <c r="L1112" s="64">
        <f t="shared" ca="1" si="1068"/>
        <v>4.9870000000000001</v>
      </c>
      <c r="M1112" s="64">
        <f t="shared" ca="1" si="1068"/>
        <v>5.25</v>
      </c>
      <c r="N1112" s="64">
        <f t="shared" ca="1" si="1068"/>
        <v>5.25</v>
      </c>
      <c r="O1112" s="64">
        <f t="shared" ca="1" si="1068"/>
        <v>5.25</v>
      </c>
      <c r="P1112" s="64">
        <f t="shared" ca="1" si="1068"/>
        <v>5.25</v>
      </c>
    </row>
    <row r="1113" spans="2:16" ht="12.6" customHeight="1" x14ac:dyDescent="0.2">
      <c r="B1113" s="72"/>
      <c r="C1113" s="61"/>
      <c r="D1113" s="63"/>
      <c r="E1113" s="63"/>
      <c r="F1113" s="63"/>
      <c r="G1113" s="63"/>
      <c r="H1113" s="63"/>
      <c r="I1113" s="63"/>
      <c r="J1113" s="63"/>
      <c r="K1113" s="63"/>
      <c r="L1113" s="64"/>
      <c r="M1113" s="64"/>
      <c r="N1113" s="64"/>
      <c r="O1113" s="64"/>
      <c r="P1113" s="64"/>
    </row>
    <row r="1114" spans="2:16" ht="12.6" customHeight="1" x14ac:dyDescent="0.2">
      <c r="B1114" s="331" t="s">
        <v>227</v>
      </c>
      <c r="C1114" s="326"/>
      <c r="D1114" s="335"/>
      <c r="E1114" s="335"/>
      <c r="F1114" s="335"/>
      <c r="G1114" s="335"/>
      <c r="H1114" s="335"/>
      <c r="I1114" s="335"/>
      <c r="J1114" s="335"/>
      <c r="K1114" s="335"/>
      <c r="L1114" s="336"/>
      <c r="M1114" s="336"/>
      <c r="N1114" s="336"/>
      <c r="O1114" s="336"/>
      <c r="P1114" s="336"/>
    </row>
    <row r="1115" spans="2:16" ht="12.6" customHeight="1" x14ac:dyDescent="0.2">
      <c r="B1115" s="322" t="s">
        <v>563</v>
      </c>
      <c r="C1115" s="326"/>
      <c r="D1115" s="113"/>
      <c r="E1115" s="113"/>
      <c r="F1115" s="113"/>
      <c r="G1115" s="113"/>
      <c r="H1115" s="113"/>
      <c r="I1115" s="113"/>
      <c r="J1115" s="113"/>
      <c r="K1115" s="113" t="str">
        <f t="shared" ref="K1115:P1115" si="1069">IFERROR(K1110/J1110-1,"--")</f>
        <v>--</v>
      </c>
      <c r="L1115" s="197" t="str">
        <f t="shared" ca="1" si="1069"/>
        <v>--</v>
      </c>
      <c r="M1115" s="197" t="str">
        <f t="shared" ca="1" si="1069"/>
        <v>--</v>
      </c>
      <c r="N1115" s="197" t="str">
        <f t="shared" ca="1" si="1069"/>
        <v>--</v>
      </c>
      <c r="O1115" s="197" t="str">
        <f t="shared" ca="1" si="1069"/>
        <v>--</v>
      </c>
      <c r="P1115" s="197" t="str">
        <f t="shared" ca="1" si="1069"/>
        <v>--</v>
      </c>
    </row>
    <row r="1116" spans="2:16" ht="12.6" customHeight="1" x14ac:dyDescent="0.2">
      <c r="B1116" s="322" t="s">
        <v>299</v>
      </c>
      <c r="C1116" s="326"/>
      <c r="D1116" s="113"/>
      <c r="E1116" s="113"/>
      <c r="F1116" s="113"/>
      <c r="G1116" s="113"/>
      <c r="H1116" s="113"/>
      <c r="I1116" s="113"/>
      <c r="J1116" s="113"/>
      <c r="K1116" s="113" t="str">
        <f t="shared" ref="K1116:P1116" si="1070">IFERROR(K1111/J1111-1,"--")</f>
        <v>--</v>
      </c>
      <c r="L1116" s="197">
        <f t="shared" ca="1" si="1070"/>
        <v>4.5411111111111113</v>
      </c>
      <c r="M1116" s="197">
        <f t="shared" ca="1" si="1070"/>
        <v>5.2737116502907577E-2</v>
      </c>
      <c r="N1116" s="197">
        <f t="shared" ca="1" si="1070"/>
        <v>0</v>
      </c>
      <c r="O1116" s="197">
        <f t="shared" ca="1" si="1070"/>
        <v>0</v>
      </c>
      <c r="P1116" s="197">
        <f t="shared" ca="1" si="1070"/>
        <v>0</v>
      </c>
    </row>
    <row r="1117" spans="2:16" ht="12.6" customHeight="1" x14ac:dyDescent="0.2">
      <c r="B1117" s="331" t="s">
        <v>551</v>
      </c>
      <c r="C1117" s="327"/>
      <c r="D1117" s="117"/>
      <c r="E1117" s="117"/>
      <c r="F1117" s="117"/>
      <c r="G1117" s="117"/>
      <c r="H1117" s="117"/>
      <c r="I1117" s="117"/>
      <c r="J1117" s="117"/>
      <c r="K1117" s="117" t="str">
        <f t="shared" ref="K1117:P1117" si="1071">IFERROR(K1112/J1112-1,"--")</f>
        <v>--</v>
      </c>
      <c r="L1117" s="204">
        <f t="shared" ca="1" si="1071"/>
        <v>4.5411111111111113</v>
      </c>
      <c r="M1117" s="204">
        <f t="shared" ca="1" si="1071"/>
        <v>5.2737116502907577E-2</v>
      </c>
      <c r="N1117" s="204">
        <f t="shared" ca="1" si="1071"/>
        <v>0</v>
      </c>
      <c r="O1117" s="204">
        <f t="shared" ca="1" si="1071"/>
        <v>0</v>
      </c>
      <c r="P1117" s="204">
        <f t="shared" ca="1" si="1071"/>
        <v>0</v>
      </c>
    </row>
    <row r="1118" spans="2:16" ht="12.6" customHeight="1" x14ac:dyDescent="0.2">
      <c r="B1118" s="331"/>
      <c r="C1118" s="326"/>
      <c r="D1118" s="335"/>
      <c r="E1118" s="335"/>
      <c r="F1118" s="335"/>
      <c r="G1118" s="335"/>
      <c r="H1118" s="335"/>
      <c r="I1118" s="335"/>
      <c r="J1118" s="335"/>
      <c r="K1118" s="335"/>
      <c r="L1118" s="336"/>
      <c r="M1118" s="336"/>
      <c r="N1118" s="336"/>
      <c r="O1118" s="336"/>
      <c r="P1118" s="336"/>
    </row>
    <row r="1119" spans="2:16" ht="12.6" customHeight="1" x14ac:dyDescent="0.2">
      <c r="B1119" s="331" t="s">
        <v>287</v>
      </c>
      <c r="C1119" s="326"/>
      <c r="D1119" s="335"/>
      <c r="E1119" s="335"/>
      <c r="F1119" s="335"/>
      <c r="G1119" s="335"/>
      <c r="H1119" s="335"/>
      <c r="I1119" s="335"/>
      <c r="J1119" s="335"/>
      <c r="K1119" s="335"/>
      <c r="L1119" s="336"/>
      <c r="M1119" s="336"/>
      <c r="N1119" s="336"/>
      <c r="O1119" s="336"/>
      <c r="P1119" s="336"/>
    </row>
    <row r="1120" spans="2:16" ht="12.6" customHeight="1" x14ac:dyDescent="0.2">
      <c r="B1120" s="322" t="s">
        <v>563</v>
      </c>
      <c r="C1120" s="326"/>
      <c r="D1120" s="113"/>
      <c r="E1120" s="113"/>
      <c r="F1120" s="113"/>
      <c r="G1120" s="113"/>
      <c r="H1120" s="113"/>
      <c r="I1120" s="113"/>
      <c r="J1120" s="113"/>
      <c r="K1120" s="113">
        <f t="shared" ref="K1120:P1120" si="1072">1-K1121</f>
        <v>0</v>
      </c>
      <c r="L1120" s="197">
        <f t="shared" si="1072"/>
        <v>0</v>
      </c>
      <c r="M1120" s="197">
        <f t="shared" si="1072"/>
        <v>0</v>
      </c>
      <c r="N1120" s="197">
        <f t="shared" si="1072"/>
        <v>0</v>
      </c>
      <c r="O1120" s="197">
        <f t="shared" si="1072"/>
        <v>0</v>
      </c>
      <c r="P1120" s="197">
        <f t="shared" si="1072"/>
        <v>0</v>
      </c>
    </row>
    <row r="1121" spans="1:171" ht="12.6" customHeight="1" x14ac:dyDescent="0.2">
      <c r="B1121" s="359" t="s">
        <v>299</v>
      </c>
      <c r="C1121" s="327"/>
      <c r="D1121" s="117"/>
      <c r="E1121" s="117"/>
      <c r="F1121" s="117"/>
      <c r="G1121" s="117"/>
      <c r="H1121" s="117"/>
      <c r="I1121" s="117"/>
      <c r="J1121" s="117"/>
      <c r="K1121" s="1041">
        <v>1</v>
      </c>
      <c r="L1121" s="360">
        <v>1</v>
      </c>
      <c r="M1121" s="360">
        <f>L1121</f>
        <v>1</v>
      </c>
      <c r="N1121" s="360">
        <f>M1121</f>
        <v>1</v>
      </c>
      <c r="O1121" s="360">
        <f>N1121</f>
        <v>1</v>
      </c>
      <c r="P1121" s="360">
        <f>O1121</f>
        <v>1</v>
      </c>
    </row>
    <row r="1122" spans="1:171" ht="12.6" customHeight="1" x14ac:dyDescent="0.2">
      <c r="B1122" s="116"/>
      <c r="C1122" s="61"/>
      <c r="D1122" s="63"/>
      <c r="E1122" s="63"/>
      <c r="F1122" s="63"/>
      <c r="G1122" s="63"/>
      <c r="H1122" s="63"/>
      <c r="I1122" s="63"/>
      <c r="J1122" s="63"/>
      <c r="K1122" s="63"/>
      <c r="L1122" s="64"/>
      <c r="M1122" s="64"/>
      <c r="N1122" s="64"/>
      <c r="O1122" s="64"/>
      <c r="P1122" s="64"/>
    </row>
    <row r="1123" spans="1:171" ht="12.6" customHeight="1" x14ac:dyDescent="0.2">
      <c r="A1123" s="87"/>
      <c r="B1123" s="206"/>
      <c r="C1123" s="191"/>
      <c r="D1123" s="42"/>
      <c r="E1123" s="42"/>
      <c r="F1123" s="42"/>
      <c r="G1123" s="42"/>
      <c r="H1123" s="42"/>
      <c r="I1123" s="42"/>
      <c r="J1123" s="42"/>
      <c r="K1123" s="42"/>
      <c r="L1123" s="42"/>
      <c r="M1123" s="42"/>
      <c r="N1123" s="42"/>
      <c r="O1123" s="42"/>
      <c r="P1123" s="42"/>
      <c r="Q1123" s="87"/>
      <c r="R1123" s="87"/>
      <c r="S1123" s="87"/>
      <c r="T1123" s="87"/>
      <c r="U1123" s="87"/>
      <c r="V1123" s="87"/>
      <c r="W1123" s="87"/>
      <c r="X1123" s="87"/>
      <c r="Y1123" s="87"/>
      <c r="Z1123" s="87"/>
      <c r="AA1123" s="87"/>
      <c r="AB1123" s="87"/>
      <c r="AC1123" s="87"/>
      <c r="AD1123" s="87"/>
      <c r="AE1123" s="87"/>
      <c r="AF1123" s="87"/>
      <c r="AG1123" s="87"/>
      <c r="AH1123" s="87"/>
      <c r="AI1123" s="87"/>
      <c r="AJ1123" s="87"/>
      <c r="AK1123" s="87"/>
      <c r="AL1123" s="87"/>
      <c r="AM1123" s="87"/>
      <c r="AO1123" s="87"/>
      <c r="AP1123" s="87"/>
      <c r="AQ1123" s="87"/>
      <c r="AR1123" s="87"/>
      <c r="AS1123" s="87"/>
      <c r="AT1123" s="87"/>
      <c r="AU1123" s="87"/>
      <c r="AV1123" s="87"/>
      <c r="AW1123" s="87"/>
      <c r="AX1123" s="87"/>
      <c r="AY1123" s="87"/>
      <c r="BA1123" s="87"/>
      <c r="BB1123" s="87"/>
      <c r="BC1123" s="87"/>
      <c r="BD1123" s="87"/>
      <c r="BE1123" s="87"/>
      <c r="BF1123" s="87"/>
      <c r="BG1123" s="87"/>
      <c r="BH1123" s="87"/>
      <c r="BI1123" s="87"/>
      <c r="BJ1123" s="87"/>
      <c r="BK1123" s="87"/>
      <c r="BL1123" s="87"/>
      <c r="BM1123" s="87"/>
      <c r="BN1123" s="87"/>
      <c r="BP1123" s="87"/>
      <c r="BQ1123" s="87"/>
      <c r="BR1123" s="87"/>
      <c r="BS1123" s="87"/>
      <c r="BT1123" s="87"/>
      <c r="BU1123" s="87"/>
      <c r="BV1123" s="87"/>
      <c r="BW1123" s="87"/>
      <c r="BX1123" s="87"/>
      <c r="BY1123" s="87"/>
      <c r="BZ1123" s="87"/>
      <c r="CB1123" s="87"/>
      <c r="CC1123" s="87"/>
      <c r="CD1123" s="87"/>
      <c r="CE1123" s="87"/>
      <c r="CF1123" s="87"/>
      <c r="CG1123" s="87"/>
      <c r="CH1123" s="87"/>
      <c r="CI1123" s="87"/>
      <c r="CJ1123" s="87"/>
      <c r="CK1123" s="87"/>
      <c r="CL1123" s="87"/>
      <c r="CN1123" s="87"/>
      <c r="CO1123" s="87"/>
      <c r="CP1123" s="87"/>
      <c r="CQ1123" s="87"/>
      <c r="CR1123" s="87"/>
      <c r="CS1123" s="87"/>
      <c r="CT1123" s="87"/>
      <c r="CU1123" s="87"/>
      <c r="CV1123" s="87"/>
      <c r="CW1123" s="87"/>
      <c r="CX1123" s="87"/>
      <c r="CZ1123" s="87"/>
      <c r="DA1123" s="87"/>
      <c r="DB1123" s="87"/>
      <c r="DC1123" s="87"/>
      <c r="DD1123" s="87"/>
      <c r="DE1123" s="87"/>
      <c r="DF1123" s="87"/>
      <c r="DG1123" s="87"/>
      <c r="DH1123" s="87"/>
      <c r="DI1123" s="87"/>
      <c r="DJ1123" s="87"/>
      <c r="DL1123" s="87"/>
      <c r="DM1123" s="87"/>
      <c r="DN1123" s="87"/>
      <c r="DO1123" s="87"/>
      <c r="DP1123" s="87"/>
      <c r="DQ1123" s="87"/>
      <c r="DR1123" s="87"/>
      <c r="DS1123" s="87"/>
      <c r="DT1123" s="87"/>
      <c r="DU1123" s="87"/>
      <c r="DV1123" s="87"/>
      <c r="DX1123" s="87"/>
      <c r="DY1123" s="87"/>
      <c r="DZ1123" s="87"/>
      <c r="EA1123" s="87"/>
      <c r="EB1123" s="87"/>
      <c r="EC1123" s="87"/>
      <c r="ED1123" s="87"/>
      <c r="EE1123" s="87"/>
      <c r="EF1123" s="87"/>
      <c r="EG1123" s="87"/>
      <c r="EH1123" s="87"/>
      <c r="EJ1123" s="87"/>
      <c r="EK1123" s="87"/>
      <c r="EL1123" s="87"/>
      <c r="EM1123" s="87"/>
      <c r="EN1123" s="87"/>
      <c r="EO1123" s="87"/>
      <c r="EP1123" s="87"/>
      <c r="EQ1123" s="87"/>
      <c r="ER1123" s="87"/>
      <c r="ES1123" s="87"/>
      <c r="ET1123" s="87"/>
      <c r="EV1123" s="87"/>
      <c r="EW1123" s="87"/>
      <c r="EX1123" s="87"/>
      <c r="EY1123" s="87"/>
      <c r="EZ1123" s="87"/>
      <c r="FA1123" s="87"/>
      <c r="FB1123" s="87"/>
      <c r="FC1123" s="87"/>
      <c r="FD1123" s="87"/>
      <c r="FE1123" s="87"/>
      <c r="FF1123" s="87"/>
      <c r="FH1123" s="87"/>
      <c r="FI1123" s="87"/>
      <c r="FJ1123" s="87"/>
      <c r="FK1123" s="87"/>
      <c r="FL1123" s="87"/>
      <c r="FM1123" s="87"/>
      <c r="FN1123" s="87"/>
      <c r="FO1123" s="87"/>
    </row>
    <row r="1124" spans="1:171" ht="12.6" customHeight="1" x14ac:dyDescent="0.2">
      <c r="B1124" s="50" t="s">
        <v>554</v>
      </c>
      <c r="C1124" s="50" t="s">
        <v>473</v>
      </c>
      <c r="D1124" s="163"/>
      <c r="E1124" s="163"/>
      <c r="F1124" s="163"/>
      <c r="G1124" s="51"/>
      <c r="H1124" s="51"/>
      <c r="I1124" s="51"/>
      <c r="J1124" s="51"/>
      <c r="K1124" s="51"/>
      <c r="L1124" s="54"/>
      <c r="M1124" s="54"/>
      <c r="N1124" s="54"/>
      <c r="O1124" s="54"/>
      <c r="P1124" s="54"/>
    </row>
    <row r="1125" spans="1:171" ht="12.6" customHeight="1" x14ac:dyDescent="0.2">
      <c r="B1125" s="61" t="s">
        <v>565</v>
      </c>
      <c r="C1125" s="61" t="s">
        <v>570</v>
      </c>
      <c r="D1125" s="63"/>
      <c r="E1125" s="63"/>
      <c r="F1125" s="311"/>
      <c r="G1125" s="301"/>
      <c r="H1125" s="301"/>
      <c r="I1125" s="301"/>
      <c r="J1125" s="301"/>
      <c r="K1125" s="301">
        <f t="shared" ref="K1125" si="1073">K1126*K1139</f>
        <v>54.809475241268387</v>
      </c>
      <c r="L1125" s="302">
        <f>L1126*L1139</f>
        <v>374.0746685216568</v>
      </c>
      <c r="M1125" s="302">
        <f>M1126*M1139</f>
        <v>883.75140438241431</v>
      </c>
      <c r="N1125" s="302">
        <f>N1126*N1139</f>
        <v>999.31889572472994</v>
      </c>
      <c r="O1125" s="302">
        <f>O1126*O1139</f>
        <v>1124.2337576903212</v>
      </c>
      <c r="P1125" s="302">
        <f>P1126*P1139</f>
        <v>1180.4454455748373</v>
      </c>
    </row>
    <row r="1126" spans="1:171" ht="12.6" customHeight="1" x14ac:dyDescent="0.2">
      <c r="B1126" s="59" t="s">
        <v>474</v>
      </c>
      <c r="C1126" s="61" t="s">
        <v>476</v>
      </c>
      <c r="D1126" s="57"/>
      <c r="E1126" s="57"/>
      <c r="F1126" s="57"/>
      <c r="G1126" s="57"/>
      <c r="H1126" s="57"/>
      <c r="I1126" s="57"/>
      <c r="J1126" s="288"/>
      <c r="K1126" s="288">
        <v>274.04737620634194</v>
      </c>
      <c r="L1126" s="303">
        <f>K1126*(1+L1127)</f>
        <v>287.74974501665906</v>
      </c>
      <c r="M1126" s="303">
        <f>L1126*(1+M1127)</f>
        <v>302.13723226749204</v>
      </c>
      <c r="N1126" s="303">
        <f>M1126*(1+N1127)</f>
        <v>317.24409388086667</v>
      </c>
      <c r="O1126" s="303">
        <f>N1126*(1+O1127)</f>
        <v>333.10629857491</v>
      </c>
      <c r="P1126" s="303">
        <f>O1126*(1+P1127)</f>
        <v>349.7616135036555</v>
      </c>
      <c r="R1126" s="37" t="s">
        <v>700</v>
      </c>
    </row>
    <row r="1127" spans="1:171" ht="12.6" customHeight="1" x14ac:dyDescent="0.2">
      <c r="B1127" s="322" t="s">
        <v>227</v>
      </c>
      <c r="C1127" s="323" t="s">
        <v>477</v>
      </c>
      <c r="D1127" s="58"/>
      <c r="E1127" s="58"/>
      <c r="F1127" s="339"/>
      <c r="G1127" s="330"/>
      <c r="H1127" s="330"/>
      <c r="I1127" s="330"/>
      <c r="J1127" s="353"/>
      <c r="K1127" s="353"/>
      <c r="L1127" s="354">
        <v>0.05</v>
      </c>
      <c r="M1127" s="354">
        <v>0.05</v>
      </c>
      <c r="N1127" s="354">
        <v>0.05</v>
      </c>
      <c r="O1127" s="354">
        <v>0.05</v>
      </c>
      <c r="P1127" s="354">
        <v>0.05</v>
      </c>
      <c r="R1127" s="37" t="s">
        <v>701</v>
      </c>
    </row>
    <row r="1128" spans="1:171" ht="12.6" customHeight="1" x14ac:dyDescent="0.2">
      <c r="B1128" s="59"/>
      <c r="C1128" s="61"/>
      <c r="D1128" s="57"/>
      <c r="E1128" s="57"/>
      <c r="F1128" s="288"/>
      <c r="G1128" s="57"/>
      <c r="H1128" s="57"/>
      <c r="I1128" s="57"/>
      <c r="J1128" s="57"/>
      <c r="K1128" s="57"/>
      <c r="L1128" s="68"/>
      <c r="M1128" s="68"/>
      <c r="N1128" s="68"/>
      <c r="O1128" s="68"/>
      <c r="P1128" s="68"/>
      <c r="R1128" s="37" t="s">
        <v>702</v>
      </c>
    </row>
    <row r="1129" spans="1:171" ht="12.6" customHeight="1" x14ac:dyDescent="0.2">
      <c r="B1129" s="72" t="s">
        <v>303</v>
      </c>
      <c r="C1129" s="61" t="s">
        <v>4</v>
      </c>
      <c r="D1129" s="57"/>
      <c r="E1129" s="57"/>
      <c r="F1129" s="288"/>
      <c r="G1129" s="288"/>
      <c r="H1129" s="288"/>
      <c r="I1129" s="288"/>
      <c r="J1129" s="288"/>
      <c r="K1129" s="288">
        <f t="shared" ref="K1129:P1129" si="1074">K100</f>
        <v>0</v>
      </c>
      <c r="L1129" s="68">
        <f t="shared" si="1074"/>
        <v>4.5</v>
      </c>
      <c r="M1129" s="68">
        <f t="shared" si="1074"/>
        <v>4.5</v>
      </c>
      <c r="N1129" s="68">
        <f t="shared" si="1074"/>
        <v>4.5</v>
      </c>
      <c r="O1129" s="68">
        <f t="shared" si="1074"/>
        <v>4.5</v>
      </c>
      <c r="P1129" s="68">
        <f t="shared" si="1074"/>
        <v>4.5</v>
      </c>
      <c r="R1129" s="37" t="s">
        <v>703</v>
      </c>
    </row>
    <row r="1130" spans="1:171" ht="12.6" customHeight="1" x14ac:dyDescent="0.2">
      <c r="B1130" s="202" t="s">
        <v>555</v>
      </c>
      <c r="C1130" s="326" t="s">
        <v>4</v>
      </c>
      <c r="D1130" s="58"/>
      <c r="E1130" s="58"/>
      <c r="F1130" s="330"/>
      <c r="G1130" s="330"/>
      <c r="H1130" s="330"/>
      <c r="I1130" s="330"/>
      <c r="J1130" s="330"/>
      <c r="K1130" s="330"/>
      <c r="L1130" s="324">
        <v>0.28799999999999998</v>
      </c>
      <c r="M1130" s="324">
        <v>0.65</v>
      </c>
      <c r="N1130" s="324">
        <v>0.7</v>
      </c>
      <c r="O1130" s="324">
        <v>0.75</v>
      </c>
      <c r="P1130" s="324">
        <v>0.75</v>
      </c>
      <c r="Q1130" s="352"/>
      <c r="R1130" s="37" t="s">
        <v>704</v>
      </c>
    </row>
    <row r="1131" spans="1:171" ht="12.6" customHeight="1" x14ac:dyDescent="0.2">
      <c r="B1131" s="59"/>
      <c r="C1131" s="61"/>
      <c r="D1131" s="57"/>
      <c r="E1131" s="57"/>
      <c r="F1131" s="288"/>
      <c r="G1131" s="57"/>
      <c r="H1131" s="57"/>
      <c r="I1131" s="57"/>
      <c r="J1131" s="57"/>
      <c r="K1131" s="57"/>
      <c r="L1131" s="57"/>
      <c r="M1131" s="68"/>
      <c r="N1131" s="68"/>
      <c r="O1131" s="68"/>
      <c r="P1131" s="68"/>
      <c r="R1131" s="37" t="s">
        <v>705</v>
      </c>
    </row>
    <row r="1132" spans="1:171" ht="12.6" customHeight="1" x14ac:dyDescent="0.2">
      <c r="B1132" s="72" t="s">
        <v>489</v>
      </c>
      <c r="C1132" s="61"/>
      <c r="D1132" s="57"/>
      <c r="E1132" s="57"/>
      <c r="F1132" s="288"/>
      <c r="G1132" s="57"/>
      <c r="H1132" s="57"/>
      <c r="I1132" s="57"/>
      <c r="J1132" s="57"/>
      <c r="K1132" s="57"/>
      <c r="L1132" s="57"/>
      <c r="M1132" s="68"/>
      <c r="N1132" s="68"/>
      <c r="O1132" s="68"/>
      <c r="P1132" s="68"/>
    </row>
    <row r="1133" spans="1:171" ht="12.6" customHeight="1" x14ac:dyDescent="0.2">
      <c r="B1133" s="56" t="s">
        <v>279</v>
      </c>
      <c r="C1133" s="61"/>
      <c r="D1133" s="288"/>
      <c r="E1133" s="288"/>
      <c r="F1133" s="288"/>
      <c r="G1133" s="288"/>
      <c r="H1133" s="288"/>
      <c r="I1133" s="288"/>
      <c r="J1133" s="288"/>
      <c r="K1133" s="288">
        <f t="shared" ref="K1133:K1138" ca="1" si="1075">K1151*$K$1139</f>
        <v>0</v>
      </c>
      <c r="L1133" s="288">
        <v>0</v>
      </c>
      <c r="M1133" s="303">
        <f t="shared" ref="M1133:P1135" si="1076">L1133*(1+M1142)</f>
        <v>0</v>
      </c>
      <c r="N1133" s="303">
        <f t="shared" si="1076"/>
        <v>0</v>
      </c>
      <c r="O1133" s="303">
        <f t="shared" si="1076"/>
        <v>0</v>
      </c>
      <c r="P1133" s="303">
        <f t="shared" si="1076"/>
        <v>0</v>
      </c>
      <c r="R1133" s="37" t="s">
        <v>706</v>
      </c>
    </row>
    <row r="1134" spans="1:171" ht="12.6" customHeight="1" x14ac:dyDescent="0.2">
      <c r="B1134" s="56" t="s">
        <v>280</v>
      </c>
      <c r="C1134" s="61"/>
      <c r="D1134" s="288"/>
      <c r="E1134" s="288"/>
      <c r="F1134" s="288"/>
      <c r="G1134" s="288"/>
      <c r="H1134" s="288"/>
      <c r="I1134" s="288"/>
      <c r="J1134" s="288"/>
      <c r="K1134" s="288">
        <f t="shared" ca="1" si="1075"/>
        <v>0</v>
      </c>
      <c r="L1134" s="288">
        <v>0</v>
      </c>
      <c r="M1134" s="303">
        <f t="shared" si="1076"/>
        <v>0</v>
      </c>
      <c r="N1134" s="303">
        <f t="shared" si="1076"/>
        <v>0</v>
      </c>
      <c r="O1134" s="303">
        <f t="shared" si="1076"/>
        <v>0</v>
      </c>
      <c r="P1134" s="303">
        <f t="shared" si="1076"/>
        <v>0</v>
      </c>
    </row>
    <row r="1135" spans="1:171" ht="12.6" customHeight="1" x14ac:dyDescent="0.2">
      <c r="B1135" s="56" t="s">
        <v>281</v>
      </c>
      <c r="C1135" s="61"/>
      <c r="D1135" s="288"/>
      <c r="E1135" s="288"/>
      <c r="F1135" s="288"/>
      <c r="G1135" s="288"/>
      <c r="H1135" s="288"/>
      <c r="I1135" s="288"/>
      <c r="J1135" s="288"/>
      <c r="K1135" s="288">
        <f t="shared" ca="1" si="1075"/>
        <v>0</v>
      </c>
      <c r="L1135" s="288">
        <v>0</v>
      </c>
      <c r="M1135" s="303">
        <f t="shared" si="1076"/>
        <v>0</v>
      </c>
      <c r="N1135" s="303">
        <f t="shared" si="1076"/>
        <v>0</v>
      </c>
      <c r="O1135" s="303">
        <f t="shared" si="1076"/>
        <v>0</v>
      </c>
      <c r="P1135" s="303">
        <f t="shared" si="1076"/>
        <v>0</v>
      </c>
    </row>
    <row r="1136" spans="1:171" ht="12.6" customHeight="1" x14ac:dyDescent="0.2">
      <c r="B1136" s="56" t="s">
        <v>282</v>
      </c>
      <c r="C1136" s="61"/>
      <c r="D1136" s="288"/>
      <c r="E1136" s="288"/>
      <c r="F1136" s="288"/>
      <c r="G1136" s="288"/>
      <c r="H1136" s="288"/>
      <c r="I1136" s="288"/>
      <c r="J1136" s="288"/>
      <c r="K1136" s="288">
        <f t="shared" ca="1" si="1075"/>
        <v>0.2</v>
      </c>
      <c r="L1136" s="288">
        <v>1.3</v>
      </c>
      <c r="M1136" s="303">
        <f t="shared" ref="M1136:P1136" si="1077">M1129*M1130</f>
        <v>2.9250000000000003</v>
      </c>
      <c r="N1136" s="303">
        <f t="shared" si="1077"/>
        <v>3.15</v>
      </c>
      <c r="O1136" s="303">
        <f t="shared" si="1077"/>
        <v>3.375</v>
      </c>
      <c r="P1136" s="303">
        <f t="shared" si="1077"/>
        <v>3.375</v>
      </c>
    </row>
    <row r="1137" spans="2:16" ht="12.6" customHeight="1" x14ac:dyDescent="0.2">
      <c r="B1137" s="56" t="s">
        <v>283</v>
      </c>
      <c r="C1137" s="61"/>
      <c r="D1137" s="288"/>
      <c r="E1137" s="288"/>
      <c r="F1137" s="288"/>
      <c r="G1137" s="288"/>
      <c r="H1137" s="288"/>
      <c r="I1137" s="288"/>
      <c r="J1137" s="288"/>
      <c r="K1137" s="288">
        <f t="shared" ca="1" si="1075"/>
        <v>0</v>
      </c>
      <c r="L1137" s="288">
        <v>0</v>
      </c>
      <c r="M1137" s="303">
        <f t="shared" ref="M1137:P1138" si="1078">L1137*(1+M1146)</f>
        <v>0</v>
      </c>
      <c r="N1137" s="303">
        <f t="shared" si="1078"/>
        <v>0</v>
      </c>
      <c r="O1137" s="303">
        <f t="shared" si="1078"/>
        <v>0</v>
      </c>
      <c r="P1137" s="303">
        <f t="shared" si="1078"/>
        <v>0</v>
      </c>
    </row>
    <row r="1138" spans="2:16" ht="12.6" customHeight="1" x14ac:dyDescent="0.2">
      <c r="B1138" s="56" t="s">
        <v>284</v>
      </c>
      <c r="C1138" s="61"/>
      <c r="D1138" s="288"/>
      <c r="E1138" s="288"/>
      <c r="F1138" s="288"/>
      <c r="G1138" s="288"/>
      <c r="H1138" s="288"/>
      <c r="I1138" s="288"/>
      <c r="J1138" s="288"/>
      <c r="K1138" s="288">
        <f t="shared" ca="1" si="1075"/>
        <v>0</v>
      </c>
      <c r="L1138" s="288">
        <v>0</v>
      </c>
      <c r="M1138" s="303">
        <f t="shared" si="1078"/>
        <v>0</v>
      </c>
      <c r="N1138" s="303">
        <f t="shared" si="1078"/>
        <v>0</v>
      </c>
      <c r="O1138" s="303">
        <f t="shared" si="1078"/>
        <v>0</v>
      </c>
      <c r="P1138" s="303">
        <f t="shared" si="1078"/>
        <v>0</v>
      </c>
    </row>
    <row r="1139" spans="2:16" ht="12.6" customHeight="1" x14ac:dyDescent="0.2">
      <c r="B1139" s="72" t="s">
        <v>551</v>
      </c>
      <c r="C1139" s="95"/>
      <c r="D1139" s="63"/>
      <c r="E1139" s="63"/>
      <c r="F1139" s="63"/>
      <c r="G1139" s="63"/>
      <c r="H1139" s="63"/>
      <c r="I1139" s="63">
        <f t="shared" ref="I1139:J1139" si="1079">SUM(I1133:I1138)</f>
        <v>0</v>
      </c>
      <c r="J1139" s="63">
        <f t="shared" si="1079"/>
        <v>0</v>
      </c>
      <c r="K1139" s="63">
        <f>K16</f>
        <v>0.2</v>
      </c>
      <c r="L1139" s="63">
        <f>SUM(L1133:L1138)</f>
        <v>1.3</v>
      </c>
      <c r="M1139" s="64">
        <f>SUM(M1133:M1138)</f>
        <v>2.9250000000000003</v>
      </c>
      <c r="N1139" s="64">
        <f>SUM(N1133:N1138)</f>
        <v>3.15</v>
      </c>
      <c r="O1139" s="64">
        <f>SUM(O1133:O1138)</f>
        <v>3.375</v>
      </c>
      <c r="P1139" s="64">
        <f>SUM(P1133:P1138)</f>
        <v>3.375</v>
      </c>
    </row>
    <row r="1140" spans="2:16" ht="12.6" customHeight="1" x14ac:dyDescent="0.2">
      <c r="B1140" s="72"/>
      <c r="C1140" s="95"/>
      <c r="D1140" s="63"/>
      <c r="E1140" s="63"/>
      <c r="F1140" s="63"/>
      <c r="G1140" s="63"/>
      <c r="H1140" s="63"/>
      <c r="I1140" s="63"/>
      <c r="J1140" s="63"/>
      <c r="K1140" s="63"/>
      <c r="L1140" s="63"/>
      <c r="M1140" s="64"/>
      <c r="N1140" s="64"/>
      <c r="O1140" s="64"/>
      <c r="P1140" s="64"/>
    </row>
    <row r="1141" spans="2:16" ht="12.6" customHeight="1" x14ac:dyDescent="0.2">
      <c r="B1141" s="116" t="s">
        <v>227</v>
      </c>
      <c r="C1141" s="61"/>
      <c r="D1141" s="63"/>
      <c r="E1141" s="63"/>
      <c r="F1141" s="63"/>
      <c r="G1141" s="63"/>
      <c r="H1141" s="63"/>
      <c r="I1141" s="63"/>
      <c r="J1141" s="63"/>
      <c r="K1141" s="63"/>
      <c r="L1141" s="63"/>
      <c r="M1141" s="68"/>
      <c r="N1141" s="68"/>
      <c r="O1141" s="68"/>
      <c r="P1141" s="68"/>
    </row>
    <row r="1142" spans="2:16" ht="12.6" customHeight="1" x14ac:dyDescent="0.2">
      <c r="B1142" s="322" t="s">
        <v>279</v>
      </c>
      <c r="C1142" s="355"/>
      <c r="D1142" s="113"/>
      <c r="E1142" s="113"/>
      <c r="F1142" s="113"/>
      <c r="G1142" s="113"/>
      <c r="H1142" s="113"/>
      <c r="I1142" s="113"/>
      <c r="J1142" s="113"/>
      <c r="K1142" s="113"/>
      <c r="L1142" s="113">
        <f t="shared" ref="L1142:L1148" ca="1" si="1080">IFERROR(L1133/K1133-1,0)</f>
        <v>0</v>
      </c>
      <c r="M1142" s="356">
        <v>0</v>
      </c>
      <c r="N1142" s="356">
        <v>0</v>
      </c>
      <c r="O1142" s="356">
        <v>0</v>
      </c>
      <c r="P1142" s="356">
        <v>0</v>
      </c>
    </row>
    <row r="1143" spans="2:16" ht="12.6" customHeight="1" x14ac:dyDescent="0.2">
      <c r="B1143" s="322" t="s">
        <v>280</v>
      </c>
      <c r="C1143" s="355"/>
      <c r="D1143" s="113"/>
      <c r="E1143" s="113"/>
      <c r="F1143" s="113"/>
      <c r="G1143" s="113"/>
      <c r="H1143" s="113"/>
      <c r="I1143" s="113"/>
      <c r="J1143" s="113"/>
      <c r="K1143" s="113"/>
      <c r="L1143" s="113">
        <f t="shared" ca="1" si="1080"/>
        <v>0</v>
      </c>
      <c r="M1143" s="356">
        <v>0</v>
      </c>
      <c r="N1143" s="356">
        <v>0</v>
      </c>
      <c r="O1143" s="356">
        <v>0</v>
      </c>
      <c r="P1143" s="356">
        <v>0</v>
      </c>
    </row>
    <row r="1144" spans="2:16" ht="12.6" customHeight="1" x14ac:dyDescent="0.2">
      <c r="B1144" s="322" t="s">
        <v>281</v>
      </c>
      <c r="C1144" s="355"/>
      <c r="D1144" s="113"/>
      <c r="E1144" s="113"/>
      <c r="F1144" s="113"/>
      <c r="G1144" s="113"/>
      <c r="H1144" s="113"/>
      <c r="I1144" s="113"/>
      <c r="J1144" s="113"/>
      <c r="K1144" s="113"/>
      <c r="L1144" s="113">
        <f t="shared" ca="1" si="1080"/>
        <v>0</v>
      </c>
      <c r="M1144" s="356">
        <v>0</v>
      </c>
      <c r="N1144" s="356">
        <v>0</v>
      </c>
      <c r="O1144" s="356">
        <v>0</v>
      </c>
      <c r="P1144" s="356">
        <v>0</v>
      </c>
    </row>
    <row r="1145" spans="2:16" ht="12.6" customHeight="1" x14ac:dyDescent="0.2">
      <c r="B1145" s="322" t="s">
        <v>282</v>
      </c>
      <c r="C1145" s="355"/>
      <c r="D1145" s="113"/>
      <c r="E1145" s="113"/>
      <c r="F1145" s="113"/>
      <c r="G1145" s="113"/>
      <c r="H1145" s="113"/>
      <c r="I1145" s="113"/>
      <c r="J1145" s="113"/>
      <c r="K1145" s="113"/>
      <c r="L1145" s="113">
        <f t="shared" ca="1" si="1080"/>
        <v>5.5</v>
      </c>
      <c r="M1145" s="356">
        <v>0</v>
      </c>
      <c r="N1145" s="356">
        <v>0</v>
      </c>
      <c r="O1145" s="356">
        <v>0</v>
      </c>
      <c r="P1145" s="356">
        <v>0</v>
      </c>
    </row>
    <row r="1146" spans="2:16" ht="12.6" customHeight="1" x14ac:dyDescent="0.2">
      <c r="B1146" s="322" t="s">
        <v>283</v>
      </c>
      <c r="C1146" s="355"/>
      <c r="D1146" s="113"/>
      <c r="E1146" s="113"/>
      <c r="F1146" s="113"/>
      <c r="G1146" s="113"/>
      <c r="H1146" s="113"/>
      <c r="I1146" s="113"/>
      <c r="J1146" s="113"/>
      <c r="K1146" s="113"/>
      <c r="L1146" s="113">
        <f t="shared" ca="1" si="1080"/>
        <v>0</v>
      </c>
      <c r="M1146" s="356">
        <v>0</v>
      </c>
      <c r="N1146" s="356">
        <v>0</v>
      </c>
      <c r="O1146" s="356">
        <v>0</v>
      </c>
      <c r="P1146" s="356">
        <v>0</v>
      </c>
    </row>
    <row r="1147" spans="2:16" ht="12.6" customHeight="1" x14ac:dyDescent="0.2">
      <c r="B1147" s="322" t="s">
        <v>284</v>
      </c>
      <c r="C1147" s="355"/>
      <c r="D1147" s="113"/>
      <c r="E1147" s="113"/>
      <c r="F1147" s="113"/>
      <c r="G1147" s="113"/>
      <c r="H1147" s="113"/>
      <c r="I1147" s="113"/>
      <c r="J1147" s="113"/>
      <c r="K1147" s="113"/>
      <c r="L1147" s="113">
        <f t="shared" ca="1" si="1080"/>
        <v>0</v>
      </c>
      <c r="M1147" s="356">
        <v>0</v>
      </c>
      <c r="N1147" s="356">
        <v>0</v>
      </c>
      <c r="O1147" s="356">
        <v>0</v>
      </c>
      <c r="P1147" s="356">
        <v>0</v>
      </c>
    </row>
    <row r="1148" spans="2:16" ht="12.6" customHeight="1" x14ac:dyDescent="0.2">
      <c r="B1148" s="331" t="s">
        <v>551</v>
      </c>
      <c r="C1148" s="358"/>
      <c r="D1148" s="117"/>
      <c r="E1148" s="117"/>
      <c r="F1148" s="117"/>
      <c r="G1148" s="117"/>
      <c r="H1148" s="117"/>
      <c r="I1148" s="117"/>
      <c r="J1148" s="117"/>
      <c r="K1148" s="117"/>
      <c r="L1148" s="117">
        <f t="shared" si="1080"/>
        <v>5.5</v>
      </c>
      <c r="M1148" s="204">
        <f>IFERROR(M1139/L1139-1,0)</f>
        <v>1.25</v>
      </c>
      <c r="N1148" s="204">
        <f>IFERROR(N1139/M1139-1,0)</f>
        <v>7.6923076923076872E-2</v>
      </c>
      <c r="O1148" s="204">
        <f>IFERROR(O1139/N1139-1,0)</f>
        <v>7.1428571428571397E-2</v>
      </c>
      <c r="P1148" s="204">
        <f>IFERROR(P1139/O1139-1,0)</f>
        <v>0</v>
      </c>
    </row>
    <row r="1149" spans="2:16" ht="12.6" customHeight="1" x14ac:dyDescent="0.2">
      <c r="B1149" s="201"/>
      <c r="C1149" s="326"/>
      <c r="D1149" s="335"/>
      <c r="E1149" s="335"/>
      <c r="F1149" s="335"/>
      <c r="G1149" s="335"/>
      <c r="H1149" s="335"/>
      <c r="I1149" s="335"/>
      <c r="J1149" s="335"/>
      <c r="K1149" s="335"/>
      <c r="L1149" s="335"/>
      <c r="M1149" s="357"/>
      <c r="N1149" s="357"/>
      <c r="O1149" s="357"/>
      <c r="P1149" s="357"/>
    </row>
    <row r="1150" spans="2:16" ht="12.6" customHeight="1" x14ac:dyDescent="0.2">
      <c r="B1150" s="331" t="s">
        <v>287</v>
      </c>
      <c r="C1150" s="326"/>
      <c r="D1150" s="335"/>
      <c r="E1150" s="335"/>
      <c r="F1150" s="335"/>
      <c r="G1150" s="335"/>
      <c r="H1150" s="335"/>
      <c r="I1150" s="335"/>
      <c r="J1150" s="335"/>
      <c r="K1150" s="335"/>
      <c r="L1150" s="335"/>
      <c r="M1150" s="357"/>
      <c r="N1150" s="357"/>
      <c r="O1150" s="357"/>
      <c r="P1150" s="357"/>
    </row>
    <row r="1151" spans="2:16" ht="12.6" customHeight="1" x14ac:dyDescent="0.2">
      <c r="B1151" s="322" t="s">
        <v>279</v>
      </c>
      <c r="C1151" s="326"/>
      <c r="D1151" s="113"/>
      <c r="E1151" s="113"/>
      <c r="F1151" s="113"/>
      <c r="G1151" s="113"/>
      <c r="H1151" s="113"/>
      <c r="I1151" s="113"/>
      <c r="J1151" s="113"/>
      <c r="K1151" s="113">
        <f t="shared" ref="K1151:P1156" ca="1" si="1081">K1133/K$1139</f>
        <v>0</v>
      </c>
      <c r="L1151" s="113">
        <f t="shared" ref="L1151" si="1082">L1133/L$1139</f>
        <v>0</v>
      </c>
      <c r="M1151" s="197">
        <f t="shared" si="1081"/>
        <v>0</v>
      </c>
      <c r="N1151" s="197">
        <f t="shared" si="1081"/>
        <v>0</v>
      </c>
      <c r="O1151" s="197">
        <f t="shared" si="1081"/>
        <v>0</v>
      </c>
      <c r="P1151" s="197">
        <f t="shared" si="1081"/>
        <v>0</v>
      </c>
    </row>
    <row r="1152" spans="2:16" ht="12.6" customHeight="1" x14ac:dyDescent="0.2">
      <c r="B1152" s="322" t="s">
        <v>280</v>
      </c>
      <c r="C1152" s="326"/>
      <c r="D1152" s="113"/>
      <c r="E1152" s="113"/>
      <c r="F1152" s="113"/>
      <c r="G1152" s="113"/>
      <c r="H1152" s="113"/>
      <c r="I1152" s="113"/>
      <c r="J1152" s="113"/>
      <c r="K1152" s="113">
        <f t="shared" ca="1" si="1081"/>
        <v>0</v>
      </c>
      <c r="L1152" s="113">
        <f t="shared" ref="L1152" si="1083">L1134/L$1139</f>
        <v>0</v>
      </c>
      <c r="M1152" s="197">
        <f t="shared" si="1081"/>
        <v>0</v>
      </c>
      <c r="N1152" s="197">
        <f t="shared" si="1081"/>
        <v>0</v>
      </c>
      <c r="O1152" s="197">
        <f t="shared" si="1081"/>
        <v>0</v>
      </c>
      <c r="P1152" s="197">
        <f t="shared" si="1081"/>
        <v>0</v>
      </c>
    </row>
    <row r="1153" spans="2:16" ht="12.6" customHeight="1" x14ac:dyDescent="0.2">
      <c r="B1153" s="322" t="s">
        <v>281</v>
      </c>
      <c r="C1153" s="326"/>
      <c r="D1153" s="113"/>
      <c r="E1153" s="113"/>
      <c r="F1153" s="113"/>
      <c r="G1153" s="113"/>
      <c r="H1153" s="113"/>
      <c r="I1153" s="113"/>
      <c r="J1153" s="113"/>
      <c r="K1153" s="113">
        <f t="shared" ca="1" si="1081"/>
        <v>0</v>
      </c>
      <c r="L1153" s="113">
        <f t="shared" ref="L1153" si="1084">L1135/L$1139</f>
        <v>0</v>
      </c>
      <c r="M1153" s="197">
        <f t="shared" si="1081"/>
        <v>0</v>
      </c>
      <c r="N1153" s="197">
        <f t="shared" si="1081"/>
        <v>0</v>
      </c>
      <c r="O1153" s="197">
        <f t="shared" si="1081"/>
        <v>0</v>
      </c>
      <c r="P1153" s="197">
        <f t="shared" si="1081"/>
        <v>0</v>
      </c>
    </row>
    <row r="1154" spans="2:16" ht="12.6" customHeight="1" x14ac:dyDescent="0.2">
      <c r="B1154" s="322" t="s">
        <v>282</v>
      </c>
      <c r="C1154" s="326"/>
      <c r="D1154" s="113"/>
      <c r="E1154" s="113"/>
      <c r="F1154" s="113"/>
      <c r="G1154" s="113"/>
      <c r="H1154" s="113"/>
      <c r="I1154" s="113"/>
      <c r="J1154" s="113"/>
      <c r="K1154" s="113">
        <f t="shared" ca="1" si="1081"/>
        <v>1</v>
      </c>
      <c r="L1154" s="113">
        <f t="shared" ref="L1154" si="1085">L1136/L$1139</f>
        <v>1</v>
      </c>
      <c r="M1154" s="197">
        <f t="shared" si="1081"/>
        <v>1</v>
      </c>
      <c r="N1154" s="197">
        <f t="shared" si="1081"/>
        <v>1</v>
      </c>
      <c r="O1154" s="197">
        <f t="shared" si="1081"/>
        <v>1</v>
      </c>
      <c r="P1154" s="197">
        <f t="shared" si="1081"/>
        <v>1</v>
      </c>
    </row>
    <row r="1155" spans="2:16" ht="12.6" customHeight="1" x14ac:dyDescent="0.2">
      <c r="B1155" s="322" t="s">
        <v>283</v>
      </c>
      <c r="C1155" s="326"/>
      <c r="D1155" s="113"/>
      <c r="E1155" s="113"/>
      <c r="F1155" s="113"/>
      <c r="G1155" s="113"/>
      <c r="H1155" s="113"/>
      <c r="I1155" s="113"/>
      <c r="J1155" s="113"/>
      <c r="K1155" s="113">
        <f t="shared" ca="1" si="1081"/>
        <v>0</v>
      </c>
      <c r="L1155" s="113">
        <f t="shared" ref="L1155" si="1086">L1137/L$1139</f>
        <v>0</v>
      </c>
      <c r="M1155" s="197">
        <f t="shared" si="1081"/>
        <v>0</v>
      </c>
      <c r="N1155" s="197">
        <f t="shared" si="1081"/>
        <v>0</v>
      </c>
      <c r="O1155" s="197">
        <f t="shared" si="1081"/>
        <v>0</v>
      </c>
      <c r="P1155" s="197">
        <f t="shared" si="1081"/>
        <v>0</v>
      </c>
    </row>
    <row r="1156" spans="2:16" ht="12.6" customHeight="1" x14ac:dyDescent="0.2">
      <c r="B1156" s="322" t="s">
        <v>284</v>
      </c>
      <c r="C1156" s="326"/>
      <c r="D1156" s="113"/>
      <c r="E1156" s="113"/>
      <c r="F1156" s="113"/>
      <c r="G1156" s="113"/>
      <c r="H1156" s="113"/>
      <c r="I1156" s="113"/>
      <c r="J1156" s="113"/>
      <c r="K1156" s="113">
        <f t="shared" ca="1" si="1081"/>
        <v>0</v>
      </c>
      <c r="L1156" s="113">
        <f t="shared" ref="L1156" si="1087">L1138/L$1139</f>
        <v>0</v>
      </c>
      <c r="M1156" s="197">
        <f t="shared" si="1081"/>
        <v>0</v>
      </c>
      <c r="N1156" s="197">
        <f t="shared" si="1081"/>
        <v>0</v>
      </c>
      <c r="O1156" s="197">
        <f t="shared" si="1081"/>
        <v>0</v>
      </c>
      <c r="P1156" s="197">
        <f t="shared" si="1081"/>
        <v>0</v>
      </c>
    </row>
    <row r="1157" spans="2:16" ht="12.6" customHeight="1" x14ac:dyDescent="0.2">
      <c r="B1157" s="359" t="s">
        <v>551</v>
      </c>
      <c r="C1157" s="327"/>
      <c r="D1157" s="117"/>
      <c r="E1157" s="117"/>
      <c r="F1157" s="117"/>
      <c r="G1157" s="117"/>
      <c r="H1157" s="117"/>
      <c r="I1157" s="117"/>
      <c r="J1157" s="117"/>
      <c r="K1157" s="117">
        <f t="shared" ref="K1157:L1157" si="1088">K1139/K$1139</f>
        <v>1</v>
      </c>
      <c r="L1157" s="117">
        <f t="shared" si="1088"/>
        <v>1</v>
      </c>
      <c r="M1157" s="204">
        <f>M1139/M$1139</f>
        <v>1</v>
      </c>
      <c r="N1157" s="204">
        <f>N1139/N$1139</f>
        <v>1</v>
      </c>
      <c r="O1157" s="204">
        <f>O1139/O$1139</f>
        <v>1</v>
      </c>
      <c r="P1157" s="204">
        <f>P1139/P$1139</f>
        <v>1</v>
      </c>
    </row>
    <row r="1158" spans="2:16" ht="12.6" customHeight="1" x14ac:dyDescent="0.2">
      <c r="B1158" s="56"/>
      <c r="C1158" s="61"/>
      <c r="D1158" s="57"/>
      <c r="E1158" s="57"/>
      <c r="F1158" s="57"/>
      <c r="G1158" s="57"/>
      <c r="H1158" s="57"/>
      <c r="I1158" s="57"/>
      <c r="J1158" s="57"/>
      <c r="K1158" s="57"/>
      <c r="L1158" s="68"/>
      <c r="M1158" s="68"/>
      <c r="N1158" s="68"/>
      <c r="O1158" s="68"/>
      <c r="P1158" s="68"/>
    </row>
    <row r="1159" spans="2:16" ht="12.6" customHeight="1" x14ac:dyDescent="0.2">
      <c r="B1159" s="56" t="s">
        <v>563</v>
      </c>
      <c r="C1159" s="61" t="s">
        <v>566</v>
      </c>
      <c r="D1159" s="57"/>
      <c r="E1159" s="57"/>
      <c r="F1159" s="57"/>
      <c r="G1159" s="57"/>
      <c r="H1159" s="57"/>
      <c r="I1159" s="57"/>
      <c r="J1159" s="57"/>
      <c r="K1159" s="57">
        <f t="shared" ref="K1159" si="1089">K1161-K1160</f>
        <v>0</v>
      </c>
      <c r="L1159" s="68">
        <f>L1161-L1160</f>
        <v>0</v>
      </c>
      <c r="M1159" s="68">
        <f>M1161-M1160</f>
        <v>0</v>
      </c>
      <c r="N1159" s="68">
        <f>N1161-N1160</f>
        <v>0</v>
      </c>
      <c r="O1159" s="68">
        <f>O1161-O1160</f>
        <v>0</v>
      </c>
      <c r="P1159" s="68">
        <f>P1161-P1160</f>
        <v>0</v>
      </c>
    </row>
    <row r="1160" spans="2:16" ht="12.6" customHeight="1" x14ac:dyDescent="0.2">
      <c r="B1160" s="56" t="s">
        <v>299</v>
      </c>
      <c r="C1160" s="61" t="s">
        <v>566</v>
      </c>
      <c r="D1160" s="57"/>
      <c r="E1160" s="57"/>
      <c r="F1160" s="57"/>
      <c r="G1160" s="57"/>
      <c r="H1160" s="57"/>
      <c r="I1160" s="57"/>
      <c r="J1160" s="57"/>
      <c r="K1160" s="57">
        <f t="shared" ref="K1160" si="1090">K1161*K1170</f>
        <v>0.2</v>
      </c>
      <c r="L1160" s="68">
        <f>L1161*L1170</f>
        <v>1.3</v>
      </c>
      <c r="M1160" s="68">
        <f>M1161*M1170</f>
        <v>2.9250000000000003</v>
      </c>
      <c r="N1160" s="68">
        <f>N1161*N1170</f>
        <v>3.15</v>
      </c>
      <c r="O1160" s="68">
        <f>O1161*O1170</f>
        <v>3.375</v>
      </c>
      <c r="P1160" s="68">
        <f>P1161*P1170</f>
        <v>3.375</v>
      </c>
    </row>
    <row r="1161" spans="2:16" ht="12.6" customHeight="1" x14ac:dyDescent="0.2">
      <c r="B1161" s="72" t="s">
        <v>551</v>
      </c>
      <c r="C1161" s="61"/>
      <c r="D1161" s="63"/>
      <c r="E1161" s="63"/>
      <c r="F1161" s="63"/>
      <c r="G1161" s="63"/>
      <c r="H1161" s="63"/>
      <c r="I1161" s="63"/>
      <c r="J1161" s="63"/>
      <c r="K1161" s="63">
        <f t="shared" ref="K1161" si="1091">K1139</f>
        <v>0.2</v>
      </c>
      <c r="L1161" s="64">
        <f>L1139</f>
        <v>1.3</v>
      </c>
      <c r="M1161" s="64">
        <f>M1139</f>
        <v>2.9250000000000003</v>
      </c>
      <c r="N1161" s="64">
        <f>N1139</f>
        <v>3.15</v>
      </c>
      <c r="O1161" s="64">
        <f>O1139</f>
        <v>3.375</v>
      </c>
      <c r="P1161" s="64">
        <f>P1139</f>
        <v>3.375</v>
      </c>
    </row>
    <row r="1162" spans="2:16" ht="12.6" customHeight="1" x14ac:dyDescent="0.2">
      <c r="B1162" s="72"/>
      <c r="C1162" s="61"/>
      <c r="D1162" s="63"/>
      <c r="E1162" s="63"/>
      <c r="F1162" s="63"/>
      <c r="G1162" s="63"/>
      <c r="H1162" s="63"/>
      <c r="I1162" s="63"/>
      <c r="J1162" s="63"/>
      <c r="K1162" s="63"/>
      <c r="L1162" s="64"/>
      <c r="M1162" s="64"/>
      <c r="N1162" s="64"/>
      <c r="O1162" s="64"/>
      <c r="P1162" s="64"/>
    </row>
    <row r="1163" spans="2:16" ht="12.6" customHeight="1" x14ac:dyDescent="0.2">
      <c r="B1163" s="331" t="s">
        <v>227</v>
      </c>
      <c r="C1163" s="326"/>
      <c r="D1163" s="335"/>
      <c r="E1163" s="335"/>
      <c r="F1163" s="335"/>
      <c r="G1163" s="335"/>
      <c r="H1163" s="335"/>
      <c r="I1163" s="335"/>
      <c r="J1163" s="335"/>
      <c r="K1163" s="335"/>
      <c r="L1163" s="336"/>
      <c r="M1163" s="336"/>
      <c r="N1163" s="336"/>
      <c r="O1163" s="336"/>
      <c r="P1163" s="336"/>
    </row>
    <row r="1164" spans="2:16" ht="12.6" customHeight="1" x14ac:dyDescent="0.2">
      <c r="B1164" s="322" t="s">
        <v>563</v>
      </c>
      <c r="C1164" s="326"/>
      <c r="D1164" s="113"/>
      <c r="E1164" s="113"/>
      <c r="F1164" s="113"/>
      <c r="G1164" s="113"/>
      <c r="H1164" s="113"/>
      <c r="I1164" s="113"/>
      <c r="J1164" s="113"/>
      <c r="K1164" s="113" t="str">
        <f t="shared" ref="K1164" si="1092">IFERROR(K1159/J1159-1,"--")</f>
        <v>--</v>
      </c>
      <c r="L1164" s="197" t="str">
        <f t="shared" ref="L1164:P1166" si="1093">IFERROR(L1159/K1159-1,"--")</f>
        <v>--</v>
      </c>
      <c r="M1164" s="197" t="str">
        <f t="shared" si="1093"/>
        <v>--</v>
      </c>
      <c r="N1164" s="197" t="str">
        <f t="shared" si="1093"/>
        <v>--</v>
      </c>
      <c r="O1164" s="197" t="str">
        <f t="shared" si="1093"/>
        <v>--</v>
      </c>
      <c r="P1164" s="197" t="str">
        <f t="shared" si="1093"/>
        <v>--</v>
      </c>
    </row>
    <row r="1165" spans="2:16" ht="12.6" customHeight="1" x14ac:dyDescent="0.2">
      <c r="B1165" s="322" t="s">
        <v>299</v>
      </c>
      <c r="C1165" s="326"/>
      <c r="D1165" s="113"/>
      <c r="E1165" s="113"/>
      <c r="F1165" s="113"/>
      <c r="G1165" s="113"/>
      <c r="H1165" s="113"/>
      <c r="I1165" s="113"/>
      <c r="J1165" s="113"/>
      <c r="K1165" s="113" t="str">
        <f t="shared" ref="K1165" si="1094">IFERROR(K1160/J1160-1,"--")</f>
        <v>--</v>
      </c>
      <c r="L1165" s="197">
        <f t="shared" si="1093"/>
        <v>5.5</v>
      </c>
      <c r="M1165" s="197">
        <f t="shared" si="1093"/>
        <v>1.25</v>
      </c>
      <c r="N1165" s="197">
        <f t="shared" si="1093"/>
        <v>7.6923076923076872E-2</v>
      </c>
      <c r="O1165" s="197">
        <f t="shared" si="1093"/>
        <v>7.1428571428571397E-2</v>
      </c>
      <c r="P1165" s="197">
        <f t="shared" si="1093"/>
        <v>0</v>
      </c>
    </row>
    <row r="1166" spans="2:16" ht="12.6" customHeight="1" x14ac:dyDescent="0.2">
      <c r="B1166" s="331" t="s">
        <v>551</v>
      </c>
      <c r="C1166" s="327"/>
      <c r="D1166" s="117"/>
      <c r="E1166" s="117"/>
      <c r="F1166" s="117"/>
      <c r="G1166" s="117"/>
      <c r="H1166" s="117"/>
      <c r="I1166" s="117"/>
      <c r="J1166" s="117"/>
      <c r="K1166" s="117" t="str">
        <f t="shared" ref="K1166" si="1095">IFERROR(K1161/J1161-1,"--")</f>
        <v>--</v>
      </c>
      <c r="L1166" s="204">
        <f t="shared" si="1093"/>
        <v>5.5</v>
      </c>
      <c r="M1166" s="204">
        <f t="shared" si="1093"/>
        <v>1.25</v>
      </c>
      <c r="N1166" s="204">
        <f t="shared" si="1093"/>
        <v>7.6923076923076872E-2</v>
      </c>
      <c r="O1166" s="204">
        <f t="shared" si="1093"/>
        <v>7.1428571428571397E-2</v>
      </c>
      <c r="P1166" s="204">
        <f t="shared" si="1093"/>
        <v>0</v>
      </c>
    </row>
    <row r="1167" spans="2:16" ht="12.6" customHeight="1" x14ac:dyDescent="0.2">
      <c r="B1167" s="331"/>
      <c r="C1167" s="326"/>
      <c r="D1167" s="335"/>
      <c r="E1167" s="335"/>
      <c r="F1167" s="335"/>
      <c r="G1167" s="335"/>
      <c r="H1167" s="335"/>
      <c r="I1167" s="335"/>
      <c r="J1167" s="335"/>
      <c r="K1167" s="335"/>
      <c r="L1167" s="336"/>
      <c r="M1167" s="336"/>
      <c r="N1167" s="336"/>
      <c r="O1167" s="336"/>
      <c r="P1167" s="336"/>
    </row>
    <row r="1168" spans="2:16" ht="12.6" customHeight="1" x14ac:dyDescent="0.2">
      <c r="B1168" s="331" t="s">
        <v>287</v>
      </c>
      <c r="C1168" s="326"/>
      <c r="D1168" s="335"/>
      <c r="E1168" s="335"/>
      <c r="F1168" s="335"/>
      <c r="G1168" s="335"/>
      <c r="H1168" s="335"/>
      <c r="I1168" s="335"/>
      <c r="J1168" s="335"/>
      <c r="K1168" s="335"/>
      <c r="L1168" s="336"/>
      <c r="M1168" s="336"/>
      <c r="N1168" s="336"/>
      <c r="O1168" s="336"/>
      <c r="P1168" s="336"/>
    </row>
    <row r="1169" spans="1:171" ht="12.6" customHeight="1" x14ac:dyDescent="0.2">
      <c r="B1169" s="322" t="s">
        <v>563</v>
      </c>
      <c r="C1169" s="326"/>
      <c r="D1169" s="113"/>
      <c r="E1169" s="113"/>
      <c r="F1169" s="113"/>
      <c r="G1169" s="113"/>
      <c r="H1169" s="113"/>
      <c r="I1169" s="113"/>
      <c r="J1169" s="113"/>
      <c r="K1169" s="113">
        <f t="shared" ref="K1169:P1169" si="1096">1-K1170</f>
        <v>0</v>
      </c>
      <c r="L1169" s="197">
        <f t="shared" si="1096"/>
        <v>0</v>
      </c>
      <c r="M1169" s="197">
        <f t="shared" si="1096"/>
        <v>0</v>
      </c>
      <c r="N1169" s="197">
        <f t="shared" si="1096"/>
        <v>0</v>
      </c>
      <c r="O1169" s="197">
        <f t="shared" si="1096"/>
        <v>0</v>
      </c>
      <c r="P1169" s="197">
        <f t="shared" si="1096"/>
        <v>0</v>
      </c>
    </row>
    <row r="1170" spans="1:171" ht="12.6" customHeight="1" x14ac:dyDescent="0.2">
      <c r="B1170" s="359" t="s">
        <v>299</v>
      </c>
      <c r="C1170" s="327"/>
      <c r="D1170" s="117"/>
      <c r="E1170" s="117"/>
      <c r="F1170" s="117"/>
      <c r="G1170" s="117"/>
      <c r="H1170" s="117"/>
      <c r="I1170" s="117"/>
      <c r="J1170" s="117"/>
      <c r="K1170" s="117">
        <v>1</v>
      </c>
      <c r="L1170" s="360">
        <f>K1170</f>
        <v>1</v>
      </c>
      <c r="M1170" s="360">
        <f>L1170</f>
        <v>1</v>
      </c>
      <c r="N1170" s="360">
        <f>M1170</f>
        <v>1</v>
      </c>
      <c r="O1170" s="360">
        <f>N1170</f>
        <v>1</v>
      </c>
      <c r="P1170" s="360">
        <f>O1170</f>
        <v>1</v>
      </c>
    </row>
    <row r="1171" spans="1:171" ht="12.6" customHeight="1" x14ac:dyDescent="0.2">
      <c r="B1171" s="116"/>
      <c r="C1171" s="61"/>
      <c r="D1171" s="63"/>
      <c r="E1171" s="63"/>
      <c r="F1171" s="63"/>
      <c r="G1171" s="63"/>
      <c r="H1171" s="63"/>
      <c r="I1171" s="63"/>
      <c r="J1171" s="63"/>
      <c r="K1171" s="63"/>
      <c r="L1171" s="64"/>
      <c r="M1171" s="64"/>
      <c r="N1171" s="64"/>
      <c r="O1171" s="64"/>
      <c r="P1171" s="64"/>
    </row>
    <row r="1172" spans="1:171" ht="12.6" customHeight="1" x14ac:dyDescent="0.2">
      <c r="A1172" s="87"/>
      <c r="B1172" s="206"/>
      <c r="C1172" s="191"/>
      <c r="D1172" s="42"/>
      <c r="E1172" s="42"/>
      <c r="F1172" s="42"/>
      <c r="G1172" s="42"/>
      <c r="H1172" s="42"/>
      <c r="I1172" s="42"/>
      <c r="J1172" s="42"/>
      <c r="K1172" s="42"/>
      <c r="L1172" s="42"/>
      <c r="M1172" s="42"/>
      <c r="N1172" s="42"/>
      <c r="O1172" s="42"/>
      <c r="P1172" s="42"/>
      <c r="Q1172" s="87"/>
      <c r="R1172" s="87"/>
      <c r="S1172" s="87"/>
      <c r="T1172" s="87"/>
      <c r="U1172" s="87"/>
      <c r="V1172" s="87"/>
      <c r="W1172" s="87"/>
      <c r="X1172" s="87"/>
      <c r="Y1172" s="87"/>
      <c r="Z1172" s="87"/>
      <c r="AA1172" s="87"/>
      <c r="AB1172" s="87"/>
      <c r="AC1172" s="87"/>
      <c r="AD1172" s="87"/>
      <c r="AE1172" s="87"/>
      <c r="AF1172" s="87"/>
      <c r="AG1172" s="87"/>
      <c r="AH1172" s="87"/>
      <c r="AI1172" s="87"/>
      <c r="AJ1172" s="87"/>
      <c r="AK1172" s="87"/>
      <c r="AL1172" s="87"/>
      <c r="AM1172" s="87"/>
      <c r="AO1172" s="87"/>
      <c r="AP1172" s="87"/>
      <c r="AQ1172" s="87"/>
      <c r="AR1172" s="87"/>
      <c r="AS1172" s="87"/>
      <c r="AT1172" s="87"/>
      <c r="AU1172" s="87"/>
      <c r="AV1172" s="87"/>
      <c r="AW1172" s="87"/>
      <c r="AX1172" s="87"/>
      <c r="AY1172" s="87"/>
      <c r="BA1172" s="87"/>
      <c r="BB1172" s="87"/>
      <c r="BC1172" s="87"/>
      <c r="BD1172" s="87"/>
      <c r="BE1172" s="87"/>
      <c r="BF1172" s="87"/>
      <c r="BG1172" s="87"/>
      <c r="BH1172" s="87"/>
      <c r="BI1172" s="87"/>
      <c r="BJ1172" s="87"/>
      <c r="BK1172" s="87"/>
      <c r="BL1172" s="87"/>
      <c r="BM1172" s="87"/>
      <c r="BN1172" s="87"/>
      <c r="BP1172" s="87"/>
      <c r="BQ1172" s="87"/>
      <c r="BR1172" s="87"/>
      <c r="BS1172" s="87"/>
      <c r="BT1172" s="87"/>
      <c r="BU1172" s="87"/>
      <c r="BV1172" s="87"/>
      <c r="BW1172" s="87"/>
      <c r="BX1172" s="87"/>
      <c r="BY1172" s="87"/>
      <c r="BZ1172" s="87"/>
      <c r="CB1172" s="87"/>
      <c r="CC1172" s="87"/>
      <c r="CD1172" s="87"/>
      <c r="CE1172" s="87"/>
      <c r="CF1172" s="87"/>
      <c r="CG1172" s="87"/>
      <c r="CH1172" s="87"/>
      <c r="CI1172" s="87"/>
      <c r="CJ1172" s="87"/>
      <c r="CK1172" s="87"/>
      <c r="CL1172" s="87"/>
      <c r="CN1172" s="87"/>
      <c r="CO1172" s="87"/>
      <c r="CP1172" s="87"/>
      <c r="CQ1172" s="87"/>
      <c r="CR1172" s="87"/>
      <c r="CS1172" s="87"/>
      <c r="CT1172" s="87"/>
      <c r="CU1172" s="87"/>
      <c r="CV1172" s="87"/>
      <c r="CW1172" s="87"/>
      <c r="CX1172" s="87"/>
      <c r="CZ1172" s="87"/>
      <c r="DA1172" s="87"/>
      <c r="DB1172" s="87"/>
      <c r="DC1172" s="87"/>
      <c r="DD1172" s="87"/>
      <c r="DE1172" s="87"/>
      <c r="DF1172" s="87"/>
      <c r="DG1172" s="87"/>
      <c r="DH1172" s="87"/>
      <c r="DI1172" s="87"/>
      <c r="DJ1172" s="87"/>
      <c r="DL1172" s="87"/>
      <c r="DM1172" s="87"/>
      <c r="DN1172" s="87"/>
      <c r="DO1172" s="87"/>
      <c r="DP1172" s="87"/>
      <c r="DQ1172" s="87"/>
      <c r="DR1172" s="87"/>
      <c r="DS1172" s="87"/>
      <c r="DT1172" s="87"/>
      <c r="DU1172" s="87"/>
      <c r="DV1172" s="87"/>
      <c r="DX1172" s="87"/>
      <c r="DY1172" s="87"/>
      <c r="DZ1172" s="87"/>
      <c r="EA1172" s="87"/>
      <c r="EB1172" s="87"/>
      <c r="EC1172" s="87"/>
      <c r="ED1172" s="87"/>
      <c r="EE1172" s="87"/>
      <c r="EF1172" s="87"/>
      <c r="EG1172" s="87"/>
      <c r="EH1172" s="87"/>
      <c r="EJ1172" s="87"/>
      <c r="EK1172" s="87"/>
      <c r="EL1172" s="87"/>
      <c r="EM1172" s="87"/>
      <c r="EN1172" s="87"/>
      <c r="EO1172" s="87"/>
      <c r="EP1172" s="87"/>
      <c r="EQ1172" s="87"/>
      <c r="ER1172" s="87"/>
      <c r="ES1172" s="87"/>
      <c r="ET1172" s="87"/>
      <c r="EV1172" s="87"/>
      <c r="EW1172" s="87"/>
      <c r="EX1172" s="87"/>
      <c r="EY1172" s="87"/>
      <c r="EZ1172" s="87"/>
      <c r="FA1172" s="87"/>
      <c r="FB1172" s="87"/>
      <c r="FC1172" s="87"/>
      <c r="FD1172" s="87"/>
      <c r="FE1172" s="87"/>
      <c r="FF1172" s="87"/>
      <c r="FH1172" s="87"/>
      <c r="FI1172" s="87"/>
      <c r="FJ1172" s="87"/>
      <c r="FK1172" s="87"/>
      <c r="FL1172" s="87"/>
      <c r="FM1172" s="87"/>
      <c r="FN1172" s="87"/>
      <c r="FO1172" s="87"/>
    </row>
    <row r="1173" spans="1:171" ht="12.6" customHeight="1" x14ac:dyDescent="0.2">
      <c r="B1173" s="50" t="s">
        <v>552</v>
      </c>
      <c r="C1173" s="50" t="s">
        <v>473</v>
      </c>
      <c r="D1173" s="163"/>
      <c r="E1173" s="163"/>
      <c r="F1173" s="163"/>
      <c r="G1173" s="51"/>
      <c r="H1173" s="51"/>
      <c r="I1173" s="51"/>
      <c r="J1173" s="51"/>
      <c r="K1173" s="54"/>
      <c r="L1173" s="54"/>
      <c r="M1173" s="54"/>
      <c r="N1173" s="54"/>
      <c r="O1173" s="54"/>
      <c r="P1173" s="54"/>
    </row>
    <row r="1174" spans="1:171" ht="12.6" customHeight="1" x14ac:dyDescent="0.2">
      <c r="B1174" s="61" t="s">
        <v>565</v>
      </c>
      <c r="C1174" s="61" t="s">
        <v>570</v>
      </c>
      <c r="D1174" s="63"/>
      <c r="E1174" s="63"/>
      <c r="F1174" s="311"/>
      <c r="G1174" s="301"/>
      <c r="H1174" s="301"/>
      <c r="I1174" s="301"/>
      <c r="J1174" s="301"/>
      <c r="K1174" s="302">
        <f t="shared" ref="K1174:P1174" si="1097">K1175*K1188</f>
        <v>0</v>
      </c>
      <c r="L1174" s="302">
        <f t="shared" si="1097"/>
        <v>0</v>
      </c>
      <c r="M1174" s="302">
        <f t="shared" si="1097"/>
        <v>0</v>
      </c>
      <c r="N1174" s="302">
        <f t="shared" si="1097"/>
        <v>0</v>
      </c>
      <c r="O1174" s="302">
        <f t="shared" si="1097"/>
        <v>900</v>
      </c>
      <c r="P1174" s="302">
        <f t="shared" si="1097"/>
        <v>5400</v>
      </c>
      <c r="R1174" s="37" t="s">
        <v>711</v>
      </c>
    </row>
    <row r="1175" spans="1:171" ht="12.6" customHeight="1" x14ac:dyDescent="0.2">
      <c r="B1175" s="59" t="s">
        <v>474</v>
      </c>
      <c r="C1175" s="61" t="s">
        <v>476</v>
      </c>
      <c r="D1175" s="57"/>
      <c r="E1175" s="57"/>
      <c r="F1175" s="57"/>
      <c r="G1175" s="57"/>
      <c r="H1175" s="57"/>
      <c r="I1175" s="57"/>
      <c r="J1175" s="288"/>
      <c r="K1175" s="303">
        <f>K455</f>
        <v>366.32761571235091</v>
      </c>
      <c r="L1175" s="303">
        <f>K1175*(1+L1176)</f>
        <v>373.65416802659792</v>
      </c>
      <c r="M1175" s="303">
        <f>L1175*(1+M1176)</f>
        <v>381.12725138712989</v>
      </c>
      <c r="N1175" s="303">
        <f>M1175*(1+N1176)</f>
        <v>388.74979641487249</v>
      </c>
      <c r="O1175" s="303">
        <v>600</v>
      </c>
      <c r="P1175" s="303">
        <v>600</v>
      </c>
      <c r="R1175" s="37" t="s">
        <v>712</v>
      </c>
    </row>
    <row r="1176" spans="1:171" ht="12.6" customHeight="1" x14ac:dyDescent="0.2">
      <c r="B1176" s="322" t="s">
        <v>227</v>
      </c>
      <c r="C1176" s="323" t="s">
        <v>477</v>
      </c>
      <c r="D1176" s="58"/>
      <c r="E1176" s="58"/>
      <c r="F1176" s="339"/>
      <c r="G1176" s="330"/>
      <c r="H1176" s="330"/>
      <c r="I1176" s="330"/>
      <c r="J1176" s="353"/>
      <c r="K1176" s="354">
        <v>0.05</v>
      </c>
      <c r="L1176" s="354">
        <v>0.02</v>
      </c>
      <c r="M1176" s="354">
        <v>0.02</v>
      </c>
      <c r="N1176" s="354">
        <v>0.02</v>
      </c>
      <c r="O1176" s="354">
        <v>0.02</v>
      </c>
      <c r="P1176" s="354">
        <v>0.02</v>
      </c>
      <c r="R1176" s="37" t="s">
        <v>713</v>
      </c>
    </row>
    <row r="1177" spans="1:171" ht="12.6" customHeight="1" x14ac:dyDescent="0.2">
      <c r="B1177" s="59"/>
      <c r="C1177" s="61"/>
      <c r="D1177" s="57"/>
      <c r="E1177" s="57"/>
      <c r="F1177" s="288"/>
      <c r="G1177" s="57"/>
      <c r="H1177" s="57"/>
      <c r="I1177" s="57"/>
      <c r="J1177" s="57"/>
      <c r="K1177" s="68"/>
      <c r="L1177" s="68"/>
      <c r="M1177" s="68"/>
      <c r="N1177" s="68"/>
      <c r="O1177" s="68"/>
      <c r="P1177" s="68"/>
    </row>
    <row r="1178" spans="1:171" ht="12.6" customHeight="1" x14ac:dyDescent="0.2">
      <c r="B1178" s="72" t="s">
        <v>303</v>
      </c>
      <c r="C1178" s="61" t="s">
        <v>4</v>
      </c>
      <c r="D1178" s="57"/>
      <c r="E1178" s="57"/>
      <c r="F1178" s="288"/>
      <c r="G1178" s="288"/>
      <c r="H1178" s="288"/>
      <c r="I1178" s="288"/>
      <c r="J1178" s="288"/>
      <c r="K1178" s="68">
        <f t="shared" ref="K1178:P1178" si="1098">K101</f>
        <v>0</v>
      </c>
      <c r="L1178" s="68">
        <f t="shared" si="1098"/>
        <v>0</v>
      </c>
      <c r="M1178" s="68">
        <f t="shared" si="1098"/>
        <v>0</v>
      </c>
      <c r="N1178" s="68">
        <f t="shared" si="1098"/>
        <v>0</v>
      </c>
      <c r="O1178" s="68">
        <f t="shared" si="1098"/>
        <v>30</v>
      </c>
      <c r="P1178" s="68">
        <f t="shared" si="1098"/>
        <v>30</v>
      </c>
    </row>
    <row r="1179" spans="1:171" ht="12.6" customHeight="1" x14ac:dyDescent="0.2">
      <c r="B1179" s="202" t="s">
        <v>555</v>
      </c>
      <c r="C1179" s="326" t="s">
        <v>4</v>
      </c>
      <c r="D1179" s="58"/>
      <c r="E1179" s="58"/>
      <c r="F1179" s="330"/>
      <c r="G1179" s="330"/>
      <c r="H1179" s="330"/>
      <c r="I1179" s="330"/>
      <c r="J1179" s="330"/>
      <c r="K1179" s="324">
        <v>0</v>
      </c>
      <c r="L1179" s="324">
        <v>0</v>
      </c>
      <c r="M1179" s="324">
        <v>0</v>
      </c>
      <c r="N1179" s="324">
        <v>0.2</v>
      </c>
      <c r="O1179" s="324">
        <v>0.05</v>
      </c>
      <c r="P1179" s="324">
        <v>0.3</v>
      </c>
    </row>
    <row r="1180" spans="1:171" ht="12.6" customHeight="1" x14ac:dyDescent="0.2">
      <c r="B1180" s="59"/>
      <c r="C1180" s="61"/>
      <c r="D1180" s="57"/>
      <c r="E1180" s="57"/>
      <c r="F1180" s="288"/>
      <c r="G1180" s="57"/>
      <c r="H1180" s="57"/>
      <c r="I1180" s="57"/>
      <c r="J1180" s="57"/>
      <c r="K1180" s="68"/>
      <c r="L1180" s="68"/>
      <c r="M1180" s="68"/>
      <c r="N1180" s="68"/>
      <c r="O1180" s="68"/>
      <c r="P1180" s="68"/>
    </row>
    <row r="1181" spans="1:171" ht="12.6" customHeight="1" x14ac:dyDescent="0.2">
      <c r="B1181" s="72" t="s">
        <v>489</v>
      </c>
      <c r="C1181" s="61"/>
      <c r="D1181" s="57"/>
      <c r="E1181" s="57"/>
      <c r="F1181" s="288"/>
      <c r="G1181" s="57"/>
      <c r="H1181" s="57"/>
      <c r="I1181" s="57"/>
      <c r="J1181" s="57"/>
      <c r="K1181" s="68"/>
      <c r="L1181" s="68"/>
      <c r="M1181" s="68"/>
      <c r="N1181" s="68"/>
      <c r="O1181" s="68"/>
      <c r="P1181" s="68"/>
    </row>
    <row r="1182" spans="1:171" ht="12.6" customHeight="1" x14ac:dyDescent="0.2">
      <c r="B1182" s="56" t="s">
        <v>279</v>
      </c>
      <c r="C1182" s="61"/>
      <c r="D1182" s="288"/>
      <c r="E1182" s="288"/>
      <c r="F1182" s="288"/>
      <c r="G1182" s="288"/>
      <c r="H1182" s="288"/>
      <c r="I1182" s="288"/>
      <c r="J1182" s="288"/>
      <c r="K1182" s="303">
        <v>0</v>
      </c>
      <c r="L1182" s="303">
        <f t="shared" ref="L1182:P1182" si="1099">K1182*(1+L1191)</f>
        <v>0</v>
      </c>
      <c r="M1182" s="303">
        <f t="shared" si="1099"/>
        <v>0</v>
      </c>
      <c r="N1182" s="303">
        <f t="shared" si="1099"/>
        <v>0</v>
      </c>
      <c r="O1182" s="303">
        <f t="shared" si="1099"/>
        <v>0</v>
      </c>
      <c r="P1182" s="303">
        <f t="shared" si="1099"/>
        <v>0</v>
      </c>
      <c r="R1182" s="37" t="s">
        <v>1889</v>
      </c>
    </row>
    <row r="1183" spans="1:171" ht="12.6" customHeight="1" x14ac:dyDescent="0.2">
      <c r="B1183" s="56" t="s">
        <v>280</v>
      </c>
      <c r="C1183" s="61"/>
      <c r="D1183" s="288"/>
      <c r="E1183" s="288"/>
      <c r="F1183" s="288"/>
      <c r="G1183" s="288"/>
      <c r="H1183" s="288"/>
      <c r="I1183" s="288"/>
      <c r="J1183" s="288"/>
      <c r="K1183" s="303">
        <v>0</v>
      </c>
      <c r="L1183" s="303">
        <f t="shared" ref="L1183:P1183" si="1100">K1183*(1+L1192)</f>
        <v>0</v>
      </c>
      <c r="M1183" s="303">
        <f t="shared" si="1100"/>
        <v>0</v>
      </c>
      <c r="N1183" s="303">
        <f t="shared" si="1100"/>
        <v>0</v>
      </c>
      <c r="O1183" s="303">
        <f t="shared" si="1100"/>
        <v>0</v>
      </c>
      <c r="P1183" s="303">
        <f t="shared" si="1100"/>
        <v>0</v>
      </c>
      <c r="R1183" s="37" t="s">
        <v>1890</v>
      </c>
    </row>
    <row r="1184" spans="1:171" ht="12.6" customHeight="1" x14ac:dyDescent="0.2">
      <c r="B1184" s="56" t="s">
        <v>281</v>
      </c>
      <c r="C1184" s="61"/>
      <c r="D1184" s="288"/>
      <c r="E1184" s="288"/>
      <c r="F1184" s="288"/>
      <c r="G1184" s="288"/>
      <c r="H1184" s="288"/>
      <c r="I1184" s="288"/>
      <c r="J1184" s="288"/>
      <c r="K1184" s="303">
        <v>0</v>
      </c>
      <c r="L1184" s="303">
        <f t="shared" ref="L1184:P1184" si="1101">K1184*(1+L1193)</f>
        <v>0</v>
      </c>
      <c r="M1184" s="303">
        <f t="shared" si="1101"/>
        <v>0</v>
      </c>
      <c r="N1184" s="303">
        <f t="shared" si="1101"/>
        <v>0</v>
      </c>
      <c r="O1184" s="303">
        <f t="shared" si="1101"/>
        <v>0</v>
      </c>
      <c r="P1184" s="303">
        <f t="shared" si="1101"/>
        <v>0</v>
      </c>
      <c r="R1184" s="37" t="s">
        <v>1895</v>
      </c>
    </row>
    <row r="1185" spans="2:18" ht="12.6" customHeight="1" x14ac:dyDescent="0.2">
      <c r="B1185" s="56" t="s">
        <v>282</v>
      </c>
      <c r="C1185" s="61"/>
      <c r="D1185" s="288"/>
      <c r="E1185" s="288"/>
      <c r="F1185" s="288"/>
      <c r="G1185" s="288"/>
      <c r="H1185" s="288"/>
      <c r="I1185" s="288"/>
      <c r="J1185" s="288"/>
      <c r="K1185" s="303">
        <v>0</v>
      </c>
      <c r="L1185" s="303">
        <f t="shared" ref="L1185:P1185" si="1102">K1185*(1+L1194)</f>
        <v>0</v>
      </c>
      <c r="M1185" s="303">
        <f t="shared" si="1102"/>
        <v>0</v>
      </c>
      <c r="N1185" s="303">
        <f t="shared" si="1102"/>
        <v>0</v>
      </c>
      <c r="O1185" s="303">
        <f t="shared" si="1102"/>
        <v>0</v>
      </c>
      <c r="P1185" s="303">
        <f t="shared" si="1102"/>
        <v>0</v>
      </c>
      <c r="R1185" s="37" t="s">
        <v>1891</v>
      </c>
    </row>
    <row r="1186" spans="2:18" ht="12.6" customHeight="1" x14ac:dyDescent="0.2">
      <c r="B1186" s="56" t="s">
        <v>283</v>
      </c>
      <c r="C1186" s="61"/>
      <c r="D1186" s="288"/>
      <c r="E1186" s="288"/>
      <c r="F1186" s="288"/>
      <c r="G1186" s="288"/>
      <c r="H1186" s="288"/>
      <c r="I1186" s="288"/>
      <c r="J1186" s="288"/>
      <c r="K1186" s="303">
        <v>0</v>
      </c>
      <c r="L1186" s="303">
        <f t="shared" ref="L1186:P1186" si="1103">K1186*(1+L1195)</f>
        <v>0</v>
      </c>
      <c r="M1186" s="303">
        <f t="shared" si="1103"/>
        <v>0</v>
      </c>
      <c r="N1186" s="303">
        <f t="shared" si="1103"/>
        <v>0</v>
      </c>
      <c r="O1186" s="303">
        <f t="shared" si="1103"/>
        <v>0</v>
      </c>
      <c r="P1186" s="303">
        <f t="shared" si="1103"/>
        <v>0</v>
      </c>
      <c r="R1186" s="37" t="s">
        <v>1892</v>
      </c>
    </row>
    <row r="1187" spans="2:18" ht="12.6" customHeight="1" x14ac:dyDescent="0.2">
      <c r="B1187" s="56" t="s">
        <v>284</v>
      </c>
      <c r="C1187" s="61"/>
      <c r="D1187" s="288"/>
      <c r="E1187" s="288"/>
      <c r="F1187" s="288"/>
      <c r="G1187" s="288"/>
      <c r="H1187" s="288"/>
      <c r="I1187" s="288"/>
      <c r="J1187" s="288"/>
      <c r="K1187" s="303">
        <v>0</v>
      </c>
      <c r="L1187" s="303">
        <f t="shared" ref="L1187:P1187" si="1104">L1178*L1179</f>
        <v>0</v>
      </c>
      <c r="M1187" s="303">
        <f t="shared" si="1104"/>
        <v>0</v>
      </c>
      <c r="N1187" s="303">
        <f t="shared" si="1104"/>
        <v>0</v>
      </c>
      <c r="O1187" s="303">
        <f t="shared" si="1104"/>
        <v>1.5</v>
      </c>
      <c r="P1187" s="303">
        <f t="shared" si="1104"/>
        <v>9</v>
      </c>
      <c r="R1187" s="37" t="s">
        <v>1893</v>
      </c>
    </row>
    <row r="1188" spans="2:18" ht="12.6" customHeight="1" x14ac:dyDescent="0.2">
      <c r="B1188" s="72" t="s">
        <v>551</v>
      </c>
      <c r="C1188" s="95"/>
      <c r="D1188" s="63"/>
      <c r="E1188" s="63"/>
      <c r="F1188" s="63"/>
      <c r="G1188" s="63"/>
      <c r="H1188" s="63"/>
      <c r="I1188" s="63"/>
      <c r="J1188" s="63"/>
      <c r="K1188" s="64">
        <f t="shared" ref="K1188:P1188" si="1105">SUM(K1182:K1187)</f>
        <v>0</v>
      </c>
      <c r="L1188" s="64">
        <f t="shared" si="1105"/>
        <v>0</v>
      </c>
      <c r="M1188" s="64">
        <f t="shared" si="1105"/>
        <v>0</v>
      </c>
      <c r="N1188" s="64">
        <f t="shared" si="1105"/>
        <v>0</v>
      </c>
      <c r="O1188" s="64">
        <f t="shared" si="1105"/>
        <v>1.5</v>
      </c>
      <c r="P1188" s="64">
        <f t="shared" si="1105"/>
        <v>9</v>
      </c>
      <c r="R1188" s="37" t="s">
        <v>1894</v>
      </c>
    </row>
    <row r="1189" spans="2:18" ht="12.6" customHeight="1" x14ac:dyDescent="0.2">
      <c r="B1189" s="72"/>
      <c r="C1189" s="95"/>
      <c r="D1189" s="63"/>
      <c r="E1189" s="63"/>
      <c r="F1189" s="63"/>
      <c r="G1189" s="63"/>
      <c r="H1189" s="63"/>
      <c r="I1189" s="63"/>
      <c r="J1189" s="63"/>
      <c r="K1189" s="64"/>
      <c r="L1189" s="64"/>
      <c r="M1189" s="64"/>
      <c r="N1189" s="64"/>
      <c r="O1189" s="64"/>
      <c r="P1189" s="64"/>
    </row>
    <row r="1190" spans="2:18" ht="12.6" customHeight="1" x14ac:dyDescent="0.2">
      <c r="B1190" s="116" t="s">
        <v>227</v>
      </c>
      <c r="C1190" s="61"/>
      <c r="D1190" s="63"/>
      <c r="E1190" s="63"/>
      <c r="F1190" s="63"/>
      <c r="G1190" s="63"/>
      <c r="H1190" s="63"/>
      <c r="I1190" s="63"/>
      <c r="J1190" s="63"/>
      <c r="K1190" s="68"/>
      <c r="L1190" s="68"/>
      <c r="M1190" s="68"/>
      <c r="N1190" s="68"/>
      <c r="O1190" s="68"/>
      <c r="P1190" s="68"/>
      <c r="R1190" s="37" t="s">
        <v>1896</v>
      </c>
    </row>
    <row r="1191" spans="2:18" ht="12.6" customHeight="1" x14ac:dyDescent="0.2">
      <c r="B1191" s="322" t="s">
        <v>279</v>
      </c>
      <c r="C1191" s="355"/>
      <c r="D1191" s="113"/>
      <c r="E1191" s="113"/>
      <c r="F1191" s="113"/>
      <c r="G1191" s="113"/>
      <c r="H1191" s="113"/>
      <c r="I1191" s="113"/>
      <c r="J1191" s="113"/>
      <c r="K1191" s="356"/>
      <c r="L1191" s="356">
        <v>0</v>
      </c>
      <c r="M1191" s="356">
        <v>0</v>
      </c>
      <c r="N1191" s="356">
        <v>0</v>
      </c>
      <c r="O1191" s="356">
        <v>0</v>
      </c>
      <c r="P1191" s="356">
        <v>0</v>
      </c>
      <c r="R1191" s="37" t="s">
        <v>1897</v>
      </c>
    </row>
    <row r="1192" spans="2:18" ht="12.6" customHeight="1" x14ac:dyDescent="0.2">
      <c r="B1192" s="322" t="s">
        <v>280</v>
      </c>
      <c r="C1192" s="355"/>
      <c r="D1192" s="113"/>
      <c r="E1192" s="113"/>
      <c r="F1192" s="113"/>
      <c r="G1192" s="113"/>
      <c r="H1192" s="113"/>
      <c r="I1192" s="113"/>
      <c r="J1192" s="113"/>
      <c r="K1192" s="356"/>
      <c r="L1192" s="356">
        <v>0.05</v>
      </c>
      <c r="M1192" s="356">
        <v>0.05</v>
      </c>
      <c r="N1192" s="356">
        <v>0.05</v>
      </c>
      <c r="O1192" s="356">
        <v>0.05</v>
      </c>
      <c r="P1192" s="356">
        <v>0.05</v>
      </c>
      <c r="R1192" s="37" t="s">
        <v>1898</v>
      </c>
    </row>
    <row r="1193" spans="2:18" ht="12.6" customHeight="1" x14ac:dyDescent="0.2">
      <c r="B1193" s="322" t="s">
        <v>281</v>
      </c>
      <c r="C1193" s="355"/>
      <c r="D1193" s="113"/>
      <c r="E1193" s="113"/>
      <c r="F1193" s="113"/>
      <c r="G1193" s="113"/>
      <c r="H1193" s="113"/>
      <c r="I1193" s="113"/>
      <c r="J1193" s="113"/>
      <c r="K1193" s="356"/>
      <c r="L1193" s="356">
        <v>0</v>
      </c>
      <c r="M1193" s="356">
        <v>0</v>
      </c>
      <c r="N1193" s="356">
        <v>0</v>
      </c>
      <c r="O1193" s="356">
        <v>0</v>
      </c>
      <c r="P1193" s="356">
        <v>0</v>
      </c>
      <c r="R1193" s="37" t="s">
        <v>1899</v>
      </c>
    </row>
    <row r="1194" spans="2:18" ht="12.6" customHeight="1" x14ac:dyDescent="0.2">
      <c r="B1194" s="322" t="s">
        <v>282</v>
      </c>
      <c r="C1194" s="355"/>
      <c r="D1194" s="113"/>
      <c r="E1194" s="113"/>
      <c r="F1194" s="113"/>
      <c r="G1194" s="113"/>
      <c r="H1194" s="113"/>
      <c r="I1194" s="113"/>
      <c r="J1194" s="113"/>
      <c r="K1194" s="356"/>
      <c r="L1194" s="356">
        <v>0</v>
      </c>
      <c r="M1194" s="356">
        <v>0</v>
      </c>
      <c r="N1194" s="356">
        <v>0</v>
      </c>
      <c r="O1194" s="356">
        <v>0</v>
      </c>
      <c r="P1194" s="356">
        <v>0</v>
      </c>
      <c r="R1194" s="37" t="s">
        <v>1900</v>
      </c>
    </row>
    <row r="1195" spans="2:18" ht="12.6" customHeight="1" x14ac:dyDescent="0.2">
      <c r="B1195" s="322" t="s">
        <v>283</v>
      </c>
      <c r="C1195" s="355"/>
      <c r="D1195" s="113"/>
      <c r="E1195" s="113"/>
      <c r="F1195" s="113"/>
      <c r="G1195" s="113"/>
      <c r="H1195" s="113"/>
      <c r="I1195" s="113"/>
      <c r="J1195" s="113"/>
      <c r="K1195" s="356"/>
      <c r="L1195" s="356">
        <v>0</v>
      </c>
      <c r="M1195" s="356">
        <v>0</v>
      </c>
      <c r="N1195" s="356">
        <v>0</v>
      </c>
      <c r="O1195" s="356">
        <v>0</v>
      </c>
      <c r="P1195" s="356">
        <v>0</v>
      </c>
    </row>
    <row r="1196" spans="2:18" ht="12.6" customHeight="1" x14ac:dyDescent="0.2">
      <c r="B1196" s="322" t="s">
        <v>284</v>
      </c>
      <c r="C1196" s="355"/>
      <c r="D1196" s="113"/>
      <c r="E1196" s="113"/>
      <c r="F1196" s="113"/>
      <c r="G1196" s="113"/>
      <c r="H1196" s="113"/>
      <c r="I1196" s="113"/>
      <c r="J1196" s="113"/>
      <c r="K1196" s="356"/>
      <c r="L1196" s="356">
        <v>0</v>
      </c>
      <c r="M1196" s="356">
        <v>0</v>
      </c>
      <c r="N1196" s="356">
        <v>0</v>
      </c>
      <c r="O1196" s="356">
        <v>0</v>
      </c>
      <c r="P1196" s="356">
        <v>0</v>
      </c>
    </row>
    <row r="1197" spans="2:18" ht="12.6" customHeight="1" x14ac:dyDescent="0.2">
      <c r="B1197" s="331" t="s">
        <v>551</v>
      </c>
      <c r="C1197" s="358"/>
      <c r="D1197" s="117"/>
      <c r="E1197" s="117"/>
      <c r="F1197" s="117"/>
      <c r="G1197" s="117"/>
      <c r="H1197" s="117"/>
      <c r="I1197" s="117"/>
      <c r="J1197" s="117"/>
      <c r="K1197" s="204"/>
      <c r="L1197" s="204">
        <f t="shared" ref="L1197:P1197" si="1106">IFERROR(L1188/K1188-1,0)</f>
        <v>0</v>
      </c>
      <c r="M1197" s="204">
        <f t="shared" si="1106"/>
        <v>0</v>
      </c>
      <c r="N1197" s="204">
        <f t="shared" si="1106"/>
        <v>0</v>
      </c>
      <c r="O1197" s="204">
        <f t="shared" si="1106"/>
        <v>0</v>
      </c>
      <c r="P1197" s="204">
        <f t="shared" si="1106"/>
        <v>5</v>
      </c>
    </row>
    <row r="1198" spans="2:18" ht="12.6" customHeight="1" x14ac:dyDescent="0.2">
      <c r="B1198" s="201"/>
      <c r="C1198" s="326"/>
      <c r="D1198" s="335"/>
      <c r="E1198" s="335"/>
      <c r="F1198" s="335"/>
      <c r="G1198" s="335"/>
      <c r="H1198" s="335"/>
      <c r="I1198" s="335"/>
      <c r="J1198" s="335"/>
      <c r="K1198" s="357"/>
      <c r="L1198" s="357"/>
      <c r="M1198" s="357"/>
      <c r="N1198" s="357"/>
      <c r="O1198" s="357"/>
      <c r="P1198" s="357"/>
    </row>
    <row r="1199" spans="2:18" ht="12.6" customHeight="1" x14ac:dyDescent="0.2">
      <c r="B1199" s="331" t="s">
        <v>287</v>
      </c>
      <c r="C1199" s="326"/>
      <c r="D1199" s="335"/>
      <c r="E1199" s="335"/>
      <c r="F1199" s="335"/>
      <c r="G1199" s="335"/>
      <c r="H1199" s="335"/>
      <c r="I1199" s="335"/>
      <c r="J1199" s="335"/>
      <c r="K1199" s="357"/>
      <c r="L1199" s="357"/>
      <c r="M1199" s="357"/>
      <c r="N1199" s="357"/>
      <c r="O1199" s="357"/>
      <c r="P1199" s="357"/>
    </row>
    <row r="1200" spans="2:18" ht="12.6" customHeight="1" x14ac:dyDescent="0.2">
      <c r="B1200" s="322" t="s">
        <v>279</v>
      </c>
      <c r="C1200" s="326"/>
      <c r="D1200" s="113"/>
      <c r="E1200" s="113"/>
      <c r="F1200" s="113"/>
      <c r="G1200" s="113"/>
      <c r="H1200" s="113"/>
      <c r="I1200" s="113"/>
      <c r="J1200" s="113"/>
      <c r="K1200" s="197">
        <f t="shared" ref="K1200:P1200" si="1107">K1182/K$894</f>
        <v>0</v>
      </c>
      <c r="L1200" s="197">
        <f t="shared" si="1107"/>
        <v>0</v>
      </c>
      <c r="M1200" s="197">
        <f t="shared" si="1107"/>
        <v>0</v>
      </c>
      <c r="N1200" s="197">
        <f t="shared" si="1107"/>
        <v>0</v>
      </c>
      <c r="O1200" s="197">
        <f t="shared" si="1107"/>
        <v>0</v>
      </c>
      <c r="P1200" s="197">
        <f t="shared" si="1107"/>
        <v>0</v>
      </c>
    </row>
    <row r="1201" spans="2:16" ht="12.6" customHeight="1" x14ac:dyDescent="0.2">
      <c r="B1201" s="322" t="s">
        <v>280</v>
      </c>
      <c r="C1201" s="326"/>
      <c r="D1201" s="113"/>
      <c r="E1201" s="113"/>
      <c r="F1201" s="113"/>
      <c r="G1201" s="113"/>
      <c r="H1201" s="113"/>
      <c r="I1201" s="113"/>
      <c r="J1201" s="113"/>
      <c r="K1201" s="197">
        <f t="shared" ref="K1201:P1206" si="1108">K1183/K$894</f>
        <v>0</v>
      </c>
      <c r="L1201" s="197">
        <f t="shared" si="1108"/>
        <v>0</v>
      </c>
      <c r="M1201" s="197">
        <f t="shared" si="1108"/>
        <v>0</v>
      </c>
      <c r="N1201" s="197">
        <f t="shared" si="1108"/>
        <v>0</v>
      </c>
      <c r="O1201" s="197">
        <f t="shared" si="1108"/>
        <v>0</v>
      </c>
      <c r="P1201" s="197">
        <f t="shared" si="1108"/>
        <v>0</v>
      </c>
    </row>
    <row r="1202" spans="2:16" ht="12.6" customHeight="1" x14ac:dyDescent="0.2">
      <c r="B1202" s="322" t="s">
        <v>281</v>
      </c>
      <c r="C1202" s="326"/>
      <c r="D1202" s="113"/>
      <c r="E1202" s="113"/>
      <c r="F1202" s="113"/>
      <c r="G1202" s="113"/>
      <c r="H1202" s="113"/>
      <c r="I1202" s="113"/>
      <c r="J1202" s="113"/>
      <c r="K1202" s="197">
        <f t="shared" si="1108"/>
        <v>0</v>
      </c>
      <c r="L1202" s="197">
        <f t="shared" si="1108"/>
        <v>0</v>
      </c>
      <c r="M1202" s="197">
        <f t="shared" si="1108"/>
        <v>0</v>
      </c>
      <c r="N1202" s="197">
        <f t="shared" si="1108"/>
        <v>0</v>
      </c>
      <c r="O1202" s="197">
        <f t="shared" si="1108"/>
        <v>0</v>
      </c>
      <c r="P1202" s="197">
        <f t="shared" si="1108"/>
        <v>0</v>
      </c>
    </row>
    <row r="1203" spans="2:16" ht="12.6" customHeight="1" x14ac:dyDescent="0.2">
      <c r="B1203" s="322" t="s">
        <v>282</v>
      </c>
      <c r="C1203" s="326"/>
      <c r="D1203" s="113"/>
      <c r="E1203" s="113"/>
      <c r="F1203" s="113"/>
      <c r="G1203" s="113"/>
      <c r="H1203" s="113"/>
      <c r="I1203" s="113"/>
      <c r="J1203" s="113"/>
      <c r="K1203" s="197">
        <f t="shared" si="1108"/>
        <v>0</v>
      </c>
      <c r="L1203" s="197">
        <f t="shared" si="1108"/>
        <v>0</v>
      </c>
      <c r="M1203" s="197">
        <f t="shared" si="1108"/>
        <v>0</v>
      </c>
      <c r="N1203" s="197">
        <f t="shared" si="1108"/>
        <v>0</v>
      </c>
      <c r="O1203" s="197">
        <f t="shared" si="1108"/>
        <v>0</v>
      </c>
      <c r="P1203" s="197">
        <f t="shared" si="1108"/>
        <v>0</v>
      </c>
    </row>
    <row r="1204" spans="2:16" ht="12.6" customHeight="1" x14ac:dyDescent="0.2">
      <c r="B1204" s="322" t="s">
        <v>283</v>
      </c>
      <c r="C1204" s="326"/>
      <c r="D1204" s="113"/>
      <c r="E1204" s="113"/>
      <c r="F1204" s="113"/>
      <c r="G1204" s="113"/>
      <c r="H1204" s="113"/>
      <c r="I1204" s="113"/>
      <c r="J1204" s="113"/>
      <c r="K1204" s="197">
        <f t="shared" si="1108"/>
        <v>0</v>
      </c>
      <c r="L1204" s="197">
        <f t="shared" si="1108"/>
        <v>0</v>
      </c>
      <c r="M1204" s="197">
        <f t="shared" si="1108"/>
        <v>0</v>
      </c>
      <c r="N1204" s="197">
        <f t="shared" si="1108"/>
        <v>0</v>
      </c>
      <c r="O1204" s="197">
        <f t="shared" si="1108"/>
        <v>0</v>
      </c>
      <c r="P1204" s="197">
        <f t="shared" si="1108"/>
        <v>0</v>
      </c>
    </row>
    <row r="1205" spans="2:16" ht="12.6" customHeight="1" x14ac:dyDescent="0.2">
      <c r="B1205" s="322" t="s">
        <v>284</v>
      </c>
      <c r="C1205" s="326"/>
      <c r="D1205" s="113"/>
      <c r="E1205" s="113"/>
      <c r="F1205" s="113"/>
      <c r="G1205" s="113"/>
      <c r="H1205" s="113"/>
      <c r="I1205" s="113"/>
      <c r="J1205" s="113"/>
      <c r="K1205" s="197">
        <f t="shared" si="1108"/>
        <v>0</v>
      </c>
      <c r="L1205" s="197">
        <f t="shared" si="1108"/>
        <v>0</v>
      </c>
      <c r="M1205" s="197">
        <f t="shared" si="1108"/>
        <v>0</v>
      </c>
      <c r="N1205" s="197">
        <f t="shared" si="1108"/>
        <v>0</v>
      </c>
      <c r="O1205" s="197">
        <f t="shared" si="1108"/>
        <v>0.4126541779172242</v>
      </c>
      <c r="P1205" s="197">
        <f t="shared" si="1108"/>
        <v>2.3357783655691935</v>
      </c>
    </row>
    <row r="1206" spans="2:16" ht="12.6" customHeight="1" x14ac:dyDescent="0.2">
      <c r="B1206" s="359" t="s">
        <v>551</v>
      </c>
      <c r="C1206" s="327"/>
      <c r="D1206" s="117"/>
      <c r="E1206" s="117"/>
      <c r="F1206" s="117"/>
      <c r="G1206" s="117"/>
      <c r="H1206" s="117"/>
      <c r="I1206" s="117"/>
      <c r="J1206" s="117"/>
      <c r="K1206" s="204">
        <f t="shared" si="1108"/>
        <v>0</v>
      </c>
      <c r="L1206" s="204">
        <f t="shared" si="1108"/>
        <v>0</v>
      </c>
      <c r="M1206" s="204">
        <f t="shared" si="1108"/>
        <v>0</v>
      </c>
      <c r="N1206" s="204">
        <f t="shared" si="1108"/>
        <v>0</v>
      </c>
      <c r="O1206" s="204">
        <f t="shared" si="1108"/>
        <v>0.4126541779172242</v>
      </c>
      <c r="P1206" s="204">
        <f t="shared" si="1108"/>
        <v>2.3357783655691935</v>
      </c>
    </row>
    <row r="1207" spans="2:16" ht="12.6" customHeight="1" x14ac:dyDescent="0.2">
      <c r="B1207" s="56"/>
      <c r="C1207" s="61"/>
      <c r="D1207" s="57"/>
      <c r="E1207" s="57"/>
      <c r="F1207" s="57"/>
      <c r="G1207" s="57"/>
      <c r="H1207" s="57"/>
      <c r="I1207" s="57"/>
      <c r="J1207" s="57"/>
      <c r="K1207" s="68"/>
      <c r="L1207" s="68"/>
      <c r="M1207" s="68"/>
      <c r="N1207" s="68"/>
      <c r="O1207" s="68"/>
      <c r="P1207" s="68"/>
    </row>
    <row r="1208" spans="2:16" ht="12.6" customHeight="1" x14ac:dyDescent="0.2">
      <c r="B1208" s="56" t="s">
        <v>563</v>
      </c>
      <c r="C1208" s="61" t="s">
        <v>566</v>
      </c>
      <c r="D1208" s="57"/>
      <c r="E1208" s="57"/>
      <c r="F1208" s="57"/>
      <c r="G1208" s="57"/>
      <c r="H1208" s="57"/>
      <c r="I1208" s="57"/>
      <c r="J1208" s="57"/>
      <c r="K1208" s="68">
        <f t="shared" ref="K1208:P1208" si="1109">K1210-K1209</f>
        <v>0</v>
      </c>
      <c r="L1208" s="68">
        <f t="shared" si="1109"/>
        <v>0</v>
      </c>
      <c r="M1208" s="68">
        <f t="shared" si="1109"/>
        <v>0</v>
      </c>
      <c r="N1208" s="68">
        <f t="shared" si="1109"/>
        <v>0</v>
      </c>
      <c r="O1208" s="68">
        <f t="shared" si="1109"/>
        <v>0</v>
      </c>
      <c r="P1208" s="68">
        <f t="shared" si="1109"/>
        <v>0</v>
      </c>
    </row>
    <row r="1209" spans="2:16" ht="12.6" customHeight="1" x14ac:dyDescent="0.2">
      <c r="B1209" s="56" t="s">
        <v>299</v>
      </c>
      <c r="C1209" s="61" t="s">
        <v>566</v>
      </c>
      <c r="D1209" s="57"/>
      <c r="E1209" s="57"/>
      <c r="F1209" s="57"/>
      <c r="G1209" s="57"/>
      <c r="H1209" s="57"/>
      <c r="I1209" s="57"/>
      <c r="J1209" s="57"/>
      <c r="K1209" s="68">
        <f t="shared" ref="K1209:P1209" si="1110">K1210*K1219</f>
        <v>0</v>
      </c>
      <c r="L1209" s="68">
        <f t="shared" si="1110"/>
        <v>0</v>
      </c>
      <c r="M1209" s="68">
        <f t="shared" si="1110"/>
        <v>0</v>
      </c>
      <c r="N1209" s="68">
        <f t="shared" si="1110"/>
        <v>0</v>
      </c>
      <c r="O1209" s="68">
        <f t="shared" si="1110"/>
        <v>1.5</v>
      </c>
      <c r="P1209" s="68">
        <f t="shared" si="1110"/>
        <v>9</v>
      </c>
    </row>
    <row r="1210" spans="2:16" ht="12.6" customHeight="1" x14ac:dyDescent="0.2">
      <c r="B1210" s="72" t="s">
        <v>551</v>
      </c>
      <c r="C1210" s="61"/>
      <c r="D1210" s="63"/>
      <c r="E1210" s="63"/>
      <c r="F1210" s="63"/>
      <c r="G1210" s="63"/>
      <c r="H1210" s="63"/>
      <c r="I1210" s="63"/>
      <c r="J1210" s="63"/>
      <c r="K1210" s="64">
        <f t="shared" ref="K1210:P1210" si="1111">K1188</f>
        <v>0</v>
      </c>
      <c r="L1210" s="64">
        <f t="shared" si="1111"/>
        <v>0</v>
      </c>
      <c r="M1210" s="64">
        <f t="shared" si="1111"/>
        <v>0</v>
      </c>
      <c r="N1210" s="64">
        <f t="shared" si="1111"/>
        <v>0</v>
      </c>
      <c r="O1210" s="64">
        <f t="shared" si="1111"/>
        <v>1.5</v>
      </c>
      <c r="P1210" s="64">
        <f t="shared" si="1111"/>
        <v>9</v>
      </c>
    </row>
    <row r="1211" spans="2:16" ht="12.6" customHeight="1" x14ac:dyDescent="0.2">
      <c r="B1211" s="72"/>
      <c r="C1211" s="61"/>
      <c r="D1211" s="63"/>
      <c r="E1211" s="63"/>
      <c r="F1211" s="63"/>
      <c r="G1211" s="63"/>
      <c r="H1211" s="63"/>
      <c r="I1211" s="63"/>
      <c r="J1211" s="63"/>
      <c r="K1211" s="64"/>
      <c r="L1211" s="64"/>
      <c r="M1211" s="64"/>
      <c r="N1211" s="64"/>
      <c r="O1211" s="64"/>
      <c r="P1211" s="64"/>
    </row>
    <row r="1212" spans="2:16" ht="12.6" customHeight="1" x14ac:dyDescent="0.2">
      <c r="B1212" s="331" t="s">
        <v>227</v>
      </c>
      <c r="C1212" s="326"/>
      <c r="D1212" s="335"/>
      <c r="E1212" s="335"/>
      <c r="F1212" s="335"/>
      <c r="G1212" s="335"/>
      <c r="H1212" s="335"/>
      <c r="I1212" s="335"/>
      <c r="J1212" s="335"/>
      <c r="K1212" s="336"/>
      <c r="L1212" s="336"/>
      <c r="M1212" s="336"/>
      <c r="N1212" s="336"/>
      <c r="O1212" s="336"/>
      <c r="P1212" s="336"/>
    </row>
    <row r="1213" spans="2:16" ht="12.6" customHeight="1" x14ac:dyDescent="0.2">
      <c r="B1213" s="322" t="s">
        <v>563</v>
      </c>
      <c r="C1213" s="326"/>
      <c r="D1213" s="113"/>
      <c r="E1213" s="113"/>
      <c r="F1213" s="113"/>
      <c r="G1213" s="113"/>
      <c r="H1213" s="113"/>
      <c r="I1213" s="113"/>
      <c r="J1213" s="113"/>
      <c r="K1213" s="197" t="str">
        <f t="shared" ref="K1213:P1213" si="1112">IFERROR(K1208/J1208-1,"--")</f>
        <v>--</v>
      </c>
      <c r="L1213" s="197" t="str">
        <f t="shared" si="1112"/>
        <v>--</v>
      </c>
      <c r="M1213" s="197" t="str">
        <f t="shared" si="1112"/>
        <v>--</v>
      </c>
      <c r="N1213" s="197" t="str">
        <f t="shared" si="1112"/>
        <v>--</v>
      </c>
      <c r="O1213" s="197" t="str">
        <f t="shared" si="1112"/>
        <v>--</v>
      </c>
      <c r="P1213" s="197" t="str">
        <f t="shared" si="1112"/>
        <v>--</v>
      </c>
    </row>
    <row r="1214" spans="2:16" ht="12.6" customHeight="1" x14ac:dyDescent="0.2">
      <c r="B1214" s="322" t="s">
        <v>299</v>
      </c>
      <c r="C1214" s="326"/>
      <c r="D1214" s="113"/>
      <c r="E1214" s="113"/>
      <c r="F1214" s="113"/>
      <c r="G1214" s="113"/>
      <c r="H1214" s="113"/>
      <c r="I1214" s="113"/>
      <c r="J1214" s="113"/>
      <c r="K1214" s="197" t="str">
        <f t="shared" ref="K1214:P1214" si="1113">IFERROR(K1209/J1209-1,"--")</f>
        <v>--</v>
      </c>
      <c r="L1214" s="197" t="str">
        <f t="shared" si="1113"/>
        <v>--</v>
      </c>
      <c r="M1214" s="197" t="str">
        <f t="shared" si="1113"/>
        <v>--</v>
      </c>
      <c r="N1214" s="197" t="str">
        <f t="shared" si="1113"/>
        <v>--</v>
      </c>
      <c r="O1214" s="197" t="str">
        <f t="shared" si="1113"/>
        <v>--</v>
      </c>
      <c r="P1214" s="197">
        <f t="shared" si="1113"/>
        <v>5</v>
      </c>
    </row>
    <row r="1215" spans="2:16" ht="12.6" customHeight="1" x14ac:dyDescent="0.2">
      <c r="B1215" s="331" t="s">
        <v>551</v>
      </c>
      <c r="C1215" s="327"/>
      <c r="D1215" s="117"/>
      <c r="E1215" s="117"/>
      <c r="F1215" s="117"/>
      <c r="G1215" s="117"/>
      <c r="H1215" s="117"/>
      <c r="I1215" s="117"/>
      <c r="J1215" s="117"/>
      <c r="K1215" s="204" t="str">
        <f t="shared" ref="K1215:P1215" si="1114">IFERROR(K1210/J1210-1,"--")</f>
        <v>--</v>
      </c>
      <c r="L1215" s="204" t="str">
        <f t="shared" si="1114"/>
        <v>--</v>
      </c>
      <c r="M1215" s="204" t="str">
        <f t="shared" si="1114"/>
        <v>--</v>
      </c>
      <c r="N1215" s="204" t="str">
        <f t="shared" si="1114"/>
        <v>--</v>
      </c>
      <c r="O1215" s="204" t="str">
        <f t="shared" si="1114"/>
        <v>--</v>
      </c>
      <c r="P1215" s="204">
        <f t="shared" si="1114"/>
        <v>5</v>
      </c>
    </row>
    <row r="1216" spans="2:16" ht="12.6" customHeight="1" x14ac:dyDescent="0.2">
      <c r="B1216" s="331"/>
      <c r="C1216" s="326"/>
      <c r="D1216" s="335"/>
      <c r="E1216" s="335"/>
      <c r="F1216" s="335"/>
      <c r="G1216" s="335"/>
      <c r="H1216" s="335"/>
      <c r="I1216" s="335"/>
      <c r="J1216" s="335"/>
      <c r="K1216" s="336"/>
      <c r="L1216" s="336"/>
      <c r="M1216" s="336"/>
      <c r="N1216" s="336"/>
      <c r="O1216" s="336"/>
      <c r="P1216" s="336"/>
    </row>
    <row r="1217" spans="1:171" ht="12.6" customHeight="1" x14ac:dyDescent="0.2">
      <c r="B1217" s="331" t="s">
        <v>287</v>
      </c>
      <c r="C1217" s="326"/>
      <c r="D1217" s="335"/>
      <c r="E1217" s="335"/>
      <c r="F1217" s="335"/>
      <c r="G1217" s="335"/>
      <c r="H1217" s="335"/>
      <c r="I1217" s="335"/>
      <c r="J1217" s="335"/>
      <c r="K1217" s="336"/>
      <c r="L1217" s="336"/>
      <c r="M1217" s="336"/>
      <c r="N1217" s="336"/>
      <c r="O1217" s="336"/>
      <c r="P1217" s="336"/>
    </row>
    <row r="1218" spans="1:171" ht="12.6" customHeight="1" x14ac:dyDescent="0.2">
      <c r="B1218" s="322" t="s">
        <v>563</v>
      </c>
      <c r="C1218" s="326"/>
      <c r="D1218" s="113"/>
      <c r="E1218" s="113"/>
      <c r="F1218" s="113"/>
      <c r="G1218" s="113"/>
      <c r="H1218" s="113"/>
      <c r="I1218" s="113"/>
      <c r="J1218" s="113"/>
      <c r="K1218" s="197">
        <f t="shared" ref="K1218:P1218" si="1115">1-K1219</f>
        <v>0</v>
      </c>
      <c r="L1218" s="197">
        <f t="shared" si="1115"/>
        <v>0</v>
      </c>
      <c r="M1218" s="197">
        <f t="shared" si="1115"/>
        <v>0</v>
      </c>
      <c r="N1218" s="197">
        <f t="shared" si="1115"/>
        <v>0</v>
      </c>
      <c r="O1218" s="197">
        <f t="shared" si="1115"/>
        <v>0</v>
      </c>
      <c r="P1218" s="197">
        <f t="shared" si="1115"/>
        <v>0</v>
      </c>
    </row>
    <row r="1219" spans="1:171" ht="12.6" customHeight="1" x14ac:dyDescent="0.2">
      <c r="B1219" s="359" t="s">
        <v>299</v>
      </c>
      <c r="C1219" s="327"/>
      <c r="D1219" s="117"/>
      <c r="E1219" s="117"/>
      <c r="F1219" s="117"/>
      <c r="G1219" s="117"/>
      <c r="H1219" s="117"/>
      <c r="I1219" s="117"/>
      <c r="J1219" s="117"/>
      <c r="K1219" s="360">
        <v>1</v>
      </c>
      <c r="L1219" s="360">
        <f>K1219</f>
        <v>1</v>
      </c>
      <c r="M1219" s="360">
        <f>L1219</f>
        <v>1</v>
      </c>
      <c r="N1219" s="360">
        <f>M1219</f>
        <v>1</v>
      </c>
      <c r="O1219" s="360">
        <f>N1219</f>
        <v>1</v>
      </c>
      <c r="P1219" s="360">
        <f>O1219</f>
        <v>1</v>
      </c>
    </row>
    <row r="1220" spans="1:171" ht="12.6" customHeight="1" x14ac:dyDescent="0.2">
      <c r="B1220" s="112"/>
      <c r="C1220" s="61"/>
      <c r="D1220" s="289"/>
      <c r="E1220" s="289"/>
      <c r="F1220" s="289"/>
      <c r="G1220" s="289"/>
      <c r="H1220" s="289"/>
      <c r="I1220" s="289"/>
      <c r="J1220" s="289"/>
      <c r="K1220" s="306"/>
      <c r="L1220" s="306"/>
      <c r="M1220" s="306"/>
      <c r="N1220" s="306"/>
      <c r="O1220" s="306"/>
      <c r="P1220" s="306"/>
    </row>
    <row r="1221" spans="1:171" ht="12.6" customHeight="1" x14ac:dyDescent="0.2">
      <c r="A1221" s="87"/>
      <c r="B1221" s="206"/>
      <c r="C1221" s="191"/>
      <c r="D1221" s="42"/>
      <c r="E1221" s="42"/>
      <c r="F1221" s="42"/>
      <c r="G1221" s="42"/>
      <c r="H1221" s="42"/>
      <c r="I1221" s="42"/>
      <c r="J1221" s="42"/>
      <c r="K1221" s="42"/>
      <c r="L1221" s="42"/>
      <c r="M1221" s="42"/>
      <c r="N1221" s="42"/>
      <c r="O1221" s="42"/>
      <c r="P1221" s="42"/>
      <c r="Q1221" s="87"/>
      <c r="R1221" s="87"/>
      <c r="S1221" s="87"/>
      <c r="T1221" s="87"/>
      <c r="U1221" s="87"/>
      <c r="V1221" s="87"/>
      <c r="W1221" s="87"/>
      <c r="X1221" s="87"/>
      <c r="Y1221" s="87"/>
      <c r="Z1221" s="87"/>
      <c r="AA1221" s="87"/>
      <c r="AB1221" s="87"/>
      <c r="AC1221" s="87"/>
      <c r="AD1221" s="87"/>
      <c r="AE1221" s="87"/>
      <c r="AF1221" s="87"/>
      <c r="AG1221" s="87"/>
      <c r="AH1221" s="87"/>
      <c r="AI1221" s="87"/>
      <c r="AJ1221" s="87"/>
      <c r="AK1221" s="87"/>
      <c r="AL1221" s="87"/>
      <c r="AM1221" s="87"/>
      <c r="AO1221" s="87"/>
      <c r="AP1221" s="87"/>
      <c r="AQ1221" s="87"/>
      <c r="AR1221" s="87"/>
      <c r="AS1221" s="87"/>
      <c r="AT1221" s="87"/>
      <c r="AU1221" s="87"/>
      <c r="AV1221" s="87"/>
      <c r="AW1221" s="87"/>
      <c r="AX1221" s="87"/>
      <c r="AY1221" s="87"/>
      <c r="BA1221" s="87"/>
      <c r="BB1221" s="87"/>
      <c r="BC1221" s="87"/>
      <c r="BD1221" s="87"/>
      <c r="BE1221" s="87"/>
      <c r="BF1221" s="87"/>
      <c r="BG1221" s="87"/>
      <c r="BH1221" s="87"/>
      <c r="BI1221" s="87"/>
      <c r="BJ1221" s="87"/>
      <c r="BK1221" s="87"/>
      <c r="BL1221" s="87"/>
      <c r="BM1221" s="87"/>
      <c r="BN1221" s="87"/>
      <c r="BP1221" s="87"/>
      <c r="BQ1221" s="87"/>
      <c r="BR1221" s="87"/>
      <c r="BS1221" s="87"/>
      <c r="BT1221" s="87"/>
      <c r="BU1221" s="87"/>
      <c r="BV1221" s="87"/>
      <c r="BW1221" s="87"/>
      <c r="BX1221" s="87"/>
      <c r="BY1221" s="87"/>
      <c r="BZ1221" s="87"/>
      <c r="CB1221" s="87"/>
      <c r="CC1221" s="87"/>
      <c r="CD1221" s="87"/>
      <c r="CE1221" s="87"/>
      <c r="CF1221" s="87"/>
      <c r="CG1221" s="87"/>
      <c r="CH1221" s="87"/>
      <c r="CI1221" s="87"/>
      <c r="CJ1221" s="87"/>
      <c r="CK1221" s="87"/>
      <c r="CL1221" s="87"/>
      <c r="CN1221" s="87"/>
      <c r="CO1221" s="87"/>
      <c r="CP1221" s="87"/>
      <c r="CQ1221" s="87"/>
      <c r="CR1221" s="87"/>
      <c r="CS1221" s="87"/>
      <c r="CT1221" s="87"/>
      <c r="CU1221" s="87"/>
      <c r="CV1221" s="87"/>
      <c r="CW1221" s="87"/>
      <c r="CX1221" s="87"/>
      <c r="CZ1221" s="87"/>
      <c r="DA1221" s="87"/>
      <c r="DB1221" s="87"/>
      <c r="DC1221" s="87"/>
      <c r="DD1221" s="87"/>
      <c r="DE1221" s="87"/>
      <c r="DF1221" s="87"/>
      <c r="DG1221" s="87"/>
      <c r="DH1221" s="87"/>
      <c r="DI1221" s="87"/>
      <c r="DJ1221" s="87"/>
      <c r="DL1221" s="87"/>
      <c r="DM1221" s="87"/>
      <c r="DN1221" s="87"/>
      <c r="DO1221" s="87"/>
      <c r="DP1221" s="87"/>
      <c r="DQ1221" s="87"/>
      <c r="DR1221" s="87"/>
      <c r="DS1221" s="87"/>
      <c r="DT1221" s="87"/>
      <c r="DU1221" s="87"/>
      <c r="DV1221" s="87"/>
      <c r="DX1221" s="87"/>
      <c r="DY1221" s="87"/>
      <c r="DZ1221" s="87"/>
      <c r="EA1221" s="87"/>
      <c r="EB1221" s="87"/>
      <c r="EC1221" s="87"/>
      <c r="ED1221" s="87"/>
      <c r="EE1221" s="87"/>
      <c r="EF1221" s="87"/>
      <c r="EG1221" s="87"/>
      <c r="EH1221" s="87"/>
      <c r="EJ1221" s="87"/>
      <c r="EK1221" s="87"/>
      <c r="EL1221" s="87"/>
      <c r="EM1221" s="87"/>
      <c r="EN1221" s="87"/>
      <c r="EO1221" s="87"/>
      <c r="EP1221" s="87"/>
      <c r="EQ1221" s="87"/>
      <c r="ER1221" s="87"/>
      <c r="ES1221" s="87"/>
      <c r="ET1221" s="87"/>
      <c r="EV1221" s="87"/>
      <c r="EW1221" s="87"/>
      <c r="EX1221" s="87"/>
      <c r="EY1221" s="87"/>
      <c r="EZ1221" s="87"/>
      <c r="FA1221" s="87"/>
      <c r="FB1221" s="87"/>
      <c r="FC1221" s="87"/>
      <c r="FD1221" s="87"/>
      <c r="FE1221" s="87"/>
      <c r="FF1221" s="87"/>
      <c r="FH1221" s="87"/>
      <c r="FI1221" s="87"/>
      <c r="FJ1221" s="87"/>
      <c r="FK1221" s="87"/>
      <c r="FL1221" s="87"/>
      <c r="FM1221" s="87"/>
      <c r="FN1221" s="87"/>
      <c r="FO1221" s="87"/>
    </row>
    <row r="1222" spans="1:171" ht="12.6" customHeight="1" x14ac:dyDescent="0.2">
      <c r="B1222" s="50" t="s">
        <v>573</v>
      </c>
      <c r="C1222" s="50" t="s">
        <v>473</v>
      </c>
      <c r="D1222" s="163"/>
      <c r="E1222" s="163"/>
      <c r="F1222" s="163"/>
      <c r="G1222" s="51"/>
      <c r="H1222" s="51"/>
      <c r="I1222" s="51"/>
      <c r="J1222" s="51"/>
      <c r="K1222" s="54"/>
      <c r="L1222" s="54"/>
      <c r="M1222" s="54"/>
      <c r="N1222" s="54"/>
      <c r="O1222" s="54"/>
      <c r="P1222" s="54"/>
    </row>
    <row r="1223" spans="1:171" ht="12.6" customHeight="1" x14ac:dyDescent="0.2">
      <c r="B1223" s="61" t="s">
        <v>565</v>
      </c>
      <c r="C1223" s="61" t="s">
        <v>570</v>
      </c>
      <c r="D1223" s="63"/>
      <c r="E1223" s="63"/>
      <c r="F1223" s="311"/>
      <c r="G1223" s="301"/>
      <c r="H1223" s="301"/>
      <c r="I1223" s="301"/>
      <c r="J1223" s="301"/>
      <c r="K1223" s="302">
        <f t="shared" ref="K1223:P1223" si="1116">K1224*K1237</f>
        <v>0</v>
      </c>
      <c r="L1223" s="302">
        <f t="shared" si="1116"/>
        <v>0</v>
      </c>
      <c r="M1223" s="302">
        <f t="shared" si="1116"/>
        <v>0</v>
      </c>
      <c r="N1223" s="302">
        <f t="shared" si="1116"/>
        <v>4522.5</v>
      </c>
      <c r="O1223" s="302">
        <f t="shared" si="1116"/>
        <v>7499.25</v>
      </c>
      <c r="P1223" s="302">
        <f t="shared" si="1116"/>
        <v>9639.9449999999997</v>
      </c>
    </row>
    <row r="1224" spans="1:171" ht="12.6" customHeight="1" x14ac:dyDescent="0.2">
      <c r="B1224" s="59" t="s">
        <v>474</v>
      </c>
      <c r="C1224" s="61" t="s">
        <v>476</v>
      </c>
      <c r="D1224" s="57"/>
      <c r="E1224" s="57"/>
      <c r="F1224" s="57"/>
      <c r="G1224" s="57"/>
      <c r="H1224" s="57"/>
      <c r="I1224" s="57"/>
      <c r="J1224" s="288"/>
      <c r="K1224" s="303">
        <f>K1175</f>
        <v>366.32761571235091</v>
      </c>
      <c r="L1224" s="303">
        <f>K1224*(1+L1225)</f>
        <v>369.99089186947441</v>
      </c>
      <c r="M1224" s="303">
        <f>L1224*(1+M1225)</f>
        <v>373.69080078816916</v>
      </c>
      <c r="N1224" s="1018">
        <v>450</v>
      </c>
      <c r="O1224" s="303">
        <f>N1224*(1+O1225)</f>
        <v>454.5</v>
      </c>
      <c r="P1224" s="303">
        <f>O1224*(1+P1225)</f>
        <v>459.04500000000002</v>
      </c>
    </row>
    <row r="1225" spans="1:171" ht="12.6" customHeight="1" x14ac:dyDescent="0.2">
      <c r="B1225" s="322" t="s">
        <v>227</v>
      </c>
      <c r="C1225" s="323" t="s">
        <v>477</v>
      </c>
      <c r="D1225" s="58"/>
      <c r="E1225" s="58"/>
      <c r="F1225" s="339"/>
      <c r="G1225" s="330"/>
      <c r="H1225" s="330"/>
      <c r="I1225" s="330"/>
      <c r="J1225" s="353"/>
      <c r="K1225" s="354">
        <v>0.05</v>
      </c>
      <c r="L1225" s="354">
        <v>0.01</v>
      </c>
      <c r="M1225" s="354">
        <v>0.01</v>
      </c>
      <c r="N1225" s="354">
        <v>0.01</v>
      </c>
      <c r="O1225" s="354">
        <v>0.01</v>
      </c>
      <c r="P1225" s="354">
        <v>0.01</v>
      </c>
    </row>
    <row r="1226" spans="1:171" ht="12.6" customHeight="1" x14ac:dyDescent="0.2">
      <c r="B1226" s="59"/>
      <c r="C1226" s="61"/>
      <c r="D1226" s="57"/>
      <c r="E1226" s="57"/>
      <c r="F1226" s="288"/>
      <c r="G1226" s="57"/>
      <c r="H1226" s="57"/>
      <c r="I1226" s="57"/>
      <c r="J1226" s="57"/>
      <c r="K1226" s="68"/>
      <c r="L1226" s="68"/>
      <c r="M1226" s="68"/>
      <c r="N1226" s="68"/>
      <c r="O1226" s="68"/>
      <c r="P1226" s="68"/>
    </row>
    <row r="1227" spans="1:171" ht="12.6" customHeight="1" x14ac:dyDescent="0.2">
      <c r="B1227" s="72" t="s">
        <v>303</v>
      </c>
      <c r="C1227" s="61" t="s">
        <v>4</v>
      </c>
      <c r="D1227" s="57"/>
      <c r="E1227" s="57"/>
      <c r="F1227" s="288"/>
      <c r="G1227" s="288"/>
      <c r="H1227" s="288"/>
      <c r="I1227" s="288"/>
      <c r="J1227" s="288"/>
      <c r="K1227" s="68">
        <f t="shared" ref="K1227:P1227" si="1117">K102</f>
        <v>0</v>
      </c>
      <c r="L1227" s="68">
        <f t="shared" si="1117"/>
        <v>0</v>
      </c>
      <c r="M1227" s="68">
        <f t="shared" si="1117"/>
        <v>0</v>
      </c>
      <c r="N1227" s="68">
        <f t="shared" si="1117"/>
        <v>30</v>
      </c>
      <c r="O1227" s="68">
        <f t="shared" si="1117"/>
        <v>30</v>
      </c>
      <c r="P1227" s="68">
        <f t="shared" si="1117"/>
        <v>30</v>
      </c>
      <c r="Q1227" s="37" t="s">
        <v>1868</v>
      </c>
    </row>
    <row r="1228" spans="1:171" ht="12.6" customHeight="1" x14ac:dyDescent="0.2">
      <c r="B1228" s="202" t="s">
        <v>555</v>
      </c>
      <c r="C1228" s="326" t="s">
        <v>4</v>
      </c>
      <c r="D1228" s="58"/>
      <c r="E1228" s="58"/>
      <c r="F1228" s="330"/>
      <c r="G1228" s="330"/>
      <c r="H1228" s="330"/>
      <c r="I1228" s="330"/>
      <c r="J1228" s="330"/>
      <c r="K1228" s="324">
        <v>0.5</v>
      </c>
      <c r="L1228" s="324">
        <v>0.5</v>
      </c>
      <c r="M1228" s="324">
        <v>0.5</v>
      </c>
      <c r="N1228" s="324">
        <v>0.33500000000000002</v>
      </c>
      <c r="O1228" s="1158">
        <v>0.55000000000000004</v>
      </c>
      <c r="P1228" s="324">
        <v>0.7</v>
      </c>
    </row>
    <row r="1229" spans="1:171" ht="12.6" customHeight="1" x14ac:dyDescent="0.2">
      <c r="B1229" s="59"/>
      <c r="C1229" s="61"/>
      <c r="D1229" s="57"/>
      <c r="E1229" s="57"/>
      <c r="F1229" s="288"/>
      <c r="G1229" s="57"/>
      <c r="H1229" s="57"/>
      <c r="I1229" s="57"/>
      <c r="J1229" s="57"/>
      <c r="K1229" s="68"/>
      <c r="L1229" s="68"/>
      <c r="M1229" s="68"/>
      <c r="N1229" s="68"/>
      <c r="O1229" s="68"/>
      <c r="P1229" s="68"/>
    </row>
    <row r="1230" spans="1:171" ht="12.6" customHeight="1" x14ac:dyDescent="0.2">
      <c r="B1230" s="72" t="s">
        <v>489</v>
      </c>
      <c r="C1230" s="61"/>
      <c r="D1230" s="57"/>
      <c r="E1230" s="57"/>
      <c r="F1230" s="288"/>
      <c r="G1230" s="57"/>
      <c r="H1230" s="57"/>
      <c r="I1230" s="57"/>
      <c r="J1230" s="57"/>
      <c r="K1230" s="68"/>
      <c r="L1230" s="68"/>
      <c r="M1230" s="68"/>
      <c r="N1230" s="68"/>
      <c r="O1230" s="68"/>
      <c r="P1230" s="68"/>
    </row>
    <row r="1231" spans="1:171" ht="12.6" customHeight="1" x14ac:dyDescent="0.2">
      <c r="B1231" s="56" t="s">
        <v>279</v>
      </c>
      <c r="C1231" s="61"/>
      <c r="D1231" s="288"/>
      <c r="E1231" s="288"/>
      <c r="F1231" s="288"/>
      <c r="G1231" s="288"/>
      <c r="H1231" s="288"/>
      <c r="I1231" s="288"/>
      <c r="J1231" s="288"/>
      <c r="K1231" s="303">
        <f t="shared" ref="K1231:P1231" si="1118">K1227*K1228</f>
        <v>0</v>
      </c>
      <c r="L1231" s="303">
        <f t="shared" si="1118"/>
        <v>0</v>
      </c>
      <c r="M1231" s="303">
        <f t="shared" si="1118"/>
        <v>0</v>
      </c>
      <c r="N1231" s="303">
        <f t="shared" si="1118"/>
        <v>10.050000000000001</v>
      </c>
      <c r="O1231" s="303">
        <f t="shared" si="1118"/>
        <v>16.5</v>
      </c>
      <c r="P1231" s="303">
        <f t="shared" si="1118"/>
        <v>21</v>
      </c>
    </row>
    <row r="1232" spans="1:171" ht="12.6" customHeight="1" x14ac:dyDescent="0.2">
      <c r="B1232" s="56" t="s">
        <v>280</v>
      </c>
      <c r="C1232" s="61"/>
      <c r="D1232" s="288"/>
      <c r="E1232" s="288"/>
      <c r="F1232" s="288"/>
      <c r="G1232" s="288"/>
      <c r="H1232" s="288"/>
      <c r="I1232" s="288"/>
      <c r="J1232" s="288"/>
      <c r="K1232" s="303">
        <f t="shared" ref="K1232:P1232" si="1119">J1232*(1+K1241)</f>
        <v>0</v>
      </c>
      <c r="L1232" s="303">
        <f t="shared" si="1119"/>
        <v>0</v>
      </c>
      <c r="M1232" s="303">
        <f t="shared" si="1119"/>
        <v>0</v>
      </c>
      <c r="N1232" s="303">
        <f t="shared" si="1119"/>
        <v>0</v>
      </c>
      <c r="O1232" s="303">
        <f t="shared" si="1119"/>
        <v>0</v>
      </c>
      <c r="P1232" s="303">
        <f t="shared" si="1119"/>
        <v>0</v>
      </c>
    </row>
    <row r="1233" spans="2:16" ht="12.6" customHeight="1" x14ac:dyDescent="0.2">
      <c r="B1233" s="56" t="s">
        <v>281</v>
      </c>
      <c r="C1233" s="61"/>
      <c r="D1233" s="288"/>
      <c r="E1233" s="288"/>
      <c r="F1233" s="288"/>
      <c r="G1233" s="288"/>
      <c r="H1233" s="288"/>
      <c r="I1233" s="288"/>
      <c r="J1233" s="288"/>
      <c r="K1233" s="303">
        <f t="shared" ref="K1233:P1233" si="1120">J1233*(1+K1242)</f>
        <v>0</v>
      </c>
      <c r="L1233" s="303">
        <f t="shared" si="1120"/>
        <v>0</v>
      </c>
      <c r="M1233" s="303">
        <f t="shared" si="1120"/>
        <v>0</v>
      </c>
      <c r="N1233" s="303">
        <f t="shared" si="1120"/>
        <v>0</v>
      </c>
      <c r="O1233" s="303">
        <f t="shared" si="1120"/>
        <v>0</v>
      </c>
      <c r="P1233" s="303">
        <f t="shared" si="1120"/>
        <v>0</v>
      </c>
    </row>
    <row r="1234" spans="2:16" ht="12.6" customHeight="1" x14ac:dyDescent="0.2">
      <c r="B1234" s="56" t="s">
        <v>282</v>
      </c>
      <c r="C1234" s="61"/>
      <c r="D1234" s="288"/>
      <c r="E1234" s="288"/>
      <c r="F1234" s="288"/>
      <c r="G1234" s="288"/>
      <c r="H1234" s="288"/>
      <c r="I1234" s="288"/>
      <c r="J1234" s="288"/>
      <c r="K1234" s="303">
        <f t="shared" ref="K1234:P1234" si="1121">J1234*(1+K1243)</f>
        <v>0</v>
      </c>
      <c r="L1234" s="303">
        <f t="shared" si="1121"/>
        <v>0</v>
      </c>
      <c r="M1234" s="303">
        <f t="shared" si="1121"/>
        <v>0</v>
      </c>
      <c r="N1234" s="303">
        <f t="shared" si="1121"/>
        <v>0</v>
      </c>
      <c r="O1234" s="303">
        <f t="shared" si="1121"/>
        <v>0</v>
      </c>
      <c r="P1234" s="303">
        <f t="shared" si="1121"/>
        <v>0</v>
      </c>
    </row>
    <row r="1235" spans="2:16" ht="12.6" customHeight="1" x14ac:dyDescent="0.2">
      <c r="B1235" s="56" t="s">
        <v>283</v>
      </c>
      <c r="C1235" s="61"/>
      <c r="D1235" s="288"/>
      <c r="E1235" s="288"/>
      <c r="F1235" s="288"/>
      <c r="G1235" s="288"/>
      <c r="H1235" s="288"/>
      <c r="I1235" s="288"/>
      <c r="J1235" s="288"/>
      <c r="K1235" s="303">
        <f t="shared" ref="K1235:P1235" si="1122">J1235*(1+K1244)</f>
        <v>0</v>
      </c>
      <c r="L1235" s="303">
        <f t="shared" si="1122"/>
        <v>0</v>
      </c>
      <c r="M1235" s="303">
        <f t="shared" si="1122"/>
        <v>0</v>
      </c>
      <c r="N1235" s="303">
        <f t="shared" si="1122"/>
        <v>0</v>
      </c>
      <c r="O1235" s="303">
        <f t="shared" si="1122"/>
        <v>0</v>
      </c>
      <c r="P1235" s="303">
        <f t="shared" si="1122"/>
        <v>0</v>
      </c>
    </row>
    <row r="1236" spans="2:16" ht="12.6" customHeight="1" x14ac:dyDescent="0.2">
      <c r="B1236" s="56" t="s">
        <v>284</v>
      </c>
      <c r="C1236" s="61"/>
      <c r="D1236" s="288"/>
      <c r="E1236" s="288"/>
      <c r="F1236" s="288"/>
      <c r="G1236" s="288"/>
      <c r="H1236" s="288"/>
      <c r="I1236" s="288"/>
      <c r="J1236" s="288"/>
      <c r="K1236" s="303">
        <f t="shared" ref="K1236:P1236" si="1123">J1236*(1+K1245)</f>
        <v>0</v>
      </c>
      <c r="L1236" s="303">
        <f t="shared" si="1123"/>
        <v>0</v>
      </c>
      <c r="M1236" s="303">
        <f t="shared" si="1123"/>
        <v>0</v>
      </c>
      <c r="N1236" s="303">
        <f t="shared" si="1123"/>
        <v>0</v>
      </c>
      <c r="O1236" s="303">
        <f t="shared" si="1123"/>
        <v>0</v>
      </c>
      <c r="P1236" s="303">
        <f t="shared" si="1123"/>
        <v>0</v>
      </c>
    </row>
    <row r="1237" spans="2:16" ht="12.6" customHeight="1" x14ac:dyDescent="0.2">
      <c r="B1237" s="72" t="s">
        <v>551</v>
      </c>
      <c r="C1237" s="95"/>
      <c r="D1237" s="63"/>
      <c r="E1237" s="63"/>
      <c r="F1237" s="63"/>
      <c r="G1237" s="63"/>
      <c r="H1237" s="63"/>
      <c r="I1237" s="63"/>
      <c r="J1237" s="63"/>
      <c r="K1237" s="64">
        <f t="shared" ref="K1237:P1237" si="1124">SUM(K1231:K1236)</f>
        <v>0</v>
      </c>
      <c r="L1237" s="64">
        <f t="shared" si="1124"/>
        <v>0</v>
      </c>
      <c r="M1237" s="64">
        <f t="shared" si="1124"/>
        <v>0</v>
      </c>
      <c r="N1237" s="64">
        <f t="shared" si="1124"/>
        <v>10.050000000000001</v>
      </c>
      <c r="O1237" s="64">
        <f t="shared" si="1124"/>
        <v>16.5</v>
      </c>
      <c r="P1237" s="64">
        <f t="shared" si="1124"/>
        <v>21</v>
      </c>
    </row>
    <row r="1238" spans="2:16" ht="12.6" customHeight="1" x14ac:dyDescent="0.2">
      <c r="B1238" s="72"/>
      <c r="C1238" s="95"/>
      <c r="D1238" s="63"/>
      <c r="E1238" s="63"/>
      <c r="F1238" s="63"/>
      <c r="G1238" s="63"/>
      <c r="H1238" s="63"/>
      <c r="I1238" s="63"/>
      <c r="J1238" s="63"/>
      <c r="K1238" s="64"/>
      <c r="L1238" s="64"/>
      <c r="M1238" s="64"/>
      <c r="N1238" s="64"/>
      <c r="O1238" s="64"/>
      <c r="P1238" s="64"/>
    </row>
    <row r="1239" spans="2:16" ht="12.6" customHeight="1" x14ac:dyDescent="0.2">
      <c r="B1239" s="116" t="s">
        <v>227</v>
      </c>
      <c r="C1239" s="61"/>
      <c r="D1239" s="63"/>
      <c r="E1239" s="63"/>
      <c r="F1239" s="63"/>
      <c r="G1239" s="63"/>
      <c r="H1239" s="63"/>
      <c r="I1239" s="63"/>
      <c r="J1239" s="63"/>
      <c r="K1239" s="68"/>
      <c r="L1239" s="68"/>
      <c r="M1239" s="68"/>
      <c r="N1239" s="68"/>
      <c r="O1239" s="68"/>
      <c r="P1239" s="68"/>
    </row>
    <row r="1240" spans="2:16" ht="12.6" customHeight="1" x14ac:dyDescent="0.2">
      <c r="B1240" s="322" t="s">
        <v>279</v>
      </c>
      <c r="C1240" s="355"/>
      <c r="D1240" s="113"/>
      <c r="E1240" s="113"/>
      <c r="F1240" s="113"/>
      <c r="G1240" s="113"/>
      <c r="H1240" s="113"/>
      <c r="I1240" s="113"/>
      <c r="J1240" s="113"/>
      <c r="K1240" s="356">
        <v>0</v>
      </c>
      <c r="L1240" s="356">
        <v>0</v>
      </c>
      <c r="M1240" s="356">
        <v>0</v>
      </c>
      <c r="N1240" s="356">
        <v>0</v>
      </c>
      <c r="O1240" s="356">
        <v>0</v>
      </c>
      <c r="P1240" s="356">
        <v>0</v>
      </c>
    </row>
    <row r="1241" spans="2:16" ht="12.6" customHeight="1" x14ac:dyDescent="0.2">
      <c r="B1241" s="322" t="s">
        <v>280</v>
      </c>
      <c r="C1241" s="355"/>
      <c r="D1241" s="113"/>
      <c r="E1241" s="113"/>
      <c r="F1241" s="113"/>
      <c r="G1241" s="113"/>
      <c r="H1241" s="113"/>
      <c r="I1241" s="113"/>
      <c r="J1241" s="113"/>
      <c r="K1241" s="356">
        <v>0.05</v>
      </c>
      <c r="L1241" s="356">
        <v>0.05</v>
      </c>
      <c r="M1241" s="356">
        <v>0.05</v>
      </c>
      <c r="N1241" s="356">
        <v>0.05</v>
      </c>
      <c r="O1241" s="356">
        <v>0.05</v>
      </c>
      <c r="P1241" s="356">
        <v>0.05</v>
      </c>
    </row>
    <row r="1242" spans="2:16" ht="12.6" customHeight="1" x14ac:dyDescent="0.2">
      <c r="B1242" s="322" t="s">
        <v>281</v>
      </c>
      <c r="C1242" s="355"/>
      <c r="D1242" s="113"/>
      <c r="E1242" s="113"/>
      <c r="F1242" s="113"/>
      <c r="G1242" s="113"/>
      <c r="H1242" s="113"/>
      <c r="I1242" s="113"/>
      <c r="J1242" s="113"/>
      <c r="K1242" s="356">
        <v>0</v>
      </c>
      <c r="L1242" s="356">
        <v>0</v>
      </c>
      <c r="M1242" s="356">
        <v>0</v>
      </c>
      <c r="N1242" s="356">
        <v>0</v>
      </c>
      <c r="O1242" s="356">
        <v>0</v>
      </c>
      <c r="P1242" s="356">
        <v>0</v>
      </c>
    </row>
    <row r="1243" spans="2:16" ht="12.6" customHeight="1" x14ac:dyDescent="0.2">
      <c r="B1243" s="322" t="s">
        <v>282</v>
      </c>
      <c r="C1243" s="355"/>
      <c r="D1243" s="113"/>
      <c r="E1243" s="113"/>
      <c r="F1243" s="113"/>
      <c r="G1243" s="113"/>
      <c r="H1243" s="113"/>
      <c r="I1243" s="113"/>
      <c r="J1243" s="113"/>
      <c r="K1243" s="356">
        <v>0</v>
      </c>
      <c r="L1243" s="356">
        <v>0</v>
      </c>
      <c r="M1243" s="356">
        <v>0</v>
      </c>
      <c r="N1243" s="356">
        <v>0</v>
      </c>
      <c r="O1243" s="356">
        <v>0</v>
      </c>
      <c r="P1243" s="356">
        <v>0</v>
      </c>
    </row>
    <row r="1244" spans="2:16" ht="12.6" customHeight="1" x14ac:dyDescent="0.2">
      <c r="B1244" s="322" t="s">
        <v>283</v>
      </c>
      <c r="C1244" s="355"/>
      <c r="D1244" s="113"/>
      <c r="E1244" s="113"/>
      <c r="F1244" s="113"/>
      <c r="G1244" s="113"/>
      <c r="H1244" s="113"/>
      <c r="I1244" s="113"/>
      <c r="J1244" s="113"/>
      <c r="K1244" s="356">
        <v>0.05</v>
      </c>
      <c r="L1244" s="356">
        <v>0.05</v>
      </c>
      <c r="M1244" s="356">
        <v>0.05</v>
      </c>
      <c r="N1244" s="356">
        <v>0.05</v>
      </c>
      <c r="O1244" s="356">
        <v>0.05</v>
      </c>
      <c r="P1244" s="356">
        <v>0.05</v>
      </c>
    </row>
    <row r="1245" spans="2:16" ht="12.6" customHeight="1" x14ac:dyDescent="0.2">
      <c r="B1245" s="322" t="s">
        <v>284</v>
      </c>
      <c r="C1245" s="355"/>
      <c r="D1245" s="113"/>
      <c r="E1245" s="113"/>
      <c r="F1245" s="113"/>
      <c r="G1245" s="113"/>
      <c r="H1245" s="113"/>
      <c r="I1245" s="113"/>
      <c r="J1245" s="113"/>
      <c r="K1245" s="356">
        <v>0</v>
      </c>
      <c r="L1245" s="356">
        <v>0</v>
      </c>
      <c r="M1245" s="356">
        <v>0</v>
      </c>
      <c r="N1245" s="356">
        <v>0</v>
      </c>
      <c r="O1245" s="356">
        <v>0</v>
      </c>
      <c r="P1245" s="356">
        <v>0</v>
      </c>
    </row>
    <row r="1246" spans="2:16" ht="12.6" customHeight="1" x14ac:dyDescent="0.2">
      <c r="B1246" s="331" t="s">
        <v>551</v>
      </c>
      <c r="C1246" s="358"/>
      <c r="D1246" s="117"/>
      <c r="E1246" s="117"/>
      <c r="F1246" s="117"/>
      <c r="G1246" s="117"/>
      <c r="H1246" s="117"/>
      <c r="I1246" s="117"/>
      <c r="J1246" s="117"/>
      <c r="K1246" s="204">
        <f t="shared" ref="K1246:P1246" si="1125">IFERROR(K1237/J1237-1,0)</f>
        <v>0</v>
      </c>
      <c r="L1246" s="204">
        <f t="shared" si="1125"/>
        <v>0</v>
      </c>
      <c r="M1246" s="204">
        <f t="shared" si="1125"/>
        <v>0</v>
      </c>
      <c r="N1246" s="204">
        <f t="shared" si="1125"/>
        <v>0</v>
      </c>
      <c r="O1246" s="204">
        <f t="shared" si="1125"/>
        <v>0.64179104477611926</v>
      </c>
      <c r="P1246" s="204">
        <f t="shared" si="1125"/>
        <v>0.27272727272727271</v>
      </c>
    </row>
    <row r="1247" spans="2:16" ht="12.6" customHeight="1" x14ac:dyDescent="0.2">
      <c r="B1247" s="201"/>
      <c r="C1247" s="326"/>
      <c r="D1247" s="335"/>
      <c r="E1247" s="335"/>
      <c r="F1247" s="335"/>
      <c r="G1247" s="335"/>
      <c r="H1247" s="335"/>
      <c r="I1247" s="335"/>
      <c r="J1247" s="335"/>
      <c r="K1247" s="357"/>
      <c r="L1247" s="357"/>
      <c r="M1247" s="357"/>
      <c r="N1247" s="357"/>
      <c r="O1247" s="357"/>
      <c r="P1247" s="357"/>
    </row>
    <row r="1248" spans="2:16" ht="12.6" customHeight="1" x14ac:dyDescent="0.2">
      <c r="B1248" s="331" t="s">
        <v>287</v>
      </c>
      <c r="C1248" s="326"/>
      <c r="D1248" s="335"/>
      <c r="E1248" s="335"/>
      <c r="F1248" s="335"/>
      <c r="G1248" s="335"/>
      <c r="H1248" s="335"/>
      <c r="I1248" s="335"/>
      <c r="J1248" s="335"/>
      <c r="K1248" s="357"/>
      <c r="L1248" s="357"/>
      <c r="M1248" s="357"/>
      <c r="N1248" s="357"/>
      <c r="O1248" s="357"/>
      <c r="P1248" s="357"/>
    </row>
    <row r="1249" spans="2:16" ht="12.6" customHeight="1" x14ac:dyDescent="0.2">
      <c r="B1249" s="322" t="s">
        <v>279</v>
      </c>
      <c r="C1249" s="326"/>
      <c r="D1249" s="113"/>
      <c r="E1249" s="113"/>
      <c r="F1249" s="113"/>
      <c r="G1249" s="113"/>
      <c r="H1249" s="113"/>
      <c r="I1249" s="113"/>
      <c r="J1249" s="113"/>
      <c r="K1249" s="197" t="str">
        <f t="shared" ref="K1249:P1249" si="1126">IFERROR(K1231/K$1237,"--")</f>
        <v>--</v>
      </c>
      <c r="L1249" s="197" t="str">
        <f t="shared" si="1126"/>
        <v>--</v>
      </c>
      <c r="M1249" s="197" t="str">
        <f t="shared" si="1126"/>
        <v>--</v>
      </c>
      <c r="N1249" s="197">
        <f t="shared" si="1126"/>
        <v>1</v>
      </c>
      <c r="O1249" s="197">
        <f t="shared" si="1126"/>
        <v>1</v>
      </c>
      <c r="P1249" s="197">
        <f t="shared" si="1126"/>
        <v>1</v>
      </c>
    </row>
    <row r="1250" spans="2:16" ht="12.6" customHeight="1" x14ac:dyDescent="0.2">
      <c r="B1250" s="322" t="s">
        <v>280</v>
      </c>
      <c r="C1250" s="326"/>
      <c r="D1250" s="113"/>
      <c r="E1250" s="113"/>
      <c r="F1250" s="113"/>
      <c r="G1250" s="113"/>
      <c r="H1250" s="113"/>
      <c r="I1250" s="113"/>
      <c r="J1250" s="113"/>
      <c r="K1250" s="197" t="str">
        <f t="shared" ref="K1250:P1250" si="1127">IFERROR(K1232/K$1237,"--")</f>
        <v>--</v>
      </c>
      <c r="L1250" s="197" t="str">
        <f t="shared" si="1127"/>
        <v>--</v>
      </c>
      <c r="M1250" s="197" t="str">
        <f t="shared" si="1127"/>
        <v>--</v>
      </c>
      <c r="N1250" s="197">
        <f t="shared" si="1127"/>
        <v>0</v>
      </c>
      <c r="O1250" s="197">
        <f t="shared" si="1127"/>
        <v>0</v>
      </c>
      <c r="P1250" s="197">
        <f t="shared" si="1127"/>
        <v>0</v>
      </c>
    </row>
    <row r="1251" spans="2:16" ht="12.6" customHeight="1" x14ac:dyDescent="0.2">
      <c r="B1251" s="322" t="s">
        <v>281</v>
      </c>
      <c r="C1251" s="326"/>
      <c r="D1251" s="113"/>
      <c r="E1251" s="113"/>
      <c r="F1251" s="113"/>
      <c r="G1251" s="113"/>
      <c r="H1251" s="113"/>
      <c r="I1251" s="113"/>
      <c r="J1251" s="113"/>
      <c r="K1251" s="197" t="str">
        <f t="shared" ref="K1251:P1251" si="1128">IFERROR(K1233/K$1237,"--")</f>
        <v>--</v>
      </c>
      <c r="L1251" s="197" t="str">
        <f t="shared" si="1128"/>
        <v>--</v>
      </c>
      <c r="M1251" s="197" t="str">
        <f t="shared" si="1128"/>
        <v>--</v>
      </c>
      <c r="N1251" s="197">
        <f t="shared" si="1128"/>
        <v>0</v>
      </c>
      <c r="O1251" s="197">
        <f t="shared" si="1128"/>
        <v>0</v>
      </c>
      <c r="P1251" s="197">
        <f t="shared" si="1128"/>
        <v>0</v>
      </c>
    </row>
    <row r="1252" spans="2:16" ht="12.6" customHeight="1" x14ac:dyDescent="0.2">
      <c r="B1252" s="322" t="s">
        <v>282</v>
      </c>
      <c r="C1252" s="326"/>
      <c r="D1252" s="113"/>
      <c r="E1252" s="113"/>
      <c r="F1252" s="113"/>
      <c r="G1252" s="113"/>
      <c r="H1252" s="113"/>
      <c r="I1252" s="113"/>
      <c r="J1252" s="113"/>
      <c r="K1252" s="197" t="str">
        <f t="shared" ref="K1252:P1252" si="1129">IFERROR(K1234/K$1237,"--")</f>
        <v>--</v>
      </c>
      <c r="L1252" s="197" t="str">
        <f t="shared" si="1129"/>
        <v>--</v>
      </c>
      <c r="M1252" s="197" t="str">
        <f t="shared" si="1129"/>
        <v>--</v>
      </c>
      <c r="N1252" s="197">
        <f t="shared" si="1129"/>
        <v>0</v>
      </c>
      <c r="O1252" s="197">
        <f t="shared" si="1129"/>
        <v>0</v>
      </c>
      <c r="P1252" s="197">
        <f t="shared" si="1129"/>
        <v>0</v>
      </c>
    </row>
    <row r="1253" spans="2:16" ht="12.6" customHeight="1" x14ac:dyDescent="0.2">
      <c r="B1253" s="322" t="s">
        <v>283</v>
      </c>
      <c r="C1253" s="326"/>
      <c r="D1253" s="113"/>
      <c r="E1253" s="113"/>
      <c r="F1253" s="113"/>
      <c r="G1253" s="113"/>
      <c r="H1253" s="113"/>
      <c r="I1253" s="113"/>
      <c r="J1253" s="113"/>
      <c r="K1253" s="197" t="str">
        <f t="shared" ref="K1253:P1253" si="1130">IFERROR(K1235/K$1237,"--")</f>
        <v>--</v>
      </c>
      <c r="L1253" s="197" t="str">
        <f t="shared" si="1130"/>
        <v>--</v>
      </c>
      <c r="M1253" s="197" t="str">
        <f t="shared" si="1130"/>
        <v>--</v>
      </c>
      <c r="N1253" s="197">
        <f t="shared" si="1130"/>
        <v>0</v>
      </c>
      <c r="O1253" s="197">
        <f t="shared" si="1130"/>
        <v>0</v>
      </c>
      <c r="P1253" s="197">
        <f t="shared" si="1130"/>
        <v>0</v>
      </c>
    </row>
    <row r="1254" spans="2:16" ht="12.6" customHeight="1" x14ac:dyDescent="0.2">
      <c r="B1254" s="322" t="s">
        <v>284</v>
      </c>
      <c r="C1254" s="326"/>
      <c r="D1254" s="113"/>
      <c r="E1254" s="113"/>
      <c r="F1254" s="113"/>
      <c r="G1254" s="113"/>
      <c r="H1254" s="113"/>
      <c r="I1254" s="113"/>
      <c r="J1254" s="113"/>
      <c r="K1254" s="197" t="str">
        <f t="shared" ref="K1254:P1254" si="1131">IFERROR(K1236/K$1237,"--")</f>
        <v>--</v>
      </c>
      <c r="L1254" s="197" t="str">
        <f t="shared" si="1131"/>
        <v>--</v>
      </c>
      <c r="M1254" s="197" t="str">
        <f t="shared" si="1131"/>
        <v>--</v>
      </c>
      <c r="N1254" s="197">
        <f t="shared" si="1131"/>
        <v>0</v>
      </c>
      <c r="O1254" s="197">
        <f t="shared" si="1131"/>
        <v>0</v>
      </c>
      <c r="P1254" s="197">
        <f t="shared" si="1131"/>
        <v>0</v>
      </c>
    </row>
    <row r="1255" spans="2:16" ht="12.6" customHeight="1" x14ac:dyDescent="0.2">
      <c r="B1255" s="359" t="s">
        <v>551</v>
      </c>
      <c r="C1255" s="327"/>
      <c r="D1255" s="117"/>
      <c r="E1255" s="117"/>
      <c r="F1255" s="117"/>
      <c r="G1255" s="117"/>
      <c r="H1255" s="117"/>
      <c r="I1255" s="117"/>
      <c r="J1255" s="117"/>
      <c r="K1255" s="204" t="str">
        <f t="shared" ref="K1255:P1255" si="1132">IFERROR(K1237/K$1237,"--")</f>
        <v>--</v>
      </c>
      <c r="L1255" s="204" t="str">
        <f t="shared" si="1132"/>
        <v>--</v>
      </c>
      <c r="M1255" s="204" t="str">
        <f t="shared" si="1132"/>
        <v>--</v>
      </c>
      <c r="N1255" s="204">
        <f t="shared" si="1132"/>
        <v>1</v>
      </c>
      <c r="O1255" s="204">
        <f t="shared" si="1132"/>
        <v>1</v>
      </c>
      <c r="P1255" s="204">
        <f t="shared" si="1132"/>
        <v>1</v>
      </c>
    </row>
    <row r="1256" spans="2:16" ht="12.6" customHeight="1" x14ac:dyDescent="0.2">
      <c r="B1256" s="56"/>
      <c r="C1256" s="61"/>
      <c r="D1256" s="57"/>
      <c r="E1256" s="57"/>
      <c r="F1256" s="57"/>
      <c r="G1256" s="57"/>
      <c r="H1256" s="57"/>
      <c r="I1256" s="57"/>
      <c r="J1256" s="57"/>
      <c r="K1256" s="68"/>
      <c r="L1256" s="68"/>
      <c r="M1256" s="68"/>
      <c r="N1256" s="68"/>
      <c r="O1256" s="68"/>
      <c r="P1256" s="68"/>
    </row>
    <row r="1257" spans="2:16" ht="12.6" customHeight="1" x14ac:dyDescent="0.2">
      <c r="B1257" s="56" t="s">
        <v>563</v>
      </c>
      <c r="C1257" s="61" t="s">
        <v>566</v>
      </c>
      <c r="D1257" s="57"/>
      <c r="E1257" s="57"/>
      <c r="F1257" s="57"/>
      <c r="G1257" s="57"/>
      <c r="H1257" s="57"/>
      <c r="I1257" s="57"/>
      <c r="J1257" s="57"/>
      <c r="K1257" s="68">
        <f t="shared" ref="K1257:P1257" si="1133">K1259-K1258</f>
        <v>0</v>
      </c>
      <c r="L1257" s="68">
        <f t="shared" si="1133"/>
        <v>0</v>
      </c>
      <c r="M1257" s="68">
        <f t="shared" si="1133"/>
        <v>0</v>
      </c>
      <c r="N1257" s="68">
        <f t="shared" si="1133"/>
        <v>7.5375000000000005</v>
      </c>
      <c r="O1257" s="68">
        <f t="shared" si="1133"/>
        <v>12.375</v>
      </c>
      <c r="P1257" s="68">
        <f t="shared" si="1133"/>
        <v>15.75</v>
      </c>
    </row>
    <row r="1258" spans="2:16" ht="12.6" customHeight="1" x14ac:dyDescent="0.2">
      <c r="B1258" s="56" t="s">
        <v>299</v>
      </c>
      <c r="C1258" s="61" t="s">
        <v>566</v>
      </c>
      <c r="D1258" s="57"/>
      <c r="E1258" s="57"/>
      <c r="F1258" s="57"/>
      <c r="G1258" s="57"/>
      <c r="H1258" s="57"/>
      <c r="I1258" s="57"/>
      <c r="J1258" s="57"/>
      <c r="K1258" s="68">
        <f t="shared" ref="K1258:P1258" si="1134">K1259*K1268</f>
        <v>0</v>
      </c>
      <c r="L1258" s="68">
        <f t="shared" si="1134"/>
        <v>0</v>
      </c>
      <c r="M1258" s="68">
        <f t="shared" si="1134"/>
        <v>0</v>
      </c>
      <c r="N1258" s="68">
        <f t="shared" si="1134"/>
        <v>2.5125000000000002</v>
      </c>
      <c r="O1258" s="68">
        <f t="shared" si="1134"/>
        <v>4.125</v>
      </c>
      <c r="P1258" s="68">
        <f t="shared" si="1134"/>
        <v>5.25</v>
      </c>
    </row>
    <row r="1259" spans="2:16" ht="12.6" customHeight="1" x14ac:dyDescent="0.2">
      <c r="B1259" s="72" t="s">
        <v>551</v>
      </c>
      <c r="C1259" s="61"/>
      <c r="D1259" s="63"/>
      <c r="E1259" s="63"/>
      <c r="F1259" s="63"/>
      <c r="G1259" s="63"/>
      <c r="H1259" s="63"/>
      <c r="I1259" s="63"/>
      <c r="J1259" s="63"/>
      <c r="K1259" s="64">
        <f t="shared" ref="K1259:P1259" si="1135">K1237</f>
        <v>0</v>
      </c>
      <c r="L1259" s="64">
        <f t="shared" si="1135"/>
        <v>0</v>
      </c>
      <c r="M1259" s="64">
        <f t="shared" si="1135"/>
        <v>0</v>
      </c>
      <c r="N1259" s="64">
        <f t="shared" si="1135"/>
        <v>10.050000000000001</v>
      </c>
      <c r="O1259" s="64">
        <f t="shared" si="1135"/>
        <v>16.5</v>
      </c>
      <c r="P1259" s="64">
        <f t="shared" si="1135"/>
        <v>21</v>
      </c>
    </row>
    <row r="1260" spans="2:16" ht="12.6" customHeight="1" x14ac:dyDescent="0.2">
      <c r="B1260" s="72"/>
      <c r="C1260" s="61"/>
      <c r="D1260" s="63"/>
      <c r="E1260" s="63"/>
      <c r="F1260" s="63"/>
      <c r="G1260" s="63"/>
      <c r="H1260" s="63"/>
      <c r="I1260" s="63"/>
      <c r="J1260" s="63"/>
      <c r="K1260" s="64"/>
      <c r="L1260" s="64"/>
      <c r="M1260" s="64"/>
      <c r="N1260" s="64"/>
      <c r="O1260" s="64"/>
      <c r="P1260" s="64"/>
    </row>
    <row r="1261" spans="2:16" ht="12.6" customHeight="1" x14ac:dyDescent="0.2">
      <c r="B1261" s="331" t="s">
        <v>227</v>
      </c>
      <c r="C1261" s="326"/>
      <c r="D1261" s="335"/>
      <c r="E1261" s="335"/>
      <c r="F1261" s="335"/>
      <c r="G1261" s="335"/>
      <c r="H1261" s="335"/>
      <c r="I1261" s="335"/>
      <c r="J1261" s="335"/>
      <c r="K1261" s="336"/>
      <c r="L1261" s="336"/>
      <c r="M1261" s="336"/>
      <c r="N1261" s="336"/>
      <c r="O1261" s="336"/>
      <c r="P1261" s="336"/>
    </row>
    <row r="1262" spans="2:16" ht="12.6" customHeight="1" x14ac:dyDescent="0.2">
      <c r="B1262" s="322" t="s">
        <v>563</v>
      </c>
      <c r="C1262" s="326"/>
      <c r="D1262" s="113"/>
      <c r="E1262" s="113"/>
      <c r="F1262" s="113"/>
      <c r="G1262" s="113"/>
      <c r="H1262" s="113"/>
      <c r="I1262" s="113"/>
      <c r="J1262" s="113"/>
      <c r="K1262" s="197" t="str">
        <f t="shared" ref="K1262:P1262" si="1136">IFERROR(K1257/J1257-1,"--")</f>
        <v>--</v>
      </c>
      <c r="L1262" s="197" t="str">
        <f t="shared" si="1136"/>
        <v>--</v>
      </c>
      <c r="M1262" s="197" t="str">
        <f t="shared" si="1136"/>
        <v>--</v>
      </c>
      <c r="N1262" s="197" t="str">
        <f t="shared" si="1136"/>
        <v>--</v>
      </c>
      <c r="O1262" s="197">
        <f t="shared" si="1136"/>
        <v>0.64179104477611926</v>
      </c>
      <c r="P1262" s="197">
        <f t="shared" si="1136"/>
        <v>0.27272727272727271</v>
      </c>
    </row>
    <row r="1263" spans="2:16" ht="12.6" customHeight="1" x14ac:dyDescent="0.2">
      <c r="B1263" s="322" t="s">
        <v>299</v>
      </c>
      <c r="C1263" s="326"/>
      <c r="D1263" s="113"/>
      <c r="E1263" s="113"/>
      <c r="F1263" s="113"/>
      <c r="G1263" s="113"/>
      <c r="H1263" s="113"/>
      <c r="I1263" s="113"/>
      <c r="J1263" s="113"/>
      <c r="K1263" s="197" t="str">
        <f t="shared" ref="K1263:P1263" si="1137">IFERROR(K1258/J1258-1,"--")</f>
        <v>--</v>
      </c>
      <c r="L1263" s="197" t="str">
        <f t="shared" si="1137"/>
        <v>--</v>
      </c>
      <c r="M1263" s="197" t="str">
        <f t="shared" si="1137"/>
        <v>--</v>
      </c>
      <c r="N1263" s="197" t="str">
        <f t="shared" si="1137"/>
        <v>--</v>
      </c>
      <c r="O1263" s="197">
        <f t="shared" si="1137"/>
        <v>0.64179104477611926</v>
      </c>
      <c r="P1263" s="197">
        <f t="shared" si="1137"/>
        <v>0.27272727272727271</v>
      </c>
    </row>
    <row r="1264" spans="2:16" ht="12.6" customHeight="1" x14ac:dyDescent="0.2">
      <c r="B1264" s="331" t="s">
        <v>551</v>
      </c>
      <c r="C1264" s="327"/>
      <c r="D1264" s="117"/>
      <c r="E1264" s="117"/>
      <c r="F1264" s="117"/>
      <c r="G1264" s="117"/>
      <c r="H1264" s="117"/>
      <c r="I1264" s="117"/>
      <c r="J1264" s="117"/>
      <c r="K1264" s="204" t="str">
        <f t="shared" ref="K1264:P1264" si="1138">IFERROR(K1259/J1259-1,"--")</f>
        <v>--</v>
      </c>
      <c r="L1264" s="204" t="str">
        <f t="shared" si="1138"/>
        <v>--</v>
      </c>
      <c r="M1264" s="204" t="str">
        <f t="shared" si="1138"/>
        <v>--</v>
      </c>
      <c r="N1264" s="204" t="str">
        <f t="shared" si="1138"/>
        <v>--</v>
      </c>
      <c r="O1264" s="204">
        <f t="shared" si="1138"/>
        <v>0.64179104477611926</v>
      </c>
      <c r="P1264" s="204">
        <f t="shared" si="1138"/>
        <v>0.27272727272727271</v>
      </c>
    </row>
    <row r="1265" spans="1:171" ht="12.6" customHeight="1" x14ac:dyDescent="0.2">
      <c r="B1265" s="331"/>
      <c r="C1265" s="326"/>
      <c r="D1265" s="335"/>
      <c r="E1265" s="335"/>
      <c r="F1265" s="335"/>
      <c r="G1265" s="335"/>
      <c r="H1265" s="335"/>
      <c r="I1265" s="335"/>
      <c r="J1265" s="335"/>
      <c r="K1265" s="336"/>
      <c r="L1265" s="336"/>
      <c r="M1265" s="336"/>
      <c r="N1265" s="336"/>
      <c r="O1265" s="336"/>
      <c r="P1265" s="336"/>
    </row>
    <row r="1266" spans="1:171" ht="12.6" customHeight="1" x14ac:dyDescent="0.2">
      <c r="B1266" s="331" t="s">
        <v>287</v>
      </c>
      <c r="C1266" s="326"/>
      <c r="D1266" s="335"/>
      <c r="E1266" s="335"/>
      <c r="F1266" s="335"/>
      <c r="G1266" s="335"/>
      <c r="H1266" s="335"/>
      <c r="I1266" s="335"/>
      <c r="J1266" s="335"/>
      <c r="K1266" s="336"/>
      <c r="L1266" s="336"/>
      <c r="M1266" s="336"/>
      <c r="N1266" s="336"/>
      <c r="O1266" s="336"/>
      <c r="P1266" s="336"/>
    </row>
    <row r="1267" spans="1:171" ht="12.6" customHeight="1" x14ac:dyDescent="0.2">
      <c r="B1267" s="322" t="s">
        <v>563</v>
      </c>
      <c r="C1267" s="326"/>
      <c r="D1267" s="113"/>
      <c r="E1267" s="113"/>
      <c r="F1267" s="113"/>
      <c r="G1267" s="113"/>
      <c r="H1267" s="113"/>
      <c r="I1267" s="113"/>
      <c r="J1267" s="113"/>
      <c r="K1267" s="197">
        <f t="shared" ref="K1267:P1267" si="1139">1-K1268</f>
        <v>0.75</v>
      </c>
      <c r="L1267" s="197">
        <f t="shared" si="1139"/>
        <v>0.75</v>
      </c>
      <c r="M1267" s="197">
        <f t="shared" si="1139"/>
        <v>0.75</v>
      </c>
      <c r="N1267" s="197">
        <f t="shared" si="1139"/>
        <v>0.75</v>
      </c>
      <c r="O1267" s="197">
        <f t="shared" si="1139"/>
        <v>0.75</v>
      </c>
      <c r="P1267" s="197">
        <f t="shared" si="1139"/>
        <v>0.75</v>
      </c>
    </row>
    <row r="1268" spans="1:171" ht="12.6" customHeight="1" x14ac:dyDescent="0.2">
      <c r="B1268" s="359" t="s">
        <v>299</v>
      </c>
      <c r="C1268" s="327"/>
      <c r="D1268" s="117"/>
      <c r="E1268" s="117"/>
      <c r="F1268" s="117"/>
      <c r="G1268" s="117"/>
      <c r="H1268" s="117"/>
      <c r="I1268" s="117"/>
      <c r="J1268" s="117"/>
      <c r="K1268" s="356">
        <v>0.25</v>
      </c>
      <c r="L1268" s="356">
        <v>0.25</v>
      </c>
      <c r="M1268" s="356">
        <v>0.25</v>
      </c>
      <c r="N1268" s="356">
        <v>0.25</v>
      </c>
      <c r="O1268" s="356">
        <v>0.25</v>
      </c>
      <c r="P1268" s="356">
        <v>0.25</v>
      </c>
    </row>
    <row r="1269" spans="1:171" ht="12.6" customHeight="1" x14ac:dyDescent="0.2">
      <c r="B1269" s="116"/>
      <c r="C1269" s="61"/>
      <c r="D1269" s="63"/>
      <c r="E1269" s="63"/>
      <c r="F1269" s="63"/>
      <c r="G1269" s="63"/>
      <c r="H1269" s="63"/>
      <c r="I1269" s="63"/>
      <c r="J1269" s="63"/>
      <c r="K1269" s="64"/>
      <c r="L1269" s="64"/>
      <c r="M1269" s="64"/>
      <c r="N1269" s="64"/>
      <c r="O1269" s="64"/>
      <c r="P1269" s="64"/>
    </row>
    <row r="1270" spans="1:171" ht="12.6" customHeight="1" x14ac:dyDescent="0.2">
      <c r="A1270" s="87"/>
      <c r="B1270" s="206"/>
      <c r="C1270" s="191"/>
      <c r="D1270" s="42"/>
      <c r="E1270" s="42"/>
      <c r="F1270" s="42"/>
      <c r="G1270" s="42"/>
      <c r="H1270" s="42"/>
      <c r="I1270" s="42"/>
      <c r="J1270" s="42"/>
      <c r="K1270" s="42"/>
      <c r="L1270" s="42"/>
      <c r="M1270" s="42"/>
      <c r="N1270" s="42"/>
      <c r="O1270" s="42"/>
      <c r="P1270" s="42"/>
      <c r="Q1270" s="87"/>
      <c r="R1270" s="87"/>
      <c r="S1270" s="87"/>
      <c r="T1270" s="87"/>
      <c r="U1270" s="87"/>
      <c r="V1270" s="87"/>
      <c r="W1270" s="87"/>
      <c r="X1270" s="87"/>
      <c r="Y1270" s="87"/>
      <c r="Z1270" s="87"/>
      <c r="AA1270" s="87"/>
      <c r="AB1270" s="87"/>
      <c r="AC1270" s="87"/>
      <c r="AD1270" s="87"/>
      <c r="AE1270" s="87"/>
      <c r="AF1270" s="87"/>
      <c r="AG1270" s="87"/>
      <c r="AH1270" s="87"/>
      <c r="AI1270" s="87"/>
      <c r="AJ1270" s="87"/>
      <c r="AK1270" s="87"/>
      <c r="AL1270" s="87"/>
      <c r="AM1270" s="87"/>
      <c r="AO1270" s="87"/>
      <c r="AP1270" s="87"/>
      <c r="AQ1270" s="87"/>
      <c r="AR1270" s="87"/>
      <c r="AS1270" s="87"/>
      <c r="AT1270" s="87"/>
      <c r="AU1270" s="87"/>
      <c r="AV1270" s="87"/>
      <c r="AW1270" s="87"/>
      <c r="AX1270" s="87"/>
      <c r="AY1270" s="87"/>
      <c r="BA1270" s="87"/>
      <c r="BB1270" s="87"/>
      <c r="BC1270" s="87"/>
      <c r="BD1270" s="87"/>
      <c r="BE1270" s="87"/>
      <c r="BF1270" s="87"/>
      <c r="BG1270" s="87"/>
      <c r="BH1270" s="87"/>
      <c r="BI1270" s="87"/>
      <c r="BJ1270" s="87"/>
      <c r="BK1270" s="87"/>
      <c r="BL1270" s="87"/>
      <c r="BM1270" s="87"/>
      <c r="BN1270" s="87"/>
      <c r="BP1270" s="87"/>
      <c r="BQ1270" s="87"/>
      <c r="BR1270" s="87"/>
      <c r="BS1270" s="87"/>
      <c r="BT1270" s="87"/>
      <c r="BU1270" s="87"/>
      <c r="BV1270" s="87"/>
      <c r="BW1270" s="87"/>
      <c r="BX1270" s="87"/>
      <c r="BY1270" s="87"/>
      <c r="BZ1270" s="87"/>
      <c r="CB1270" s="87"/>
      <c r="CC1270" s="87"/>
      <c r="CD1270" s="87"/>
      <c r="CE1270" s="87"/>
      <c r="CF1270" s="87"/>
      <c r="CG1270" s="87"/>
      <c r="CH1270" s="87"/>
      <c r="CI1270" s="87"/>
      <c r="CJ1270" s="87"/>
      <c r="CK1270" s="87"/>
      <c r="CL1270" s="87"/>
      <c r="CN1270" s="87"/>
      <c r="CO1270" s="87"/>
      <c r="CP1270" s="87"/>
      <c r="CQ1270" s="87"/>
      <c r="CR1270" s="87"/>
      <c r="CS1270" s="87"/>
      <c r="CT1270" s="87"/>
      <c r="CU1270" s="87"/>
      <c r="CV1270" s="87"/>
      <c r="CW1270" s="87"/>
      <c r="CX1270" s="87"/>
      <c r="CZ1270" s="87"/>
      <c r="DA1270" s="87"/>
      <c r="DB1270" s="87"/>
      <c r="DC1270" s="87"/>
      <c r="DD1270" s="87"/>
      <c r="DE1270" s="87"/>
      <c r="DF1270" s="87"/>
      <c r="DG1270" s="87"/>
      <c r="DH1270" s="87"/>
      <c r="DI1270" s="87"/>
      <c r="DJ1270" s="87"/>
      <c r="DL1270" s="87"/>
      <c r="DM1270" s="87"/>
      <c r="DN1270" s="87"/>
      <c r="DO1270" s="87"/>
      <c r="DP1270" s="87"/>
      <c r="DQ1270" s="87"/>
      <c r="DR1270" s="87"/>
      <c r="DS1270" s="87"/>
      <c r="DT1270" s="87"/>
      <c r="DU1270" s="87"/>
      <c r="DV1270" s="87"/>
      <c r="DX1270" s="87"/>
      <c r="DY1270" s="87"/>
      <c r="DZ1270" s="87"/>
      <c r="EA1270" s="87"/>
      <c r="EB1270" s="87"/>
      <c r="EC1270" s="87"/>
      <c r="ED1270" s="87"/>
      <c r="EE1270" s="87"/>
      <c r="EF1270" s="87"/>
      <c r="EG1270" s="87"/>
      <c r="EH1270" s="87"/>
      <c r="EJ1270" s="87"/>
      <c r="EK1270" s="87"/>
      <c r="EL1270" s="87"/>
      <c r="EM1270" s="87"/>
      <c r="EN1270" s="87"/>
      <c r="EO1270" s="87"/>
      <c r="EP1270" s="87"/>
      <c r="EQ1270" s="87"/>
      <c r="ER1270" s="87"/>
      <c r="ES1270" s="87"/>
      <c r="ET1270" s="87"/>
      <c r="EV1270" s="87"/>
      <c r="EW1270" s="87"/>
      <c r="EX1270" s="87"/>
      <c r="EY1270" s="87"/>
      <c r="EZ1270" s="87"/>
      <c r="FA1270" s="87"/>
      <c r="FB1270" s="87"/>
      <c r="FC1270" s="87"/>
      <c r="FD1270" s="87"/>
      <c r="FE1270" s="87"/>
      <c r="FF1270" s="87"/>
      <c r="FH1270" s="87"/>
      <c r="FI1270" s="87"/>
      <c r="FJ1270" s="87"/>
      <c r="FK1270" s="87"/>
      <c r="FL1270" s="87"/>
      <c r="FM1270" s="87"/>
      <c r="FN1270" s="87"/>
      <c r="FO1270" s="87"/>
    </row>
    <row r="1271" spans="1:171" ht="12.6" customHeight="1" x14ac:dyDescent="0.2">
      <c r="B1271" s="50" t="s">
        <v>785</v>
      </c>
      <c r="C1271" s="50" t="s">
        <v>473</v>
      </c>
      <c r="D1271" s="163"/>
      <c r="E1271" s="163"/>
      <c r="F1271" s="163"/>
      <c r="G1271" s="51"/>
      <c r="H1271" s="51"/>
      <c r="I1271" s="51"/>
      <c r="J1271" s="51"/>
      <c r="K1271" s="54"/>
      <c r="L1271" s="54"/>
      <c r="M1271" s="54"/>
      <c r="N1271" s="54"/>
      <c r="O1271" s="54"/>
      <c r="P1271" s="54"/>
      <c r="T1271" s="38"/>
    </row>
    <row r="1272" spans="1:171" ht="12.6" customHeight="1" x14ac:dyDescent="0.2">
      <c r="B1272" s="61" t="s">
        <v>565</v>
      </c>
      <c r="C1272" s="61" t="s">
        <v>570</v>
      </c>
      <c r="D1272" s="63"/>
      <c r="E1272" s="63"/>
      <c r="F1272" s="311"/>
      <c r="G1272" s="301"/>
      <c r="H1272" s="301"/>
      <c r="I1272" s="301"/>
      <c r="J1272" s="301"/>
      <c r="K1272" s="302"/>
      <c r="L1272" s="302"/>
      <c r="M1272" s="302">
        <f>M1273*M1286</f>
        <v>0</v>
      </c>
      <c r="N1272" s="302">
        <v>11200</v>
      </c>
      <c r="O1272" s="302">
        <v>11200</v>
      </c>
      <c r="P1272" s="302">
        <v>11200</v>
      </c>
      <c r="R1272" s="287"/>
    </row>
    <row r="1273" spans="1:171" ht="12.6" customHeight="1" x14ac:dyDescent="0.2">
      <c r="B1273" s="59" t="s">
        <v>474</v>
      </c>
      <c r="C1273" s="61" t="s">
        <v>476</v>
      </c>
      <c r="D1273" s="57"/>
      <c r="E1273" s="57"/>
      <c r="F1273" s="57"/>
      <c r="G1273" s="57"/>
      <c r="H1273" s="57"/>
      <c r="I1273" s="57"/>
      <c r="J1273" s="288"/>
      <c r="K1273" s="303"/>
      <c r="L1273" s="303"/>
      <c r="M1273" s="303"/>
      <c r="N1273" s="303">
        <f>N1272/N1286</f>
        <v>933.33333333333337</v>
      </c>
      <c r="O1273" s="303">
        <f>O1272/O1286</f>
        <v>622.22222222222217</v>
      </c>
      <c r="P1273" s="303">
        <f>P1272/P1286</f>
        <v>622.22222222222217</v>
      </c>
      <c r="R1273" s="37" t="s">
        <v>1856</v>
      </c>
    </row>
    <row r="1274" spans="1:171" ht="12.6" customHeight="1" x14ac:dyDescent="0.2">
      <c r="B1274" s="322" t="s">
        <v>227</v>
      </c>
      <c r="C1274" s="323" t="s">
        <v>477</v>
      </c>
      <c r="D1274" s="58"/>
      <c r="E1274" s="58"/>
      <c r="F1274" s="339"/>
      <c r="G1274" s="330"/>
      <c r="H1274" s="330"/>
      <c r="I1274" s="330"/>
      <c r="J1274" s="353"/>
      <c r="K1274" s="354"/>
      <c r="L1274" s="354"/>
      <c r="M1274" s="354"/>
      <c r="N1274" s="354">
        <v>0.05</v>
      </c>
      <c r="O1274" s="354">
        <v>0.05</v>
      </c>
      <c r="P1274" s="354">
        <v>0.05</v>
      </c>
      <c r="R1274" s="37" t="s">
        <v>1857</v>
      </c>
      <c r="S1274" s="38"/>
    </row>
    <row r="1275" spans="1:171" ht="12.6" customHeight="1" x14ac:dyDescent="0.2">
      <c r="B1275" s="59"/>
      <c r="C1275" s="61"/>
      <c r="D1275" s="57"/>
      <c r="E1275" s="57"/>
      <c r="F1275" s="288"/>
      <c r="G1275" s="57"/>
      <c r="H1275" s="57"/>
      <c r="I1275" s="57"/>
      <c r="J1275" s="57"/>
      <c r="K1275" s="68"/>
      <c r="L1275" s="68"/>
      <c r="M1275" s="68"/>
      <c r="N1275" s="68"/>
      <c r="O1275" s="68"/>
      <c r="P1275" s="68"/>
      <c r="R1275" s="37" t="s">
        <v>1858</v>
      </c>
    </row>
    <row r="1276" spans="1:171" ht="12.6" customHeight="1" x14ac:dyDescent="0.2">
      <c r="B1276" s="72" t="s">
        <v>303</v>
      </c>
      <c r="C1276" s="61" t="s">
        <v>4</v>
      </c>
      <c r="D1276" s="57"/>
      <c r="E1276" s="57"/>
      <c r="F1276" s="288"/>
      <c r="G1276" s="288"/>
      <c r="H1276" s="288"/>
      <c r="I1276" s="288"/>
      <c r="J1276" s="288"/>
      <c r="K1276" s="68"/>
      <c r="L1276" s="68"/>
      <c r="M1276" s="68">
        <f>M103</f>
        <v>0</v>
      </c>
      <c r="N1276" s="68">
        <f>N103</f>
        <v>30</v>
      </c>
      <c r="O1276" s="68">
        <f>O103</f>
        <v>30</v>
      </c>
      <c r="P1276" s="68">
        <f>P103</f>
        <v>30</v>
      </c>
      <c r="R1276" s="37" t="s">
        <v>1859</v>
      </c>
    </row>
    <row r="1277" spans="1:171" ht="12.6" customHeight="1" x14ac:dyDescent="0.2">
      <c r="B1277" s="202" t="s">
        <v>555</v>
      </c>
      <c r="C1277" s="326" t="s">
        <v>4</v>
      </c>
      <c r="D1277" s="58"/>
      <c r="E1277" s="58"/>
      <c r="F1277" s="330"/>
      <c r="G1277" s="330"/>
      <c r="H1277" s="330"/>
      <c r="I1277" s="330"/>
      <c r="J1277" s="330"/>
      <c r="K1277" s="324"/>
      <c r="L1277" s="324"/>
      <c r="M1277" s="324">
        <v>0.25</v>
      </c>
      <c r="N1277" s="324">
        <f>N1228</f>
        <v>0.33500000000000002</v>
      </c>
      <c r="O1277" s="324">
        <f>O1228</f>
        <v>0.55000000000000004</v>
      </c>
      <c r="P1277" s="324">
        <f>P1228</f>
        <v>0.7</v>
      </c>
    </row>
    <row r="1278" spans="1:171" ht="12.6" customHeight="1" x14ac:dyDescent="0.2">
      <c r="B1278" s="59"/>
      <c r="C1278" s="61"/>
      <c r="D1278" s="57"/>
      <c r="E1278" s="57"/>
      <c r="F1278" s="288"/>
      <c r="G1278" s="57"/>
      <c r="H1278" s="57"/>
      <c r="I1278" s="57"/>
      <c r="J1278" s="57"/>
      <c r="K1278" s="68"/>
      <c r="L1278" s="68"/>
      <c r="M1278" s="68"/>
      <c r="N1278" s="68"/>
      <c r="O1278" s="68"/>
      <c r="P1278" s="68"/>
      <c r="R1278" s="37">
        <f>11200/24</f>
        <v>466.66666666666669</v>
      </c>
      <c r="T1278" s="539"/>
    </row>
    <row r="1279" spans="1:171" ht="12.6" customHeight="1" x14ac:dyDescent="0.2">
      <c r="B1279" s="72" t="s">
        <v>489</v>
      </c>
      <c r="C1279" s="61"/>
      <c r="D1279" s="57"/>
      <c r="E1279" s="57"/>
      <c r="F1279" s="288"/>
      <c r="G1279" s="57"/>
      <c r="H1279" s="57"/>
      <c r="I1279" s="57"/>
      <c r="J1279" s="57"/>
      <c r="K1279" s="68"/>
      <c r="L1279" s="68"/>
      <c r="M1279" s="68"/>
      <c r="N1279" s="68"/>
      <c r="O1279" s="68"/>
      <c r="P1279" s="68"/>
    </row>
    <row r="1280" spans="1:171" ht="12.6" customHeight="1" x14ac:dyDescent="0.2">
      <c r="B1280" s="56" t="s">
        <v>279</v>
      </c>
      <c r="C1280" s="61"/>
      <c r="D1280" s="288"/>
      <c r="E1280" s="288"/>
      <c r="F1280" s="288"/>
      <c r="G1280" s="288"/>
      <c r="H1280" s="288"/>
      <c r="I1280" s="288"/>
      <c r="J1280" s="288"/>
      <c r="K1280" s="303"/>
      <c r="L1280" s="303"/>
      <c r="M1280" s="303">
        <f>M1276*M1277</f>
        <v>0</v>
      </c>
      <c r="N1280" s="303">
        <v>12</v>
      </c>
      <c r="O1280" s="303">
        <v>18</v>
      </c>
      <c r="P1280" s="303">
        <v>18</v>
      </c>
    </row>
    <row r="1281" spans="2:19" ht="12.6" customHeight="1" x14ac:dyDescent="0.2">
      <c r="B1281" s="56" t="s">
        <v>280</v>
      </c>
      <c r="C1281" s="61"/>
      <c r="D1281" s="288"/>
      <c r="E1281" s="288"/>
      <c r="F1281" s="288"/>
      <c r="G1281" s="288"/>
      <c r="H1281" s="288"/>
      <c r="I1281" s="288"/>
      <c r="J1281" s="288"/>
      <c r="K1281" s="303"/>
      <c r="L1281" s="303"/>
      <c r="M1281" s="303">
        <f t="shared" ref="M1281:P1285" si="1140">L1281*(1+M1290)</f>
        <v>0</v>
      </c>
      <c r="N1281" s="303">
        <f t="shared" si="1140"/>
        <v>0</v>
      </c>
      <c r="O1281" s="303">
        <f t="shared" si="1140"/>
        <v>0</v>
      </c>
      <c r="P1281" s="303">
        <f t="shared" si="1140"/>
        <v>0</v>
      </c>
      <c r="S1281" s="38"/>
    </row>
    <row r="1282" spans="2:19" ht="12.6" customHeight="1" x14ac:dyDescent="0.2">
      <c r="B1282" s="56" t="s">
        <v>281</v>
      </c>
      <c r="C1282" s="61"/>
      <c r="D1282" s="288"/>
      <c r="E1282" s="288"/>
      <c r="F1282" s="288"/>
      <c r="G1282" s="288"/>
      <c r="H1282" s="288"/>
      <c r="I1282" s="288"/>
      <c r="J1282" s="288"/>
      <c r="K1282" s="303"/>
      <c r="L1282" s="303"/>
      <c r="M1282" s="303">
        <f t="shared" si="1140"/>
        <v>0</v>
      </c>
      <c r="N1282" s="303">
        <f t="shared" si="1140"/>
        <v>0</v>
      </c>
      <c r="O1282" s="303">
        <f t="shared" si="1140"/>
        <v>0</v>
      </c>
      <c r="P1282" s="303">
        <f t="shared" si="1140"/>
        <v>0</v>
      </c>
    </row>
    <row r="1283" spans="2:19" ht="12.6" customHeight="1" x14ac:dyDescent="0.2">
      <c r="B1283" s="56" t="s">
        <v>282</v>
      </c>
      <c r="C1283" s="61"/>
      <c r="D1283" s="288"/>
      <c r="E1283" s="288"/>
      <c r="F1283" s="288"/>
      <c r="G1283" s="288"/>
      <c r="H1283" s="288"/>
      <c r="I1283" s="288"/>
      <c r="J1283" s="288"/>
      <c r="K1283" s="303"/>
      <c r="L1283" s="303"/>
      <c r="M1283" s="303">
        <f t="shared" si="1140"/>
        <v>0</v>
      </c>
      <c r="N1283" s="303">
        <f t="shared" si="1140"/>
        <v>0</v>
      </c>
      <c r="O1283" s="303">
        <f t="shared" si="1140"/>
        <v>0</v>
      </c>
      <c r="P1283" s="303">
        <f t="shared" si="1140"/>
        <v>0</v>
      </c>
    </row>
    <row r="1284" spans="2:19" ht="12.6" customHeight="1" x14ac:dyDescent="0.2">
      <c r="B1284" s="56" t="s">
        <v>283</v>
      </c>
      <c r="C1284" s="61"/>
      <c r="D1284" s="288"/>
      <c r="E1284" s="288"/>
      <c r="F1284" s="288"/>
      <c r="G1284" s="288"/>
      <c r="H1284" s="288"/>
      <c r="I1284" s="288"/>
      <c r="J1284" s="288"/>
      <c r="K1284" s="303"/>
      <c r="L1284" s="303"/>
      <c r="M1284" s="303">
        <f t="shared" si="1140"/>
        <v>0</v>
      </c>
      <c r="N1284" s="303">
        <f t="shared" si="1140"/>
        <v>0</v>
      </c>
      <c r="O1284" s="303">
        <f t="shared" si="1140"/>
        <v>0</v>
      </c>
      <c r="P1284" s="303">
        <f t="shared" si="1140"/>
        <v>0</v>
      </c>
      <c r="S1284" s="38"/>
    </row>
    <row r="1285" spans="2:19" ht="12.6" customHeight="1" x14ac:dyDescent="0.2">
      <c r="B1285" s="56" t="s">
        <v>284</v>
      </c>
      <c r="C1285" s="61"/>
      <c r="D1285" s="288"/>
      <c r="E1285" s="288"/>
      <c r="F1285" s="288"/>
      <c r="G1285" s="288"/>
      <c r="H1285" s="288"/>
      <c r="I1285" s="288"/>
      <c r="J1285" s="288"/>
      <c r="K1285" s="303"/>
      <c r="L1285" s="303"/>
      <c r="M1285" s="303">
        <f t="shared" si="1140"/>
        <v>0</v>
      </c>
      <c r="N1285" s="303">
        <f t="shared" si="1140"/>
        <v>0</v>
      </c>
      <c r="O1285" s="303">
        <f t="shared" si="1140"/>
        <v>0</v>
      </c>
      <c r="P1285" s="303">
        <f t="shared" si="1140"/>
        <v>0</v>
      </c>
    </row>
    <row r="1286" spans="2:19" ht="12.6" customHeight="1" x14ac:dyDescent="0.2">
      <c r="B1286" s="72" t="s">
        <v>551</v>
      </c>
      <c r="C1286" s="95"/>
      <c r="D1286" s="63"/>
      <c r="E1286" s="63"/>
      <c r="F1286" s="63"/>
      <c r="G1286" s="63"/>
      <c r="H1286" s="63"/>
      <c r="I1286" s="63"/>
      <c r="J1286" s="63"/>
      <c r="K1286" s="64"/>
      <c r="L1286" s="64"/>
      <c r="M1286" s="64">
        <f>SUM(M1280:M1285)</f>
        <v>0</v>
      </c>
      <c r="N1286" s="64">
        <f>SUM(N1280:N1285)</f>
        <v>12</v>
      </c>
      <c r="O1286" s="64">
        <f>SUM(O1280:O1285)</f>
        <v>18</v>
      </c>
      <c r="P1286" s="64">
        <f>SUM(P1280:P1285)</f>
        <v>18</v>
      </c>
      <c r="S1286" s="38"/>
    </row>
    <row r="1287" spans="2:19" ht="12.6" customHeight="1" x14ac:dyDescent="0.2">
      <c r="B1287" s="72"/>
      <c r="C1287" s="95"/>
      <c r="D1287" s="63"/>
      <c r="E1287" s="63"/>
      <c r="F1287" s="63"/>
      <c r="G1287" s="63"/>
      <c r="H1287" s="63"/>
      <c r="I1287" s="63"/>
      <c r="J1287" s="63"/>
      <c r="K1287" s="64"/>
      <c r="L1287" s="64"/>
      <c r="M1287" s="64"/>
      <c r="N1287" s="64"/>
      <c r="O1287" s="64"/>
      <c r="P1287" s="64"/>
    </row>
    <row r="1288" spans="2:19" ht="12.6" customHeight="1" x14ac:dyDescent="0.2">
      <c r="B1288" s="116" t="s">
        <v>227</v>
      </c>
      <c r="C1288" s="61"/>
      <c r="D1288" s="63"/>
      <c r="E1288" s="63"/>
      <c r="F1288" s="63"/>
      <c r="G1288" s="63"/>
      <c r="H1288" s="63"/>
      <c r="I1288" s="63"/>
      <c r="J1288" s="63"/>
      <c r="K1288" s="68"/>
      <c r="L1288" s="68"/>
      <c r="M1288" s="68"/>
      <c r="N1288" s="68"/>
      <c r="O1288" s="68"/>
      <c r="P1288" s="68"/>
    </row>
    <row r="1289" spans="2:19" ht="12.6" customHeight="1" x14ac:dyDescent="0.2">
      <c r="B1289" s="322" t="s">
        <v>279</v>
      </c>
      <c r="C1289" s="355"/>
      <c r="D1289" s="113"/>
      <c r="E1289" s="113"/>
      <c r="F1289" s="113"/>
      <c r="G1289" s="113"/>
      <c r="H1289" s="113"/>
      <c r="I1289" s="113"/>
      <c r="J1289" s="113"/>
      <c r="K1289" s="356">
        <v>0</v>
      </c>
      <c r="L1289" s="356">
        <v>0</v>
      </c>
      <c r="M1289" s="356">
        <v>0</v>
      </c>
      <c r="N1289" s="356">
        <v>0</v>
      </c>
      <c r="O1289" s="356">
        <v>0</v>
      </c>
      <c r="P1289" s="356">
        <v>0</v>
      </c>
    </row>
    <row r="1290" spans="2:19" ht="12.6" customHeight="1" x14ac:dyDescent="0.2">
      <c r="B1290" s="322" t="s">
        <v>280</v>
      </c>
      <c r="C1290" s="355"/>
      <c r="D1290" s="113"/>
      <c r="E1290" s="113"/>
      <c r="F1290" s="113"/>
      <c r="G1290" s="113"/>
      <c r="H1290" s="113"/>
      <c r="I1290" s="113"/>
      <c r="J1290" s="113"/>
      <c r="K1290" s="356">
        <v>0.05</v>
      </c>
      <c r="L1290" s="356">
        <v>0.05</v>
      </c>
      <c r="M1290" s="356">
        <v>0.05</v>
      </c>
      <c r="N1290" s="356">
        <v>0.05</v>
      </c>
      <c r="O1290" s="356">
        <v>0.05</v>
      </c>
      <c r="P1290" s="356">
        <v>0.05</v>
      </c>
    </row>
    <row r="1291" spans="2:19" ht="12.6" customHeight="1" x14ac:dyDescent="0.2">
      <c r="B1291" s="322" t="s">
        <v>281</v>
      </c>
      <c r="C1291" s="355"/>
      <c r="D1291" s="113"/>
      <c r="E1291" s="113"/>
      <c r="F1291" s="113"/>
      <c r="G1291" s="113"/>
      <c r="H1291" s="113"/>
      <c r="I1291" s="113"/>
      <c r="J1291" s="113"/>
      <c r="K1291" s="356">
        <v>0</v>
      </c>
      <c r="L1291" s="356">
        <v>0</v>
      </c>
      <c r="M1291" s="356">
        <v>0</v>
      </c>
      <c r="N1291" s="356">
        <v>0</v>
      </c>
      <c r="O1291" s="356">
        <v>0</v>
      </c>
      <c r="P1291" s="356">
        <v>0</v>
      </c>
    </row>
    <row r="1292" spans="2:19" ht="12.6" customHeight="1" x14ac:dyDescent="0.2">
      <c r="B1292" s="322" t="s">
        <v>282</v>
      </c>
      <c r="C1292" s="355"/>
      <c r="D1292" s="113"/>
      <c r="E1292" s="113"/>
      <c r="F1292" s="113"/>
      <c r="G1292" s="113"/>
      <c r="H1292" s="113"/>
      <c r="I1292" s="113"/>
      <c r="J1292" s="113"/>
      <c r="K1292" s="356">
        <v>0</v>
      </c>
      <c r="L1292" s="356">
        <v>0</v>
      </c>
      <c r="M1292" s="356">
        <v>0</v>
      </c>
      <c r="N1292" s="356">
        <v>0</v>
      </c>
      <c r="O1292" s="356">
        <v>0</v>
      </c>
      <c r="P1292" s="356">
        <v>0</v>
      </c>
    </row>
    <row r="1293" spans="2:19" ht="12.6" customHeight="1" x14ac:dyDescent="0.2">
      <c r="B1293" s="322" t="s">
        <v>283</v>
      </c>
      <c r="C1293" s="355"/>
      <c r="D1293" s="113"/>
      <c r="E1293" s="113"/>
      <c r="F1293" s="113"/>
      <c r="G1293" s="113"/>
      <c r="H1293" s="113"/>
      <c r="I1293" s="113"/>
      <c r="J1293" s="113"/>
      <c r="K1293" s="356">
        <v>0.05</v>
      </c>
      <c r="L1293" s="356">
        <v>0.05</v>
      </c>
      <c r="M1293" s="356">
        <v>0.05</v>
      </c>
      <c r="N1293" s="356">
        <v>0.05</v>
      </c>
      <c r="O1293" s="356">
        <v>0.05</v>
      </c>
      <c r="P1293" s="356">
        <v>0.05</v>
      </c>
    </row>
    <row r="1294" spans="2:19" ht="12.6" customHeight="1" x14ac:dyDescent="0.2">
      <c r="B1294" s="322" t="s">
        <v>284</v>
      </c>
      <c r="C1294" s="355"/>
      <c r="D1294" s="113"/>
      <c r="E1294" s="113"/>
      <c r="F1294" s="113"/>
      <c r="G1294" s="113"/>
      <c r="H1294" s="113"/>
      <c r="I1294" s="113"/>
      <c r="J1294" s="113"/>
      <c r="K1294" s="356">
        <v>0</v>
      </c>
      <c r="L1294" s="356">
        <v>0</v>
      </c>
      <c r="M1294" s="356">
        <v>0</v>
      </c>
      <c r="N1294" s="356">
        <v>0</v>
      </c>
      <c r="O1294" s="356">
        <v>0</v>
      </c>
      <c r="P1294" s="356">
        <v>0</v>
      </c>
    </row>
    <row r="1295" spans="2:19" ht="12.6" customHeight="1" x14ac:dyDescent="0.2">
      <c r="B1295" s="331" t="s">
        <v>551</v>
      </c>
      <c r="C1295" s="358"/>
      <c r="D1295" s="117"/>
      <c r="E1295" s="117"/>
      <c r="F1295" s="117"/>
      <c r="G1295" s="117"/>
      <c r="H1295" s="117"/>
      <c r="I1295" s="117"/>
      <c r="J1295" s="117"/>
      <c r="K1295" s="204">
        <f t="shared" ref="K1295:P1295" si="1141">IFERROR(K1286/J1286-1,0)</f>
        <v>0</v>
      </c>
      <c r="L1295" s="204">
        <f t="shared" si="1141"/>
        <v>0</v>
      </c>
      <c r="M1295" s="204">
        <f t="shared" si="1141"/>
        <v>0</v>
      </c>
      <c r="N1295" s="204">
        <f t="shared" si="1141"/>
        <v>0</v>
      </c>
      <c r="O1295" s="204">
        <f t="shared" si="1141"/>
        <v>0.5</v>
      </c>
      <c r="P1295" s="204">
        <f t="shared" si="1141"/>
        <v>0</v>
      </c>
    </row>
    <row r="1296" spans="2:19" ht="12.6" customHeight="1" x14ac:dyDescent="0.2">
      <c r="B1296" s="201"/>
      <c r="C1296" s="326"/>
      <c r="D1296" s="335"/>
      <c r="E1296" s="335"/>
      <c r="F1296" s="335"/>
      <c r="G1296" s="335"/>
      <c r="H1296" s="335"/>
      <c r="I1296" s="335"/>
      <c r="J1296" s="335"/>
      <c r="K1296" s="357"/>
      <c r="L1296" s="357"/>
      <c r="M1296" s="357"/>
      <c r="N1296" s="357"/>
      <c r="O1296" s="357"/>
      <c r="P1296" s="357"/>
    </row>
    <row r="1297" spans="2:16" ht="12.6" customHeight="1" x14ac:dyDescent="0.2">
      <c r="B1297" s="331" t="s">
        <v>287</v>
      </c>
      <c r="C1297" s="326"/>
      <c r="D1297" s="335"/>
      <c r="E1297" s="335"/>
      <c r="F1297" s="335"/>
      <c r="G1297" s="335"/>
      <c r="H1297" s="335"/>
      <c r="I1297" s="335"/>
      <c r="J1297" s="335"/>
      <c r="K1297" s="357"/>
      <c r="L1297" s="357"/>
      <c r="M1297" s="357"/>
      <c r="N1297" s="357"/>
      <c r="O1297" s="357"/>
      <c r="P1297" s="357"/>
    </row>
    <row r="1298" spans="2:16" ht="12.6" customHeight="1" x14ac:dyDescent="0.2">
      <c r="B1298" s="322" t="s">
        <v>279</v>
      </c>
      <c r="C1298" s="326"/>
      <c r="D1298" s="113"/>
      <c r="E1298" s="113"/>
      <c r="F1298" s="113"/>
      <c r="G1298" s="113"/>
      <c r="H1298" s="113"/>
      <c r="I1298" s="113"/>
      <c r="J1298" s="113"/>
      <c r="K1298" s="197">
        <f t="shared" ref="K1298:P1298" si="1142">K1280/K$894</f>
        <v>0</v>
      </c>
      <c r="L1298" s="197">
        <f t="shared" si="1142"/>
        <v>0</v>
      </c>
      <c r="M1298" s="197">
        <f t="shared" si="1142"/>
        <v>0</v>
      </c>
      <c r="N1298" s="197">
        <f t="shared" si="1142"/>
        <v>3.4993074287380619</v>
      </c>
      <c r="O1298" s="197">
        <f t="shared" si="1142"/>
        <v>4.9518501350066906</v>
      </c>
      <c r="P1298" s="197">
        <f t="shared" si="1142"/>
        <v>4.671556731138387</v>
      </c>
    </row>
    <row r="1299" spans="2:16" ht="12.6" customHeight="1" x14ac:dyDescent="0.2">
      <c r="B1299" s="322" t="s">
        <v>280</v>
      </c>
      <c r="C1299" s="326"/>
      <c r="D1299" s="113"/>
      <c r="E1299" s="113"/>
      <c r="F1299" s="113"/>
      <c r="G1299" s="113"/>
      <c r="H1299" s="113"/>
      <c r="I1299" s="113"/>
      <c r="J1299" s="113"/>
      <c r="K1299" s="197">
        <f t="shared" ref="K1299:P1299" si="1143">K1281/K$894</f>
        <v>0</v>
      </c>
      <c r="L1299" s="197">
        <f t="shared" si="1143"/>
        <v>0</v>
      </c>
      <c r="M1299" s="197">
        <f t="shared" si="1143"/>
        <v>0</v>
      </c>
      <c r="N1299" s="197">
        <f t="shared" si="1143"/>
        <v>0</v>
      </c>
      <c r="O1299" s="197">
        <f t="shared" si="1143"/>
        <v>0</v>
      </c>
      <c r="P1299" s="197">
        <f t="shared" si="1143"/>
        <v>0</v>
      </c>
    </row>
    <row r="1300" spans="2:16" ht="12.6" customHeight="1" x14ac:dyDescent="0.2">
      <c r="B1300" s="322" t="s">
        <v>281</v>
      </c>
      <c r="C1300" s="326"/>
      <c r="D1300" s="113"/>
      <c r="E1300" s="113"/>
      <c r="F1300" s="113"/>
      <c r="G1300" s="113"/>
      <c r="H1300" s="113"/>
      <c r="I1300" s="113"/>
      <c r="J1300" s="113"/>
      <c r="K1300" s="197">
        <f t="shared" ref="K1300:P1300" si="1144">K1282/K$894</f>
        <v>0</v>
      </c>
      <c r="L1300" s="197">
        <f t="shared" si="1144"/>
        <v>0</v>
      </c>
      <c r="M1300" s="197">
        <f t="shared" si="1144"/>
        <v>0</v>
      </c>
      <c r="N1300" s="197">
        <f t="shared" si="1144"/>
        <v>0</v>
      </c>
      <c r="O1300" s="197">
        <f t="shared" si="1144"/>
        <v>0</v>
      </c>
      <c r="P1300" s="197">
        <f t="shared" si="1144"/>
        <v>0</v>
      </c>
    </row>
    <row r="1301" spans="2:16" ht="12.6" customHeight="1" x14ac:dyDescent="0.2">
      <c r="B1301" s="322" t="s">
        <v>282</v>
      </c>
      <c r="C1301" s="326"/>
      <c r="D1301" s="113"/>
      <c r="E1301" s="113"/>
      <c r="F1301" s="113"/>
      <c r="G1301" s="113"/>
      <c r="H1301" s="113"/>
      <c r="I1301" s="113"/>
      <c r="J1301" s="113"/>
      <c r="K1301" s="197">
        <f t="shared" ref="K1301:P1301" si="1145">K1283/K$894</f>
        <v>0</v>
      </c>
      <c r="L1301" s="197">
        <f t="shared" si="1145"/>
        <v>0</v>
      </c>
      <c r="M1301" s="197">
        <f t="shared" si="1145"/>
        <v>0</v>
      </c>
      <c r="N1301" s="197">
        <f t="shared" si="1145"/>
        <v>0</v>
      </c>
      <c r="O1301" s="197">
        <f t="shared" si="1145"/>
        <v>0</v>
      </c>
      <c r="P1301" s="197">
        <f t="shared" si="1145"/>
        <v>0</v>
      </c>
    </row>
    <row r="1302" spans="2:16" ht="12.6" customHeight="1" x14ac:dyDescent="0.2">
      <c r="B1302" s="322" t="s">
        <v>283</v>
      </c>
      <c r="C1302" s="326"/>
      <c r="D1302" s="113"/>
      <c r="E1302" s="113"/>
      <c r="F1302" s="113"/>
      <c r="G1302" s="113"/>
      <c r="H1302" s="113"/>
      <c r="I1302" s="113"/>
      <c r="J1302" s="113"/>
      <c r="K1302" s="197">
        <f t="shared" ref="K1302:P1302" si="1146">K1284/K$894</f>
        <v>0</v>
      </c>
      <c r="L1302" s="197">
        <f t="shared" si="1146"/>
        <v>0</v>
      </c>
      <c r="M1302" s="197">
        <f t="shared" si="1146"/>
        <v>0</v>
      </c>
      <c r="N1302" s="197">
        <f t="shared" si="1146"/>
        <v>0</v>
      </c>
      <c r="O1302" s="197">
        <f t="shared" si="1146"/>
        <v>0</v>
      </c>
      <c r="P1302" s="197">
        <f t="shared" si="1146"/>
        <v>0</v>
      </c>
    </row>
    <row r="1303" spans="2:16" ht="12.6" customHeight="1" x14ac:dyDescent="0.2">
      <c r="B1303" s="322" t="s">
        <v>284</v>
      </c>
      <c r="C1303" s="326"/>
      <c r="D1303" s="113"/>
      <c r="E1303" s="113"/>
      <c r="F1303" s="113"/>
      <c r="G1303" s="113"/>
      <c r="H1303" s="113"/>
      <c r="I1303" s="113"/>
      <c r="J1303" s="113"/>
      <c r="K1303" s="197">
        <f t="shared" ref="K1303:P1303" si="1147">K1285/K$894</f>
        <v>0</v>
      </c>
      <c r="L1303" s="197">
        <f t="shared" si="1147"/>
        <v>0</v>
      </c>
      <c r="M1303" s="197">
        <f t="shared" si="1147"/>
        <v>0</v>
      </c>
      <c r="N1303" s="197">
        <f t="shared" si="1147"/>
        <v>0</v>
      </c>
      <c r="O1303" s="197">
        <f t="shared" si="1147"/>
        <v>0</v>
      </c>
      <c r="P1303" s="197">
        <f t="shared" si="1147"/>
        <v>0</v>
      </c>
    </row>
    <row r="1304" spans="2:16" ht="12.6" customHeight="1" x14ac:dyDescent="0.2">
      <c r="B1304" s="359" t="s">
        <v>551</v>
      </c>
      <c r="C1304" s="327"/>
      <c r="D1304" s="117"/>
      <c r="E1304" s="117"/>
      <c r="F1304" s="117"/>
      <c r="G1304" s="117"/>
      <c r="H1304" s="117"/>
      <c r="I1304" s="117"/>
      <c r="J1304" s="117"/>
      <c r="K1304" s="204">
        <f t="shared" ref="K1304:P1304" si="1148">K1286/K$894</f>
        <v>0</v>
      </c>
      <c r="L1304" s="204">
        <f t="shared" si="1148"/>
        <v>0</v>
      </c>
      <c r="M1304" s="204">
        <f t="shared" si="1148"/>
        <v>0</v>
      </c>
      <c r="N1304" s="204">
        <f t="shared" si="1148"/>
        <v>3.4993074287380619</v>
      </c>
      <c r="O1304" s="204">
        <f t="shared" si="1148"/>
        <v>4.9518501350066906</v>
      </c>
      <c r="P1304" s="204">
        <f t="shared" si="1148"/>
        <v>4.671556731138387</v>
      </c>
    </row>
    <row r="1305" spans="2:16" ht="12.6" customHeight="1" x14ac:dyDescent="0.2">
      <c r="B1305" s="56"/>
      <c r="C1305" s="61"/>
      <c r="D1305" s="57"/>
      <c r="E1305" s="57"/>
      <c r="F1305" s="57"/>
      <c r="G1305" s="57"/>
      <c r="H1305" s="57"/>
      <c r="I1305" s="57"/>
      <c r="J1305" s="57"/>
      <c r="K1305" s="68"/>
      <c r="L1305" s="68"/>
      <c r="M1305" s="68"/>
      <c r="N1305" s="68"/>
      <c r="O1305" s="68"/>
      <c r="P1305" s="68"/>
    </row>
    <row r="1306" spans="2:16" ht="12.6" customHeight="1" x14ac:dyDescent="0.2">
      <c r="B1306" s="56" t="s">
        <v>563</v>
      </c>
      <c r="C1306" s="61" t="s">
        <v>566</v>
      </c>
      <c r="D1306" s="57"/>
      <c r="E1306" s="57"/>
      <c r="F1306" s="57"/>
      <c r="G1306" s="57"/>
      <c r="H1306" s="57"/>
      <c r="I1306" s="57"/>
      <c r="J1306" s="57"/>
      <c r="K1306" s="68">
        <f t="shared" ref="K1306:P1306" si="1149">K1308-K1307</f>
        <v>0</v>
      </c>
      <c r="L1306" s="68">
        <f t="shared" si="1149"/>
        <v>0</v>
      </c>
      <c r="M1306" s="68">
        <f t="shared" si="1149"/>
        <v>0</v>
      </c>
      <c r="N1306" s="68">
        <f t="shared" si="1149"/>
        <v>12</v>
      </c>
      <c r="O1306" s="68">
        <f t="shared" si="1149"/>
        <v>18</v>
      </c>
      <c r="P1306" s="68">
        <f t="shared" si="1149"/>
        <v>18</v>
      </c>
    </row>
    <row r="1307" spans="2:16" ht="12.6" customHeight="1" x14ac:dyDescent="0.2">
      <c r="B1307" s="56" t="s">
        <v>299</v>
      </c>
      <c r="C1307" s="61" t="s">
        <v>566</v>
      </c>
      <c r="D1307" s="57"/>
      <c r="E1307" s="57"/>
      <c r="F1307" s="57"/>
      <c r="G1307" s="57"/>
      <c r="H1307" s="57"/>
      <c r="I1307" s="57"/>
      <c r="J1307" s="57"/>
      <c r="K1307" s="68">
        <f t="shared" ref="K1307:P1307" si="1150">K1308*K1317</f>
        <v>0</v>
      </c>
      <c r="L1307" s="68">
        <f t="shared" si="1150"/>
        <v>0</v>
      </c>
      <c r="M1307" s="68">
        <f t="shared" si="1150"/>
        <v>0</v>
      </c>
      <c r="N1307" s="68">
        <f t="shared" si="1150"/>
        <v>0</v>
      </c>
      <c r="O1307" s="68">
        <f t="shared" si="1150"/>
        <v>0</v>
      </c>
      <c r="P1307" s="68">
        <f t="shared" si="1150"/>
        <v>0</v>
      </c>
    </row>
    <row r="1308" spans="2:16" ht="12.6" customHeight="1" x14ac:dyDescent="0.2">
      <c r="B1308" s="72" t="s">
        <v>551</v>
      </c>
      <c r="C1308" s="61"/>
      <c r="D1308" s="63"/>
      <c r="E1308" s="63"/>
      <c r="F1308" s="63"/>
      <c r="G1308" s="63"/>
      <c r="H1308" s="63"/>
      <c r="I1308" s="63"/>
      <c r="J1308" s="63"/>
      <c r="K1308" s="64">
        <f t="shared" ref="K1308:P1308" si="1151">K1286</f>
        <v>0</v>
      </c>
      <c r="L1308" s="64">
        <f t="shared" si="1151"/>
        <v>0</v>
      </c>
      <c r="M1308" s="64">
        <f t="shared" si="1151"/>
        <v>0</v>
      </c>
      <c r="N1308" s="64">
        <f t="shared" si="1151"/>
        <v>12</v>
      </c>
      <c r="O1308" s="64">
        <f t="shared" si="1151"/>
        <v>18</v>
      </c>
      <c r="P1308" s="64">
        <f t="shared" si="1151"/>
        <v>18</v>
      </c>
    </row>
    <row r="1309" spans="2:16" ht="12.6" customHeight="1" x14ac:dyDescent="0.2">
      <c r="B1309" s="72"/>
      <c r="C1309" s="61"/>
      <c r="D1309" s="63"/>
      <c r="E1309" s="63"/>
      <c r="F1309" s="63"/>
      <c r="G1309" s="63"/>
      <c r="H1309" s="63"/>
      <c r="I1309" s="63"/>
      <c r="J1309" s="63"/>
      <c r="K1309" s="64"/>
      <c r="L1309" s="64"/>
      <c r="M1309" s="64"/>
      <c r="N1309" s="64"/>
      <c r="O1309" s="64"/>
      <c r="P1309" s="64"/>
    </row>
    <row r="1310" spans="2:16" ht="12.6" customHeight="1" x14ac:dyDescent="0.2">
      <c r="B1310" s="331" t="s">
        <v>227</v>
      </c>
      <c r="C1310" s="326"/>
      <c r="D1310" s="335"/>
      <c r="E1310" s="335"/>
      <c r="F1310" s="335"/>
      <c r="G1310" s="335"/>
      <c r="H1310" s="335"/>
      <c r="I1310" s="335"/>
      <c r="J1310" s="335"/>
      <c r="K1310" s="336"/>
      <c r="L1310" s="336"/>
      <c r="M1310" s="336"/>
      <c r="N1310" s="336"/>
      <c r="O1310" s="336"/>
      <c r="P1310" s="336"/>
    </row>
    <row r="1311" spans="2:16" ht="12.6" customHeight="1" x14ac:dyDescent="0.2">
      <c r="B1311" s="322" t="s">
        <v>563</v>
      </c>
      <c r="C1311" s="326"/>
      <c r="D1311" s="113"/>
      <c r="E1311" s="113"/>
      <c r="F1311" s="113"/>
      <c r="G1311" s="113"/>
      <c r="H1311" s="113"/>
      <c r="I1311" s="113"/>
      <c r="J1311" s="113"/>
      <c r="K1311" s="197" t="str">
        <f t="shared" ref="K1311:P1311" si="1152">IFERROR(K1306/J1306-1,"--")</f>
        <v>--</v>
      </c>
      <c r="L1311" s="197" t="str">
        <f t="shared" si="1152"/>
        <v>--</v>
      </c>
      <c r="M1311" s="197" t="str">
        <f t="shared" si="1152"/>
        <v>--</v>
      </c>
      <c r="N1311" s="197" t="str">
        <f t="shared" si="1152"/>
        <v>--</v>
      </c>
      <c r="O1311" s="197">
        <f t="shared" si="1152"/>
        <v>0.5</v>
      </c>
      <c r="P1311" s="197">
        <f t="shared" si="1152"/>
        <v>0</v>
      </c>
    </row>
    <row r="1312" spans="2:16" ht="12.6" customHeight="1" x14ac:dyDescent="0.2">
      <c r="B1312" s="322" t="s">
        <v>299</v>
      </c>
      <c r="C1312" s="326"/>
      <c r="D1312" s="113"/>
      <c r="E1312" s="113"/>
      <c r="F1312" s="113"/>
      <c r="G1312" s="113"/>
      <c r="H1312" s="113"/>
      <c r="I1312" s="113"/>
      <c r="J1312" s="113"/>
      <c r="K1312" s="197" t="str">
        <f t="shared" ref="K1312:P1312" si="1153">IFERROR(K1307/J1307-1,"--")</f>
        <v>--</v>
      </c>
      <c r="L1312" s="197" t="str">
        <f t="shared" si="1153"/>
        <v>--</v>
      </c>
      <c r="M1312" s="197" t="str">
        <f t="shared" si="1153"/>
        <v>--</v>
      </c>
      <c r="N1312" s="197" t="str">
        <f t="shared" si="1153"/>
        <v>--</v>
      </c>
      <c r="O1312" s="197" t="str">
        <f t="shared" si="1153"/>
        <v>--</v>
      </c>
      <c r="P1312" s="197" t="str">
        <f t="shared" si="1153"/>
        <v>--</v>
      </c>
    </row>
    <row r="1313" spans="1:171" ht="12.6" customHeight="1" x14ac:dyDescent="0.2">
      <c r="B1313" s="331" t="s">
        <v>551</v>
      </c>
      <c r="C1313" s="327"/>
      <c r="D1313" s="117"/>
      <c r="E1313" s="117"/>
      <c r="F1313" s="117"/>
      <c r="G1313" s="117"/>
      <c r="H1313" s="117"/>
      <c r="I1313" s="117"/>
      <c r="J1313" s="117"/>
      <c r="K1313" s="204" t="str">
        <f t="shared" ref="K1313:P1313" si="1154">IFERROR(K1308/J1308-1,"--")</f>
        <v>--</v>
      </c>
      <c r="L1313" s="204" t="str">
        <f t="shared" si="1154"/>
        <v>--</v>
      </c>
      <c r="M1313" s="204" t="str">
        <f t="shared" si="1154"/>
        <v>--</v>
      </c>
      <c r="N1313" s="204" t="str">
        <f t="shared" si="1154"/>
        <v>--</v>
      </c>
      <c r="O1313" s="204">
        <f t="shared" si="1154"/>
        <v>0.5</v>
      </c>
      <c r="P1313" s="204">
        <f t="shared" si="1154"/>
        <v>0</v>
      </c>
    </row>
    <row r="1314" spans="1:171" ht="12.6" customHeight="1" x14ac:dyDescent="0.2">
      <c r="B1314" s="331"/>
      <c r="C1314" s="326"/>
      <c r="D1314" s="335"/>
      <c r="E1314" s="335"/>
      <c r="F1314" s="335"/>
      <c r="G1314" s="335"/>
      <c r="H1314" s="335"/>
      <c r="I1314" s="335"/>
      <c r="J1314" s="335"/>
      <c r="K1314" s="336"/>
      <c r="L1314" s="336"/>
      <c r="M1314" s="336"/>
      <c r="N1314" s="336"/>
      <c r="O1314" s="336"/>
      <c r="P1314" s="336"/>
    </row>
    <row r="1315" spans="1:171" ht="12.6" customHeight="1" x14ac:dyDescent="0.2">
      <c r="B1315" s="331" t="s">
        <v>287</v>
      </c>
      <c r="C1315" s="326"/>
      <c r="D1315" s="335"/>
      <c r="E1315" s="335"/>
      <c r="F1315" s="335"/>
      <c r="G1315" s="335"/>
      <c r="H1315" s="335"/>
      <c r="I1315" s="335"/>
      <c r="J1315" s="335"/>
      <c r="K1315" s="336"/>
      <c r="L1315" s="336"/>
      <c r="M1315" s="336"/>
      <c r="N1315" s="336"/>
      <c r="O1315" s="336"/>
      <c r="P1315" s="336"/>
    </row>
    <row r="1316" spans="1:171" ht="12.6" customHeight="1" x14ac:dyDescent="0.2">
      <c r="B1316" s="322" t="s">
        <v>563</v>
      </c>
      <c r="C1316" s="326"/>
      <c r="D1316" s="113"/>
      <c r="E1316" s="113"/>
      <c r="F1316" s="113"/>
      <c r="G1316" s="113"/>
      <c r="H1316" s="113"/>
      <c r="I1316" s="113"/>
      <c r="J1316" s="113"/>
      <c r="K1316" s="197">
        <f t="shared" ref="K1316:P1316" si="1155">1-K1317</f>
        <v>1</v>
      </c>
      <c r="L1316" s="197">
        <f t="shared" si="1155"/>
        <v>1</v>
      </c>
      <c r="M1316" s="197">
        <f t="shared" si="1155"/>
        <v>1</v>
      </c>
      <c r="N1316" s="197">
        <f t="shared" si="1155"/>
        <v>1</v>
      </c>
      <c r="O1316" s="197">
        <f t="shared" si="1155"/>
        <v>1</v>
      </c>
      <c r="P1316" s="197">
        <f t="shared" si="1155"/>
        <v>1</v>
      </c>
    </row>
    <row r="1317" spans="1:171" ht="12.6" customHeight="1" x14ac:dyDescent="0.2">
      <c r="B1317" s="359" t="s">
        <v>299</v>
      </c>
      <c r="C1317" s="327"/>
      <c r="D1317" s="117"/>
      <c r="E1317" s="117"/>
      <c r="F1317" s="117"/>
      <c r="G1317" s="117"/>
      <c r="H1317" s="117"/>
      <c r="I1317" s="117"/>
      <c r="J1317" s="117"/>
      <c r="K1317" s="360">
        <f t="shared" ref="K1317:P1317" si="1156">J1317</f>
        <v>0</v>
      </c>
      <c r="L1317" s="360">
        <f t="shared" si="1156"/>
        <v>0</v>
      </c>
      <c r="M1317" s="360">
        <f t="shared" si="1156"/>
        <v>0</v>
      </c>
      <c r="N1317" s="360">
        <f t="shared" si="1156"/>
        <v>0</v>
      </c>
      <c r="O1317" s="360">
        <f t="shared" si="1156"/>
        <v>0</v>
      </c>
      <c r="P1317" s="360">
        <f t="shared" si="1156"/>
        <v>0</v>
      </c>
    </row>
    <row r="1318" spans="1:171" ht="12.6" customHeight="1" x14ac:dyDescent="0.2">
      <c r="B1318" s="116"/>
      <c r="C1318" s="61"/>
      <c r="D1318" s="63"/>
      <c r="E1318" s="63"/>
      <c r="F1318" s="63"/>
      <c r="G1318" s="63"/>
      <c r="H1318" s="63"/>
      <c r="I1318" s="63"/>
      <c r="J1318" s="63"/>
      <c r="K1318" s="64"/>
      <c r="L1318" s="64"/>
      <c r="M1318" s="64"/>
      <c r="N1318" s="64"/>
      <c r="O1318" s="64"/>
      <c r="P1318" s="64"/>
    </row>
    <row r="1319" spans="1:171" ht="12.6" customHeight="1" x14ac:dyDescent="0.2">
      <c r="A1319" s="87"/>
      <c r="B1319" s="206"/>
      <c r="C1319" s="191"/>
      <c r="D1319" s="42"/>
      <c r="E1319" s="42"/>
      <c r="F1319" s="42"/>
      <c r="G1319" s="42"/>
      <c r="H1319" s="42"/>
      <c r="I1319" s="42"/>
      <c r="J1319" s="42"/>
      <c r="K1319" s="42"/>
      <c r="L1319" s="42"/>
      <c r="M1319" s="42"/>
      <c r="N1319" s="42"/>
      <c r="O1319" s="42"/>
      <c r="P1319" s="42"/>
      <c r="Q1319" s="87"/>
      <c r="R1319" s="87"/>
      <c r="S1319" s="87"/>
      <c r="T1319" s="87"/>
      <c r="U1319" s="87"/>
      <c r="V1319" s="87"/>
      <c r="W1319" s="87"/>
      <c r="X1319" s="87"/>
      <c r="Y1319" s="87"/>
      <c r="Z1319" s="87"/>
      <c r="AA1319" s="87"/>
      <c r="AB1319" s="87"/>
      <c r="AC1319" s="87"/>
      <c r="AD1319" s="87"/>
      <c r="AE1319" s="87"/>
      <c r="AF1319" s="87"/>
      <c r="AG1319" s="87"/>
      <c r="AH1319" s="87"/>
      <c r="AI1319" s="87"/>
      <c r="AJ1319" s="87"/>
      <c r="AK1319" s="87"/>
      <c r="AL1319" s="87"/>
      <c r="AM1319" s="87"/>
      <c r="AO1319" s="87"/>
      <c r="AP1319" s="87"/>
      <c r="AQ1319" s="87"/>
      <c r="AR1319" s="87"/>
      <c r="AS1319" s="87"/>
      <c r="AT1319" s="87"/>
      <c r="AU1319" s="87"/>
      <c r="AV1319" s="87"/>
      <c r="AW1319" s="87"/>
      <c r="AX1319" s="87"/>
      <c r="AY1319" s="87"/>
      <c r="BA1319" s="87"/>
      <c r="BB1319" s="87"/>
      <c r="BC1319" s="87"/>
      <c r="BD1319" s="87"/>
      <c r="BE1319" s="87"/>
      <c r="BF1319" s="87"/>
      <c r="BG1319" s="87"/>
      <c r="BH1319" s="87"/>
      <c r="BI1319" s="87"/>
      <c r="BJ1319" s="87"/>
      <c r="BK1319" s="87"/>
      <c r="BL1319" s="87"/>
      <c r="BM1319" s="87"/>
      <c r="BN1319" s="87"/>
      <c r="BP1319" s="87"/>
      <c r="BQ1319" s="87"/>
      <c r="BR1319" s="87"/>
      <c r="BS1319" s="87"/>
      <c r="BT1319" s="87"/>
      <c r="BU1319" s="87"/>
      <c r="BV1319" s="87"/>
      <c r="BW1319" s="87"/>
      <c r="BX1319" s="87"/>
      <c r="BY1319" s="87"/>
      <c r="BZ1319" s="87"/>
      <c r="CB1319" s="87"/>
      <c r="CC1319" s="87"/>
      <c r="CD1319" s="87"/>
      <c r="CE1319" s="87"/>
      <c r="CF1319" s="87"/>
      <c r="CG1319" s="87"/>
      <c r="CH1319" s="87"/>
      <c r="CI1319" s="87"/>
      <c r="CJ1319" s="87"/>
      <c r="CK1319" s="87"/>
      <c r="CL1319" s="87"/>
      <c r="CN1319" s="87"/>
      <c r="CO1319" s="87"/>
      <c r="CP1319" s="87"/>
      <c r="CQ1319" s="87"/>
      <c r="CR1319" s="87"/>
      <c r="CS1319" s="87"/>
      <c r="CT1319" s="87"/>
      <c r="CU1319" s="87"/>
      <c r="CV1319" s="87"/>
      <c r="CW1319" s="87"/>
      <c r="CX1319" s="87"/>
      <c r="CZ1319" s="87"/>
      <c r="DA1319" s="87"/>
      <c r="DB1319" s="87"/>
      <c r="DC1319" s="87"/>
      <c r="DD1319" s="87"/>
      <c r="DE1319" s="87"/>
      <c r="DF1319" s="87"/>
      <c r="DG1319" s="87"/>
      <c r="DH1319" s="87"/>
      <c r="DI1319" s="87"/>
      <c r="DJ1319" s="87"/>
      <c r="DL1319" s="87"/>
      <c r="DM1319" s="87"/>
      <c r="DN1319" s="87"/>
      <c r="DO1319" s="87"/>
      <c r="DP1319" s="87"/>
      <c r="DQ1319" s="87"/>
      <c r="DR1319" s="87"/>
      <c r="DS1319" s="87"/>
      <c r="DT1319" s="87"/>
      <c r="DU1319" s="87"/>
      <c r="DV1319" s="87"/>
      <c r="DX1319" s="87"/>
      <c r="DY1319" s="87"/>
      <c r="DZ1319" s="87"/>
      <c r="EA1319" s="87"/>
      <c r="EB1319" s="87"/>
      <c r="EC1319" s="87"/>
      <c r="ED1319" s="87"/>
      <c r="EE1319" s="87"/>
      <c r="EF1319" s="87"/>
      <c r="EG1319" s="87"/>
      <c r="EH1319" s="87"/>
      <c r="EJ1319" s="87"/>
      <c r="EK1319" s="87"/>
      <c r="EL1319" s="87"/>
      <c r="EM1319" s="87"/>
      <c r="EN1319" s="87"/>
      <c r="EO1319" s="87"/>
      <c r="EP1319" s="87"/>
      <c r="EQ1319" s="87"/>
      <c r="ER1319" s="87"/>
      <c r="ES1319" s="87"/>
      <c r="ET1319" s="87"/>
      <c r="EV1319" s="87"/>
      <c r="EW1319" s="87"/>
      <c r="EX1319" s="87"/>
      <c r="EY1319" s="87"/>
      <c r="EZ1319" s="87"/>
      <c r="FA1319" s="87"/>
      <c r="FB1319" s="87"/>
      <c r="FC1319" s="87"/>
      <c r="FD1319" s="87"/>
      <c r="FE1319" s="87"/>
      <c r="FF1319" s="87"/>
      <c r="FH1319" s="87"/>
      <c r="FI1319" s="87"/>
      <c r="FJ1319" s="87"/>
      <c r="FK1319" s="87"/>
      <c r="FL1319" s="87"/>
      <c r="FM1319" s="87"/>
      <c r="FN1319" s="87"/>
      <c r="FO1319" s="87"/>
    </row>
    <row r="1320" spans="1:171" ht="12.6" customHeight="1" x14ac:dyDescent="0.2">
      <c r="B1320" s="50" t="s">
        <v>761</v>
      </c>
      <c r="C1320" s="50" t="s">
        <v>473</v>
      </c>
      <c r="D1320" s="163"/>
      <c r="E1320" s="163"/>
      <c r="F1320" s="163"/>
      <c r="G1320" s="51"/>
      <c r="H1320" s="51"/>
      <c r="I1320" s="51"/>
      <c r="J1320" s="51"/>
      <c r="K1320" s="54"/>
      <c r="L1320" s="54"/>
      <c r="M1320" s="54"/>
      <c r="N1320" s="54"/>
      <c r="O1320" s="54"/>
      <c r="P1320" s="54"/>
    </row>
    <row r="1321" spans="1:171" ht="12.6" customHeight="1" x14ac:dyDescent="0.2">
      <c r="B1321" s="61" t="s">
        <v>565</v>
      </c>
      <c r="C1321" s="61" t="s">
        <v>570</v>
      </c>
      <c r="D1321" s="63"/>
      <c r="E1321" s="63"/>
      <c r="F1321" s="311"/>
      <c r="G1321" s="301"/>
      <c r="H1321" s="301"/>
      <c r="I1321" s="301"/>
      <c r="J1321" s="301"/>
      <c r="K1321" s="302"/>
      <c r="L1321" s="302"/>
      <c r="M1321" s="302">
        <f>M1322*M1335</f>
        <v>0</v>
      </c>
      <c r="N1321" s="302">
        <f>N1322*N1335</f>
        <v>0</v>
      </c>
      <c r="O1321" s="302">
        <f>O1322*O1335</f>
        <v>0</v>
      </c>
      <c r="P1321" s="302">
        <f>P1322*P1335</f>
        <v>0</v>
      </c>
    </row>
    <row r="1322" spans="1:171" ht="12.6" customHeight="1" x14ac:dyDescent="0.2">
      <c r="B1322" s="59" t="s">
        <v>474</v>
      </c>
      <c r="C1322" s="61" t="s">
        <v>476</v>
      </c>
      <c r="D1322" s="57"/>
      <c r="E1322" s="57"/>
      <c r="F1322" s="57"/>
      <c r="G1322" s="57"/>
      <c r="H1322" s="57"/>
      <c r="I1322" s="57"/>
      <c r="J1322" s="288"/>
      <c r="K1322" s="303"/>
      <c r="L1322" s="303"/>
      <c r="M1322" s="303">
        <f>(M1273/300)*120</f>
        <v>0</v>
      </c>
      <c r="N1322" s="303">
        <f>M1322*(1+N1323)</f>
        <v>0</v>
      </c>
      <c r="O1322" s="303">
        <f>N1322*(1+O1323)</f>
        <v>0</v>
      </c>
      <c r="P1322" s="303">
        <f>O1322*(1+P1323)</f>
        <v>0</v>
      </c>
    </row>
    <row r="1323" spans="1:171" ht="12.6" customHeight="1" x14ac:dyDescent="0.2">
      <c r="B1323" s="322" t="s">
        <v>227</v>
      </c>
      <c r="C1323" s="323" t="s">
        <v>477</v>
      </c>
      <c r="D1323" s="58"/>
      <c r="E1323" s="58"/>
      <c r="F1323" s="339"/>
      <c r="G1323" s="330"/>
      <c r="H1323" s="330"/>
      <c r="I1323" s="330"/>
      <c r="J1323" s="353"/>
      <c r="K1323" s="354"/>
      <c r="L1323" s="354"/>
      <c r="M1323" s="354"/>
      <c r="N1323" s="354">
        <v>0.05</v>
      </c>
      <c r="O1323" s="354">
        <v>0.05</v>
      </c>
      <c r="P1323" s="354">
        <v>0.05</v>
      </c>
    </row>
    <row r="1324" spans="1:171" ht="12.6" customHeight="1" x14ac:dyDescent="0.2">
      <c r="B1324" s="59"/>
      <c r="C1324" s="61"/>
      <c r="D1324" s="57"/>
      <c r="E1324" s="57"/>
      <c r="F1324" s="288"/>
      <c r="G1324" s="57"/>
      <c r="H1324" s="57"/>
      <c r="I1324" s="57"/>
      <c r="J1324" s="57"/>
      <c r="K1324" s="68"/>
      <c r="L1324" s="68"/>
      <c r="M1324" s="68"/>
      <c r="N1324" s="68"/>
      <c r="O1324" s="68"/>
      <c r="P1324" s="68"/>
    </row>
    <row r="1325" spans="1:171" ht="12.6" customHeight="1" x14ac:dyDescent="0.2">
      <c r="B1325" s="72" t="s">
        <v>303</v>
      </c>
      <c r="C1325" s="61" t="s">
        <v>4</v>
      </c>
      <c r="D1325" s="57"/>
      <c r="E1325" s="57"/>
      <c r="F1325" s="288"/>
      <c r="G1325" s="288"/>
      <c r="H1325" s="288"/>
      <c r="I1325" s="288"/>
      <c r="J1325" s="288"/>
      <c r="K1325" s="68"/>
      <c r="L1325" s="68"/>
      <c r="M1325" s="68">
        <f>M104</f>
        <v>0</v>
      </c>
      <c r="N1325" s="68">
        <f>N104</f>
        <v>0</v>
      </c>
      <c r="O1325" s="68">
        <f>O104</f>
        <v>0</v>
      </c>
      <c r="P1325" s="68">
        <f>P104</f>
        <v>0</v>
      </c>
    </row>
    <row r="1326" spans="1:171" ht="12.6" customHeight="1" x14ac:dyDescent="0.2">
      <c r="B1326" s="202" t="s">
        <v>555</v>
      </c>
      <c r="C1326" s="326" t="s">
        <v>4</v>
      </c>
      <c r="D1326" s="58"/>
      <c r="E1326" s="58"/>
      <c r="F1326" s="330"/>
      <c r="G1326" s="330"/>
      <c r="H1326" s="330"/>
      <c r="I1326" s="330"/>
      <c r="J1326" s="330"/>
      <c r="K1326" s="324"/>
      <c r="L1326" s="324"/>
      <c r="M1326" s="324">
        <v>0</v>
      </c>
      <c r="N1326" s="324">
        <v>0</v>
      </c>
      <c r="O1326" s="324">
        <v>0.5</v>
      </c>
      <c r="P1326" s="324">
        <v>0.5</v>
      </c>
    </row>
    <row r="1327" spans="1:171" ht="12.6" customHeight="1" x14ac:dyDescent="0.2">
      <c r="B1327" s="59"/>
      <c r="C1327" s="61"/>
      <c r="D1327" s="57"/>
      <c r="E1327" s="57"/>
      <c r="F1327" s="288"/>
      <c r="G1327" s="57"/>
      <c r="H1327" s="57"/>
      <c r="I1327" s="57"/>
      <c r="J1327" s="57"/>
      <c r="K1327" s="68"/>
      <c r="L1327" s="68"/>
      <c r="M1327" s="68"/>
      <c r="N1327" s="68"/>
      <c r="O1327" s="68"/>
      <c r="P1327" s="68"/>
    </row>
    <row r="1328" spans="1:171" ht="12.6" customHeight="1" x14ac:dyDescent="0.2">
      <c r="B1328" s="72" t="s">
        <v>489</v>
      </c>
      <c r="C1328" s="61"/>
      <c r="D1328" s="57"/>
      <c r="E1328" s="57"/>
      <c r="F1328" s="288"/>
      <c r="G1328" s="57"/>
      <c r="H1328" s="57"/>
      <c r="I1328" s="57"/>
      <c r="J1328" s="57"/>
      <c r="K1328" s="68"/>
      <c r="L1328" s="68"/>
      <c r="M1328" s="68"/>
      <c r="N1328" s="68"/>
      <c r="O1328" s="68"/>
      <c r="P1328" s="68"/>
    </row>
    <row r="1329" spans="2:16" ht="12.6" customHeight="1" x14ac:dyDescent="0.2">
      <c r="B1329" s="56" t="s">
        <v>279</v>
      </c>
      <c r="C1329" s="61"/>
      <c r="D1329" s="288"/>
      <c r="E1329" s="288"/>
      <c r="F1329" s="288"/>
      <c r="G1329" s="288"/>
      <c r="H1329" s="288"/>
      <c r="I1329" s="288"/>
      <c r="J1329" s="288"/>
      <c r="K1329" s="303">
        <f t="shared" ref="K1329:P1329" si="1157">K1325*K1326</f>
        <v>0</v>
      </c>
      <c r="L1329" s="303">
        <f t="shared" si="1157"/>
        <v>0</v>
      </c>
      <c r="M1329" s="303">
        <f t="shared" si="1157"/>
        <v>0</v>
      </c>
      <c r="N1329" s="303">
        <f t="shared" si="1157"/>
        <v>0</v>
      </c>
      <c r="O1329" s="303">
        <f t="shared" si="1157"/>
        <v>0</v>
      </c>
      <c r="P1329" s="303">
        <f t="shared" si="1157"/>
        <v>0</v>
      </c>
    </row>
    <row r="1330" spans="2:16" ht="12.6" customHeight="1" x14ac:dyDescent="0.2">
      <c r="B1330" s="56" t="s">
        <v>280</v>
      </c>
      <c r="C1330" s="61"/>
      <c r="D1330" s="288"/>
      <c r="E1330" s="288"/>
      <c r="F1330" s="288"/>
      <c r="G1330" s="288"/>
      <c r="H1330" s="288"/>
      <c r="I1330" s="288"/>
      <c r="J1330" s="288"/>
      <c r="K1330" s="303">
        <f t="shared" ref="K1330:P1330" si="1158">J1330*(1+K1339)</f>
        <v>0</v>
      </c>
      <c r="L1330" s="303">
        <f t="shared" si="1158"/>
        <v>0</v>
      </c>
      <c r="M1330" s="303">
        <f t="shared" si="1158"/>
        <v>0</v>
      </c>
      <c r="N1330" s="303">
        <f t="shared" si="1158"/>
        <v>0</v>
      </c>
      <c r="O1330" s="303">
        <f t="shared" si="1158"/>
        <v>0</v>
      </c>
      <c r="P1330" s="303">
        <f t="shared" si="1158"/>
        <v>0</v>
      </c>
    </row>
    <row r="1331" spans="2:16" ht="12.6" customHeight="1" x14ac:dyDescent="0.2">
      <c r="B1331" s="56" t="s">
        <v>281</v>
      </c>
      <c r="C1331" s="61"/>
      <c r="D1331" s="288"/>
      <c r="E1331" s="288"/>
      <c r="F1331" s="288"/>
      <c r="G1331" s="288"/>
      <c r="H1331" s="288"/>
      <c r="I1331" s="288"/>
      <c r="J1331" s="288"/>
      <c r="K1331" s="303">
        <f t="shared" ref="K1331:P1331" si="1159">J1331*(1+K1340)</f>
        <v>0</v>
      </c>
      <c r="L1331" s="303">
        <f t="shared" si="1159"/>
        <v>0</v>
      </c>
      <c r="M1331" s="303">
        <f t="shared" si="1159"/>
        <v>0</v>
      </c>
      <c r="N1331" s="303">
        <f t="shared" si="1159"/>
        <v>0</v>
      </c>
      <c r="O1331" s="303">
        <f t="shared" si="1159"/>
        <v>0</v>
      </c>
      <c r="P1331" s="303">
        <f t="shared" si="1159"/>
        <v>0</v>
      </c>
    </row>
    <row r="1332" spans="2:16" ht="12.6" customHeight="1" x14ac:dyDescent="0.2">
      <c r="B1332" s="56" t="s">
        <v>282</v>
      </c>
      <c r="C1332" s="61"/>
      <c r="D1332" s="288"/>
      <c r="E1332" s="288"/>
      <c r="F1332" s="288"/>
      <c r="G1332" s="288"/>
      <c r="H1332" s="288"/>
      <c r="I1332" s="288"/>
      <c r="J1332" s="288"/>
      <c r="K1332" s="303">
        <f t="shared" ref="K1332:P1332" si="1160">J1332*(1+K1341)</f>
        <v>0</v>
      </c>
      <c r="L1332" s="303">
        <f t="shared" si="1160"/>
        <v>0</v>
      </c>
      <c r="M1332" s="303">
        <f t="shared" si="1160"/>
        <v>0</v>
      </c>
      <c r="N1332" s="303">
        <f t="shared" si="1160"/>
        <v>0</v>
      </c>
      <c r="O1332" s="303">
        <f t="shared" si="1160"/>
        <v>0</v>
      </c>
      <c r="P1332" s="303">
        <f t="shared" si="1160"/>
        <v>0</v>
      </c>
    </row>
    <row r="1333" spans="2:16" ht="12.6" customHeight="1" x14ac:dyDescent="0.2">
      <c r="B1333" s="56" t="s">
        <v>283</v>
      </c>
      <c r="C1333" s="61"/>
      <c r="D1333" s="288"/>
      <c r="E1333" s="288"/>
      <c r="F1333" s="288"/>
      <c r="G1333" s="288"/>
      <c r="H1333" s="288"/>
      <c r="I1333" s="288"/>
      <c r="J1333" s="288"/>
      <c r="K1333" s="303">
        <f t="shared" ref="K1333:P1333" si="1161">J1333*(1+K1342)</f>
        <v>0</v>
      </c>
      <c r="L1333" s="303">
        <f t="shared" si="1161"/>
        <v>0</v>
      </c>
      <c r="M1333" s="303">
        <f t="shared" si="1161"/>
        <v>0</v>
      </c>
      <c r="N1333" s="303">
        <f t="shared" si="1161"/>
        <v>0</v>
      </c>
      <c r="O1333" s="303">
        <f t="shared" si="1161"/>
        <v>0</v>
      </c>
      <c r="P1333" s="303">
        <f t="shared" si="1161"/>
        <v>0</v>
      </c>
    </row>
    <row r="1334" spans="2:16" ht="12.6" customHeight="1" x14ac:dyDescent="0.2">
      <c r="B1334" s="56" t="s">
        <v>284</v>
      </c>
      <c r="C1334" s="61"/>
      <c r="D1334" s="288"/>
      <c r="E1334" s="288"/>
      <c r="F1334" s="288"/>
      <c r="G1334" s="288"/>
      <c r="H1334" s="288"/>
      <c r="I1334" s="288"/>
      <c r="J1334" s="288"/>
      <c r="K1334" s="303">
        <f t="shared" ref="K1334:P1334" si="1162">J1334*(1+K1343)</f>
        <v>0</v>
      </c>
      <c r="L1334" s="303">
        <f t="shared" si="1162"/>
        <v>0</v>
      </c>
      <c r="M1334" s="303">
        <f t="shared" si="1162"/>
        <v>0</v>
      </c>
      <c r="N1334" s="303">
        <f t="shared" si="1162"/>
        <v>0</v>
      </c>
      <c r="O1334" s="303">
        <f t="shared" si="1162"/>
        <v>0</v>
      </c>
      <c r="P1334" s="303">
        <f t="shared" si="1162"/>
        <v>0</v>
      </c>
    </row>
    <row r="1335" spans="2:16" ht="12.6" customHeight="1" x14ac:dyDescent="0.2">
      <c r="B1335" s="72" t="s">
        <v>551</v>
      </c>
      <c r="C1335" s="95"/>
      <c r="D1335" s="63"/>
      <c r="E1335" s="63"/>
      <c r="F1335" s="63"/>
      <c r="G1335" s="63"/>
      <c r="H1335" s="63"/>
      <c r="I1335" s="63"/>
      <c r="J1335" s="63"/>
      <c r="K1335" s="64">
        <f t="shared" ref="K1335:P1335" si="1163">SUM(K1329:K1334)</f>
        <v>0</v>
      </c>
      <c r="L1335" s="64">
        <f t="shared" si="1163"/>
        <v>0</v>
      </c>
      <c r="M1335" s="64">
        <f t="shared" si="1163"/>
        <v>0</v>
      </c>
      <c r="N1335" s="64">
        <f t="shared" si="1163"/>
        <v>0</v>
      </c>
      <c r="O1335" s="64">
        <f t="shared" si="1163"/>
        <v>0</v>
      </c>
      <c r="P1335" s="64">
        <f t="shared" si="1163"/>
        <v>0</v>
      </c>
    </row>
    <row r="1336" spans="2:16" ht="12.6" customHeight="1" x14ac:dyDescent="0.2">
      <c r="B1336" s="72"/>
      <c r="C1336" s="95"/>
      <c r="D1336" s="63"/>
      <c r="E1336" s="63"/>
      <c r="F1336" s="63"/>
      <c r="G1336" s="63"/>
      <c r="H1336" s="63"/>
      <c r="I1336" s="63"/>
      <c r="J1336" s="63"/>
      <c r="K1336" s="64"/>
      <c r="L1336" s="64"/>
      <c r="M1336" s="64"/>
      <c r="N1336" s="64"/>
      <c r="O1336" s="64"/>
      <c r="P1336" s="64"/>
    </row>
    <row r="1337" spans="2:16" ht="12.6" customHeight="1" x14ac:dyDescent="0.2">
      <c r="B1337" s="116" t="s">
        <v>227</v>
      </c>
      <c r="C1337" s="61"/>
      <c r="D1337" s="63"/>
      <c r="E1337" s="63"/>
      <c r="F1337" s="63"/>
      <c r="G1337" s="63"/>
      <c r="H1337" s="63"/>
      <c r="I1337" s="63"/>
      <c r="J1337" s="63"/>
      <c r="K1337" s="68"/>
      <c r="L1337" s="68"/>
      <c r="M1337" s="68"/>
      <c r="N1337" s="68"/>
      <c r="O1337" s="68"/>
      <c r="P1337" s="68"/>
    </row>
    <row r="1338" spans="2:16" ht="12.6" customHeight="1" x14ac:dyDescent="0.2">
      <c r="B1338" s="322" t="s">
        <v>279</v>
      </c>
      <c r="C1338" s="355"/>
      <c r="D1338" s="113"/>
      <c r="E1338" s="113"/>
      <c r="F1338" s="113"/>
      <c r="G1338" s="113"/>
      <c r="H1338" s="113"/>
      <c r="I1338" s="113"/>
      <c r="J1338" s="113"/>
      <c r="K1338" s="356">
        <v>0</v>
      </c>
      <c r="L1338" s="356">
        <v>0</v>
      </c>
      <c r="M1338" s="356">
        <v>0</v>
      </c>
      <c r="N1338" s="356">
        <v>0</v>
      </c>
      <c r="O1338" s="356">
        <v>0</v>
      </c>
      <c r="P1338" s="356">
        <v>0</v>
      </c>
    </row>
    <row r="1339" spans="2:16" ht="12.6" customHeight="1" x14ac:dyDescent="0.2">
      <c r="B1339" s="322" t="s">
        <v>280</v>
      </c>
      <c r="C1339" s="355"/>
      <c r="D1339" s="113"/>
      <c r="E1339" s="113"/>
      <c r="F1339" s="113"/>
      <c r="G1339" s="113"/>
      <c r="H1339" s="113"/>
      <c r="I1339" s="113"/>
      <c r="J1339" s="113"/>
      <c r="K1339" s="356">
        <v>0.05</v>
      </c>
      <c r="L1339" s="356">
        <v>0.05</v>
      </c>
      <c r="M1339" s="356">
        <v>0.05</v>
      </c>
      <c r="N1339" s="356">
        <v>0.05</v>
      </c>
      <c r="O1339" s="356">
        <v>0.05</v>
      </c>
      <c r="P1339" s="356">
        <v>0.05</v>
      </c>
    </row>
    <row r="1340" spans="2:16" ht="12.6" customHeight="1" x14ac:dyDescent="0.2">
      <c r="B1340" s="322" t="s">
        <v>281</v>
      </c>
      <c r="C1340" s="355"/>
      <c r="D1340" s="113"/>
      <c r="E1340" s="113"/>
      <c r="F1340" s="113"/>
      <c r="G1340" s="113"/>
      <c r="H1340" s="113"/>
      <c r="I1340" s="113"/>
      <c r="J1340" s="113"/>
      <c r="K1340" s="356">
        <v>0</v>
      </c>
      <c r="L1340" s="356">
        <v>0</v>
      </c>
      <c r="M1340" s="356">
        <v>0</v>
      </c>
      <c r="N1340" s="356">
        <v>0</v>
      </c>
      <c r="O1340" s="356">
        <v>0</v>
      </c>
      <c r="P1340" s="356">
        <v>0</v>
      </c>
    </row>
    <row r="1341" spans="2:16" ht="12.6" customHeight="1" x14ac:dyDescent="0.2">
      <c r="B1341" s="322" t="s">
        <v>282</v>
      </c>
      <c r="C1341" s="355"/>
      <c r="D1341" s="113"/>
      <c r="E1341" s="113"/>
      <c r="F1341" s="113"/>
      <c r="G1341" s="113"/>
      <c r="H1341" s="113"/>
      <c r="I1341" s="113"/>
      <c r="J1341" s="113"/>
      <c r="K1341" s="356">
        <v>0</v>
      </c>
      <c r="L1341" s="356">
        <v>0</v>
      </c>
      <c r="M1341" s="356">
        <v>0</v>
      </c>
      <c r="N1341" s="356">
        <v>0</v>
      </c>
      <c r="O1341" s="356">
        <v>0</v>
      </c>
      <c r="P1341" s="356">
        <v>0</v>
      </c>
    </row>
    <row r="1342" spans="2:16" ht="12.6" customHeight="1" x14ac:dyDescent="0.2">
      <c r="B1342" s="322" t="s">
        <v>283</v>
      </c>
      <c r="C1342" s="355"/>
      <c r="D1342" s="113"/>
      <c r="E1342" s="113"/>
      <c r="F1342" s="113"/>
      <c r="G1342" s="113"/>
      <c r="H1342" s="113"/>
      <c r="I1342" s="113"/>
      <c r="J1342" s="113"/>
      <c r="K1342" s="356">
        <v>0.05</v>
      </c>
      <c r="L1342" s="356">
        <v>0.05</v>
      </c>
      <c r="M1342" s="356">
        <v>0.05</v>
      </c>
      <c r="N1342" s="356">
        <v>0.05</v>
      </c>
      <c r="O1342" s="356">
        <v>0.05</v>
      </c>
      <c r="P1342" s="356">
        <v>0.05</v>
      </c>
    </row>
    <row r="1343" spans="2:16" ht="12.6" customHeight="1" x14ac:dyDescent="0.2">
      <c r="B1343" s="322" t="s">
        <v>284</v>
      </c>
      <c r="C1343" s="355"/>
      <c r="D1343" s="113"/>
      <c r="E1343" s="113"/>
      <c r="F1343" s="113"/>
      <c r="G1343" s="113"/>
      <c r="H1343" s="113"/>
      <c r="I1343" s="113"/>
      <c r="J1343" s="113"/>
      <c r="K1343" s="356">
        <v>0</v>
      </c>
      <c r="L1343" s="356">
        <v>0</v>
      </c>
      <c r="M1343" s="356">
        <v>0</v>
      </c>
      <c r="N1343" s="356">
        <v>0</v>
      </c>
      <c r="O1343" s="356">
        <v>0</v>
      </c>
      <c r="P1343" s="356">
        <v>0</v>
      </c>
    </row>
    <row r="1344" spans="2:16" ht="12.6" customHeight="1" x14ac:dyDescent="0.2">
      <c r="B1344" s="331" t="s">
        <v>551</v>
      </c>
      <c r="C1344" s="358"/>
      <c r="D1344" s="117"/>
      <c r="E1344" s="117"/>
      <c r="F1344" s="117"/>
      <c r="G1344" s="117"/>
      <c r="H1344" s="117"/>
      <c r="I1344" s="117"/>
      <c r="J1344" s="117"/>
      <c r="K1344" s="204">
        <f t="shared" ref="K1344:P1344" si="1164">IFERROR(K1335/J1335-1,0)</f>
        <v>0</v>
      </c>
      <c r="L1344" s="204">
        <f t="shared" si="1164"/>
        <v>0</v>
      </c>
      <c r="M1344" s="204">
        <f t="shared" si="1164"/>
        <v>0</v>
      </c>
      <c r="N1344" s="204">
        <f t="shared" si="1164"/>
        <v>0</v>
      </c>
      <c r="O1344" s="204">
        <f t="shared" si="1164"/>
        <v>0</v>
      </c>
      <c r="P1344" s="204">
        <f t="shared" si="1164"/>
        <v>0</v>
      </c>
    </row>
    <row r="1345" spans="2:16" ht="12.6" customHeight="1" x14ac:dyDescent="0.2">
      <c r="B1345" s="201"/>
      <c r="C1345" s="326"/>
      <c r="D1345" s="335"/>
      <c r="E1345" s="335"/>
      <c r="F1345" s="335"/>
      <c r="G1345" s="335"/>
      <c r="H1345" s="335"/>
      <c r="I1345" s="335"/>
      <c r="J1345" s="335"/>
      <c r="K1345" s="357"/>
      <c r="L1345" s="357"/>
      <c r="M1345" s="357"/>
      <c r="N1345" s="357"/>
      <c r="O1345" s="357"/>
      <c r="P1345" s="357"/>
    </row>
    <row r="1346" spans="2:16" ht="12.6" customHeight="1" x14ac:dyDescent="0.2">
      <c r="B1346" s="331" t="s">
        <v>287</v>
      </c>
      <c r="C1346" s="326"/>
      <c r="D1346" s="335"/>
      <c r="E1346" s="335"/>
      <c r="F1346" s="335"/>
      <c r="G1346" s="335"/>
      <c r="H1346" s="335"/>
      <c r="I1346" s="335"/>
      <c r="J1346" s="335"/>
      <c r="K1346" s="357"/>
      <c r="L1346" s="357"/>
      <c r="M1346" s="357"/>
      <c r="N1346" s="357"/>
      <c r="O1346" s="357"/>
      <c r="P1346" s="357"/>
    </row>
    <row r="1347" spans="2:16" ht="12.6" customHeight="1" x14ac:dyDescent="0.2">
      <c r="B1347" s="322" t="s">
        <v>279</v>
      </c>
      <c r="C1347" s="326"/>
      <c r="D1347" s="113"/>
      <c r="E1347" s="113"/>
      <c r="F1347" s="113"/>
      <c r="G1347" s="113"/>
      <c r="H1347" s="113"/>
      <c r="I1347" s="113"/>
      <c r="J1347" s="113"/>
      <c r="K1347" s="197" t="str">
        <f t="shared" ref="K1347:P1347" si="1165">IFERROR(K1329/K$1335,"--")</f>
        <v>--</v>
      </c>
      <c r="L1347" s="197" t="str">
        <f t="shared" si="1165"/>
        <v>--</v>
      </c>
      <c r="M1347" s="197" t="str">
        <f t="shared" si="1165"/>
        <v>--</v>
      </c>
      <c r="N1347" s="197" t="str">
        <f t="shared" si="1165"/>
        <v>--</v>
      </c>
      <c r="O1347" s="197" t="str">
        <f t="shared" si="1165"/>
        <v>--</v>
      </c>
      <c r="P1347" s="197" t="str">
        <f t="shared" si="1165"/>
        <v>--</v>
      </c>
    </row>
    <row r="1348" spans="2:16" ht="12.6" customHeight="1" x14ac:dyDescent="0.2">
      <c r="B1348" s="322" t="s">
        <v>280</v>
      </c>
      <c r="C1348" s="326"/>
      <c r="D1348" s="113"/>
      <c r="E1348" s="113"/>
      <c r="F1348" s="113"/>
      <c r="G1348" s="113"/>
      <c r="H1348" s="113"/>
      <c r="I1348" s="113"/>
      <c r="J1348" s="113"/>
      <c r="K1348" s="197" t="str">
        <f t="shared" ref="K1348:P1348" si="1166">IFERROR(K1330/K$1335,"--")</f>
        <v>--</v>
      </c>
      <c r="L1348" s="197" t="str">
        <f t="shared" si="1166"/>
        <v>--</v>
      </c>
      <c r="M1348" s="197" t="str">
        <f t="shared" si="1166"/>
        <v>--</v>
      </c>
      <c r="N1348" s="197" t="str">
        <f t="shared" si="1166"/>
        <v>--</v>
      </c>
      <c r="O1348" s="197" t="str">
        <f t="shared" si="1166"/>
        <v>--</v>
      </c>
      <c r="P1348" s="197" t="str">
        <f t="shared" si="1166"/>
        <v>--</v>
      </c>
    </row>
    <row r="1349" spans="2:16" ht="12.6" customHeight="1" x14ac:dyDescent="0.2">
      <c r="B1349" s="322" t="s">
        <v>281</v>
      </c>
      <c r="C1349" s="326"/>
      <c r="D1349" s="113"/>
      <c r="E1349" s="113"/>
      <c r="F1349" s="113"/>
      <c r="G1349" s="113"/>
      <c r="H1349" s="113"/>
      <c r="I1349" s="113"/>
      <c r="J1349" s="113"/>
      <c r="K1349" s="197" t="str">
        <f t="shared" ref="K1349:P1349" si="1167">IFERROR(K1331/K$1335,"--")</f>
        <v>--</v>
      </c>
      <c r="L1349" s="197" t="str">
        <f t="shared" si="1167"/>
        <v>--</v>
      </c>
      <c r="M1349" s="197" t="str">
        <f t="shared" si="1167"/>
        <v>--</v>
      </c>
      <c r="N1349" s="197" t="str">
        <f t="shared" si="1167"/>
        <v>--</v>
      </c>
      <c r="O1349" s="197" t="str">
        <f t="shared" si="1167"/>
        <v>--</v>
      </c>
      <c r="P1349" s="197" t="str">
        <f t="shared" si="1167"/>
        <v>--</v>
      </c>
    </row>
    <row r="1350" spans="2:16" ht="12.6" customHeight="1" x14ac:dyDescent="0.2">
      <c r="B1350" s="322" t="s">
        <v>282</v>
      </c>
      <c r="C1350" s="326"/>
      <c r="D1350" s="113"/>
      <c r="E1350" s="113"/>
      <c r="F1350" s="113"/>
      <c r="G1350" s="113"/>
      <c r="H1350" s="113"/>
      <c r="I1350" s="113"/>
      <c r="J1350" s="113"/>
      <c r="K1350" s="197" t="str">
        <f t="shared" ref="K1350:P1350" si="1168">IFERROR(K1332/K$1335,"--")</f>
        <v>--</v>
      </c>
      <c r="L1350" s="197" t="str">
        <f t="shared" si="1168"/>
        <v>--</v>
      </c>
      <c r="M1350" s="197" t="str">
        <f t="shared" si="1168"/>
        <v>--</v>
      </c>
      <c r="N1350" s="197" t="str">
        <f t="shared" si="1168"/>
        <v>--</v>
      </c>
      <c r="O1350" s="197" t="str">
        <f t="shared" si="1168"/>
        <v>--</v>
      </c>
      <c r="P1350" s="197" t="str">
        <f t="shared" si="1168"/>
        <v>--</v>
      </c>
    </row>
    <row r="1351" spans="2:16" ht="12.6" customHeight="1" x14ac:dyDescent="0.2">
      <c r="B1351" s="322" t="s">
        <v>283</v>
      </c>
      <c r="C1351" s="326"/>
      <c r="D1351" s="113"/>
      <c r="E1351" s="113"/>
      <c r="F1351" s="113"/>
      <c r="G1351" s="113"/>
      <c r="H1351" s="113"/>
      <c r="I1351" s="113"/>
      <c r="J1351" s="113"/>
      <c r="K1351" s="197" t="str">
        <f t="shared" ref="K1351:P1351" si="1169">IFERROR(K1333/K$1335,"--")</f>
        <v>--</v>
      </c>
      <c r="L1351" s="197" t="str">
        <f t="shared" si="1169"/>
        <v>--</v>
      </c>
      <c r="M1351" s="197" t="str">
        <f t="shared" si="1169"/>
        <v>--</v>
      </c>
      <c r="N1351" s="197" t="str">
        <f t="shared" si="1169"/>
        <v>--</v>
      </c>
      <c r="O1351" s="197" t="str">
        <f t="shared" si="1169"/>
        <v>--</v>
      </c>
      <c r="P1351" s="197" t="str">
        <f t="shared" si="1169"/>
        <v>--</v>
      </c>
    </row>
    <row r="1352" spans="2:16" ht="12.6" customHeight="1" x14ac:dyDescent="0.2">
      <c r="B1352" s="322" t="s">
        <v>284</v>
      </c>
      <c r="C1352" s="326"/>
      <c r="D1352" s="113"/>
      <c r="E1352" s="113"/>
      <c r="F1352" s="113"/>
      <c r="G1352" s="113"/>
      <c r="H1352" s="113"/>
      <c r="I1352" s="113"/>
      <c r="J1352" s="113"/>
      <c r="K1352" s="197" t="str">
        <f t="shared" ref="K1352:P1352" si="1170">IFERROR(K1334/K$1335,"--")</f>
        <v>--</v>
      </c>
      <c r="L1352" s="197" t="str">
        <f t="shared" si="1170"/>
        <v>--</v>
      </c>
      <c r="M1352" s="197" t="str">
        <f t="shared" si="1170"/>
        <v>--</v>
      </c>
      <c r="N1352" s="197" t="str">
        <f t="shared" si="1170"/>
        <v>--</v>
      </c>
      <c r="O1352" s="197" t="str">
        <f t="shared" si="1170"/>
        <v>--</v>
      </c>
      <c r="P1352" s="197" t="str">
        <f t="shared" si="1170"/>
        <v>--</v>
      </c>
    </row>
    <row r="1353" spans="2:16" ht="12.6" customHeight="1" x14ac:dyDescent="0.2">
      <c r="B1353" s="359" t="s">
        <v>551</v>
      </c>
      <c r="C1353" s="327"/>
      <c r="D1353" s="117"/>
      <c r="E1353" s="117"/>
      <c r="F1353" s="117"/>
      <c r="G1353" s="117"/>
      <c r="H1353" s="117"/>
      <c r="I1353" s="117"/>
      <c r="J1353" s="117"/>
      <c r="K1353" s="204" t="str">
        <f t="shared" ref="K1353:P1353" si="1171">IFERROR(K1335/K$1335,"--")</f>
        <v>--</v>
      </c>
      <c r="L1353" s="204" t="str">
        <f t="shared" si="1171"/>
        <v>--</v>
      </c>
      <c r="M1353" s="204" t="str">
        <f t="shared" si="1171"/>
        <v>--</v>
      </c>
      <c r="N1353" s="204" t="str">
        <f t="shared" si="1171"/>
        <v>--</v>
      </c>
      <c r="O1353" s="204" t="str">
        <f t="shared" si="1171"/>
        <v>--</v>
      </c>
      <c r="P1353" s="204" t="str">
        <f t="shared" si="1171"/>
        <v>--</v>
      </c>
    </row>
    <row r="1354" spans="2:16" ht="12.6" customHeight="1" x14ac:dyDescent="0.2">
      <c r="B1354" s="56"/>
      <c r="C1354" s="61"/>
      <c r="D1354" s="57"/>
      <c r="E1354" s="57"/>
      <c r="F1354" s="57"/>
      <c r="G1354" s="57"/>
      <c r="H1354" s="57"/>
      <c r="I1354" s="57"/>
      <c r="J1354" s="57"/>
      <c r="K1354" s="68"/>
      <c r="L1354" s="68"/>
      <c r="M1354" s="68"/>
      <c r="N1354" s="68"/>
      <c r="O1354" s="68"/>
      <c r="P1354" s="68"/>
    </row>
    <row r="1355" spans="2:16" ht="12.6" customHeight="1" x14ac:dyDescent="0.2">
      <c r="B1355" s="56" t="s">
        <v>563</v>
      </c>
      <c r="C1355" s="61" t="s">
        <v>566</v>
      </c>
      <c r="D1355" s="57"/>
      <c r="E1355" s="57"/>
      <c r="F1355" s="57"/>
      <c r="G1355" s="57"/>
      <c r="H1355" s="57"/>
      <c r="I1355" s="57"/>
      <c r="J1355" s="57"/>
      <c r="K1355" s="68">
        <f t="shared" ref="K1355:P1355" si="1172">K1357-K1356</f>
        <v>0</v>
      </c>
      <c r="L1355" s="68">
        <f t="shared" si="1172"/>
        <v>0</v>
      </c>
      <c r="M1355" s="68">
        <f t="shared" si="1172"/>
        <v>0</v>
      </c>
      <c r="N1355" s="68">
        <f t="shared" si="1172"/>
        <v>0</v>
      </c>
      <c r="O1355" s="68">
        <f t="shared" si="1172"/>
        <v>0</v>
      </c>
      <c r="P1355" s="68">
        <f t="shared" si="1172"/>
        <v>0</v>
      </c>
    </row>
    <row r="1356" spans="2:16" ht="12.6" customHeight="1" x14ac:dyDescent="0.2">
      <c r="B1356" s="56" t="s">
        <v>299</v>
      </c>
      <c r="C1356" s="61" t="s">
        <v>566</v>
      </c>
      <c r="D1356" s="57"/>
      <c r="E1356" s="57"/>
      <c r="F1356" s="57"/>
      <c r="G1356" s="57"/>
      <c r="H1356" s="57"/>
      <c r="I1356" s="57"/>
      <c r="J1356" s="57"/>
      <c r="K1356" s="68">
        <f t="shared" ref="K1356:P1356" si="1173">K1357*K1366</f>
        <v>0</v>
      </c>
      <c r="L1356" s="68">
        <f t="shared" si="1173"/>
        <v>0</v>
      </c>
      <c r="M1356" s="68">
        <f t="shared" si="1173"/>
        <v>0</v>
      </c>
      <c r="N1356" s="68">
        <f t="shared" si="1173"/>
        <v>0</v>
      </c>
      <c r="O1356" s="68">
        <f t="shared" si="1173"/>
        <v>0</v>
      </c>
      <c r="P1356" s="68">
        <f t="shared" si="1173"/>
        <v>0</v>
      </c>
    </row>
    <row r="1357" spans="2:16" ht="12.6" customHeight="1" x14ac:dyDescent="0.2">
      <c r="B1357" s="72" t="s">
        <v>551</v>
      </c>
      <c r="C1357" s="61"/>
      <c r="D1357" s="63"/>
      <c r="E1357" s="63"/>
      <c r="F1357" s="63"/>
      <c r="G1357" s="63"/>
      <c r="H1357" s="63"/>
      <c r="I1357" s="63"/>
      <c r="J1357" s="63"/>
      <c r="K1357" s="64">
        <f t="shared" ref="K1357:P1357" si="1174">K1335</f>
        <v>0</v>
      </c>
      <c r="L1357" s="64">
        <f t="shared" si="1174"/>
        <v>0</v>
      </c>
      <c r="M1357" s="64">
        <f t="shared" si="1174"/>
        <v>0</v>
      </c>
      <c r="N1357" s="64">
        <f t="shared" si="1174"/>
        <v>0</v>
      </c>
      <c r="O1357" s="64">
        <f t="shared" si="1174"/>
        <v>0</v>
      </c>
      <c r="P1357" s="64">
        <f t="shared" si="1174"/>
        <v>0</v>
      </c>
    </row>
    <row r="1358" spans="2:16" ht="12.6" customHeight="1" x14ac:dyDescent="0.2">
      <c r="B1358" s="72"/>
      <c r="C1358" s="61"/>
      <c r="D1358" s="63"/>
      <c r="E1358" s="63"/>
      <c r="F1358" s="63"/>
      <c r="G1358" s="63"/>
      <c r="H1358" s="63"/>
      <c r="I1358" s="63"/>
      <c r="J1358" s="63"/>
      <c r="K1358" s="64"/>
      <c r="L1358" s="64"/>
      <c r="M1358" s="64"/>
      <c r="N1358" s="64"/>
      <c r="O1358" s="64"/>
      <c r="P1358" s="64"/>
    </row>
    <row r="1359" spans="2:16" ht="12.6" customHeight="1" x14ac:dyDescent="0.2">
      <c r="B1359" s="331" t="s">
        <v>227</v>
      </c>
      <c r="C1359" s="326"/>
      <c r="D1359" s="335"/>
      <c r="E1359" s="335"/>
      <c r="F1359" s="335"/>
      <c r="G1359" s="335"/>
      <c r="H1359" s="335"/>
      <c r="I1359" s="335"/>
      <c r="J1359" s="335"/>
      <c r="K1359" s="336"/>
      <c r="L1359" s="336"/>
      <c r="M1359" s="336"/>
      <c r="N1359" s="336"/>
      <c r="O1359" s="336"/>
      <c r="P1359" s="336"/>
    </row>
    <row r="1360" spans="2:16" ht="12.6" customHeight="1" x14ac:dyDescent="0.2">
      <c r="B1360" s="322" t="s">
        <v>563</v>
      </c>
      <c r="C1360" s="326"/>
      <c r="D1360" s="113"/>
      <c r="E1360" s="113"/>
      <c r="F1360" s="113"/>
      <c r="G1360" s="113"/>
      <c r="H1360" s="113"/>
      <c r="I1360" s="113"/>
      <c r="J1360" s="113"/>
      <c r="K1360" s="197" t="str">
        <f t="shared" ref="K1360:P1360" si="1175">IFERROR(K1355/J1355-1,"--")</f>
        <v>--</v>
      </c>
      <c r="L1360" s="197" t="str">
        <f t="shared" si="1175"/>
        <v>--</v>
      </c>
      <c r="M1360" s="197" t="str">
        <f t="shared" si="1175"/>
        <v>--</v>
      </c>
      <c r="N1360" s="197" t="str">
        <f t="shared" si="1175"/>
        <v>--</v>
      </c>
      <c r="O1360" s="197" t="str">
        <f t="shared" si="1175"/>
        <v>--</v>
      </c>
      <c r="P1360" s="197" t="str">
        <f t="shared" si="1175"/>
        <v>--</v>
      </c>
    </row>
    <row r="1361" spans="2:18" ht="12.6" customHeight="1" x14ac:dyDescent="0.2">
      <c r="B1361" s="322" t="s">
        <v>299</v>
      </c>
      <c r="C1361" s="326"/>
      <c r="D1361" s="113"/>
      <c r="E1361" s="113"/>
      <c r="F1361" s="113"/>
      <c r="G1361" s="113"/>
      <c r="H1361" s="113"/>
      <c r="I1361" s="113"/>
      <c r="J1361" s="113"/>
      <c r="K1361" s="197" t="str">
        <f t="shared" ref="K1361:P1361" si="1176">IFERROR(K1356/J1356-1,"--")</f>
        <v>--</v>
      </c>
      <c r="L1361" s="197" t="str">
        <f t="shared" si="1176"/>
        <v>--</v>
      </c>
      <c r="M1361" s="197" t="str">
        <f t="shared" si="1176"/>
        <v>--</v>
      </c>
      <c r="N1361" s="197" t="str">
        <f t="shared" si="1176"/>
        <v>--</v>
      </c>
      <c r="O1361" s="197" t="str">
        <f t="shared" si="1176"/>
        <v>--</v>
      </c>
      <c r="P1361" s="197" t="str">
        <f t="shared" si="1176"/>
        <v>--</v>
      </c>
    </row>
    <row r="1362" spans="2:18" ht="12.6" customHeight="1" x14ac:dyDescent="0.2">
      <c r="B1362" s="331" t="s">
        <v>551</v>
      </c>
      <c r="C1362" s="327"/>
      <c r="D1362" s="117"/>
      <c r="E1362" s="117"/>
      <c r="F1362" s="117"/>
      <c r="G1362" s="117"/>
      <c r="H1362" s="117"/>
      <c r="I1362" s="117"/>
      <c r="J1362" s="117"/>
      <c r="K1362" s="204" t="str">
        <f t="shared" ref="K1362:P1362" si="1177">IFERROR(K1357/J1357-1,"--")</f>
        <v>--</v>
      </c>
      <c r="L1362" s="204" t="str">
        <f t="shared" si="1177"/>
        <v>--</v>
      </c>
      <c r="M1362" s="204" t="str">
        <f t="shared" si="1177"/>
        <v>--</v>
      </c>
      <c r="N1362" s="204" t="str">
        <f t="shared" si="1177"/>
        <v>--</v>
      </c>
      <c r="O1362" s="204" t="str">
        <f t="shared" si="1177"/>
        <v>--</v>
      </c>
      <c r="P1362" s="204" t="str">
        <f t="shared" si="1177"/>
        <v>--</v>
      </c>
    </row>
    <row r="1363" spans="2:18" ht="12.6" customHeight="1" x14ac:dyDescent="0.2">
      <c r="B1363" s="331"/>
      <c r="C1363" s="326"/>
      <c r="D1363" s="335"/>
      <c r="E1363" s="335"/>
      <c r="F1363" s="335"/>
      <c r="G1363" s="335"/>
      <c r="H1363" s="335"/>
      <c r="I1363" s="335"/>
      <c r="J1363" s="335"/>
      <c r="K1363" s="336"/>
      <c r="L1363" s="336"/>
      <c r="M1363" s="336"/>
      <c r="N1363" s="336"/>
      <c r="O1363" s="336"/>
      <c r="P1363" s="336"/>
    </row>
    <row r="1364" spans="2:18" ht="12.6" customHeight="1" x14ac:dyDescent="0.2">
      <c r="B1364" s="331" t="s">
        <v>287</v>
      </c>
      <c r="C1364" s="326"/>
      <c r="D1364" s="335"/>
      <c r="E1364" s="335"/>
      <c r="F1364" s="335"/>
      <c r="G1364" s="335"/>
      <c r="H1364" s="335"/>
      <c r="I1364" s="335"/>
      <c r="J1364" s="335"/>
      <c r="K1364" s="336"/>
      <c r="L1364" s="336"/>
      <c r="M1364" s="336"/>
      <c r="N1364" s="336"/>
      <c r="O1364" s="336"/>
      <c r="P1364" s="336"/>
    </row>
    <row r="1365" spans="2:18" ht="12.6" customHeight="1" x14ac:dyDescent="0.2">
      <c r="B1365" s="322" t="s">
        <v>563</v>
      </c>
      <c r="C1365" s="326"/>
      <c r="D1365" s="113"/>
      <c r="E1365" s="113"/>
      <c r="F1365" s="113"/>
      <c r="G1365" s="113"/>
      <c r="H1365" s="113"/>
      <c r="I1365" s="113"/>
      <c r="J1365" s="113"/>
      <c r="K1365" s="197">
        <f t="shared" ref="K1365:P1365" si="1178">1-K1366</f>
        <v>1</v>
      </c>
      <c r="L1365" s="197">
        <f t="shared" si="1178"/>
        <v>1</v>
      </c>
      <c r="M1365" s="197">
        <f t="shared" si="1178"/>
        <v>1</v>
      </c>
      <c r="N1365" s="197">
        <f t="shared" si="1178"/>
        <v>1</v>
      </c>
      <c r="O1365" s="197">
        <f t="shared" si="1178"/>
        <v>1</v>
      </c>
      <c r="P1365" s="197">
        <f t="shared" si="1178"/>
        <v>1</v>
      </c>
    </row>
    <row r="1366" spans="2:18" ht="12.6" customHeight="1" x14ac:dyDescent="0.2">
      <c r="B1366" s="359" t="s">
        <v>299</v>
      </c>
      <c r="C1366" s="327"/>
      <c r="D1366" s="117"/>
      <c r="E1366" s="117"/>
      <c r="F1366" s="117"/>
      <c r="G1366" s="117"/>
      <c r="H1366" s="117"/>
      <c r="I1366" s="117"/>
      <c r="J1366" s="117"/>
      <c r="K1366" s="356">
        <f t="shared" ref="K1366:P1366" si="1179">J1366</f>
        <v>0</v>
      </c>
      <c r="L1366" s="356">
        <f t="shared" si="1179"/>
        <v>0</v>
      </c>
      <c r="M1366" s="356">
        <f t="shared" si="1179"/>
        <v>0</v>
      </c>
      <c r="N1366" s="356">
        <f t="shared" si="1179"/>
        <v>0</v>
      </c>
      <c r="O1366" s="356">
        <f t="shared" si="1179"/>
        <v>0</v>
      </c>
      <c r="P1366" s="356">
        <f t="shared" si="1179"/>
        <v>0</v>
      </c>
    </row>
    <row r="1367" spans="2:18" ht="12.6" customHeight="1" x14ac:dyDescent="0.2">
      <c r="B1367" s="116"/>
      <c r="C1367" s="61"/>
      <c r="D1367" s="63"/>
      <c r="E1367" s="63"/>
      <c r="F1367" s="63"/>
      <c r="G1367" s="63"/>
      <c r="H1367" s="63"/>
      <c r="I1367" s="63"/>
      <c r="J1367" s="63"/>
      <c r="K1367" s="64"/>
      <c r="L1367" s="64"/>
      <c r="M1367" s="64"/>
      <c r="N1367" s="64"/>
      <c r="O1367" s="64"/>
      <c r="P1367" s="64"/>
    </row>
    <row r="1369" spans="2:18" ht="12.6" customHeight="1" x14ac:dyDescent="0.2">
      <c r="B1369" s="50" t="s">
        <v>766</v>
      </c>
      <c r="C1369" s="50" t="s">
        <v>473</v>
      </c>
      <c r="D1369" s="163"/>
      <c r="E1369" s="163"/>
      <c r="F1369" s="163"/>
      <c r="G1369" s="51"/>
      <c r="H1369" s="51"/>
      <c r="I1369" s="51"/>
      <c r="J1369" s="51"/>
      <c r="K1369" s="54"/>
      <c r="L1369" s="54"/>
      <c r="M1369" s="54"/>
      <c r="N1369" s="54"/>
      <c r="O1369" s="54"/>
      <c r="P1369" s="54"/>
    </row>
    <row r="1370" spans="2:18" ht="12.6" customHeight="1" x14ac:dyDescent="0.2">
      <c r="B1370" s="61" t="s">
        <v>565</v>
      </c>
      <c r="C1370" s="61" t="s">
        <v>570</v>
      </c>
      <c r="D1370" s="63"/>
      <c r="E1370" s="63"/>
      <c r="F1370" s="311"/>
      <c r="G1370" s="301"/>
      <c r="H1370" s="301"/>
      <c r="I1370" s="301"/>
      <c r="J1370" s="301"/>
      <c r="K1370" s="302"/>
      <c r="L1370" s="302"/>
      <c r="M1370" s="302"/>
      <c r="N1370" s="302"/>
      <c r="O1370" s="302">
        <f>O1371*O1384</f>
        <v>0</v>
      </c>
      <c r="P1370" s="302">
        <f>P1371*P1384</f>
        <v>4125</v>
      </c>
    </row>
    <row r="1371" spans="2:18" ht="12.6" customHeight="1" x14ac:dyDescent="0.2">
      <c r="B1371" s="59" t="s">
        <v>474</v>
      </c>
      <c r="C1371" s="61" t="s">
        <v>476</v>
      </c>
      <c r="D1371" s="57"/>
      <c r="E1371" s="57"/>
      <c r="F1371" s="57"/>
      <c r="G1371" s="57"/>
      <c r="H1371" s="57"/>
      <c r="I1371" s="57"/>
      <c r="J1371" s="288"/>
      <c r="K1371" s="303"/>
      <c r="L1371" s="303"/>
      <c r="M1371" s="303"/>
      <c r="N1371" s="303"/>
      <c r="O1371" s="303">
        <f>O881</f>
        <v>245.13317128125004</v>
      </c>
      <c r="P1371" s="303">
        <v>500</v>
      </c>
    </row>
    <row r="1372" spans="2:18" ht="12.6" customHeight="1" x14ac:dyDescent="0.2">
      <c r="B1372" s="322" t="s">
        <v>227</v>
      </c>
      <c r="C1372" s="323" t="s">
        <v>477</v>
      </c>
      <c r="D1372" s="58"/>
      <c r="E1372" s="58"/>
      <c r="F1372" s="339"/>
      <c r="G1372" s="330"/>
      <c r="H1372" s="330"/>
      <c r="I1372" s="330"/>
      <c r="J1372" s="353"/>
      <c r="K1372" s="354"/>
      <c r="L1372" s="354"/>
      <c r="M1372" s="354"/>
      <c r="N1372" s="354">
        <v>0.05</v>
      </c>
      <c r="O1372" s="354">
        <v>0.05</v>
      </c>
      <c r="P1372" s="354">
        <v>0.01</v>
      </c>
    </row>
    <row r="1373" spans="2:18" ht="12.6" customHeight="1" x14ac:dyDescent="0.2">
      <c r="B1373" s="59"/>
      <c r="C1373" s="61"/>
      <c r="D1373" s="57"/>
      <c r="E1373" s="57"/>
      <c r="F1373" s="288"/>
      <c r="G1373" s="57"/>
      <c r="H1373" s="57"/>
      <c r="I1373" s="57"/>
      <c r="J1373" s="57"/>
      <c r="K1373" s="68"/>
      <c r="L1373" s="68"/>
      <c r="M1373" s="68"/>
      <c r="N1373" s="68"/>
      <c r="O1373" s="68"/>
      <c r="P1373" s="68"/>
    </row>
    <row r="1374" spans="2:18" ht="12.6" customHeight="1" x14ac:dyDescent="0.2">
      <c r="B1374" s="72" t="s">
        <v>303</v>
      </c>
      <c r="C1374" s="61" t="s">
        <v>4</v>
      </c>
      <c r="D1374" s="57"/>
      <c r="E1374" s="57"/>
      <c r="F1374" s="288"/>
      <c r="G1374" s="288"/>
      <c r="H1374" s="288"/>
      <c r="I1374" s="288"/>
      <c r="J1374" s="288"/>
      <c r="K1374" s="68"/>
      <c r="L1374" s="68"/>
      <c r="M1374" s="68"/>
      <c r="N1374" s="68"/>
      <c r="O1374" s="68">
        <f>O105</f>
        <v>0</v>
      </c>
      <c r="P1374" s="68">
        <f>P105</f>
        <v>33</v>
      </c>
      <c r="R1374" s="37" t="s">
        <v>1901</v>
      </c>
    </row>
    <row r="1375" spans="2:18" ht="12.6" customHeight="1" x14ac:dyDescent="0.2">
      <c r="B1375" s="202" t="s">
        <v>555</v>
      </c>
      <c r="C1375" s="326" t="s">
        <v>4</v>
      </c>
      <c r="D1375" s="58"/>
      <c r="E1375" s="58"/>
      <c r="F1375" s="330"/>
      <c r="G1375" s="330"/>
      <c r="H1375" s="330"/>
      <c r="I1375" s="330"/>
      <c r="J1375" s="330"/>
      <c r="K1375" s="324"/>
      <c r="L1375" s="324"/>
      <c r="M1375" s="324">
        <v>0</v>
      </c>
      <c r="N1375" s="324">
        <v>0</v>
      </c>
      <c r="O1375" s="324">
        <v>0.4</v>
      </c>
      <c r="P1375" s="324">
        <v>0.25</v>
      </c>
      <c r="R1375" s="37" t="s">
        <v>1902</v>
      </c>
    </row>
    <row r="1376" spans="2:18" ht="12.6" customHeight="1" x14ac:dyDescent="0.2">
      <c r="B1376" s="59"/>
      <c r="C1376" s="61"/>
      <c r="D1376" s="57"/>
      <c r="E1376" s="57"/>
      <c r="F1376" s="288"/>
      <c r="G1376" s="57"/>
      <c r="H1376" s="57"/>
      <c r="I1376" s="57"/>
      <c r="J1376" s="57"/>
      <c r="K1376" s="68"/>
      <c r="L1376" s="68"/>
      <c r="M1376" s="68"/>
      <c r="N1376" s="68"/>
      <c r="O1376" s="68"/>
      <c r="P1376" s="68"/>
    </row>
    <row r="1377" spans="2:22" ht="12.6" customHeight="1" x14ac:dyDescent="0.2">
      <c r="B1377" s="72" t="s">
        <v>489</v>
      </c>
      <c r="C1377" s="61"/>
      <c r="D1377" s="57"/>
      <c r="E1377" s="57"/>
      <c r="F1377" s="288"/>
      <c r="G1377" s="57"/>
      <c r="H1377" s="57"/>
      <c r="I1377" s="57"/>
      <c r="J1377" s="57"/>
      <c r="K1377" s="68"/>
      <c r="L1377" s="68"/>
      <c r="M1377" s="68"/>
      <c r="N1377" s="68"/>
      <c r="O1377" s="68"/>
      <c r="P1377" s="68"/>
      <c r="R1377" s="37" t="s">
        <v>1903</v>
      </c>
    </row>
    <row r="1378" spans="2:22" ht="12.6" customHeight="1" x14ac:dyDescent="0.2">
      <c r="B1378" s="56" t="s">
        <v>279</v>
      </c>
      <c r="C1378" s="61"/>
      <c r="D1378" s="288"/>
      <c r="E1378" s="288"/>
      <c r="F1378" s="288"/>
      <c r="G1378" s="288"/>
      <c r="H1378" s="288"/>
      <c r="I1378" s="288"/>
      <c r="J1378" s="288"/>
      <c r="K1378" s="303">
        <f t="shared" ref="K1378:P1381" si="1180">J1378*(1+K1387)</f>
        <v>0</v>
      </c>
      <c r="L1378" s="303">
        <f t="shared" si="1180"/>
        <v>0</v>
      </c>
      <c r="M1378" s="303">
        <f t="shared" si="1180"/>
        <v>0</v>
      </c>
      <c r="N1378" s="303">
        <f t="shared" si="1180"/>
        <v>0</v>
      </c>
      <c r="O1378" s="303">
        <f t="shared" si="1180"/>
        <v>0</v>
      </c>
      <c r="P1378" s="303">
        <f t="shared" si="1180"/>
        <v>0</v>
      </c>
      <c r="R1378" s="37" t="s">
        <v>1904</v>
      </c>
    </row>
    <row r="1379" spans="2:22" ht="12.6" customHeight="1" x14ac:dyDescent="0.2">
      <c r="B1379" s="56" t="s">
        <v>280</v>
      </c>
      <c r="C1379" s="61"/>
      <c r="D1379" s="288"/>
      <c r="E1379" s="288"/>
      <c r="F1379" s="288"/>
      <c r="G1379" s="288"/>
      <c r="H1379" s="288"/>
      <c r="I1379" s="288"/>
      <c r="J1379" s="288"/>
      <c r="K1379" s="303">
        <f t="shared" si="1180"/>
        <v>0</v>
      </c>
      <c r="L1379" s="303">
        <f t="shared" si="1180"/>
        <v>0</v>
      </c>
      <c r="M1379" s="303">
        <f t="shared" si="1180"/>
        <v>0</v>
      </c>
      <c r="N1379" s="303">
        <f t="shared" si="1180"/>
        <v>0</v>
      </c>
      <c r="O1379" s="303">
        <f t="shared" si="1180"/>
        <v>0</v>
      </c>
      <c r="P1379" s="303">
        <f t="shared" si="1180"/>
        <v>0</v>
      </c>
      <c r="R1379" s="37" t="s">
        <v>1905</v>
      </c>
    </row>
    <row r="1380" spans="2:22" ht="12.6" customHeight="1" x14ac:dyDescent="0.2">
      <c r="B1380" s="56" t="s">
        <v>281</v>
      </c>
      <c r="C1380" s="61"/>
      <c r="D1380" s="288"/>
      <c r="E1380" s="288"/>
      <c r="F1380" s="288"/>
      <c r="G1380" s="288"/>
      <c r="H1380" s="288"/>
      <c r="I1380" s="288"/>
      <c r="J1380" s="288"/>
      <c r="K1380" s="303">
        <f t="shared" si="1180"/>
        <v>0</v>
      </c>
      <c r="L1380" s="303">
        <f t="shared" si="1180"/>
        <v>0</v>
      </c>
      <c r="M1380" s="303">
        <f t="shared" si="1180"/>
        <v>0</v>
      </c>
      <c r="N1380" s="303">
        <f t="shared" si="1180"/>
        <v>0</v>
      </c>
      <c r="O1380" s="303">
        <f t="shared" si="1180"/>
        <v>0</v>
      </c>
      <c r="P1380" s="303">
        <f t="shared" si="1180"/>
        <v>0</v>
      </c>
      <c r="R1380" s="37" t="s">
        <v>1906</v>
      </c>
    </row>
    <row r="1381" spans="2:22" ht="12.6" customHeight="1" x14ac:dyDescent="0.2">
      <c r="B1381" s="56" t="s">
        <v>282</v>
      </c>
      <c r="C1381" s="61"/>
      <c r="D1381" s="288"/>
      <c r="E1381" s="288"/>
      <c r="F1381" s="288"/>
      <c r="G1381" s="288"/>
      <c r="H1381" s="288"/>
      <c r="I1381" s="288"/>
      <c r="J1381" s="288"/>
      <c r="K1381" s="303">
        <f t="shared" si="1180"/>
        <v>0</v>
      </c>
      <c r="L1381" s="303">
        <f t="shared" si="1180"/>
        <v>0</v>
      </c>
      <c r="M1381" s="303">
        <f t="shared" si="1180"/>
        <v>0</v>
      </c>
      <c r="N1381" s="303">
        <f t="shared" si="1180"/>
        <v>0</v>
      </c>
      <c r="O1381" s="303">
        <f t="shared" si="1180"/>
        <v>0</v>
      </c>
      <c r="P1381" s="303">
        <f t="shared" si="1180"/>
        <v>0</v>
      </c>
      <c r="R1381" s="37" t="s">
        <v>1907</v>
      </c>
    </row>
    <row r="1382" spans="2:22" ht="12.6" customHeight="1" x14ac:dyDescent="0.2">
      <c r="B1382" s="56" t="s">
        <v>283</v>
      </c>
      <c r="C1382" s="61"/>
      <c r="D1382" s="288"/>
      <c r="E1382" s="288"/>
      <c r="F1382" s="288"/>
      <c r="G1382" s="288"/>
      <c r="H1382" s="288"/>
      <c r="I1382" s="288"/>
      <c r="J1382" s="288"/>
      <c r="K1382" s="303">
        <f t="shared" ref="K1382:P1382" si="1181">K1374*K1375</f>
        <v>0</v>
      </c>
      <c r="L1382" s="303">
        <f t="shared" si="1181"/>
        <v>0</v>
      </c>
      <c r="M1382" s="303">
        <f t="shared" si="1181"/>
        <v>0</v>
      </c>
      <c r="N1382" s="303">
        <f t="shared" si="1181"/>
        <v>0</v>
      </c>
      <c r="O1382" s="303">
        <f t="shared" si="1181"/>
        <v>0</v>
      </c>
      <c r="P1382" s="303">
        <f t="shared" si="1181"/>
        <v>8.25</v>
      </c>
      <c r="R1382" s="37" t="s">
        <v>710</v>
      </c>
    </row>
    <row r="1383" spans="2:22" ht="12.6" customHeight="1" x14ac:dyDescent="0.2">
      <c r="B1383" s="56" t="s">
        <v>284</v>
      </c>
      <c r="C1383" s="61"/>
      <c r="D1383" s="288"/>
      <c r="E1383" s="288"/>
      <c r="F1383" s="288"/>
      <c r="G1383" s="288"/>
      <c r="H1383" s="288"/>
      <c r="I1383" s="288"/>
      <c r="J1383" s="288"/>
      <c r="K1383" s="303">
        <f t="shared" ref="K1383:P1383" si="1182">J1383*(1+K1392)</f>
        <v>0</v>
      </c>
      <c r="L1383" s="303">
        <f t="shared" si="1182"/>
        <v>0</v>
      </c>
      <c r="M1383" s="303">
        <f t="shared" si="1182"/>
        <v>0</v>
      </c>
      <c r="N1383" s="303">
        <f t="shared" si="1182"/>
        <v>0</v>
      </c>
      <c r="O1383" s="303">
        <f t="shared" si="1182"/>
        <v>0</v>
      </c>
      <c r="P1383" s="303">
        <f t="shared" si="1182"/>
        <v>0</v>
      </c>
    </row>
    <row r="1384" spans="2:22" ht="12.6" customHeight="1" x14ac:dyDescent="0.2">
      <c r="B1384" s="72" t="s">
        <v>551</v>
      </c>
      <c r="C1384" s="95"/>
      <c r="D1384" s="63"/>
      <c r="E1384" s="63"/>
      <c r="F1384" s="63"/>
      <c r="G1384" s="63"/>
      <c r="H1384" s="63"/>
      <c r="I1384" s="63"/>
      <c r="J1384" s="63"/>
      <c r="K1384" s="64">
        <f t="shared" ref="K1384:P1384" si="1183">SUM(K1378:K1383)</f>
        <v>0</v>
      </c>
      <c r="L1384" s="64">
        <f t="shared" si="1183"/>
        <v>0</v>
      </c>
      <c r="M1384" s="64">
        <f t="shared" si="1183"/>
        <v>0</v>
      </c>
      <c r="N1384" s="64">
        <f t="shared" si="1183"/>
        <v>0</v>
      </c>
      <c r="O1384" s="64">
        <f t="shared" si="1183"/>
        <v>0</v>
      </c>
      <c r="P1384" s="64">
        <f t="shared" si="1183"/>
        <v>8.25</v>
      </c>
      <c r="R1384" s="37" t="s">
        <v>1908</v>
      </c>
      <c r="T1384" s="37" t="s">
        <v>1911</v>
      </c>
      <c r="V1384" s="37" t="s">
        <v>1912</v>
      </c>
    </row>
    <row r="1385" spans="2:22" ht="12.6" customHeight="1" x14ac:dyDescent="0.2">
      <c r="B1385" s="72"/>
      <c r="C1385" s="95"/>
      <c r="D1385" s="63"/>
      <c r="E1385" s="63"/>
      <c r="F1385" s="63"/>
      <c r="G1385" s="63"/>
      <c r="H1385" s="63"/>
      <c r="I1385" s="63"/>
      <c r="J1385" s="63"/>
      <c r="K1385" s="64"/>
      <c r="L1385" s="64"/>
      <c r="M1385" s="64"/>
      <c r="N1385" s="64"/>
      <c r="O1385" s="64"/>
      <c r="P1385" s="64"/>
      <c r="R1385" s="37" t="s">
        <v>1909</v>
      </c>
      <c r="T1385" s="37">
        <f>2*14.6</f>
        <v>29.2</v>
      </c>
    </row>
    <row r="1386" spans="2:22" ht="12.6" customHeight="1" x14ac:dyDescent="0.2">
      <c r="B1386" s="116" t="s">
        <v>227</v>
      </c>
      <c r="C1386" s="61"/>
      <c r="D1386" s="63"/>
      <c r="E1386" s="63"/>
      <c r="F1386" s="63"/>
      <c r="G1386" s="63"/>
      <c r="H1386" s="63"/>
      <c r="I1386" s="63"/>
      <c r="J1386" s="63"/>
      <c r="K1386" s="68"/>
      <c r="L1386" s="68"/>
      <c r="M1386" s="68"/>
      <c r="N1386" s="68"/>
      <c r="O1386" s="68"/>
      <c r="P1386" s="68"/>
      <c r="R1386" s="37" t="s">
        <v>1910</v>
      </c>
    </row>
    <row r="1387" spans="2:22" ht="12.6" customHeight="1" x14ac:dyDescent="0.2">
      <c r="B1387" s="322" t="s">
        <v>279</v>
      </c>
      <c r="C1387" s="355"/>
      <c r="D1387" s="113"/>
      <c r="E1387" s="113"/>
      <c r="F1387" s="113"/>
      <c r="G1387" s="113"/>
      <c r="H1387" s="113"/>
      <c r="I1387" s="113"/>
      <c r="J1387" s="113"/>
      <c r="K1387" s="356">
        <v>0</v>
      </c>
      <c r="L1387" s="356">
        <v>0</v>
      </c>
      <c r="M1387" s="356">
        <v>0</v>
      </c>
      <c r="N1387" s="356">
        <v>0</v>
      </c>
      <c r="O1387" s="356">
        <v>0</v>
      </c>
      <c r="P1387" s="356">
        <v>0</v>
      </c>
    </row>
    <row r="1388" spans="2:22" ht="12.6" customHeight="1" x14ac:dyDescent="0.2">
      <c r="B1388" s="322" t="s">
        <v>280</v>
      </c>
      <c r="C1388" s="355"/>
      <c r="D1388" s="113"/>
      <c r="E1388" s="113"/>
      <c r="F1388" s="113"/>
      <c r="G1388" s="113"/>
      <c r="H1388" s="113"/>
      <c r="I1388" s="113"/>
      <c r="J1388" s="113"/>
      <c r="K1388" s="356">
        <v>0.05</v>
      </c>
      <c r="L1388" s="356">
        <v>0.05</v>
      </c>
      <c r="M1388" s="356">
        <v>0.05</v>
      </c>
      <c r="N1388" s="356">
        <v>0.05</v>
      </c>
      <c r="O1388" s="356">
        <v>0.05</v>
      </c>
      <c r="P1388" s="356">
        <v>0.05</v>
      </c>
    </row>
    <row r="1389" spans="2:22" ht="12.6" customHeight="1" x14ac:dyDescent="0.2">
      <c r="B1389" s="322" t="s">
        <v>281</v>
      </c>
      <c r="C1389" s="355"/>
      <c r="D1389" s="113"/>
      <c r="E1389" s="113"/>
      <c r="F1389" s="113"/>
      <c r="G1389" s="113"/>
      <c r="H1389" s="113"/>
      <c r="I1389" s="113"/>
      <c r="J1389" s="113"/>
      <c r="K1389" s="356">
        <v>0</v>
      </c>
      <c r="L1389" s="356">
        <v>0</v>
      </c>
      <c r="M1389" s="356">
        <v>0</v>
      </c>
      <c r="N1389" s="356">
        <v>0</v>
      </c>
      <c r="O1389" s="356">
        <v>0</v>
      </c>
      <c r="P1389" s="356">
        <v>0</v>
      </c>
    </row>
    <row r="1390" spans="2:22" ht="12.6" customHeight="1" x14ac:dyDescent="0.2">
      <c r="B1390" s="322" t="s">
        <v>282</v>
      </c>
      <c r="C1390" s="355"/>
      <c r="D1390" s="113"/>
      <c r="E1390" s="113"/>
      <c r="F1390" s="113"/>
      <c r="G1390" s="113"/>
      <c r="H1390" s="113"/>
      <c r="I1390" s="113"/>
      <c r="J1390" s="113"/>
      <c r="K1390" s="356">
        <v>0</v>
      </c>
      <c r="L1390" s="356">
        <v>0</v>
      </c>
      <c r="M1390" s="356">
        <v>0</v>
      </c>
      <c r="N1390" s="356">
        <v>0</v>
      </c>
      <c r="O1390" s="356">
        <v>0</v>
      </c>
      <c r="P1390" s="356">
        <v>0</v>
      </c>
    </row>
    <row r="1391" spans="2:22" ht="12.6" customHeight="1" x14ac:dyDescent="0.2">
      <c r="B1391" s="322" t="s">
        <v>283</v>
      </c>
      <c r="C1391" s="355"/>
      <c r="D1391" s="113"/>
      <c r="E1391" s="113"/>
      <c r="F1391" s="113"/>
      <c r="G1391" s="113"/>
      <c r="H1391" s="113"/>
      <c r="I1391" s="113"/>
      <c r="J1391" s="113"/>
      <c r="K1391" s="356">
        <v>0.05</v>
      </c>
      <c r="L1391" s="356">
        <v>0.05</v>
      </c>
      <c r="M1391" s="356">
        <v>0.05</v>
      </c>
      <c r="N1391" s="356">
        <v>0.05</v>
      </c>
      <c r="O1391" s="356">
        <v>0.05</v>
      </c>
      <c r="P1391" s="356">
        <v>0.05</v>
      </c>
    </row>
    <row r="1392" spans="2:22" ht="12.6" customHeight="1" x14ac:dyDescent="0.2">
      <c r="B1392" s="322" t="s">
        <v>284</v>
      </c>
      <c r="C1392" s="355"/>
      <c r="D1392" s="113"/>
      <c r="E1392" s="113"/>
      <c r="F1392" s="113"/>
      <c r="G1392" s="113"/>
      <c r="H1392" s="113"/>
      <c r="I1392" s="113"/>
      <c r="J1392" s="113"/>
      <c r="K1392" s="356">
        <v>0</v>
      </c>
      <c r="L1392" s="356">
        <v>0</v>
      </c>
      <c r="M1392" s="356">
        <v>0</v>
      </c>
      <c r="N1392" s="356">
        <v>0</v>
      </c>
      <c r="O1392" s="356">
        <v>0</v>
      </c>
      <c r="P1392" s="356">
        <v>0</v>
      </c>
    </row>
    <row r="1393" spans="2:16" ht="12.6" customHeight="1" x14ac:dyDescent="0.2">
      <c r="B1393" s="331" t="s">
        <v>551</v>
      </c>
      <c r="C1393" s="358"/>
      <c r="D1393" s="117"/>
      <c r="E1393" s="117"/>
      <c r="F1393" s="117"/>
      <c r="G1393" s="117"/>
      <c r="H1393" s="117"/>
      <c r="I1393" s="117"/>
      <c r="J1393" s="117"/>
      <c r="K1393" s="204">
        <f t="shared" ref="K1393:P1393" si="1184">IFERROR(K1384/J1384-1,0)</f>
        <v>0</v>
      </c>
      <c r="L1393" s="204">
        <f t="shared" si="1184"/>
        <v>0</v>
      </c>
      <c r="M1393" s="204">
        <f t="shared" si="1184"/>
        <v>0</v>
      </c>
      <c r="N1393" s="204">
        <f t="shared" si="1184"/>
        <v>0</v>
      </c>
      <c r="O1393" s="204">
        <f t="shared" si="1184"/>
        <v>0</v>
      </c>
      <c r="P1393" s="204">
        <f t="shared" si="1184"/>
        <v>0</v>
      </c>
    </row>
    <row r="1394" spans="2:16" ht="12.6" customHeight="1" x14ac:dyDescent="0.2">
      <c r="B1394" s="201"/>
      <c r="C1394" s="326"/>
      <c r="D1394" s="335"/>
      <c r="E1394" s="335"/>
      <c r="F1394" s="335"/>
      <c r="G1394" s="335"/>
      <c r="H1394" s="335"/>
      <c r="I1394" s="335"/>
      <c r="J1394" s="335"/>
      <c r="K1394" s="357"/>
      <c r="L1394" s="357"/>
      <c r="M1394" s="357"/>
      <c r="N1394" s="357"/>
      <c r="O1394" s="357"/>
      <c r="P1394" s="357"/>
    </row>
    <row r="1395" spans="2:16" ht="12.6" customHeight="1" x14ac:dyDescent="0.2">
      <c r="B1395" s="331" t="s">
        <v>287</v>
      </c>
      <c r="C1395" s="326"/>
      <c r="D1395" s="335"/>
      <c r="E1395" s="335"/>
      <c r="F1395" s="335"/>
      <c r="G1395" s="335"/>
      <c r="H1395" s="335"/>
      <c r="I1395" s="335"/>
      <c r="J1395" s="335"/>
      <c r="K1395" s="357"/>
      <c r="L1395" s="357"/>
      <c r="M1395" s="357"/>
      <c r="N1395" s="357"/>
      <c r="O1395" s="357"/>
      <c r="P1395" s="357"/>
    </row>
    <row r="1396" spans="2:16" ht="12.6" customHeight="1" x14ac:dyDescent="0.2">
      <c r="B1396" s="322" t="s">
        <v>279</v>
      </c>
      <c r="C1396" s="326"/>
      <c r="D1396" s="113"/>
      <c r="E1396" s="113"/>
      <c r="F1396" s="113"/>
      <c r="G1396" s="113"/>
      <c r="H1396" s="113"/>
      <c r="I1396" s="113"/>
      <c r="J1396" s="113"/>
      <c r="K1396" s="197" t="str">
        <f t="shared" ref="K1396:P1396" si="1185">IFERROR(K1378/K$1335,"--")</f>
        <v>--</v>
      </c>
      <c r="L1396" s="197" t="str">
        <f t="shared" si="1185"/>
        <v>--</v>
      </c>
      <c r="M1396" s="197" t="str">
        <f t="shared" si="1185"/>
        <v>--</v>
      </c>
      <c r="N1396" s="197" t="str">
        <f t="shared" si="1185"/>
        <v>--</v>
      </c>
      <c r="O1396" s="197" t="str">
        <f t="shared" si="1185"/>
        <v>--</v>
      </c>
      <c r="P1396" s="197" t="str">
        <f t="shared" si="1185"/>
        <v>--</v>
      </c>
    </row>
    <row r="1397" spans="2:16" ht="12.6" customHeight="1" x14ac:dyDescent="0.2">
      <c r="B1397" s="322" t="s">
        <v>280</v>
      </c>
      <c r="C1397" s="326"/>
      <c r="D1397" s="113"/>
      <c r="E1397" s="113"/>
      <c r="F1397" s="113"/>
      <c r="G1397" s="113"/>
      <c r="H1397" s="113"/>
      <c r="I1397" s="113"/>
      <c r="J1397" s="113"/>
      <c r="K1397" s="197" t="str">
        <f t="shared" ref="K1397:P1397" si="1186">IFERROR(K1379/K$1335,"--")</f>
        <v>--</v>
      </c>
      <c r="L1397" s="197" t="str">
        <f t="shared" si="1186"/>
        <v>--</v>
      </c>
      <c r="M1397" s="197" t="str">
        <f t="shared" si="1186"/>
        <v>--</v>
      </c>
      <c r="N1397" s="197" t="str">
        <f t="shared" si="1186"/>
        <v>--</v>
      </c>
      <c r="O1397" s="197" t="str">
        <f t="shared" si="1186"/>
        <v>--</v>
      </c>
      <c r="P1397" s="197" t="str">
        <f t="shared" si="1186"/>
        <v>--</v>
      </c>
    </row>
    <row r="1398" spans="2:16" ht="12.6" customHeight="1" x14ac:dyDescent="0.2">
      <c r="B1398" s="322" t="s">
        <v>281</v>
      </c>
      <c r="C1398" s="326"/>
      <c r="D1398" s="113"/>
      <c r="E1398" s="113"/>
      <c r="F1398" s="113"/>
      <c r="G1398" s="113"/>
      <c r="H1398" s="113"/>
      <c r="I1398" s="113"/>
      <c r="J1398" s="113"/>
      <c r="K1398" s="197" t="str">
        <f t="shared" ref="K1398:P1398" si="1187">IFERROR(K1380/K$1335,"--")</f>
        <v>--</v>
      </c>
      <c r="L1398" s="197" t="str">
        <f t="shared" si="1187"/>
        <v>--</v>
      </c>
      <c r="M1398" s="197" t="str">
        <f t="shared" si="1187"/>
        <v>--</v>
      </c>
      <c r="N1398" s="197" t="str">
        <f t="shared" si="1187"/>
        <v>--</v>
      </c>
      <c r="O1398" s="197" t="str">
        <f t="shared" si="1187"/>
        <v>--</v>
      </c>
      <c r="P1398" s="197" t="str">
        <f t="shared" si="1187"/>
        <v>--</v>
      </c>
    </row>
    <row r="1399" spans="2:16" ht="12.6" customHeight="1" x14ac:dyDescent="0.2">
      <c r="B1399" s="322" t="s">
        <v>282</v>
      </c>
      <c r="C1399" s="326"/>
      <c r="D1399" s="113"/>
      <c r="E1399" s="113"/>
      <c r="F1399" s="113"/>
      <c r="G1399" s="113"/>
      <c r="H1399" s="113"/>
      <c r="I1399" s="113"/>
      <c r="J1399" s="113"/>
      <c r="K1399" s="197" t="str">
        <f t="shared" ref="K1399:P1399" si="1188">IFERROR(K1381/K$1335,"--")</f>
        <v>--</v>
      </c>
      <c r="L1399" s="197" t="str">
        <f t="shared" si="1188"/>
        <v>--</v>
      </c>
      <c r="M1399" s="197" t="str">
        <f t="shared" si="1188"/>
        <v>--</v>
      </c>
      <c r="N1399" s="197" t="str">
        <f t="shared" si="1188"/>
        <v>--</v>
      </c>
      <c r="O1399" s="197" t="str">
        <f t="shared" si="1188"/>
        <v>--</v>
      </c>
      <c r="P1399" s="197" t="str">
        <f t="shared" si="1188"/>
        <v>--</v>
      </c>
    </row>
    <row r="1400" spans="2:16" ht="12.6" customHeight="1" x14ac:dyDescent="0.2">
      <c r="B1400" s="322" t="s">
        <v>283</v>
      </c>
      <c r="C1400" s="326"/>
      <c r="D1400" s="113"/>
      <c r="E1400" s="113"/>
      <c r="F1400" s="113"/>
      <c r="G1400" s="113"/>
      <c r="H1400" s="113"/>
      <c r="I1400" s="113"/>
      <c r="J1400" s="113"/>
      <c r="K1400" s="197" t="str">
        <f t="shared" ref="K1400:P1400" si="1189">IFERROR(K1382/K$1335,"--")</f>
        <v>--</v>
      </c>
      <c r="L1400" s="197" t="str">
        <f t="shared" si="1189"/>
        <v>--</v>
      </c>
      <c r="M1400" s="197" t="str">
        <f t="shared" si="1189"/>
        <v>--</v>
      </c>
      <c r="N1400" s="197" t="str">
        <f t="shared" si="1189"/>
        <v>--</v>
      </c>
      <c r="O1400" s="197" t="str">
        <f t="shared" si="1189"/>
        <v>--</v>
      </c>
      <c r="P1400" s="197" t="str">
        <f t="shared" si="1189"/>
        <v>--</v>
      </c>
    </row>
    <row r="1401" spans="2:16" ht="12.6" customHeight="1" x14ac:dyDescent="0.2">
      <c r="B1401" s="322" t="s">
        <v>284</v>
      </c>
      <c r="C1401" s="326"/>
      <c r="D1401" s="113"/>
      <c r="E1401" s="113"/>
      <c r="F1401" s="113"/>
      <c r="G1401" s="113"/>
      <c r="H1401" s="113"/>
      <c r="I1401" s="113"/>
      <c r="J1401" s="113"/>
      <c r="K1401" s="197" t="str">
        <f t="shared" ref="K1401:P1401" si="1190">IFERROR(K1383/K$1335,"--")</f>
        <v>--</v>
      </c>
      <c r="L1401" s="197" t="str">
        <f t="shared" si="1190"/>
        <v>--</v>
      </c>
      <c r="M1401" s="197" t="str">
        <f t="shared" si="1190"/>
        <v>--</v>
      </c>
      <c r="N1401" s="197" t="str">
        <f t="shared" si="1190"/>
        <v>--</v>
      </c>
      <c r="O1401" s="197" t="str">
        <f t="shared" si="1190"/>
        <v>--</v>
      </c>
      <c r="P1401" s="197" t="str">
        <f t="shared" si="1190"/>
        <v>--</v>
      </c>
    </row>
    <row r="1402" spans="2:16" ht="12.6" customHeight="1" x14ac:dyDescent="0.2">
      <c r="B1402" s="359" t="s">
        <v>551</v>
      </c>
      <c r="C1402" s="327"/>
      <c r="D1402" s="117"/>
      <c r="E1402" s="117"/>
      <c r="F1402" s="117"/>
      <c r="G1402" s="117"/>
      <c r="H1402" s="117"/>
      <c r="I1402" s="117"/>
      <c r="J1402" s="117"/>
      <c r="K1402" s="204" t="str">
        <f t="shared" ref="K1402:P1402" si="1191">IFERROR(K1384/K$1335,"--")</f>
        <v>--</v>
      </c>
      <c r="L1402" s="204" t="str">
        <f t="shared" si="1191"/>
        <v>--</v>
      </c>
      <c r="M1402" s="204" t="str">
        <f t="shared" si="1191"/>
        <v>--</v>
      </c>
      <c r="N1402" s="204" t="str">
        <f t="shared" si="1191"/>
        <v>--</v>
      </c>
      <c r="O1402" s="204" t="str">
        <f t="shared" si="1191"/>
        <v>--</v>
      </c>
      <c r="P1402" s="204" t="str">
        <f t="shared" si="1191"/>
        <v>--</v>
      </c>
    </row>
    <row r="1403" spans="2:16" ht="12.6" customHeight="1" x14ac:dyDescent="0.2">
      <c r="B1403" s="56"/>
      <c r="C1403" s="61"/>
      <c r="D1403" s="57"/>
      <c r="E1403" s="57"/>
      <c r="F1403" s="57"/>
      <c r="G1403" s="57"/>
      <c r="H1403" s="57"/>
      <c r="I1403" s="57"/>
      <c r="J1403" s="57"/>
      <c r="K1403" s="68"/>
      <c r="L1403" s="68"/>
      <c r="M1403" s="68"/>
      <c r="N1403" s="68"/>
      <c r="O1403" s="68"/>
      <c r="P1403" s="68"/>
    </row>
    <row r="1404" spans="2:16" ht="12.6" customHeight="1" x14ac:dyDescent="0.2">
      <c r="B1404" s="56" t="s">
        <v>563</v>
      </c>
      <c r="C1404" s="61" t="s">
        <v>566</v>
      </c>
      <c r="D1404" s="57"/>
      <c r="E1404" s="57"/>
      <c r="F1404" s="57"/>
      <c r="G1404" s="57"/>
      <c r="H1404" s="57"/>
      <c r="I1404" s="57"/>
      <c r="J1404" s="57"/>
      <c r="K1404" s="68">
        <f t="shared" ref="K1404:P1404" si="1192">K1406-K1405</f>
        <v>0</v>
      </c>
      <c r="L1404" s="68">
        <f t="shared" si="1192"/>
        <v>0</v>
      </c>
      <c r="M1404" s="68">
        <f t="shared" si="1192"/>
        <v>0</v>
      </c>
      <c r="N1404" s="68">
        <f t="shared" si="1192"/>
        <v>0</v>
      </c>
      <c r="O1404" s="68">
        <f t="shared" si="1192"/>
        <v>0</v>
      </c>
      <c r="P1404" s="68">
        <f t="shared" si="1192"/>
        <v>0</v>
      </c>
    </row>
    <row r="1405" spans="2:16" ht="12.6" customHeight="1" x14ac:dyDescent="0.2">
      <c r="B1405" s="56" t="s">
        <v>299</v>
      </c>
      <c r="C1405" s="61" t="s">
        <v>566</v>
      </c>
      <c r="D1405" s="57"/>
      <c r="E1405" s="57"/>
      <c r="F1405" s="57"/>
      <c r="G1405" s="57"/>
      <c r="H1405" s="57"/>
      <c r="I1405" s="57"/>
      <c r="J1405" s="57"/>
      <c r="K1405" s="68">
        <f t="shared" ref="K1405:P1405" si="1193">K1406*K1415</f>
        <v>0</v>
      </c>
      <c r="L1405" s="68">
        <f t="shared" si="1193"/>
        <v>0</v>
      </c>
      <c r="M1405" s="68">
        <f t="shared" si="1193"/>
        <v>0</v>
      </c>
      <c r="N1405" s="68">
        <f t="shared" si="1193"/>
        <v>0</v>
      </c>
      <c r="O1405" s="68">
        <f t="shared" si="1193"/>
        <v>0</v>
      </c>
      <c r="P1405" s="68">
        <f t="shared" si="1193"/>
        <v>8.25</v>
      </c>
    </row>
    <row r="1406" spans="2:16" ht="12.6" customHeight="1" x14ac:dyDescent="0.2">
      <c r="B1406" s="72" t="s">
        <v>551</v>
      </c>
      <c r="C1406" s="61"/>
      <c r="D1406" s="63"/>
      <c r="E1406" s="63"/>
      <c r="F1406" s="63"/>
      <c r="G1406" s="63"/>
      <c r="H1406" s="63"/>
      <c r="I1406" s="63"/>
      <c r="J1406" s="63"/>
      <c r="K1406" s="64">
        <f t="shared" ref="K1406:P1406" si="1194">K1384</f>
        <v>0</v>
      </c>
      <c r="L1406" s="64">
        <f t="shared" si="1194"/>
        <v>0</v>
      </c>
      <c r="M1406" s="64">
        <f t="shared" si="1194"/>
        <v>0</v>
      </c>
      <c r="N1406" s="64">
        <f t="shared" si="1194"/>
        <v>0</v>
      </c>
      <c r="O1406" s="64">
        <f t="shared" si="1194"/>
        <v>0</v>
      </c>
      <c r="P1406" s="64">
        <f t="shared" si="1194"/>
        <v>8.25</v>
      </c>
    </row>
    <row r="1407" spans="2:16" ht="12.6" customHeight="1" x14ac:dyDescent="0.2">
      <c r="B1407" s="72"/>
      <c r="C1407" s="61"/>
      <c r="D1407" s="63"/>
      <c r="E1407" s="63"/>
      <c r="F1407" s="63"/>
      <c r="G1407" s="63"/>
      <c r="H1407" s="63"/>
      <c r="I1407" s="63"/>
      <c r="J1407" s="63"/>
      <c r="K1407" s="64"/>
      <c r="L1407" s="64"/>
      <c r="M1407" s="64"/>
      <c r="N1407" s="64"/>
      <c r="O1407" s="64"/>
      <c r="P1407" s="64"/>
    </row>
    <row r="1408" spans="2:16" ht="12.6" customHeight="1" x14ac:dyDescent="0.2">
      <c r="B1408" s="331" t="s">
        <v>227</v>
      </c>
      <c r="C1408" s="326"/>
      <c r="D1408" s="335"/>
      <c r="E1408" s="335"/>
      <c r="F1408" s="335"/>
      <c r="G1408" s="335"/>
      <c r="H1408" s="335"/>
      <c r="I1408" s="335"/>
      <c r="J1408" s="335"/>
      <c r="K1408" s="336"/>
      <c r="L1408" s="336"/>
      <c r="M1408" s="336"/>
      <c r="N1408" s="336"/>
      <c r="O1408" s="336"/>
      <c r="P1408" s="336"/>
    </row>
    <row r="1409" spans="2:20" ht="12.6" customHeight="1" x14ac:dyDescent="0.2">
      <c r="B1409" s="322" t="s">
        <v>563</v>
      </c>
      <c r="C1409" s="326"/>
      <c r="D1409" s="113"/>
      <c r="E1409" s="113"/>
      <c r="F1409" s="113"/>
      <c r="G1409" s="113"/>
      <c r="H1409" s="113"/>
      <c r="I1409" s="113"/>
      <c r="J1409" s="113"/>
      <c r="K1409" s="197" t="str">
        <f t="shared" ref="K1409:P1411" si="1195">IFERROR(K1404/J1404-1,"--")</f>
        <v>--</v>
      </c>
      <c r="L1409" s="197" t="str">
        <f t="shared" si="1195"/>
        <v>--</v>
      </c>
      <c r="M1409" s="197" t="str">
        <f t="shared" si="1195"/>
        <v>--</v>
      </c>
      <c r="N1409" s="197" t="str">
        <f t="shared" si="1195"/>
        <v>--</v>
      </c>
      <c r="O1409" s="197" t="str">
        <f t="shared" si="1195"/>
        <v>--</v>
      </c>
      <c r="P1409" s="197" t="str">
        <f t="shared" si="1195"/>
        <v>--</v>
      </c>
    </row>
    <row r="1410" spans="2:20" ht="12.6" customHeight="1" x14ac:dyDescent="0.2">
      <c r="B1410" s="322" t="s">
        <v>299</v>
      </c>
      <c r="C1410" s="326"/>
      <c r="D1410" s="113"/>
      <c r="E1410" s="113"/>
      <c r="F1410" s="113"/>
      <c r="G1410" s="113"/>
      <c r="H1410" s="113"/>
      <c r="I1410" s="113"/>
      <c r="J1410" s="113"/>
      <c r="K1410" s="197" t="str">
        <f t="shared" si="1195"/>
        <v>--</v>
      </c>
      <c r="L1410" s="197" t="str">
        <f t="shared" si="1195"/>
        <v>--</v>
      </c>
      <c r="M1410" s="197" t="str">
        <f t="shared" si="1195"/>
        <v>--</v>
      </c>
      <c r="N1410" s="197" t="str">
        <f t="shared" si="1195"/>
        <v>--</v>
      </c>
      <c r="O1410" s="197" t="str">
        <f t="shared" si="1195"/>
        <v>--</v>
      </c>
      <c r="P1410" s="197" t="str">
        <f t="shared" si="1195"/>
        <v>--</v>
      </c>
    </row>
    <row r="1411" spans="2:20" ht="12.6" customHeight="1" x14ac:dyDescent="0.2">
      <c r="B1411" s="331" t="s">
        <v>551</v>
      </c>
      <c r="C1411" s="327"/>
      <c r="D1411" s="117"/>
      <c r="E1411" s="117"/>
      <c r="F1411" s="117"/>
      <c r="G1411" s="117"/>
      <c r="H1411" s="117"/>
      <c r="I1411" s="117"/>
      <c r="J1411" s="117"/>
      <c r="K1411" s="204" t="str">
        <f t="shared" si="1195"/>
        <v>--</v>
      </c>
      <c r="L1411" s="204" t="str">
        <f t="shared" si="1195"/>
        <v>--</v>
      </c>
      <c r="M1411" s="204" t="str">
        <f t="shared" si="1195"/>
        <v>--</v>
      </c>
      <c r="N1411" s="204" t="str">
        <f t="shared" si="1195"/>
        <v>--</v>
      </c>
      <c r="O1411" s="204" t="str">
        <f t="shared" si="1195"/>
        <v>--</v>
      </c>
      <c r="P1411" s="204" t="str">
        <f t="shared" si="1195"/>
        <v>--</v>
      </c>
    </row>
    <row r="1412" spans="2:20" ht="12.6" customHeight="1" x14ac:dyDescent="0.2">
      <c r="B1412" s="331"/>
      <c r="C1412" s="326"/>
      <c r="D1412" s="335"/>
      <c r="E1412" s="335"/>
      <c r="F1412" s="335"/>
      <c r="G1412" s="335"/>
      <c r="H1412" s="335"/>
      <c r="I1412" s="335"/>
      <c r="J1412" s="335"/>
      <c r="K1412" s="336"/>
      <c r="L1412" s="336"/>
      <c r="M1412" s="336"/>
      <c r="N1412" s="336"/>
      <c r="O1412" s="336"/>
      <c r="P1412" s="336"/>
    </row>
    <row r="1413" spans="2:20" ht="12.6" customHeight="1" x14ac:dyDescent="0.2">
      <c r="B1413" s="331" t="s">
        <v>287</v>
      </c>
      <c r="C1413" s="326"/>
      <c r="D1413" s="335"/>
      <c r="E1413" s="335"/>
      <c r="F1413" s="335"/>
      <c r="G1413" s="335"/>
      <c r="H1413" s="335"/>
      <c r="I1413" s="335"/>
      <c r="J1413" s="335"/>
      <c r="K1413" s="336"/>
      <c r="L1413" s="336"/>
      <c r="M1413" s="336"/>
      <c r="N1413" s="336"/>
      <c r="O1413" s="336"/>
      <c r="P1413" s="336"/>
    </row>
    <row r="1414" spans="2:20" ht="12.6" customHeight="1" x14ac:dyDescent="0.2">
      <c r="B1414" s="322" t="s">
        <v>563</v>
      </c>
      <c r="C1414" s="326"/>
      <c r="D1414" s="113"/>
      <c r="E1414" s="113"/>
      <c r="F1414" s="113"/>
      <c r="G1414" s="113"/>
      <c r="H1414" s="113"/>
      <c r="I1414" s="113"/>
      <c r="J1414" s="113"/>
      <c r="K1414" s="197">
        <f t="shared" ref="K1414:P1414" si="1196">1-K1415</f>
        <v>0</v>
      </c>
      <c r="L1414" s="197">
        <f t="shared" si="1196"/>
        <v>0</v>
      </c>
      <c r="M1414" s="197">
        <f t="shared" si="1196"/>
        <v>0</v>
      </c>
      <c r="N1414" s="197">
        <f t="shared" si="1196"/>
        <v>0</v>
      </c>
      <c r="O1414" s="197">
        <f t="shared" si="1196"/>
        <v>0</v>
      </c>
      <c r="P1414" s="197">
        <f t="shared" si="1196"/>
        <v>0</v>
      </c>
    </row>
    <row r="1415" spans="2:20" ht="12.6" customHeight="1" x14ac:dyDescent="0.2">
      <c r="B1415" s="359" t="s">
        <v>299</v>
      </c>
      <c r="C1415" s="327"/>
      <c r="D1415" s="117"/>
      <c r="E1415" s="117"/>
      <c r="F1415" s="117"/>
      <c r="G1415" s="117"/>
      <c r="H1415" s="117"/>
      <c r="I1415" s="117"/>
      <c r="J1415" s="117"/>
      <c r="K1415" s="356">
        <v>1</v>
      </c>
      <c r="L1415" s="356">
        <f>K1415</f>
        <v>1</v>
      </c>
      <c r="M1415" s="356">
        <f>L1415</f>
        <v>1</v>
      </c>
      <c r="N1415" s="356">
        <f>M1415</f>
        <v>1</v>
      </c>
      <c r="O1415" s="356">
        <f>N1415</f>
        <v>1</v>
      </c>
      <c r="P1415" s="356">
        <f>O1415</f>
        <v>1</v>
      </c>
    </row>
    <row r="1416" spans="2:20" ht="12.6" customHeight="1" x14ac:dyDescent="0.2">
      <c r="B1416" s="116"/>
      <c r="C1416" s="61"/>
      <c r="D1416" s="63"/>
      <c r="E1416" s="63"/>
      <c r="F1416" s="63"/>
      <c r="G1416" s="63"/>
      <c r="H1416" s="63"/>
      <c r="I1416" s="63"/>
      <c r="J1416" s="63"/>
      <c r="K1416" s="64"/>
      <c r="L1416" s="64"/>
      <c r="M1416" s="64"/>
      <c r="N1416" s="64"/>
      <c r="O1416" s="64"/>
      <c r="P1416" s="64"/>
    </row>
    <row r="1418" spans="2:20" ht="12.6" customHeight="1" x14ac:dyDescent="0.2">
      <c r="B1418" s="50" t="s">
        <v>1866</v>
      </c>
      <c r="C1418" s="50" t="s">
        <v>473</v>
      </c>
      <c r="D1418" s="163"/>
      <c r="E1418" s="163"/>
      <c r="F1418" s="163"/>
      <c r="G1418" s="51"/>
      <c r="H1418" s="51"/>
      <c r="I1418" s="51"/>
      <c r="J1418" s="51"/>
      <c r="K1418" s="54"/>
      <c r="L1418" s="54"/>
      <c r="M1418" s="54"/>
      <c r="N1418" s="54"/>
      <c r="O1418" s="54"/>
      <c r="P1418" s="54"/>
    </row>
    <row r="1419" spans="2:20" ht="12.6" customHeight="1" x14ac:dyDescent="0.2">
      <c r="B1419" s="61" t="s">
        <v>565</v>
      </c>
      <c r="C1419" s="61" t="s">
        <v>570</v>
      </c>
      <c r="D1419" s="63"/>
      <c r="E1419" s="63"/>
      <c r="F1419" s="311"/>
      <c r="G1419" s="301"/>
      <c r="H1419" s="301"/>
      <c r="I1419" s="301"/>
      <c r="J1419" s="301"/>
      <c r="K1419" s="302"/>
      <c r="L1419" s="302"/>
      <c r="M1419" s="302"/>
      <c r="N1419" s="302"/>
      <c r="O1419" s="302">
        <f>O1420*O1433</f>
        <v>0</v>
      </c>
      <c r="P1419" s="302">
        <f>P1420*P1433</f>
        <v>4957.6860000000006</v>
      </c>
    </row>
    <row r="1420" spans="2:20" ht="12.6" customHeight="1" x14ac:dyDescent="0.2">
      <c r="B1420" s="59" t="s">
        <v>474</v>
      </c>
      <c r="C1420" s="61" t="s">
        <v>476</v>
      </c>
      <c r="D1420" s="57"/>
      <c r="E1420" s="57"/>
      <c r="F1420" s="57"/>
      <c r="G1420" s="57"/>
      <c r="H1420" s="57"/>
      <c r="I1420" s="57"/>
      <c r="J1420" s="288" t="s">
        <v>476</v>
      </c>
      <c r="K1420" s="303"/>
      <c r="L1420" s="303"/>
      <c r="M1420" s="303"/>
      <c r="N1420" s="303"/>
      <c r="O1420" s="303">
        <f>O1224</f>
        <v>454.5</v>
      </c>
      <c r="P1420" s="303">
        <f>P1224</f>
        <v>459.04500000000002</v>
      </c>
    </row>
    <row r="1421" spans="2:20" ht="12.6" customHeight="1" x14ac:dyDescent="0.2">
      <c r="B1421" s="322" t="s">
        <v>227</v>
      </c>
      <c r="C1421" s="323" t="s">
        <v>477</v>
      </c>
      <c r="D1421" s="58"/>
      <c r="E1421" s="58"/>
      <c r="F1421" s="339"/>
      <c r="G1421" s="330"/>
      <c r="H1421" s="330"/>
      <c r="I1421" s="330"/>
      <c r="J1421" s="353"/>
      <c r="K1421" s="354"/>
      <c r="L1421" s="354"/>
      <c r="M1421" s="354"/>
      <c r="N1421" s="354">
        <v>0.05</v>
      </c>
      <c r="O1421" s="354">
        <v>0.05</v>
      </c>
      <c r="P1421" s="354">
        <v>0.01</v>
      </c>
    </row>
    <row r="1422" spans="2:20" ht="12.6" customHeight="1" x14ac:dyDescent="0.2">
      <c r="B1422" s="59"/>
      <c r="C1422" s="61"/>
      <c r="D1422" s="57"/>
      <c r="E1422" s="57"/>
      <c r="F1422" s="288"/>
      <c r="G1422" s="57"/>
      <c r="H1422" s="57"/>
      <c r="I1422" s="57"/>
      <c r="J1422" s="57"/>
      <c r="K1422" s="68"/>
      <c r="L1422" s="68"/>
      <c r="M1422" s="68"/>
      <c r="N1422" s="68"/>
      <c r="O1422" s="68"/>
      <c r="P1422" s="68"/>
    </row>
    <row r="1423" spans="2:20" ht="12.6" customHeight="1" x14ac:dyDescent="0.2">
      <c r="B1423" s="72" t="s">
        <v>303</v>
      </c>
      <c r="C1423" s="61" t="s">
        <v>4</v>
      </c>
      <c r="D1423" s="57"/>
      <c r="E1423" s="57"/>
      <c r="F1423" s="288"/>
      <c r="G1423" s="288"/>
      <c r="H1423" s="288"/>
      <c r="I1423" s="288"/>
      <c r="J1423" s="288"/>
      <c r="K1423" s="68"/>
      <c r="L1423" s="68"/>
      <c r="M1423" s="68"/>
      <c r="N1423" s="68"/>
      <c r="O1423" s="68">
        <f>O106</f>
        <v>0</v>
      </c>
      <c r="P1423" s="68">
        <f>P106</f>
        <v>27</v>
      </c>
      <c r="S1423" s="37" t="s">
        <v>1869</v>
      </c>
      <c r="T1423" s="37" t="s">
        <v>1870</v>
      </c>
    </row>
    <row r="1424" spans="2:20" ht="12.6" customHeight="1" x14ac:dyDescent="0.2">
      <c r="B1424" s="202" t="s">
        <v>555</v>
      </c>
      <c r="C1424" s="326" t="s">
        <v>4</v>
      </c>
      <c r="D1424" s="58"/>
      <c r="E1424" s="58"/>
      <c r="F1424" s="330"/>
      <c r="G1424" s="330"/>
      <c r="H1424" s="330"/>
      <c r="I1424" s="330"/>
      <c r="J1424" s="330"/>
      <c r="K1424" s="324"/>
      <c r="L1424" s="324"/>
      <c r="M1424" s="324">
        <v>0</v>
      </c>
      <c r="N1424" s="324">
        <v>0</v>
      </c>
      <c r="O1424" s="324">
        <v>0.4</v>
      </c>
      <c r="P1424" s="324">
        <v>0.4</v>
      </c>
      <c r="S1424" s="37" t="s">
        <v>1871</v>
      </c>
      <c r="T1424" s="37" t="s">
        <v>1872</v>
      </c>
    </row>
    <row r="1425" spans="2:20" ht="12.6" customHeight="1" x14ac:dyDescent="0.2">
      <c r="B1425" s="59"/>
      <c r="C1425" s="61"/>
      <c r="D1425" s="57"/>
      <c r="E1425" s="57"/>
      <c r="F1425" s="288"/>
      <c r="G1425" s="57"/>
      <c r="H1425" s="57"/>
      <c r="I1425" s="57"/>
      <c r="J1425" s="57"/>
      <c r="K1425" s="68"/>
      <c r="L1425" s="68"/>
      <c r="M1425" s="68"/>
      <c r="N1425" s="68"/>
      <c r="O1425" s="68"/>
      <c r="P1425" s="68"/>
      <c r="S1425" s="37" t="s">
        <v>1873</v>
      </c>
    </row>
    <row r="1426" spans="2:20" ht="12.6" customHeight="1" x14ac:dyDescent="0.2">
      <c r="B1426" s="72" t="s">
        <v>489</v>
      </c>
      <c r="C1426" s="61"/>
      <c r="D1426" s="57"/>
      <c r="E1426" s="57"/>
      <c r="F1426" s="288"/>
      <c r="G1426" s="57"/>
      <c r="H1426" s="57"/>
      <c r="I1426" s="57"/>
      <c r="J1426" s="57"/>
      <c r="K1426" s="68"/>
      <c r="L1426" s="68"/>
      <c r="M1426" s="68"/>
      <c r="N1426" s="68"/>
      <c r="O1426" s="68"/>
      <c r="P1426" s="68"/>
      <c r="S1426" s="37" t="s">
        <v>1874</v>
      </c>
    </row>
    <row r="1427" spans="2:20" ht="12.6" customHeight="1" x14ac:dyDescent="0.2">
      <c r="B1427" s="56" t="s">
        <v>279</v>
      </c>
      <c r="C1427" s="61"/>
      <c r="D1427" s="288"/>
      <c r="E1427" s="288"/>
      <c r="F1427" s="288"/>
      <c r="G1427" s="288"/>
      <c r="H1427" s="288"/>
      <c r="I1427" s="288"/>
      <c r="J1427" s="288"/>
      <c r="K1427" s="303">
        <f t="shared" ref="K1427:P1431" si="1197">J1427*(1+K1436)</f>
        <v>0</v>
      </c>
      <c r="L1427" s="303">
        <f t="shared" si="1197"/>
        <v>0</v>
      </c>
      <c r="M1427" s="303">
        <f t="shared" si="1197"/>
        <v>0</v>
      </c>
      <c r="N1427" s="303">
        <f t="shared" si="1197"/>
        <v>0</v>
      </c>
      <c r="O1427" s="303">
        <f t="shared" si="1197"/>
        <v>0</v>
      </c>
      <c r="P1427" s="303">
        <f t="shared" si="1197"/>
        <v>0</v>
      </c>
      <c r="S1427" s="38" t="s">
        <v>1875</v>
      </c>
      <c r="T1427" s="37" t="s">
        <v>1876</v>
      </c>
    </row>
    <row r="1428" spans="2:20" ht="12.6" customHeight="1" x14ac:dyDescent="0.2">
      <c r="B1428" s="56" t="s">
        <v>280</v>
      </c>
      <c r="C1428" s="61"/>
      <c r="D1428" s="288"/>
      <c r="E1428" s="288"/>
      <c r="F1428" s="288"/>
      <c r="G1428" s="288"/>
      <c r="H1428" s="288"/>
      <c r="I1428" s="288"/>
      <c r="J1428" s="288"/>
      <c r="K1428" s="303">
        <f t="shared" si="1197"/>
        <v>0</v>
      </c>
      <c r="L1428" s="303">
        <f t="shared" si="1197"/>
        <v>0</v>
      </c>
      <c r="M1428" s="303">
        <f t="shared" si="1197"/>
        <v>0</v>
      </c>
      <c r="N1428" s="303">
        <f t="shared" si="1197"/>
        <v>0</v>
      </c>
      <c r="O1428" s="303">
        <f t="shared" si="1197"/>
        <v>0</v>
      </c>
      <c r="P1428" s="303">
        <f t="shared" si="1197"/>
        <v>0</v>
      </c>
      <c r="S1428" s="37">
        <f>3/0.65</f>
        <v>4.615384615384615</v>
      </c>
    </row>
    <row r="1429" spans="2:20" ht="12.6" customHeight="1" x14ac:dyDescent="0.2">
      <c r="B1429" s="56" t="s">
        <v>281</v>
      </c>
      <c r="C1429" s="61"/>
      <c r="D1429" s="288"/>
      <c r="E1429" s="288"/>
      <c r="F1429" s="288"/>
      <c r="G1429" s="288"/>
      <c r="H1429" s="288"/>
      <c r="I1429" s="288"/>
      <c r="J1429" s="288"/>
      <c r="K1429" s="303">
        <f t="shared" si="1197"/>
        <v>0</v>
      </c>
      <c r="L1429" s="303">
        <f t="shared" si="1197"/>
        <v>0</v>
      </c>
      <c r="M1429" s="303">
        <f t="shared" si="1197"/>
        <v>0</v>
      </c>
      <c r="N1429" s="303">
        <f t="shared" si="1197"/>
        <v>0</v>
      </c>
      <c r="O1429" s="303">
        <f t="shared" si="1197"/>
        <v>0</v>
      </c>
      <c r="P1429" s="303">
        <f t="shared" si="1197"/>
        <v>0</v>
      </c>
    </row>
    <row r="1430" spans="2:20" ht="12.6" customHeight="1" x14ac:dyDescent="0.2">
      <c r="B1430" s="56" t="s">
        <v>282</v>
      </c>
      <c r="C1430" s="61"/>
      <c r="D1430" s="288"/>
      <c r="E1430" s="288"/>
      <c r="F1430" s="288"/>
      <c r="G1430" s="288"/>
      <c r="H1430" s="288"/>
      <c r="I1430" s="288"/>
      <c r="J1430" s="288"/>
      <c r="K1430" s="303">
        <f t="shared" si="1197"/>
        <v>0</v>
      </c>
      <c r="L1430" s="303">
        <f t="shared" si="1197"/>
        <v>0</v>
      </c>
      <c r="M1430" s="303">
        <f t="shared" si="1197"/>
        <v>0</v>
      </c>
      <c r="N1430" s="303">
        <f t="shared" si="1197"/>
        <v>0</v>
      </c>
      <c r="O1430" s="303">
        <f t="shared" si="1197"/>
        <v>0</v>
      </c>
      <c r="P1430" s="303">
        <f t="shared" si="1197"/>
        <v>0</v>
      </c>
      <c r="S1430" s="37" t="s">
        <v>1877</v>
      </c>
    </row>
    <row r="1431" spans="2:20" ht="12.6" customHeight="1" x14ac:dyDescent="0.2">
      <c r="B1431" s="56" t="s">
        <v>283</v>
      </c>
      <c r="C1431" s="61"/>
      <c r="D1431" s="288"/>
      <c r="E1431" s="288"/>
      <c r="F1431" s="288"/>
      <c r="G1431" s="288"/>
      <c r="H1431" s="288"/>
      <c r="I1431" s="288"/>
      <c r="J1431" s="288"/>
      <c r="K1431" s="303">
        <f t="shared" si="1197"/>
        <v>0</v>
      </c>
      <c r="L1431" s="303">
        <f t="shared" si="1197"/>
        <v>0</v>
      </c>
      <c r="M1431" s="303">
        <f t="shared" si="1197"/>
        <v>0</v>
      </c>
      <c r="N1431" s="303">
        <f t="shared" si="1197"/>
        <v>0</v>
      </c>
      <c r="O1431" s="303">
        <f t="shared" si="1197"/>
        <v>0</v>
      </c>
      <c r="P1431" s="303">
        <f t="shared" si="1197"/>
        <v>0</v>
      </c>
      <c r="S1431" s="37" t="s">
        <v>1878</v>
      </c>
    </row>
    <row r="1432" spans="2:20" ht="12.6" customHeight="1" x14ac:dyDescent="0.2">
      <c r="B1432" s="56" t="s">
        <v>284</v>
      </c>
      <c r="C1432" s="61"/>
      <c r="D1432" s="288"/>
      <c r="E1432" s="288"/>
      <c r="F1432" s="288"/>
      <c r="G1432" s="288"/>
      <c r="H1432" s="288"/>
      <c r="I1432" s="288"/>
      <c r="J1432" s="288"/>
      <c r="K1432" s="303">
        <f t="shared" ref="K1432:P1432" si="1198">K1423*K1424</f>
        <v>0</v>
      </c>
      <c r="L1432" s="303">
        <f t="shared" si="1198"/>
        <v>0</v>
      </c>
      <c r="M1432" s="303">
        <f t="shared" si="1198"/>
        <v>0</v>
      </c>
      <c r="N1432" s="303">
        <f t="shared" si="1198"/>
        <v>0</v>
      </c>
      <c r="O1432" s="303">
        <f t="shared" si="1198"/>
        <v>0</v>
      </c>
      <c r="P1432" s="303">
        <f t="shared" si="1198"/>
        <v>10.8</v>
      </c>
      <c r="S1432" s="37" t="s">
        <v>1879</v>
      </c>
    </row>
    <row r="1433" spans="2:20" ht="12.6" customHeight="1" x14ac:dyDescent="0.2">
      <c r="B1433" s="72" t="s">
        <v>551</v>
      </c>
      <c r="C1433" s="95"/>
      <c r="D1433" s="63"/>
      <c r="E1433" s="63"/>
      <c r="F1433" s="63"/>
      <c r="G1433" s="63"/>
      <c r="H1433" s="63"/>
      <c r="I1433" s="63"/>
      <c r="J1433" s="63"/>
      <c r="K1433" s="64">
        <f t="shared" ref="K1433:P1433" si="1199">SUM(K1427:K1432)</f>
        <v>0</v>
      </c>
      <c r="L1433" s="64">
        <f t="shared" si="1199"/>
        <v>0</v>
      </c>
      <c r="M1433" s="64">
        <f t="shared" si="1199"/>
        <v>0</v>
      </c>
      <c r="N1433" s="64">
        <f t="shared" si="1199"/>
        <v>0</v>
      </c>
      <c r="O1433" s="64">
        <f t="shared" si="1199"/>
        <v>0</v>
      </c>
      <c r="P1433" s="64">
        <f t="shared" si="1199"/>
        <v>10.8</v>
      </c>
      <c r="S1433" s="37" t="s">
        <v>1880</v>
      </c>
    </row>
    <row r="1434" spans="2:20" ht="12.6" customHeight="1" x14ac:dyDescent="0.2">
      <c r="B1434" s="72"/>
      <c r="C1434" s="95"/>
      <c r="D1434" s="63"/>
      <c r="E1434" s="63"/>
      <c r="F1434" s="63"/>
      <c r="G1434" s="63"/>
      <c r="H1434" s="63"/>
      <c r="I1434" s="63"/>
      <c r="J1434" s="63"/>
      <c r="K1434" s="64"/>
      <c r="L1434" s="64"/>
      <c r="M1434" s="64"/>
      <c r="N1434" s="64"/>
      <c r="O1434" s="64"/>
      <c r="P1434" s="64"/>
      <c r="S1434" s="37" t="s">
        <v>1881</v>
      </c>
    </row>
    <row r="1435" spans="2:20" ht="12.6" customHeight="1" x14ac:dyDescent="0.2">
      <c r="B1435" s="116" t="s">
        <v>227</v>
      </c>
      <c r="C1435" s="61"/>
      <c r="D1435" s="63"/>
      <c r="E1435" s="63"/>
      <c r="F1435" s="63"/>
      <c r="G1435" s="63"/>
      <c r="H1435" s="63"/>
      <c r="I1435" s="63"/>
      <c r="J1435" s="63"/>
      <c r="K1435" s="68"/>
      <c r="L1435" s="68"/>
      <c r="M1435" s="68"/>
      <c r="N1435" s="68"/>
      <c r="O1435" s="68"/>
      <c r="P1435" s="68"/>
      <c r="S1435" s="37" t="s">
        <v>1882</v>
      </c>
    </row>
    <row r="1436" spans="2:20" ht="12.6" customHeight="1" x14ac:dyDescent="0.2">
      <c r="B1436" s="322" t="s">
        <v>279</v>
      </c>
      <c r="C1436" s="355"/>
      <c r="D1436" s="113"/>
      <c r="E1436" s="113"/>
      <c r="F1436" s="113"/>
      <c r="G1436" s="113"/>
      <c r="H1436" s="113"/>
      <c r="I1436" s="113"/>
      <c r="J1436" s="113"/>
      <c r="K1436" s="356">
        <v>0</v>
      </c>
      <c r="L1436" s="356">
        <v>0</v>
      </c>
      <c r="M1436" s="356">
        <v>0</v>
      </c>
      <c r="N1436" s="356">
        <v>0</v>
      </c>
      <c r="O1436" s="356">
        <v>0</v>
      </c>
      <c r="P1436" s="356">
        <v>0</v>
      </c>
      <c r="S1436" s="37" t="s">
        <v>1883</v>
      </c>
    </row>
    <row r="1437" spans="2:20" ht="12.6" customHeight="1" x14ac:dyDescent="0.2">
      <c r="B1437" s="322" t="s">
        <v>280</v>
      </c>
      <c r="C1437" s="355"/>
      <c r="D1437" s="113"/>
      <c r="E1437" s="113"/>
      <c r="F1437" s="113"/>
      <c r="G1437" s="113"/>
      <c r="H1437" s="113"/>
      <c r="I1437" s="113"/>
      <c r="J1437" s="113"/>
      <c r="K1437" s="356">
        <v>0.05</v>
      </c>
      <c r="L1437" s="356">
        <v>0.05</v>
      </c>
      <c r="M1437" s="356">
        <v>0.05</v>
      </c>
      <c r="N1437" s="356">
        <v>0.05</v>
      </c>
      <c r="O1437" s="356">
        <v>0.05</v>
      </c>
      <c r="P1437" s="356">
        <v>0.05</v>
      </c>
      <c r="S1437" s="37" t="s">
        <v>1884</v>
      </c>
    </row>
    <row r="1438" spans="2:20" ht="12.6" customHeight="1" x14ac:dyDescent="0.2">
      <c r="B1438" s="322" t="s">
        <v>281</v>
      </c>
      <c r="C1438" s="355"/>
      <c r="D1438" s="113"/>
      <c r="E1438" s="113"/>
      <c r="F1438" s="113"/>
      <c r="G1438" s="113"/>
      <c r="H1438" s="113"/>
      <c r="I1438" s="113"/>
      <c r="J1438" s="113"/>
      <c r="K1438" s="356">
        <v>0</v>
      </c>
      <c r="L1438" s="356">
        <v>0</v>
      </c>
      <c r="M1438" s="356">
        <v>0</v>
      </c>
      <c r="N1438" s="356">
        <v>0</v>
      </c>
      <c r="O1438" s="356">
        <v>0</v>
      </c>
      <c r="P1438" s="356">
        <v>0</v>
      </c>
    </row>
    <row r="1439" spans="2:20" ht="12.6" customHeight="1" x14ac:dyDescent="0.2">
      <c r="B1439" s="322" t="s">
        <v>282</v>
      </c>
      <c r="C1439" s="355"/>
      <c r="D1439" s="113"/>
      <c r="E1439" s="113"/>
      <c r="F1439" s="113"/>
      <c r="G1439" s="113"/>
      <c r="H1439" s="113"/>
      <c r="I1439" s="113"/>
      <c r="J1439" s="113"/>
      <c r="K1439" s="356">
        <v>0</v>
      </c>
      <c r="L1439" s="356">
        <v>0</v>
      </c>
      <c r="M1439" s="356">
        <v>0</v>
      </c>
      <c r="N1439" s="356">
        <v>0</v>
      </c>
      <c r="O1439" s="356">
        <v>0</v>
      </c>
      <c r="P1439" s="356">
        <v>0</v>
      </c>
      <c r="S1439" s="37" t="s">
        <v>1885</v>
      </c>
    </row>
    <row r="1440" spans="2:20" ht="12.6" customHeight="1" x14ac:dyDescent="0.2">
      <c r="B1440" s="322" t="s">
        <v>283</v>
      </c>
      <c r="C1440" s="355"/>
      <c r="D1440" s="113"/>
      <c r="E1440" s="113"/>
      <c r="F1440" s="113"/>
      <c r="G1440" s="113"/>
      <c r="H1440" s="113"/>
      <c r="I1440" s="113"/>
      <c r="J1440" s="113"/>
      <c r="K1440" s="356">
        <v>0.05</v>
      </c>
      <c r="L1440" s="356">
        <v>0.05</v>
      </c>
      <c r="M1440" s="356">
        <v>0.05</v>
      </c>
      <c r="N1440" s="356">
        <v>0.05</v>
      </c>
      <c r="O1440" s="356">
        <v>0.05</v>
      </c>
      <c r="P1440" s="356">
        <v>0.05</v>
      </c>
      <c r="S1440" s="37" t="s">
        <v>1886</v>
      </c>
    </row>
    <row r="1441" spans="2:19" ht="12.6" customHeight="1" x14ac:dyDescent="0.2">
      <c r="B1441" s="322" t="s">
        <v>284</v>
      </c>
      <c r="C1441" s="355"/>
      <c r="D1441" s="113"/>
      <c r="E1441" s="113"/>
      <c r="F1441" s="113"/>
      <c r="G1441" s="113"/>
      <c r="H1441" s="113"/>
      <c r="I1441" s="113"/>
      <c r="J1441" s="113"/>
      <c r="K1441" s="356">
        <v>0</v>
      </c>
      <c r="L1441" s="356">
        <v>0</v>
      </c>
      <c r="M1441" s="356">
        <v>0</v>
      </c>
      <c r="N1441" s="356">
        <v>0</v>
      </c>
      <c r="O1441" s="356">
        <v>0</v>
      </c>
      <c r="P1441" s="356">
        <v>0</v>
      </c>
      <c r="S1441" s="37" t="s">
        <v>1887</v>
      </c>
    </row>
    <row r="1442" spans="2:19" ht="12.6" customHeight="1" x14ac:dyDescent="0.2">
      <c r="B1442" s="331" t="s">
        <v>551</v>
      </c>
      <c r="C1442" s="358"/>
      <c r="D1442" s="117"/>
      <c r="E1442" s="117"/>
      <c r="F1442" s="117"/>
      <c r="G1442" s="117"/>
      <c r="H1442" s="117"/>
      <c r="I1442" s="117"/>
      <c r="J1442" s="117"/>
      <c r="K1442" s="204">
        <f t="shared" ref="K1442:P1442" si="1200">IFERROR(K1433/J1433-1,0)</f>
        <v>0</v>
      </c>
      <c r="L1442" s="204">
        <f t="shared" si="1200"/>
        <v>0</v>
      </c>
      <c r="M1442" s="204">
        <f t="shared" si="1200"/>
        <v>0</v>
      </c>
      <c r="N1442" s="204">
        <f t="shared" si="1200"/>
        <v>0</v>
      </c>
      <c r="O1442" s="204">
        <f t="shared" si="1200"/>
        <v>0</v>
      </c>
      <c r="P1442" s="204">
        <f t="shared" si="1200"/>
        <v>0</v>
      </c>
    </row>
    <row r="1443" spans="2:19" ht="12.6" customHeight="1" x14ac:dyDescent="0.2">
      <c r="B1443" s="201"/>
      <c r="C1443" s="326"/>
      <c r="D1443" s="335"/>
      <c r="E1443" s="335"/>
      <c r="F1443" s="335"/>
      <c r="G1443" s="335"/>
      <c r="H1443" s="335"/>
      <c r="I1443" s="335"/>
      <c r="J1443" s="335"/>
      <c r="K1443" s="357"/>
      <c r="L1443" s="357"/>
      <c r="M1443" s="357"/>
      <c r="N1443" s="357"/>
      <c r="O1443" s="357"/>
      <c r="P1443" s="357"/>
      <c r="S1443" s="37" t="s">
        <v>1888</v>
      </c>
    </row>
    <row r="1444" spans="2:19" ht="12.6" customHeight="1" x14ac:dyDescent="0.2">
      <c r="B1444" s="331" t="s">
        <v>287</v>
      </c>
      <c r="C1444" s="326"/>
      <c r="D1444" s="335"/>
      <c r="E1444" s="335"/>
      <c r="F1444" s="335"/>
      <c r="G1444" s="335"/>
      <c r="H1444" s="335"/>
      <c r="I1444" s="335"/>
      <c r="J1444" s="335"/>
      <c r="K1444" s="357"/>
      <c r="L1444" s="357"/>
      <c r="M1444" s="357"/>
      <c r="N1444" s="357"/>
      <c r="O1444" s="357"/>
      <c r="P1444" s="357"/>
    </row>
    <row r="1445" spans="2:19" ht="12.6" customHeight="1" x14ac:dyDescent="0.2">
      <c r="B1445" s="322" t="s">
        <v>279</v>
      </c>
      <c r="C1445" s="326"/>
      <c r="D1445" s="113"/>
      <c r="E1445" s="113"/>
      <c r="F1445" s="113"/>
      <c r="G1445" s="113"/>
      <c r="H1445" s="113"/>
      <c r="I1445" s="113"/>
      <c r="J1445" s="113"/>
      <c r="K1445" s="197" t="str">
        <f t="shared" ref="K1445:P1445" si="1201">IFERROR(K1427/K$1335,"--")</f>
        <v>--</v>
      </c>
      <c r="L1445" s="197" t="str">
        <f t="shared" si="1201"/>
        <v>--</v>
      </c>
      <c r="M1445" s="197" t="str">
        <f t="shared" si="1201"/>
        <v>--</v>
      </c>
      <c r="N1445" s="197" t="str">
        <f t="shared" si="1201"/>
        <v>--</v>
      </c>
      <c r="O1445" s="197" t="str">
        <f t="shared" si="1201"/>
        <v>--</v>
      </c>
      <c r="P1445" s="197" t="str">
        <f t="shared" si="1201"/>
        <v>--</v>
      </c>
    </row>
    <row r="1446" spans="2:19" ht="12.6" customHeight="1" x14ac:dyDescent="0.2">
      <c r="B1446" s="322" t="s">
        <v>280</v>
      </c>
      <c r="C1446" s="326"/>
      <c r="D1446" s="113"/>
      <c r="E1446" s="113"/>
      <c r="F1446" s="113"/>
      <c r="G1446" s="113"/>
      <c r="H1446" s="113"/>
      <c r="I1446" s="113"/>
      <c r="J1446" s="113"/>
      <c r="K1446" s="197" t="str">
        <f t="shared" ref="K1446:P1446" si="1202">IFERROR(K1428/K$1335,"--")</f>
        <v>--</v>
      </c>
      <c r="L1446" s="197" t="str">
        <f t="shared" si="1202"/>
        <v>--</v>
      </c>
      <c r="M1446" s="197" t="str">
        <f t="shared" si="1202"/>
        <v>--</v>
      </c>
      <c r="N1446" s="197" t="str">
        <f t="shared" si="1202"/>
        <v>--</v>
      </c>
      <c r="O1446" s="197" t="str">
        <f t="shared" si="1202"/>
        <v>--</v>
      </c>
      <c r="P1446" s="197" t="str">
        <f t="shared" si="1202"/>
        <v>--</v>
      </c>
    </row>
    <row r="1447" spans="2:19" ht="12.6" customHeight="1" x14ac:dyDescent="0.2">
      <c r="B1447" s="322" t="s">
        <v>281</v>
      </c>
      <c r="C1447" s="326"/>
      <c r="D1447" s="113"/>
      <c r="E1447" s="113"/>
      <c r="F1447" s="113"/>
      <c r="G1447" s="113"/>
      <c r="H1447" s="113"/>
      <c r="I1447" s="113"/>
      <c r="J1447" s="113"/>
      <c r="K1447" s="197" t="str">
        <f t="shared" ref="K1447:P1447" si="1203">IFERROR(K1429/K$1335,"--")</f>
        <v>--</v>
      </c>
      <c r="L1447" s="197" t="str">
        <f t="shared" si="1203"/>
        <v>--</v>
      </c>
      <c r="M1447" s="197" t="str">
        <f t="shared" si="1203"/>
        <v>--</v>
      </c>
      <c r="N1447" s="197" t="str">
        <f t="shared" si="1203"/>
        <v>--</v>
      </c>
      <c r="O1447" s="197" t="str">
        <f t="shared" si="1203"/>
        <v>--</v>
      </c>
      <c r="P1447" s="197" t="str">
        <f t="shared" si="1203"/>
        <v>--</v>
      </c>
    </row>
    <row r="1448" spans="2:19" ht="12.6" customHeight="1" x14ac:dyDescent="0.2">
      <c r="B1448" s="322" t="s">
        <v>282</v>
      </c>
      <c r="C1448" s="326"/>
      <c r="D1448" s="113"/>
      <c r="E1448" s="113"/>
      <c r="F1448" s="113"/>
      <c r="G1448" s="113"/>
      <c r="H1448" s="113"/>
      <c r="I1448" s="113"/>
      <c r="J1448" s="113"/>
      <c r="K1448" s="197" t="str">
        <f t="shared" ref="K1448:P1448" si="1204">IFERROR(K1430/K$1335,"--")</f>
        <v>--</v>
      </c>
      <c r="L1448" s="197" t="str">
        <f t="shared" si="1204"/>
        <v>--</v>
      </c>
      <c r="M1448" s="197" t="str">
        <f t="shared" si="1204"/>
        <v>--</v>
      </c>
      <c r="N1448" s="197" t="str">
        <f t="shared" si="1204"/>
        <v>--</v>
      </c>
      <c r="O1448" s="197" t="str">
        <f t="shared" si="1204"/>
        <v>--</v>
      </c>
      <c r="P1448" s="197" t="str">
        <f t="shared" si="1204"/>
        <v>--</v>
      </c>
    </row>
    <row r="1449" spans="2:19" ht="12.6" customHeight="1" x14ac:dyDescent="0.2">
      <c r="B1449" s="322" t="s">
        <v>283</v>
      </c>
      <c r="C1449" s="326"/>
      <c r="D1449" s="113"/>
      <c r="E1449" s="113"/>
      <c r="F1449" s="113"/>
      <c r="G1449" s="113"/>
      <c r="H1449" s="113"/>
      <c r="I1449" s="113"/>
      <c r="J1449" s="113"/>
      <c r="K1449" s="197" t="str">
        <f t="shared" ref="K1449:P1449" si="1205">IFERROR(K1431/K$1335,"--")</f>
        <v>--</v>
      </c>
      <c r="L1449" s="197" t="str">
        <f t="shared" si="1205"/>
        <v>--</v>
      </c>
      <c r="M1449" s="197" t="str">
        <f t="shared" si="1205"/>
        <v>--</v>
      </c>
      <c r="N1449" s="197" t="str">
        <f t="shared" si="1205"/>
        <v>--</v>
      </c>
      <c r="O1449" s="197" t="str">
        <f t="shared" si="1205"/>
        <v>--</v>
      </c>
      <c r="P1449" s="197" t="str">
        <f t="shared" si="1205"/>
        <v>--</v>
      </c>
    </row>
    <row r="1450" spans="2:19" ht="12.6" customHeight="1" x14ac:dyDescent="0.2">
      <c r="B1450" s="322" t="s">
        <v>284</v>
      </c>
      <c r="C1450" s="326"/>
      <c r="D1450" s="113"/>
      <c r="E1450" s="113"/>
      <c r="F1450" s="113"/>
      <c r="G1450" s="113"/>
      <c r="H1450" s="113"/>
      <c r="I1450" s="113"/>
      <c r="J1450" s="113"/>
      <c r="K1450" s="197" t="str">
        <f t="shared" ref="K1450:P1450" si="1206">IFERROR(K1432/K$1335,"--")</f>
        <v>--</v>
      </c>
      <c r="L1450" s="197" t="str">
        <f t="shared" si="1206"/>
        <v>--</v>
      </c>
      <c r="M1450" s="197" t="str">
        <f t="shared" si="1206"/>
        <v>--</v>
      </c>
      <c r="N1450" s="197" t="str">
        <f t="shared" si="1206"/>
        <v>--</v>
      </c>
      <c r="O1450" s="197" t="str">
        <f t="shared" si="1206"/>
        <v>--</v>
      </c>
      <c r="P1450" s="197" t="str">
        <f t="shared" si="1206"/>
        <v>--</v>
      </c>
    </row>
    <row r="1451" spans="2:19" ht="12.6" customHeight="1" x14ac:dyDescent="0.2">
      <c r="B1451" s="359" t="s">
        <v>551</v>
      </c>
      <c r="C1451" s="327"/>
      <c r="D1451" s="117"/>
      <c r="E1451" s="117"/>
      <c r="F1451" s="117"/>
      <c r="G1451" s="117"/>
      <c r="H1451" s="117"/>
      <c r="I1451" s="117"/>
      <c r="J1451" s="117"/>
      <c r="K1451" s="204" t="str">
        <f t="shared" ref="K1451:P1451" si="1207">IFERROR(K1433/K$1335,"--")</f>
        <v>--</v>
      </c>
      <c r="L1451" s="204" t="str">
        <f t="shared" si="1207"/>
        <v>--</v>
      </c>
      <c r="M1451" s="204" t="str">
        <f t="shared" si="1207"/>
        <v>--</v>
      </c>
      <c r="N1451" s="204" t="str">
        <f t="shared" si="1207"/>
        <v>--</v>
      </c>
      <c r="O1451" s="204" t="str">
        <f t="shared" si="1207"/>
        <v>--</v>
      </c>
      <c r="P1451" s="204" t="str">
        <f t="shared" si="1207"/>
        <v>--</v>
      </c>
    </row>
    <row r="1452" spans="2:19" ht="12.6" customHeight="1" x14ac:dyDescent="0.2">
      <c r="B1452" s="56"/>
      <c r="C1452" s="61"/>
      <c r="D1452" s="57"/>
      <c r="E1452" s="57"/>
      <c r="F1452" s="57"/>
      <c r="G1452" s="57"/>
      <c r="H1452" s="57"/>
      <c r="I1452" s="57"/>
      <c r="J1452" s="57"/>
      <c r="K1452" s="68"/>
      <c r="L1452" s="68"/>
      <c r="M1452" s="68"/>
      <c r="N1452" s="68"/>
      <c r="O1452" s="68"/>
      <c r="P1452" s="68"/>
    </row>
    <row r="1453" spans="2:19" ht="12.6" customHeight="1" x14ac:dyDescent="0.2">
      <c r="B1453" s="56" t="s">
        <v>563</v>
      </c>
      <c r="C1453" s="61" t="s">
        <v>566</v>
      </c>
      <c r="D1453" s="57"/>
      <c r="E1453" s="57"/>
      <c r="F1453" s="57"/>
      <c r="G1453" s="57"/>
      <c r="H1453" s="57"/>
      <c r="I1453" s="57"/>
      <c r="J1453" s="57"/>
      <c r="K1453" s="68">
        <f t="shared" ref="K1453:P1453" si="1208">K1455-K1454</f>
        <v>0</v>
      </c>
      <c r="L1453" s="68">
        <f t="shared" si="1208"/>
        <v>0</v>
      </c>
      <c r="M1453" s="68">
        <f t="shared" si="1208"/>
        <v>0</v>
      </c>
      <c r="N1453" s="68">
        <f t="shared" si="1208"/>
        <v>0</v>
      </c>
      <c r="O1453" s="68">
        <f t="shared" si="1208"/>
        <v>0</v>
      </c>
      <c r="P1453" s="68">
        <f t="shared" si="1208"/>
        <v>0</v>
      </c>
    </row>
    <row r="1454" spans="2:19" ht="12.6" customHeight="1" x14ac:dyDescent="0.2">
      <c r="B1454" s="56" t="s">
        <v>299</v>
      </c>
      <c r="C1454" s="61" t="s">
        <v>566</v>
      </c>
      <c r="D1454" s="57"/>
      <c r="E1454" s="57"/>
      <c r="F1454" s="57"/>
      <c r="G1454" s="57"/>
      <c r="H1454" s="57"/>
      <c r="I1454" s="57"/>
      <c r="J1454" s="57"/>
      <c r="K1454" s="68">
        <f t="shared" ref="K1454:P1454" si="1209">K1455*K1464</f>
        <v>0</v>
      </c>
      <c r="L1454" s="68">
        <f t="shared" si="1209"/>
        <v>0</v>
      </c>
      <c r="M1454" s="68">
        <f t="shared" si="1209"/>
        <v>0</v>
      </c>
      <c r="N1454" s="68">
        <f t="shared" si="1209"/>
        <v>0</v>
      </c>
      <c r="O1454" s="68">
        <f t="shared" si="1209"/>
        <v>0</v>
      </c>
      <c r="P1454" s="68">
        <f t="shared" si="1209"/>
        <v>10.8</v>
      </c>
    </row>
    <row r="1455" spans="2:19" ht="12.6" customHeight="1" x14ac:dyDescent="0.2">
      <c r="B1455" s="72" t="s">
        <v>551</v>
      </c>
      <c r="C1455" s="61"/>
      <c r="D1455" s="63"/>
      <c r="E1455" s="63"/>
      <c r="F1455" s="63"/>
      <c r="G1455" s="63"/>
      <c r="H1455" s="63"/>
      <c r="I1455" s="63"/>
      <c r="J1455" s="63"/>
      <c r="K1455" s="64">
        <f t="shared" ref="K1455:P1455" si="1210">K1433</f>
        <v>0</v>
      </c>
      <c r="L1455" s="64">
        <f t="shared" si="1210"/>
        <v>0</v>
      </c>
      <c r="M1455" s="64">
        <f t="shared" si="1210"/>
        <v>0</v>
      </c>
      <c r="N1455" s="64">
        <f t="shared" si="1210"/>
        <v>0</v>
      </c>
      <c r="O1455" s="64">
        <f t="shared" si="1210"/>
        <v>0</v>
      </c>
      <c r="P1455" s="64">
        <f t="shared" si="1210"/>
        <v>10.8</v>
      </c>
    </row>
    <row r="1456" spans="2:19" ht="12.6" customHeight="1" x14ac:dyDescent="0.2">
      <c r="B1456" s="72"/>
      <c r="C1456" s="61"/>
      <c r="D1456" s="63"/>
      <c r="E1456" s="63"/>
      <c r="F1456" s="63"/>
      <c r="G1456" s="63"/>
      <c r="H1456" s="63"/>
      <c r="I1456" s="63"/>
      <c r="J1456" s="63"/>
      <c r="K1456" s="64"/>
      <c r="L1456" s="64"/>
      <c r="M1456" s="64"/>
      <c r="N1456" s="64"/>
      <c r="O1456" s="64"/>
      <c r="P1456" s="64"/>
    </row>
    <row r="1457" spans="1:171" ht="12.6" customHeight="1" x14ac:dyDescent="0.2">
      <c r="B1457" s="331" t="s">
        <v>227</v>
      </c>
      <c r="C1457" s="326"/>
      <c r="D1457" s="335"/>
      <c r="E1457" s="335"/>
      <c r="F1457" s="335"/>
      <c r="G1457" s="335"/>
      <c r="H1457" s="335"/>
      <c r="I1457" s="335"/>
      <c r="J1457" s="335"/>
      <c r="K1457" s="336"/>
      <c r="L1457" s="336"/>
      <c r="M1457" s="336"/>
      <c r="N1457" s="336"/>
      <c r="O1457" s="336"/>
      <c r="P1457" s="336"/>
    </row>
    <row r="1458" spans="1:171" ht="12.6" customHeight="1" x14ac:dyDescent="0.2">
      <c r="B1458" s="322" t="s">
        <v>563</v>
      </c>
      <c r="C1458" s="326"/>
      <c r="D1458" s="113"/>
      <c r="E1458" s="113"/>
      <c r="F1458" s="113"/>
      <c r="G1458" s="113"/>
      <c r="H1458" s="113"/>
      <c r="I1458" s="113"/>
      <c r="J1458" s="113"/>
      <c r="K1458" s="197" t="str">
        <f t="shared" ref="K1458:P1460" si="1211">IFERROR(K1453/J1453-1,"--")</f>
        <v>--</v>
      </c>
      <c r="L1458" s="197" t="str">
        <f t="shared" si="1211"/>
        <v>--</v>
      </c>
      <c r="M1458" s="197" t="str">
        <f t="shared" si="1211"/>
        <v>--</v>
      </c>
      <c r="N1458" s="197" t="str">
        <f t="shared" si="1211"/>
        <v>--</v>
      </c>
      <c r="O1458" s="197" t="str">
        <f t="shared" si="1211"/>
        <v>--</v>
      </c>
      <c r="P1458" s="197" t="str">
        <f t="shared" si="1211"/>
        <v>--</v>
      </c>
    </row>
    <row r="1459" spans="1:171" ht="12.6" customHeight="1" x14ac:dyDescent="0.2">
      <c r="B1459" s="322" t="s">
        <v>299</v>
      </c>
      <c r="C1459" s="326"/>
      <c r="D1459" s="113"/>
      <c r="E1459" s="113"/>
      <c r="F1459" s="113"/>
      <c r="G1459" s="113"/>
      <c r="H1459" s="113"/>
      <c r="I1459" s="113"/>
      <c r="J1459" s="113"/>
      <c r="K1459" s="197" t="str">
        <f t="shared" si="1211"/>
        <v>--</v>
      </c>
      <c r="L1459" s="197" t="str">
        <f t="shared" si="1211"/>
        <v>--</v>
      </c>
      <c r="M1459" s="197" t="str">
        <f t="shared" si="1211"/>
        <v>--</v>
      </c>
      <c r="N1459" s="197" t="str">
        <f t="shared" si="1211"/>
        <v>--</v>
      </c>
      <c r="O1459" s="197" t="str">
        <f t="shared" si="1211"/>
        <v>--</v>
      </c>
      <c r="P1459" s="197" t="str">
        <f t="shared" si="1211"/>
        <v>--</v>
      </c>
    </row>
    <row r="1460" spans="1:171" ht="12.6" customHeight="1" x14ac:dyDescent="0.2">
      <c r="B1460" s="331" t="s">
        <v>551</v>
      </c>
      <c r="C1460" s="327"/>
      <c r="D1460" s="117"/>
      <c r="E1460" s="117"/>
      <c r="F1460" s="117"/>
      <c r="G1460" s="117"/>
      <c r="H1460" s="117"/>
      <c r="I1460" s="117"/>
      <c r="J1460" s="117"/>
      <c r="K1460" s="204" t="str">
        <f t="shared" si="1211"/>
        <v>--</v>
      </c>
      <c r="L1460" s="204" t="str">
        <f t="shared" si="1211"/>
        <v>--</v>
      </c>
      <c r="M1460" s="204" t="str">
        <f t="shared" si="1211"/>
        <v>--</v>
      </c>
      <c r="N1460" s="204" t="str">
        <f t="shared" si="1211"/>
        <v>--</v>
      </c>
      <c r="O1460" s="204" t="str">
        <f t="shared" si="1211"/>
        <v>--</v>
      </c>
      <c r="P1460" s="204" t="str">
        <f t="shared" si="1211"/>
        <v>--</v>
      </c>
    </row>
    <row r="1461" spans="1:171" ht="12.6" customHeight="1" x14ac:dyDescent="0.2">
      <c r="B1461" s="331"/>
      <c r="C1461" s="326"/>
      <c r="D1461" s="335"/>
      <c r="E1461" s="335"/>
      <c r="F1461" s="335"/>
      <c r="G1461" s="335"/>
      <c r="H1461" s="335"/>
      <c r="I1461" s="335"/>
      <c r="J1461" s="335"/>
      <c r="K1461" s="336"/>
      <c r="L1461" s="336"/>
      <c r="M1461" s="336"/>
      <c r="N1461" s="336"/>
      <c r="O1461" s="336"/>
      <c r="P1461" s="336"/>
    </row>
    <row r="1462" spans="1:171" ht="12.6" customHeight="1" x14ac:dyDescent="0.2">
      <c r="B1462" s="331" t="s">
        <v>287</v>
      </c>
      <c r="C1462" s="326"/>
      <c r="D1462" s="335"/>
      <c r="E1462" s="335"/>
      <c r="F1462" s="335"/>
      <c r="G1462" s="335"/>
      <c r="H1462" s="335"/>
      <c r="I1462" s="335"/>
      <c r="J1462" s="335"/>
      <c r="K1462" s="336"/>
      <c r="L1462" s="336"/>
      <c r="M1462" s="336"/>
      <c r="N1462" s="336"/>
      <c r="O1462" s="336"/>
      <c r="P1462" s="336"/>
    </row>
    <row r="1463" spans="1:171" ht="12.6" customHeight="1" x14ac:dyDescent="0.2">
      <c r="B1463" s="322" t="s">
        <v>563</v>
      </c>
      <c r="C1463" s="326"/>
      <c r="D1463" s="113"/>
      <c r="E1463" s="113"/>
      <c r="F1463" s="113"/>
      <c r="G1463" s="113"/>
      <c r="H1463" s="113"/>
      <c r="I1463" s="113"/>
      <c r="J1463" s="113"/>
      <c r="K1463" s="197">
        <f t="shared" ref="K1463:P1463" si="1212">1-K1464</f>
        <v>0</v>
      </c>
      <c r="L1463" s="197">
        <f t="shared" si="1212"/>
        <v>0</v>
      </c>
      <c r="M1463" s="197">
        <f t="shared" si="1212"/>
        <v>0</v>
      </c>
      <c r="N1463" s="197">
        <f t="shared" si="1212"/>
        <v>0</v>
      </c>
      <c r="O1463" s="197">
        <f t="shared" si="1212"/>
        <v>0</v>
      </c>
      <c r="P1463" s="197">
        <f t="shared" si="1212"/>
        <v>0</v>
      </c>
    </row>
    <row r="1464" spans="1:171" ht="12.6" customHeight="1" x14ac:dyDescent="0.2">
      <c r="B1464" s="359" t="s">
        <v>299</v>
      </c>
      <c r="C1464" s="327"/>
      <c r="D1464" s="117"/>
      <c r="E1464" s="117"/>
      <c r="F1464" s="117"/>
      <c r="G1464" s="117"/>
      <c r="H1464" s="117"/>
      <c r="I1464" s="117"/>
      <c r="J1464" s="117"/>
      <c r="K1464" s="360">
        <v>1</v>
      </c>
      <c r="L1464" s="360">
        <f>K1464</f>
        <v>1</v>
      </c>
      <c r="M1464" s="360">
        <f>L1464</f>
        <v>1</v>
      </c>
      <c r="N1464" s="360">
        <f>M1464</f>
        <v>1</v>
      </c>
      <c r="O1464" s="360">
        <f>N1464</f>
        <v>1</v>
      </c>
      <c r="P1464" s="360">
        <f>O1464</f>
        <v>1</v>
      </c>
    </row>
    <row r="1465" spans="1:171" ht="12.6" customHeight="1" x14ac:dyDescent="0.2">
      <c r="A1465" s="87"/>
      <c r="B1465" s="206"/>
      <c r="C1465" s="191"/>
      <c r="D1465" s="42"/>
      <c r="E1465" s="42"/>
      <c r="F1465" s="42"/>
      <c r="G1465" s="42"/>
      <c r="H1465" s="42"/>
      <c r="I1465" s="42"/>
      <c r="J1465" s="42"/>
      <c r="K1465" s="42"/>
      <c r="L1465" s="42"/>
      <c r="M1465" s="42"/>
      <c r="N1465" s="42"/>
      <c r="O1465" s="42"/>
      <c r="P1465" s="42"/>
      <c r="Q1465" s="87"/>
      <c r="R1465" s="87"/>
      <c r="S1465" s="87"/>
      <c r="T1465" s="87"/>
      <c r="U1465" s="87"/>
      <c r="V1465" s="87"/>
      <c r="W1465" s="87"/>
      <c r="X1465" s="87"/>
      <c r="Y1465" s="87"/>
      <c r="Z1465" s="87"/>
      <c r="AA1465" s="87"/>
      <c r="AB1465" s="87"/>
      <c r="AC1465" s="87"/>
      <c r="AD1465" s="87"/>
      <c r="AE1465" s="87"/>
      <c r="AF1465" s="87"/>
      <c r="AG1465" s="87"/>
      <c r="AH1465" s="87"/>
      <c r="AI1465" s="87"/>
      <c r="AJ1465" s="87"/>
      <c r="AK1465" s="87"/>
      <c r="AL1465" s="87"/>
      <c r="AM1465" s="87"/>
      <c r="AO1465" s="87"/>
      <c r="AP1465" s="87"/>
      <c r="AQ1465" s="87"/>
      <c r="AR1465" s="87"/>
      <c r="AS1465" s="87"/>
      <c r="AT1465" s="87"/>
      <c r="AU1465" s="87"/>
      <c r="AV1465" s="87"/>
      <c r="AW1465" s="87"/>
      <c r="AX1465" s="87"/>
      <c r="AY1465" s="87"/>
      <c r="BA1465" s="87"/>
      <c r="BB1465" s="87"/>
      <c r="BC1465" s="87"/>
      <c r="BD1465" s="87"/>
      <c r="BE1465" s="87"/>
      <c r="BF1465" s="87"/>
      <c r="BG1465" s="87"/>
      <c r="BH1465" s="87"/>
      <c r="BI1465" s="87"/>
      <c r="BJ1465" s="87"/>
      <c r="BK1465" s="87"/>
      <c r="BL1465" s="87"/>
      <c r="BM1465" s="87"/>
      <c r="BN1465" s="87"/>
      <c r="BP1465" s="87"/>
      <c r="BQ1465" s="87"/>
      <c r="BR1465" s="87"/>
      <c r="BS1465" s="87"/>
      <c r="BT1465" s="87"/>
      <c r="BU1465" s="87"/>
      <c r="BV1465" s="87"/>
      <c r="BW1465" s="87"/>
      <c r="BX1465" s="87"/>
      <c r="BY1465" s="87"/>
      <c r="BZ1465" s="87"/>
      <c r="CB1465" s="87"/>
      <c r="CC1465" s="87"/>
      <c r="CD1465" s="87"/>
      <c r="CE1465" s="87"/>
      <c r="CF1465" s="87"/>
      <c r="CG1465" s="87"/>
      <c r="CH1465" s="87"/>
      <c r="CI1465" s="87"/>
      <c r="CJ1465" s="87"/>
      <c r="CK1465" s="87"/>
      <c r="CL1465" s="87"/>
      <c r="CN1465" s="87"/>
      <c r="CO1465" s="87"/>
      <c r="CP1465" s="87"/>
      <c r="CQ1465" s="87"/>
      <c r="CR1465" s="87"/>
      <c r="CS1465" s="87"/>
      <c r="CT1465" s="87"/>
      <c r="CU1465" s="87"/>
      <c r="CV1465" s="87"/>
      <c r="CW1465" s="87"/>
      <c r="CX1465" s="87"/>
      <c r="CZ1465" s="87"/>
      <c r="DA1465" s="87"/>
      <c r="DB1465" s="87"/>
      <c r="DC1465" s="87"/>
      <c r="DD1465" s="87"/>
      <c r="DE1465" s="87"/>
      <c r="DF1465" s="87"/>
      <c r="DG1465" s="87"/>
      <c r="DH1465" s="87"/>
      <c r="DI1465" s="87"/>
      <c r="DJ1465" s="87"/>
      <c r="DL1465" s="87"/>
      <c r="DM1465" s="87"/>
      <c r="DN1465" s="87"/>
      <c r="DO1465" s="87"/>
      <c r="DP1465" s="87"/>
      <c r="DQ1465" s="87"/>
      <c r="DR1465" s="87"/>
      <c r="DS1465" s="87"/>
      <c r="DT1465" s="87"/>
      <c r="DU1465" s="87"/>
      <c r="DV1465" s="87"/>
      <c r="DX1465" s="87"/>
      <c r="DY1465" s="87"/>
      <c r="DZ1465" s="87"/>
      <c r="EA1465" s="87"/>
      <c r="EB1465" s="87"/>
      <c r="EC1465" s="87"/>
      <c r="ED1465" s="87"/>
      <c r="EE1465" s="87"/>
      <c r="EF1465" s="87"/>
      <c r="EG1465" s="87"/>
      <c r="EH1465" s="87"/>
      <c r="EJ1465" s="87"/>
      <c r="EK1465" s="87"/>
      <c r="EL1465" s="87"/>
      <c r="EM1465" s="87"/>
      <c r="EN1465" s="87"/>
      <c r="EO1465" s="87"/>
      <c r="EP1465" s="87"/>
      <c r="EQ1465" s="87"/>
      <c r="ER1465" s="87"/>
      <c r="ES1465" s="87"/>
      <c r="ET1465" s="87"/>
      <c r="EV1465" s="87"/>
      <c r="EW1465" s="87"/>
      <c r="EX1465" s="87"/>
      <c r="EY1465" s="87"/>
      <c r="EZ1465" s="87"/>
      <c r="FA1465" s="87"/>
      <c r="FB1465" s="87"/>
      <c r="FC1465" s="87"/>
      <c r="FD1465" s="87"/>
      <c r="FE1465" s="87"/>
      <c r="FF1465" s="87"/>
      <c r="FH1465" s="87"/>
      <c r="FI1465" s="87"/>
      <c r="FJ1465" s="87"/>
      <c r="FK1465" s="87"/>
      <c r="FL1465" s="87"/>
      <c r="FM1465" s="87"/>
      <c r="FN1465" s="87"/>
      <c r="FO1465" s="87"/>
    </row>
    <row r="1466" spans="1:171" ht="12.6" customHeight="1" x14ac:dyDescent="0.2">
      <c r="B1466" s="50" t="s">
        <v>1767</v>
      </c>
      <c r="C1466" s="50" t="s">
        <v>473</v>
      </c>
      <c r="D1466" s="163"/>
      <c r="E1466" s="163"/>
      <c r="F1466" s="163"/>
      <c r="G1466" s="51"/>
      <c r="H1466" s="51"/>
      <c r="I1466" s="51"/>
      <c r="J1466" s="51"/>
      <c r="K1466" s="54"/>
      <c r="L1466" s="54"/>
      <c r="M1466" s="54"/>
      <c r="N1466" s="54"/>
      <c r="O1466" s="54"/>
      <c r="P1466" s="54"/>
    </row>
    <row r="1467" spans="1:171" ht="12.6" customHeight="1" x14ac:dyDescent="0.2">
      <c r="B1467" s="61" t="s">
        <v>565</v>
      </c>
      <c r="C1467" s="61" t="s">
        <v>570</v>
      </c>
      <c r="D1467" s="63"/>
      <c r="E1467" s="63"/>
      <c r="F1467" s="311"/>
      <c r="G1467" s="301"/>
      <c r="H1467" s="301"/>
      <c r="I1467" s="301"/>
      <c r="J1467" s="301"/>
      <c r="K1467" s="302"/>
      <c r="L1467" s="302"/>
      <c r="M1467" s="302"/>
      <c r="N1467" s="302">
        <f>N1468*N1481</f>
        <v>540.51864267515623</v>
      </c>
      <c r="O1467" s="302">
        <f t="shared" ref="O1467:P1467" si="1213">O1468*O1481</f>
        <v>972.93355681528135</v>
      </c>
      <c r="P1467" s="302">
        <f t="shared" si="1213"/>
        <v>1146.4400411140064</v>
      </c>
    </row>
    <row r="1468" spans="1:171" ht="12.6" customHeight="1" x14ac:dyDescent="0.2">
      <c r="B1468" s="59" t="s">
        <v>474</v>
      </c>
      <c r="C1468" s="61" t="s">
        <v>476</v>
      </c>
      <c r="D1468" s="57"/>
      <c r="E1468" s="57"/>
      <c r="F1468" s="57"/>
      <c r="G1468" s="57"/>
      <c r="H1468" s="57"/>
      <c r="I1468" s="57"/>
      <c r="J1468" s="288"/>
      <c r="K1468" s="303"/>
      <c r="L1468" s="303"/>
      <c r="M1468" s="303"/>
      <c r="N1468" s="303">
        <f>O1371</f>
        <v>245.13317128125004</v>
      </c>
      <c r="O1468" s="303">
        <f>N1468*(1+O1469)</f>
        <v>257.38982984531253</v>
      </c>
      <c r="P1468" s="303">
        <f>O1468*(1+P1469)</f>
        <v>259.96372814376565</v>
      </c>
    </row>
    <row r="1469" spans="1:171" ht="12.6" customHeight="1" x14ac:dyDescent="0.2">
      <c r="B1469" s="322" t="s">
        <v>227</v>
      </c>
      <c r="C1469" s="323" t="s">
        <v>477</v>
      </c>
      <c r="D1469" s="58"/>
      <c r="E1469" s="58"/>
      <c r="F1469" s="339"/>
      <c r="G1469" s="330"/>
      <c r="H1469" s="330"/>
      <c r="I1469" s="330"/>
      <c r="J1469" s="353"/>
      <c r="K1469" s="354"/>
      <c r="L1469" s="354"/>
      <c r="M1469" s="354"/>
      <c r="N1469" s="354">
        <v>0.05</v>
      </c>
      <c r="O1469" s="354">
        <v>0.05</v>
      </c>
      <c r="P1469" s="354">
        <v>0.01</v>
      </c>
    </row>
    <row r="1470" spans="1:171" ht="12.6" customHeight="1" x14ac:dyDescent="0.2">
      <c r="B1470" s="59"/>
      <c r="C1470" s="61"/>
      <c r="D1470" s="57"/>
      <c r="E1470" s="57"/>
      <c r="F1470" s="288"/>
      <c r="G1470" s="57"/>
      <c r="H1470" s="57"/>
      <c r="I1470" s="57"/>
      <c r="J1470" s="57"/>
      <c r="K1470" s="68"/>
      <c r="L1470" s="68"/>
      <c r="M1470" s="68"/>
      <c r="N1470" s="68"/>
      <c r="O1470" s="68"/>
      <c r="P1470" s="68"/>
    </row>
    <row r="1471" spans="1:171" ht="12.6" customHeight="1" x14ac:dyDescent="0.2">
      <c r="B1471" s="72" t="s">
        <v>303</v>
      </c>
      <c r="C1471" s="61" t="s">
        <v>4</v>
      </c>
      <c r="D1471" s="57"/>
      <c r="E1471" s="57"/>
      <c r="F1471" s="288"/>
      <c r="G1471" s="288"/>
      <c r="H1471" s="288"/>
      <c r="I1471" s="288"/>
      <c r="J1471" s="288"/>
      <c r="K1471" s="68">
        <f t="shared" ref="K1471:P1471" si="1214">K107</f>
        <v>0</v>
      </c>
      <c r="L1471" s="68">
        <f t="shared" si="1214"/>
        <v>0</v>
      </c>
      <c r="M1471" s="68">
        <f t="shared" si="1214"/>
        <v>0</v>
      </c>
      <c r="N1471" s="68">
        <f t="shared" si="1214"/>
        <v>6.3</v>
      </c>
      <c r="O1471" s="68">
        <f t="shared" si="1214"/>
        <v>6.3</v>
      </c>
      <c r="P1471" s="68">
        <f t="shared" si="1214"/>
        <v>6.3</v>
      </c>
    </row>
    <row r="1472" spans="1:171" ht="12.6" customHeight="1" x14ac:dyDescent="0.2">
      <c r="B1472" s="202" t="s">
        <v>555</v>
      </c>
      <c r="C1472" s="326" t="s">
        <v>4</v>
      </c>
      <c r="D1472" s="58"/>
      <c r="E1472" s="58"/>
      <c r="F1472" s="330"/>
      <c r="G1472" s="330"/>
      <c r="H1472" s="330"/>
      <c r="I1472" s="330"/>
      <c r="J1472" s="330"/>
      <c r="K1472" s="324"/>
      <c r="L1472" s="324"/>
      <c r="M1472" s="324">
        <v>0.1</v>
      </c>
      <c r="N1472" s="324">
        <v>0.35</v>
      </c>
      <c r="O1472" s="324">
        <v>0.6</v>
      </c>
      <c r="P1472" s="324">
        <v>0.7</v>
      </c>
    </row>
    <row r="1473" spans="2:16" ht="12.6" customHeight="1" x14ac:dyDescent="0.2">
      <c r="B1473" s="59"/>
      <c r="C1473" s="61"/>
      <c r="D1473" s="57"/>
      <c r="E1473" s="57"/>
      <c r="F1473" s="288"/>
      <c r="G1473" s="57"/>
      <c r="H1473" s="57"/>
      <c r="I1473" s="57"/>
      <c r="J1473" s="57"/>
      <c r="K1473" s="68"/>
      <c r="L1473" s="68"/>
      <c r="M1473" s="68"/>
      <c r="N1473" s="68"/>
      <c r="O1473" s="68"/>
      <c r="P1473" s="68"/>
    </row>
    <row r="1474" spans="2:16" ht="12.6" customHeight="1" x14ac:dyDescent="0.2">
      <c r="B1474" s="72" t="s">
        <v>489</v>
      </c>
      <c r="C1474" s="61"/>
      <c r="D1474" s="57"/>
      <c r="E1474" s="57"/>
      <c r="F1474" s="288"/>
      <c r="G1474" s="57"/>
      <c r="H1474" s="57"/>
      <c r="I1474" s="57"/>
      <c r="J1474" s="57"/>
      <c r="K1474" s="68"/>
      <c r="L1474" s="68"/>
      <c r="M1474" s="68"/>
      <c r="N1474" s="68"/>
      <c r="O1474" s="68"/>
      <c r="P1474" s="68"/>
    </row>
    <row r="1475" spans="2:16" ht="12.6" customHeight="1" x14ac:dyDescent="0.2">
      <c r="B1475" s="56" t="s">
        <v>279</v>
      </c>
      <c r="C1475" s="61"/>
      <c r="D1475" s="288"/>
      <c r="E1475" s="288"/>
      <c r="F1475" s="288"/>
      <c r="G1475" s="288"/>
      <c r="H1475" s="288"/>
      <c r="I1475" s="288"/>
      <c r="J1475" s="288"/>
      <c r="K1475" s="303">
        <f t="shared" ref="K1475:P1480" si="1215">J1475*(1+K1484)</f>
        <v>0</v>
      </c>
      <c r="L1475" s="303">
        <f t="shared" si="1215"/>
        <v>0</v>
      </c>
      <c r="M1475" s="303">
        <f t="shared" si="1215"/>
        <v>0</v>
      </c>
      <c r="N1475" s="303">
        <f t="shared" si="1215"/>
        <v>0</v>
      </c>
      <c r="O1475" s="303">
        <f t="shared" si="1215"/>
        <v>0</v>
      </c>
      <c r="P1475" s="303">
        <f t="shared" si="1215"/>
        <v>0</v>
      </c>
    </row>
    <row r="1476" spans="2:16" ht="12.6" customHeight="1" x14ac:dyDescent="0.2">
      <c r="B1476" s="56" t="s">
        <v>280</v>
      </c>
      <c r="C1476" s="61"/>
      <c r="D1476" s="288"/>
      <c r="E1476" s="288"/>
      <c r="F1476" s="288"/>
      <c r="G1476" s="288"/>
      <c r="H1476" s="288"/>
      <c r="I1476" s="288"/>
      <c r="J1476" s="288"/>
      <c r="K1476" s="303">
        <f t="shared" si="1215"/>
        <v>0</v>
      </c>
      <c r="L1476" s="303">
        <f t="shared" si="1215"/>
        <v>0</v>
      </c>
      <c r="M1476" s="303">
        <f t="shared" si="1215"/>
        <v>0</v>
      </c>
      <c r="N1476" s="303">
        <f t="shared" si="1215"/>
        <v>0</v>
      </c>
      <c r="O1476" s="303">
        <f t="shared" si="1215"/>
        <v>0</v>
      </c>
      <c r="P1476" s="303">
        <f t="shared" si="1215"/>
        <v>0</v>
      </c>
    </row>
    <row r="1477" spans="2:16" ht="12.6" customHeight="1" x14ac:dyDescent="0.2">
      <c r="B1477" s="56" t="s">
        <v>281</v>
      </c>
      <c r="C1477" s="61"/>
      <c r="D1477" s="288"/>
      <c r="E1477" s="288"/>
      <c r="F1477" s="288"/>
      <c r="G1477" s="288"/>
      <c r="H1477" s="288"/>
      <c r="I1477" s="288"/>
      <c r="J1477" s="288"/>
      <c r="K1477" s="303">
        <f t="shared" si="1215"/>
        <v>0</v>
      </c>
      <c r="L1477" s="303">
        <f t="shared" si="1215"/>
        <v>0</v>
      </c>
      <c r="M1477" s="303">
        <f t="shared" si="1215"/>
        <v>0</v>
      </c>
      <c r="N1477" s="303">
        <f t="shared" si="1215"/>
        <v>0</v>
      </c>
      <c r="O1477" s="303">
        <f t="shared" si="1215"/>
        <v>0</v>
      </c>
      <c r="P1477" s="303">
        <f t="shared" si="1215"/>
        <v>0</v>
      </c>
    </row>
    <row r="1478" spans="2:16" ht="12.6" customHeight="1" x14ac:dyDescent="0.2">
      <c r="B1478" s="56" t="s">
        <v>282</v>
      </c>
      <c r="C1478" s="61"/>
      <c r="D1478" s="288"/>
      <c r="E1478" s="288"/>
      <c r="F1478" s="288"/>
      <c r="G1478" s="288"/>
      <c r="H1478" s="288"/>
      <c r="I1478" s="288"/>
      <c r="J1478" s="288"/>
      <c r="K1478" s="303">
        <f t="shared" si="1215"/>
        <v>0</v>
      </c>
      <c r="L1478" s="303">
        <f t="shared" si="1215"/>
        <v>0</v>
      </c>
      <c r="M1478" s="303">
        <f t="shared" si="1215"/>
        <v>0</v>
      </c>
      <c r="N1478" s="303">
        <f t="shared" si="1215"/>
        <v>0</v>
      </c>
      <c r="O1478" s="303">
        <f t="shared" si="1215"/>
        <v>0</v>
      </c>
      <c r="P1478" s="303">
        <f t="shared" si="1215"/>
        <v>0</v>
      </c>
    </row>
    <row r="1479" spans="2:16" ht="12.6" customHeight="1" x14ac:dyDescent="0.2">
      <c r="B1479" s="56" t="s">
        <v>283</v>
      </c>
      <c r="C1479" s="61"/>
      <c r="D1479" s="288"/>
      <c r="E1479" s="288"/>
      <c r="F1479" s="288"/>
      <c r="G1479" s="288"/>
      <c r="H1479" s="288"/>
      <c r="I1479" s="288"/>
      <c r="J1479" s="288"/>
      <c r="K1479" s="303">
        <f t="shared" si="1215"/>
        <v>0</v>
      </c>
      <c r="L1479" s="1018">
        <f t="shared" si="1215"/>
        <v>0</v>
      </c>
      <c r="M1479" s="1018">
        <f>N1479/2</f>
        <v>1.1024999999999998</v>
      </c>
      <c r="N1479" s="303">
        <f>N1471*N1472</f>
        <v>2.2049999999999996</v>
      </c>
      <c r="O1479" s="303">
        <f>O1471*O1472</f>
        <v>3.78</v>
      </c>
      <c r="P1479" s="303">
        <f>P1471*P1472</f>
        <v>4.4099999999999993</v>
      </c>
    </row>
    <row r="1480" spans="2:16" ht="12.6" customHeight="1" x14ac:dyDescent="0.2">
      <c r="B1480" s="56" t="s">
        <v>284</v>
      </c>
      <c r="C1480" s="61"/>
      <c r="D1480" s="288"/>
      <c r="E1480" s="288"/>
      <c r="F1480" s="288"/>
      <c r="G1480" s="288"/>
      <c r="H1480" s="288"/>
      <c r="I1480" s="288"/>
      <c r="J1480" s="288"/>
      <c r="K1480" s="303">
        <f t="shared" si="1215"/>
        <v>0</v>
      </c>
      <c r="L1480" s="303">
        <f t="shared" si="1215"/>
        <v>0</v>
      </c>
      <c r="M1480" s="303">
        <f t="shared" si="1215"/>
        <v>0</v>
      </c>
      <c r="N1480" s="303">
        <f t="shared" si="1215"/>
        <v>0</v>
      </c>
      <c r="O1480" s="303">
        <f t="shared" si="1215"/>
        <v>0</v>
      </c>
      <c r="P1480" s="303">
        <f t="shared" si="1215"/>
        <v>0</v>
      </c>
    </row>
    <row r="1481" spans="2:16" ht="12.6" customHeight="1" x14ac:dyDescent="0.2">
      <c r="B1481" s="72" t="s">
        <v>551</v>
      </c>
      <c r="C1481" s="95"/>
      <c r="D1481" s="63"/>
      <c r="E1481" s="63"/>
      <c r="F1481" s="63"/>
      <c r="G1481" s="63"/>
      <c r="H1481" s="63"/>
      <c r="I1481" s="63"/>
      <c r="J1481" s="63"/>
      <c r="K1481" s="64">
        <f t="shared" ref="K1481:P1481" si="1216">SUM(K1475:K1480)</f>
        <v>0</v>
      </c>
      <c r="L1481" s="64">
        <f t="shared" si="1216"/>
        <v>0</v>
      </c>
      <c r="M1481" s="64">
        <f t="shared" si="1216"/>
        <v>1.1024999999999998</v>
      </c>
      <c r="N1481" s="64">
        <f t="shared" si="1216"/>
        <v>2.2049999999999996</v>
      </c>
      <c r="O1481" s="64">
        <f t="shared" si="1216"/>
        <v>3.78</v>
      </c>
      <c r="P1481" s="64">
        <f t="shared" si="1216"/>
        <v>4.4099999999999993</v>
      </c>
    </row>
    <row r="1482" spans="2:16" ht="12.6" customHeight="1" x14ac:dyDescent="0.2">
      <c r="B1482" s="72"/>
      <c r="C1482" s="95"/>
      <c r="D1482" s="63"/>
      <c r="E1482" s="63"/>
      <c r="F1482" s="63"/>
      <c r="G1482" s="63"/>
      <c r="H1482" s="63"/>
      <c r="I1482" s="63"/>
      <c r="J1482" s="63"/>
      <c r="K1482" s="64"/>
      <c r="L1482" s="64"/>
      <c r="M1482" s="64"/>
      <c r="N1482" s="64"/>
      <c r="O1482" s="64"/>
      <c r="P1482" s="64"/>
    </row>
    <row r="1483" spans="2:16" ht="12.6" customHeight="1" x14ac:dyDescent="0.2">
      <c r="B1483" s="116" t="s">
        <v>227</v>
      </c>
      <c r="C1483" s="61"/>
      <c r="D1483" s="63"/>
      <c r="E1483" s="63"/>
      <c r="F1483" s="63"/>
      <c r="G1483" s="63"/>
      <c r="H1483" s="63"/>
      <c r="I1483" s="63"/>
      <c r="J1483" s="63"/>
      <c r="K1483" s="68"/>
      <c r="L1483" s="68"/>
      <c r="M1483" s="68"/>
      <c r="N1483" s="68"/>
      <c r="O1483" s="68"/>
      <c r="P1483" s="68"/>
    </row>
    <row r="1484" spans="2:16" ht="12.6" customHeight="1" x14ac:dyDescent="0.2">
      <c r="B1484" s="322" t="s">
        <v>279</v>
      </c>
      <c r="C1484" s="355"/>
      <c r="D1484" s="113"/>
      <c r="E1484" s="113"/>
      <c r="F1484" s="113"/>
      <c r="G1484" s="113"/>
      <c r="H1484" s="113"/>
      <c r="I1484" s="113"/>
      <c r="J1484" s="113"/>
      <c r="K1484" s="356">
        <v>0</v>
      </c>
      <c r="L1484" s="356">
        <v>0</v>
      </c>
      <c r="M1484" s="356">
        <v>0</v>
      </c>
      <c r="N1484" s="356">
        <v>0</v>
      </c>
      <c r="O1484" s="356">
        <v>0</v>
      </c>
      <c r="P1484" s="356">
        <v>0</v>
      </c>
    </row>
    <row r="1485" spans="2:16" ht="12.6" customHeight="1" x14ac:dyDescent="0.2">
      <c r="B1485" s="322" t="s">
        <v>280</v>
      </c>
      <c r="C1485" s="355"/>
      <c r="D1485" s="113"/>
      <c r="E1485" s="113"/>
      <c r="F1485" s="113"/>
      <c r="G1485" s="113"/>
      <c r="H1485" s="113"/>
      <c r="I1485" s="113"/>
      <c r="J1485" s="113"/>
      <c r="K1485" s="356">
        <v>0.05</v>
      </c>
      <c r="L1485" s="356">
        <v>0.05</v>
      </c>
      <c r="M1485" s="356">
        <v>0.05</v>
      </c>
      <c r="N1485" s="356">
        <v>0.05</v>
      </c>
      <c r="O1485" s="356">
        <v>0.05</v>
      </c>
      <c r="P1485" s="356">
        <v>0.05</v>
      </c>
    </row>
    <row r="1486" spans="2:16" ht="12.6" customHeight="1" x14ac:dyDescent="0.2">
      <c r="B1486" s="322" t="s">
        <v>281</v>
      </c>
      <c r="C1486" s="355"/>
      <c r="D1486" s="113"/>
      <c r="E1486" s="113"/>
      <c r="F1486" s="113"/>
      <c r="G1486" s="113"/>
      <c r="H1486" s="113"/>
      <c r="I1486" s="113"/>
      <c r="J1486" s="113"/>
      <c r="K1486" s="356">
        <v>0</v>
      </c>
      <c r="L1486" s="356">
        <v>0</v>
      </c>
      <c r="M1486" s="356">
        <v>0</v>
      </c>
      <c r="N1486" s="356">
        <v>0</v>
      </c>
      <c r="O1486" s="356">
        <v>0</v>
      </c>
      <c r="P1486" s="356">
        <v>0</v>
      </c>
    </row>
    <row r="1487" spans="2:16" ht="12.6" customHeight="1" x14ac:dyDescent="0.2">
      <c r="B1487" s="322" t="s">
        <v>282</v>
      </c>
      <c r="C1487" s="355"/>
      <c r="D1487" s="113"/>
      <c r="E1487" s="113"/>
      <c r="F1487" s="113"/>
      <c r="G1487" s="113"/>
      <c r="H1487" s="113"/>
      <c r="I1487" s="113"/>
      <c r="J1487" s="113"/>
      <c r="K1487" s="356">
        <v>0</v>
      </c>
      <c r="L1487" s="356">
        <v>0</v>
      </c>
      <c r="M1487" s="356">
        <v>0</v>
      </c>
      <c r="N1487" s="356">
        <v>0</v>
      </c>
      <c r="O1487" s="356">
        <v>0</v>
      </c>
      <c r="P1487" s="356">
        <v>0</v>
      </c>
    </row>
    <row r="1488" spans="2:16" ht="12.6" customHeight="1" x14ac:dyDescent="0.2">
      <c r="B1488" s="322" t="s">
        <v>283</v>
      </c>
      <c r="C1488" s="355"/>
      <c r="D1488" s="113"/>
      <c r="E1488" s="113"/>
      <c r="F1488" s="113"/>
      <c r="G1488" s="113"/>
      <c r="H1488" s="113"/>
      <c r="I1488" s="113"/>
      <c r="J1488" s="113"/>
      <c r="K1488" s="356">
        <v>0.05</v>
      </c>
      <c r="L1488" s="356">
        <v>0.05</v>
      </c>
      <c r="M1488" s="356">
        <v>0.05</v>
      </c>
      <c r="N1488" s="356">
        <v>0.05</v>
      </c>
      <c r="O1488" s="356">
        <v>0.05</v>
      </c>
      <c r="P1488" s="356">
        <v>0.05</v>
      </c>
    </row>
    <row r="1489" spans="2:16" ht="12.6" customHeight="1" x14ac:dyDescent="0.2">
      <c r="B1489" s="322" t="s">
        <v>284</v>
      </c>
      <c r="C1489" s="355"/>
      <c r="D1489" s="113"/>
      <c r="E1489" s="113"/>
      <c r="F1489" s="113"/>
      <c r="G1489" s="113"/>
      <c r="H1489" s="113"/>
      <c r="I1489" s="113"/>
      <c r="J1489" s="113"/>
      <c r="K1489" s="356">
        <v>0</v>
      </c>
      <c r="L1489" s="356">
        <v>0</v>
      </c>
      <c r="M1489" s="356">
        <v>0</v>
      </c>
      <c r="N1489" s="356">
        <v>0</v>
      </c>
      <c r="O1489" s="356">
        <v>0</v>
      </c>
      <c r="P1489" s="356">
        <v>0</v>
      </c>
    </row>
    <row r="1490" spans="2:16" ht="12.6" customHeight="1" x14ac:dyDescent="0.2">
      <c r="B1490" s="331" t="s">
        <v>551</v>
      </c>
      <c r="C1490" s="358"/>
      <c r="D1490" s="117"/>
      <c r="E1490" s="117"/>
      <c r="F1490" s="117"/>
      <c r="G1490" s="117"/>
      <c r="H1490" s="117"/>
      <c r="I1490" s="117"/>
      <c r="J1490" s="117"/>
      <c r="K1490" s="204">
        <f t="shared" ref="K1490:P1490" si="1217">IFERROR(K1481/J1481-1,0)</f>
        <v>0</v>
      </c>
      <c r="L1490" s="204">
        <f t="shared" si="1217"/>
        <v>0</v>
      </c>
      <c r="M1490" s="204">
        <f t="shared" si="1217"/>
        <v>0</v>
      </c>
      <c r="N1490" s="204">
        <f t="shared" si="1217"/>
        <v>1</v>
      </c>
      <c r="O1490" s="204">
        <f t="shared" si="1217"/>
        <v>0.71428571428571441</v>
      </c>
      <c r="P1490" s="204">
        <f t="shared" si="1217"/>
        <v>0.16666666666666652</v>
      </c>
    </row>
    <row r="1491" spans="2:16" ht="12.6" customHeight="1" x14ac:dyDescent="0.2">
      <c r="B1491" s="201"/>
      <c r="C1491" s="326"/>
      <c r="D1491" s="335"/>
      <c r="E1491" s="335"/>
      <c r="F1491" s="335"/>
      <c r="G1491" s="335"/>
      <c r="H1491" s="335"/>
      <c r="I1491" s="335"/>
      <c r="J1491" s="335"/>
      <c r="K1491" s="357"/>
      <c r="L1491" s="357"/>
      <c r="M1491" s="357"/>
      <c r="N1491" s="357"/>
      <c r="O1491" s="357"/>
      <c r="P1491" s="357"/>
    </row>
    <row r="1492" spans="2:16" ht="12.6" customHeight="1" x14ac:dyDescent="0.2">
      <c r="B1492" s="331" t="s">
        <v>287</v>
      </c>
      <c r="C1492" s="326"/>
      <c r="D1492" s="335"/>
      <c r="E1492" s="335"/>
      <c r="F1492" s="335"/>
      <c r="G1492" s="335"/>
      <c r="H1492" s="335"/>
      <c r="I1492" s="335"/>
      <c r="J1492" s="335"/>
      <c r="K1492" s="357"/>
      <c r="L1492" s="357"/>
      <c r="M1492" s="357"/>
      <c r="N1492" s="357"/>
      <c r="O1492" s="357"/>
      <c r="P1492" s="357"/>
    </row>
    <row r="1493" spans="2:16" ht="12.6" customHeight="1" x14ac:dyDescent="0.2">
      <c r="B1493" s="322" t="s">
        <v>279</v>
      </c>
      <c r="C1493" s="326"/>
      <c r="D1493" s="113"/>
      <c r="E1493" s="113"/>
      <c r="F1493" s="113"/>
      <c r="G1493" s="113"/>
      <c r="H1493" s="113"/>
      <c r="I1493" s="113"/>
      <c r="J1493" s="113"/>
      <c r="K1493" s="197" t="str">
        <f t="shared" ref="K1493:P1493" si="1218">IFERROR(K1475/K$1335,"--")</f>
        <v>--</v>
      </c>
      <c r="L1493" s="197" t="str">
        <f t="shared" si="1218"/>
        <v>--</v>
      </c>
      <c r="M1493" s="197" t="str">
        <f t="shared" si="1218"/>
        <v>--</v>
      </c>
      <c r="N1493" s="197" t="str">
        <f t="shared" si="1218"/>
        <v>--</v>
      </c>
      <c r="O1493" s="197" t="str">
        <f t="shared" si="1218"/>
        <v>--</v>
      </c>
      <c r="P1493" s="197" t="str">
        <f t="shared" si="1218"/>
        <v>--</v>
      </c>
    </row>
    <row r="1494" spans="2:16" ht="12.6" customHeight="1" x14ac:dyDescent="0.2">
      <c r="B1494" s="322" t="s">
        <v>280</v>
      </c>
      <c r="C1494" s="326"/>
      <c r="D1494" s="113"/>
      <c r="E1494" s="113"/>
      <c r="F1494" s="113"/>
      <c r="G1494" s="113"/>
      <c r="H1494" s="113"/>
      <c r="I1494" s="113"/>
      <c r="J1494" s="113"/>
      <c r="K1494" s="197" t="str">
        <f t="shared" ref="K1494:P1494" si="1219">IFERROR(K1476/K$1335,"--")</f>
        <v>--</v>
      </c>
      <c r="L1494" s="197" t="str">
        <f t="shared" si="1219"/>
        <v>--</v>
      </c>
      <c r="M1494" s="197" t="str">
        <f t="shared" si="1219"/>
        <v>--</v>
      </c>
      <c r="N1494" s="197" t="str">
        <f t="shared" si="1219"/>
        <v>--</v>
      </c>
      <c r="O1494" s="197" t="str">
        <f t="shared" si="1219"/>
        <v>--</v>
      </c>
      <c r="P1494" s="197" t="str">
        <f t="shared" si="1219"/>
        <v>--</v>
      </c>
    </row>
    <row r="1495" spans="2:16" ht="12.6" customHeight="1" x14ac:dyDescent="0.2">
      <c r="B1495" s="322" t="s">
        <v>281</v>
      </c>
      <c r="C1495" s="326"/>
      <c r="D1495" s="113"/>
      <c r="E1495" s="113"/>
      <c r="F1495" s="113"/>
      <c r="G1495" s="113"/>
      <c r="H1495" s="113"/>
      <c r="I1495" s="113"/>
      <c r="J1495" s="113"/>
      <c r="K1495" s="197" t="str">
        <f t="shared" ref="K1495:P1495" si="1220">IFERROR(K1477/K$1335,"--")</f>
        <v>--</v>
      </c>
      <c r="L1495" s="197" t="str">
        <f t="shared" si="1220"/>
        <v>--</v>
      </c>
      <c r="M1495" s="197" t="str">
        <f t="shared" si="1220"/>
        <v>--</v>
      </c>
      <c r="N1495" s="197" t="str">
        <f t="shared" si="1220"/>
        <v>--</v>
      </c>
      <c r="O1495" s="197" t="str">
        <f t="shared" si="1220"/>
        <v>--</v>
      </c>
      <c r="P1495" s="197" t="str">
        <f t="shared" si="1220"/>
        <v>--</v>
      </c>
    </row>
    <row r="1496" spans="2:16" ht="12.6" customHeight="1" x14ac:dyDescent="0.2">
      <c r="B1496" s="322" t="s">
        <v>282</v>
      </c>
      <c r="C1496" s="326"/>
      <c r="D1496" s="113"/>
      <c r="E1496" s="113"/>
      <c r="F1496" s="113"/>
      <c r="G1496" s="113"/>
      <c r="H1496" s="113"/>
      <c r="I1496" s="113"/>
      <c r="J1496" s="113"/>
      <c r="K1496" s="197" t="str">
        <f t="shared" ref="K1496:P1496" si="1221">IFERROR(K1478/K$1335,"--")</f>
        <v>--</v>
      </c>
      <c r="L1496" s="197" t="str">
        <f t="shared" si="1221"/>
        <v>--</v>
      </c>
      <c r="M1496" s="197" t="str">
        <f t="shared" si="1221"/>
        <v>--</v>
      </c>
      <c r="N1496" s="197" t="str">
        <f t="shared" si="1221"/>
        <v>--</v>
      </c>
      <c r="O1496" s="197" t="str">
        <f t="shared" si="1221"/>
        <v>--</v>
      </c>
      <c r="P1496" s="197" t="str">
        <f t="shared" si="1221"/>
        <v>--</v>
      </c>
    </row>
    <row r="1497" spans="2:16" ht="12.6" customHeight="1" x14ac:dyDescent="0.2">
      <c r="B1497" s="322" t="s">
        <v>283</v>
      </c>
      <c r="C1497" s="326"/>
      <c r="D1497" s="113"/>
      <c r="E1497" s="113"/>
      <c r="F1497" s="113"/>
      <c r="G1497" s="113"/>
      <c r="H1497" s="113"/>
      <c r="I1497" s="113"/>
      <c r="J1497" s="113"/>
      <c r="K1497" s="197" t="str">
        <f t="shared" ref="K1497:P1497" si="1222">IFERROR(K1479/K$1335,"--")</f>
        <v>--</v>
      </c>
      <c r="L1497" s="197" t="str">
        <f t="shared" si="1222"/>
        <v>--</v>
      </c>
      <c r="M1497" s="197" t="str">
        <f t="shared" si="1222"/>
        <v>--</v>
      </c>
      <c r="N1497" s="197" t="str">
        <f t="shared" si="1222"/>
        <v>--</v>
      </c>
      <c r="O1497" s="197" t="str">
        <f t="shared" si="1222"/>
        <v>--</v>
      </c>
      <c r="P1497" s="197" t="str">
        <f t="shared" si="1222"/>
        <v>--</v>
      </c>
    </row>
    <row r="1498" spans="2:16" ht="12.6" customHeight="1" x14ac:dyDescent="0.2">
      <c r="B1498" s="322" t="s">
        <v>284</v>
      </c>
      <c r="C1498" s="326"/>
      <c r="D1498" s="113"/>
      <c r="E1498" s="113"/>
      <c r="F1498" s="113"/>
      <c r="G1498" s="113"/>
      <c r="H1498" s="113"/>
      <c r="I1498" s="113"/>
      <c r="J1498" s="113"/>
      <c r="K1498" s="197" t="str">
        <f t="shared" ref="K1498:P1498" si="1223">IFERROR(K1480/K$1335,"--")</f>
        <v>--</v>
      </c>
      <c r="L1498" s="197" t="str">
        <f t="shared" si="1223"/>
        <v>--</v>
      </c>
      <c r="M1498" s="197" t="str">
        <f t="shared" si="1223"/>
        <v>--</v>
      </c>
      <c r="N1498" s="197" t="str">
        <f t="shared" si="1223"/>
        <v>--</v>
      </c>
      <c r="O1498" s="197" t="str">
        <f t="shared" si="1223"/>
        <v>--</v>
      </c>
      <c r="P1498" s="197" t="str">
        <f t="shared" si="1223"/>
        <v>--</v>
      </c>
    </row>
    <row r="1499" spans="2:16" ht="12.6" customHeight="1" x14ac:dyDescent="0.2">
      <c r="B1499" s="359" t="s">
        <v>551</v>
      </c>
      <c r="C1499" s="327"/>
      <c r="D1499" s="117"/>
      <c r="E1499" s="117"/>
      <c r="F1499" s="117"/>
      <c r="G1499" s="117"/>
      <c r="H1499" s="117"/>
      <c r="I1499" s="117"/>
      <c r="J1499" s="117"/>
      <c r="K1499" s="204" t="str">
        <f t="shared" ref="K1499:P1499" si="1224">IFERROR(K1481/K$1335,"--")</f>
        <v>--</v>
      </c>
      <c r="L1499" s="204" t="str">
        <f t="shared" si="1224"/>
        <v>--</v>
      </c>
      <c r="M1499" s="204" t="str">
        <f t="shared" si="1224"/>
        <v>--</v>
      </c>
      <c r="N1499" s="204" t="str">
        <f t="shared" si="1224"/>
        <v>--</v>
      </c>
      <c r="O1499" s="204" t="str">
        <f t="shared" si="1224"/>
        <v>--</v>
      </c>
      <c r="P1499" s="204" t="str">
        <f t="shared" si="1224"/>
        <v>--</v>
      </c>
    </row>
    <row r="1500" spans="2:16" ht="12.6" customHeight="1" x14ac:dyDescent="0.2">
      <c r="B1500" s="56"/>
      <c r="C1500" s="61"/>
      <c r="D1500" s="57"/>
      <c r="E1500" s="57"/>
      <c r="F1500" s="57"/>
      <c r="G1500" s="57"/>
      <c r="H1500" s="57"/>
      <c r="I1500" s="57"/>
      <c r="J1500" s="57"/>
      <c r="K1500" s="68"/>
      <c r="L1500" s="68"/>
      <c r="M1500" s="68"/>
      <c r="N1500" s="68"/>
      <c r="O1500" s="68"/>
      <c r="P1500" s="68"/>
    </row>
    <row r="1501" spans="2:16" ht="12.6" customHeight="1" x14ac:dyDescent="0.2">
      <c r="B1501" s="56" t="s">
        <v>563</v>
      </c>
      <c r="C1501" s="61" t="s">
        <v>566</v>
      </c>
      <c r="D1501" s="57"/>
      <c r="E1501" s="57"/>
      <c r="F1501" s="57"/>
      <c r="G1501" s="57"/>
      <c r="H1501" s="57"/>
      <c r="I1501" s="57"/>
      <c r="J1501" s="57"/>
      <c r="K1501" s="68">
        <f t="shared" ref="K1501:P1501" si="1225">K1503-K1502</f>
        <v>0</v>
      </c>
      <c r="L1501" s="68">
        <f t="shared" si="1225"/>
        <v>0</v>
      </c>
      <c r="M1501" s="68">
        <f t="shared" si="1225"/>
        <v>1.1024999999999998</v>
      </c>
      <c r="N1501" s="68">
        <f t="shared" si="1225"/>
        <v>2.2049999999999996</v>
      </c>
      <c r="O1501" s="68">
        <f t="shared" si="1225"/>
        <v>1.89</v>
      </c>
      <c r="P1501" s="68">
        <f t="shared" si="1225"/>
        <v>2.2049999999999996</v>
      </c>
    </row>
    <row r="1502" spans="2:16" ht="12.6" customHeight="1" x14ac:dyDescent="0.2">
      <c r="B1502" s="56" t="s">
        <v>299</v>
      </c>
      <c r="C1502" s="61" t="s">
        <v>566</v>
      </c>
      <c r="D1502" s="57"/>
      <c r="E1502" s="57"/>
      <c r="F1502" s="57"/>
      <c r="G1502" s="57"/>
      <c r="H1502" s="57"/>
      <c r="I1502" s="57"/>
      <c r="J1502" s="57"/>
      <c r="K1502" s="68">
        <f t="shared" ref="K1502:P1502" si="1226">K1503*K1512</f>
        <v>0</v>
      </c>
      <c r="L1502" s="68">
        <f t="shared" si="1226"/>
        <v>0</v>
      </c>
      <c r="M1502" s="68">
        <f t="shared" si="1226"/>
        <v>0</v>
      </c>
      <c r="N1502" s="68">
        <f t="shared" si="1226"/>
        <v>0</v>
      </c>
      <c r="O1502" s="68">
        <f t="shared" si="1226"/>
        <v>1.89</v>
      </c>
      <c r="P1502" s="68">
        <f t="shared" si="1226"/>
        <v>2.2049999999999996</v>
      </c>
    </row>
    <row r="1503" spans="2:16" ht="12.6" customHeight="1" x14ac:dyDescent="0.2">
      <c r="B1503" s="72" t="s">
        <v>551</v>
      </c>
      <c r="C1503" s="61"/>
      <c r="D1503" s="63"/>
      <c r="E1503" s="63"/>
      <c r="F1503" s="63"/>
      <c r="G1503" s="63"/>
      <c r="H1503" s="63"/>
      <c r="I1503" s="63"/>
      <c r="J1503" s="63"/>
      <c r="K1503" s="64">
        <f t="shared" ref="K1503:P1503" si="1227">K1481</f>
        <v>0</v>
      </c>
      <c r="L1503" s="64">
        <f t="shared" si="1227"/>
        <v>0</v>
      </c>
      <c r="M1503" s="64">
        <f t="shared" si="1227"/>
        <v>1.1024999999999998</v>
      </c>
      <c r="N1503" s="64">
        <f t="shared" si="1227"/>
        <v>2.2049999999999996</v>
      </c>
      <c r="O1503" s="64">
        <f t="shared" si="1227"/>
        <v>3.78</v>
      </c>
      <c r="P1503" s="64">
        <f t="shared" si="1227"/>
        <v>4.4099999999999993</v>
      </c>
    </row>
    <row r="1504" spans="2:16" ht="12.6" customHeight="1" x14ac:dyDescent="0.2">
      <c r="B1504" s="72"/>
      <c r="C1504" s="61"/>
      <c r="D1504" s="63"/>
      <c r="E1504" s="63"/>
      <c r="F1504" s="63"/>
      <c r="G1504" s="63"/>
      <c r="H1504" s="63"/>
      <c r="I1504" s="63"/>
      <c r="J1504" s="63"/>
      <c r="K1504" s="64"/>
      <c r="L1504" s="64"/>
      <c r="M1504" s="64"/>
      <c r="N1504" s="64"/>
      <c r="O1504" s="64"/>
      <c r="P1504" s="64"/>
    </row>
    <row r="1505" spans="1:171" ht="12.6" customHeight="1" x14ac:dyDescent="0.2">
      <c r="B1505" s="331" t="s">
        <v>227</v>
      </c>
      <c r="C1505" s="326"/>
      <c r="D1505" s="335"/>
      <c r="E1505" s="335"/>
      <c r="F1505" s="335"/>
      <c r="G1505" s="335"/>
      <c r="H1505" s="335"/>
      <c r="I1505" s="335"/>
      <c r="J1505" s="335"/>
      <c r="K1505" s="336"/>
      <c r="L1505" s="336"/>
      <c r="M1505" s="336"/>
      <c r="N1505" s="336"/>
      <c r="O1505" s="336"/>
      <c r="P1505" s="336"/>
    </row>
    <row r="1506" spans="1:171" ht="12.6" customHeight="1" x14ac:dyDescent="0.2">
      <c r="B1506" s="322" t="s">
        <v>563</v>
      </c>
      <c r="C1506" s="326"/>
      <c r="D1506" s="113"/>
      <c r="E1506" s="113"/>
      <c r="F1506" s="113"/>
      <c r="G1506" s="113"/>
      <c r="H1506" s="113"/>
      <c r="I1506" s="113"/>
      <c r="J1506" s="113"/>
      <c r="K1506" s="197" t="str">
        <f t="shared" ref="K1506:P1508" si="1228">IFERROR(K1501/J1501-1,"--")</f>
        <v>--</v>
      </c>
      <c r="L1506" s="197" t="str">
        <f t="shared" si="1228"/>
        <v>--</v>
      </c>
      <c r="M1506" s="197" t="str">
        <f t="shared" si="1228"/>
        <v>--</v>
      </c>
      <c r="N1506" s="197">
        <f t="shared" si="1228"/>
        <v>1</v>
      </c>
      <c r="O1506" s="197">
        <f t="shared" si="1228"/>
        <v>-0.14285714285714279</v>
      </c>
      <c r="P1506" s="197">
        <f t="shared" si="1228"/>
        <v>0.16666666666666652</v>
      </c>
    </row>
    <row r="1507" spans="1:171" ht="12.6" customHeight="1" x14ac:dyDescent="0.2">
      <c r="B1507" s="322" t="s">
        <v>299</v>
      </c>
      <c r="C1507" s="326"/>
      <c r="D1507" s="113"/>
      <c r="E1507" s="113"/>
      <c r="F1507" s="113"/>
      <c r="G1507" s="113"/>
      <c r="H1507" s="113"/>
      <c r="I1507" s="113"/>
      <c r="J1507" s="113"/>
      <c r="K1507" s="197" t="str">
        <f t="shared" si="1228"/>
        <v>--</v>
      </c>
      <c r="L1507" s="197" t="str">
        <f t="shared" si="1228"/>
        <v>--</v>
      </c>
      <c r="M1507" s="197" t="str">
        <f t="shared" si="1228"/>
        <v>--</v>
      </c>
      <c r="N1507" s="197" t="str">
        <f t="shared" si="1228"/>
        <v>--</v>
      </c>
      <c r="O1507" s="197" t="str">
        <f t="shared" si="1228"/>
        <v>--</v>
      </c>
      <c r="P1507" s="197">
        <f t="shared" si="1228"/>
        <v>0.16666666666666652</v>
      </c>
    </row>
    <row r="1508" spans="1:171" ht="12.6" customHeight="1" x14ac:dyDescent="0.2">
      <c r="B1508" s="331" t="s">
        <v>551</v>
      </c>
      <c r="C1508" s="327"/>
      <c r="D1508" s="117"/>
      <c r="E1508" s="117"/>
      <c r="F1508" s="117"/>
      <c r="G1508" s="117"/>
      <c r="H1508" s="117"/>
      <c r="I1508" s="117"/>
      <c r="J1508" s="117"/>
      <c r="K1508" s="204" t="str">
        <f t="shared" si="1228"/>
        <v>--</v>
      </c>
      <c r="L1508" s="204" t="str">
        <f t="shared" si="1228"/>
        <v>--</v>
      </c>
      <c r="M1508" s="204" t="str">
        <f t="shared" si="1228"/>
        <v>--</v>
      </c>
      <c r="N1508" s="204">
        <f t="shared" si="1228"/>
        <v>1</v>
      </c>
      <c r="O1508" s="204">
        <f t="shared" si="1228"/>
        <v>0.71428571428571441</v>
      </c>
      <c r="P1508" s="204">
        <f t="shared" si="1228"/>
        <v>0.16666666666666652</v>
      </c>
    </row>
    <row r="1509" spans="1:171" ht="12.6" customHeight="1" x14ac:dyDescent="0.2">
      <c r="B1509" s="331"/>
      <c r="C1509" s="326"/>
      <c r="D1509" s="335"/>
      <c r="E1509" s="335"/>
      <c r="F1509" s="335"/>
      <c r="G1509" s="335"/>
      <c r="H1509" s="335"/>
      <c r="I1509" s="335"/>
      <c r="J1509" s="335"/>
      <c r="K1509" s="336"/>
      <c r="L1509" s="336"/>
      <c r="M1509" s="336"/>
      <c r="N1509" s="336"/>
      <c r="O1509" s="336"/>
      <c r="P1509" s="336"/>
    </row>
    <row r="1510" spans="1:171" ht="12.6" customHeight="1" x14ac:dyDescent="0.2">
      <c r="B1510" s="331" t="s">
        <v>287</v>
      </c>
      <c r="C1510" s="326"/>
      <c r="D1510" s="335"/>
      <c r="E1510" s="335"/>
      <c r="F1510" s="335"/>
      <c r="G1510" s="335"/>
      <c r="H1510" s="335"/>
      <c r="I1510" s="335"/>
      <c r="J1510" s="335"/>
      <c r="K1510" s="336"/>
      <c r="L1510" s="336"/>
      <c r="M1510" s="336"/>
      <c r="N1510" s="336"/>
      <c r="O1510" s="336"/>
      <c r="P1510" s="336"/>
    </row>
    <row r="1511" spans="1:171" ht="12.6" customHeight="1" x14ac:dyDescent="0.2">
      <c r="B1511" s="322" t="s">
        <v>563</v>
      </c>
      <c r="C1511" s="326"/>
      <c r="D1511" s="113"/>
      <c r="E1511" s="113"/>
      <c r="F1511" s="113"/>
      <c r="G1511" s="113"/>
      <c r="H1511" s="113"/>
      <c r="I1511" s="113"/>
      <c r="J1511" s="113"/>
      <c r="K1511" s="197">
        <f t="shared" ref="K1511:P1511" si="1229">1-K1512</f>
        <v>1</v>
      </c>
      <c r="L1511" s="197">
        <f t="shared" si="1229"/>
        <v>1</v>
      </c>
      <c r="M1511" s="197">
        <f t="shared" si="1229"/>
        <v>1</v>
      </c>
      <c r="N1511" s="197">
        <f t="shared" si="1229"/>
        <v>1</v>
      </c>
      <c r="O1511" s="197">
        <f t="shared" si="1229"/>
        <v>0.5</v>
      </c>
      <c r="P1511" s="197">
        <f t="shared" si="1229"/>
        <v>0.5</v>
      </c>
    </row>
    <row r="1512" spans="1:171" ht="12.6" customHeight="1" x14ac:dyDescent="0.2">
      <c r="B1512" s="359" t="s">
        <v>299</v>
      </c>
      <c r="C1512" s="327"/>
      <c r="D1512" s="117"/>
      <c r="E1512" s="117"/>
      <c r="F1512" s="117"/>
      <c r="G1512" s="117"/>
      <c r="H1512" s="117"/>
      <c r="I1512" s="117"/>
      <c r="J1512" s="117"/>
      <c r="K1512" s="360">
        <f>J1512</f>
        <v>0</v>
      </c>
      <c r="L1512" s="360">
        <f>K1512</f>
        <v>0</v>
      </c>
      <c r="M1512" s="360">
        <f>L1512</f>
        <v>0</v>
      </c>
      <c r="N1512" s="360">
        <f>M1512</f>
        <v>0</v>
      </c>
      <c r="O1512" s="360">
        <f>N1512+50%</f>
        <v>0.5</v>
      </c>
      <c r="P1512" s="360">
        <f>O1512</f>
        <v>0.5</v>
      </c>
    </row>
    <row r="1513" spans="1:171" ht="12.6" customHeight="1" x14ac:dyDescent="0.2">
      <c r="B1513" s="116"/>
      <c r="C1513" s="61"/>
      <c r="D1513" s="63"/>
      <c r="E1513" s="63"/>
      <c r="F1513" s="63"/>
      <c r="G1513" s="63"/>
      <c r="H1513" s="63"/>
      <c r="I1513" s="63"/>
      <c r="J1513" s="63"/>
      <c r="K1513" s="64"/>
      <c r="L1513" s="64"/>
      <c r="M1513" s="64"/>
      <c r="N1513" s="64"/>
      <c r="O1513" s="64"/>
      <c r="P1513" s="64"/>
    </row>
    <row r="1514" spans="1:171" ht="12.6" customHeight="1" x14ac:dyDescent="0.2">
      <c r="A1514" s="87"/>
      <c r="B1514" s="206"/>
      <c r="C1514" s="191"/>
      <c r="D1514" s="42"/>
      <c r="E1514" s="42"/>
      <c r="F1514" s="42"/>
      <c r="G1514" s="42"/>
      <c r="H1514" s="42"/>
      <c r="I1514" s="42"/>
      <c r="J1514" s="42"/>
      <c r="K1514" s="42"/>
      <c r="L1514" s="42"/>
      <c r="M1514" s="42"/>
      <c r="N1514" s="42"/>
      <c r="O1514" s="42"/>
      <c r="P1514" s="42"/>
      <c r="Q1514" s="87"/>
      <c r="R1514" s="87"/>
      <c r="S1514" s="87"/>
      <c r="T1514" s="87"/>
      <c r="U1514" s="87"/>
      <c r="V1514" s="87"/>
      <c r="W1514" s="87"/>
      <c r="X1514" s="87"/>
      <c r="Y1514" s="87"/>
      <c r="Z1514" s="87"/>
      <c r="AA1514" s="87"/>
      <c r="AB1514" s="87"/>
      <c r="AC1514" s="87"/>
      <c r="AD1514" s="87"/>
      <c r="AE1514" s="87"/>
      <c r="AF1514" s="87"/>
      <c r="AG1514" s="87"/>
      <c r="AH1514" s="87"/>
      <c r="AI1514" s="87"/>
      <c r="AJ1514" s="87"/>
      <c r="AK1514" s="87"/>
      <c r="AL1514" s="87"/>
      <c r="AM1514" s="87"/>
      <c r="AO1514" s="87"/>
      <c r="AP1514" s="87"/>
      <c r="AQ1514" s="87"/>
      <c r="AR1514" s="87"/>
      <c r="AS1514" s="87"/>
      <c r="AT1514" s="87"/>
      <c r="AU1514" s="87"/>
      <c r="AV1514" s="87"/>
      <c r="AW1514" s="87"/>
      <c r="AX1514" s="87"/>
      <c r="AY1514" s="87"/>
      <c r="BA1514" s="87"/>
      <c r="BB1514" s="87"/>
      <c r="BC1514" s="87"/>
      <c r="BD1514" s="87"/>
      <c r="BE1514" s="87"/>
      <c r="BF1514" s="87"/>
      <c r="BG1514" s="87"/>
      <c r="BH1514" s="87"/>
      <c r="BI1514" s="87"/>
      <c r="BJ1514" s="87"/>
      <c r="BK1514" s="87"/>
      <c r="BL1514" s="87"/>
      <c r="BM1514" s="87"/>
      <c r="BN1514" s="87"/>
      <c r="BP1514" s="87"/>
      <c r="BQ1514" s="87"/>
      <c r="BR1514" s="87"/>
      <c r="BS1514" s="87"/>
      <c r="BT1514" s="87"/>
      <c r="BU1514" s="87"/>
      <c r="BV1514" s="87"/>
      <c r="BW1514" s="87"/>
      <c r="BX1514" s="87"/>
      <c r="BY1514" s="87"/>
      <c r="BZ1514" s="87"/>
      <c r="CB1514" s="87"/>
      <c r="CC1514" s="87"/>
      <c r="CD1514" s="87"/>
      <c r="CE1514" s="87"/>
      <c r="CF1514" s="87"/>
      <c r="CG1514" s="87"/>
      <c r="CH1514" s="87"/>
      <c r="CI1514" s="87"/>
      <c r="CJ1514" s="87"/>
      <c r="CK1514" s="87"/>
      <c r="CL1514" s="87"/>
      <c r="CN1514" s="87"/>
      <c r="CO1514" s="87"/>
      <c r="CP1514" s="87"/>
      <c r="CQ1514" s="87"/>
      <c r="CR1514" s="87"/>
      <c r="CS1514" s="87"/>
      <c r="CT1514" s="87"/>
      <c r="CU1514" s="87"/>
      <c r="CV1514" s="87"/>
      <c r="CW1514" s="87"/>
      <c r="CX1514" s="87"/>
      <c r="CZ1514" s="87"/>
      <c r="DA1514" s="87"/>
      <c r="DB1514" s="87"/>
      <c r="DC1514" s="87"/>
      <c r="DD1514" s="87"/>
      <c r="DE1514" s="87"/>
      <c r="DF1514" s="87"/>
      <c r="DG1514" s="87"/>
      <c r="DH1514" s="87"/>
      <c r="DI1514" s="87"/>
      <c r="DJ1514" s="87"/>
      <c r="DL1514" s="87"/>
      <c r="DM1514" s="87"/>
      <c r="DN1514" s="87"/>
      <c r="DO1514" s="87"/>
      <c r="DP1514" s="87"/>
      <c r="DQ1514" s="87"/>
      <c r="DR1514" s="87"/>
      <c r="DS1514" s="87"/>
      <c r="DT1514" s="87"/>
      <c r="DU1514" s="87"/>
      <c r="DV1514" s="87"/>
      <c r="DX1514" s="87"/>
      <c r="DY1514" s="87"/>
      <c r="DZ1514" s="87"/>
      <c r="EA1514" s="87"/>
      <c r="EB1514" s="87"/>
      <c r="EC1514" s="87"/>
      <c r="ED1514" s="87"/>
      <c r="EE1514" s="87"/>
      <c r="EF1514" s="87"/>
      <c r="EG1514" s="87"/>
      <c r="EH1514" s="87"/>
      <c r="EJ1514" s="87"/>
      <c r="EK1514" s="87"/>
      <c r="EL1514" s="87"/>
      <c r="EM1514" s="87"/>
      <c r="EN1514" s="87"/>
      <c r="EO1514" s="87"/>
      <c r="EP1514" s="87"/>
      <c r="EQ1514" s="87"/>
      <c r="ER1514" s="87"/>
      <c r="ES1514" s="87"/>
      <c r="ET1514" s="87"/>
      <c r="EV1514" s="87"/>
      <c r="EW1514" s="87"/>
      <c r="EX1514" s="87"/>
      <c r="EY1514" s="87"/>
      <c r="EZ1514" s="87"/>
      <c r="FA1514" s="87"/>
      <c r="FB1514" s="87"/>
      <c r="FC1514" s="87"/>
      <c r="FD1514" s="87"/>
      <c r="FE1514" s="87"/>
      <c r="FF1514" s="87"/>
      <c r="FH1514" s="87"/>
      <c r="FI1514" s="87"/>
      <c r="FJ1514" s="87"/>
      <c r="FK1514" s="87"/>
      <c r="FL1514" s="87"/>
      <c r="FM1514" s="87"/>
      <c r="FN1514" s="87"/>
      <c r="FO1514" s="87"/>
    </row>
    <row r="1515" spans="1:171" ht="12.6" customHeight="1" x14ac:dyDescent="0.2">
      <c r="B1515" s="50" t="s">
        <v>2045</v>
      </c>
      <c r="C1515" s="50" t="s">
        <v>473</v>
      </c>
      <c r="D1515" s="163"/>
      <c r="E1515" s="163"/>
      <c r="F1515" s="163"/>
      <c r="G1515" s="51"/>
      <c r="H1515" s="51"/>
      <c r="I1515" s="51"/>
      <c r="J1515" s="51"/>
      <c r="K1515" s="54"/>
      <c r="L1515" s="54"/>
      <c r="M1515" s="54"/>
      <c r="N1515" s="54"/>
      <c r="O1515" s="54"/>
      <c r="P1515" s="54"/>
    </row>
    <row r="1516" spans="1:171" ht="12.6" customHeight="1" x14ac:dyDescent="0.2">
      <c r="B1516" s="61" t="s">
        <v>565</v>
      </c>
      <c r="C1516" s="61" t="s">
        <v>570</v>
      </c>
      <c r="D1516" s="63"/>
      <c r="E1516" s="63"/>
      <c r="F1516" s="311"/>
      <c r="G1516" s="301"/>
      <c r="H1516" s="301"/>
      <c r="I1516" s="301"/>
      <c r="J1516" s="301"/>
      <c r="K1516" s="302"/>
      <c r="L1516" s="302"/>
      <c r="M1516" s="302"/>
      <c r="N1516" s="302"/>
      <c r="O1516" s="302">
        <f>O1517*O1530</f>
        <v>772.1694895359376</v>
      </c>
      <c r="P1516" s="302">
        <f>P1517*P1530</f>
        <v>1559.782368862594</v>
      </c>
    </row>
    <row r="1517" spans="1:171" ht="12.6" customHeight="1" x14ac:dyDescent="0.2">
      <c r="B1517" s="59" t="s">
        <v>474</v>
      </c>
      <c r="C1517" s="61" t="s">
        <v>476</v>
      </c>
      <c r="D1517" s="57"/>
      <c r="E1517" s="57"/>
      <c r="F1517" s="57"/>
      <c r="G1517" s="57"/>
      <c r="H1517" s="57"/>
      <c r="I1517" s="57"/>
      <c r="J1517" s="288"/>
      <c r="K1517" s="303"/>
      <c r="L1517" s="303"/>
      <c r="M1517" s="303"/>
      <c r="N1517" s="303"/>
      <c r="O1517" s="303">
        <f>O1468</f>
        <v>257.38982984531253</v>
      </c>
      <c r="P1517" s="303">
        <f>P1468</f>
        <v>259.96372814376565</v>
      </c>
      <c r="U1517" s="144" t="s">
        <v>2043</v>
      </c>
      <c r="V1517" s="128"/>
    </row>
    <row r="1518" spans="1:171" ht="12.6" customHeight="1" x14ac:dyDescent="0.2">
      <c r="B1518" s="322" t="s">
        <v>227</v>
      </c>
      <c r="C1518" s="323" t="s">
        <v>477</v>
      </c>
      <c r="D1518" s="58"/>
      <c r="E1518" s="58"/>
      <c r="F1518" s="339"/>
      <c r="G1518" s="330"/>
      <c r="H1518" s="330"/>
      <c r="I1518" s="330"/>
      <c r="J1518" s="353"/>
      <c r="K1518" s="354"/>
      <c r="L1518" s="354"/>
      <c r="M1518" s="354"/>
      <c r="N1518" s="354">
        <v>0.05</v>
      </c>
      <c r="O1518" s="354">
        <v>0.05</v>
      </c>
      <c r="P1518" s="354">
        <v>0.01</v>
      </c>
      <c r="U1518" s="128" t="s">
        <v>1760</v>
      </c>
      <c r="V1518" s="128">
        <v>8322.5</v>
      </c>
    </row>
    <row r="1519" spans="1:171" ht="12.6" customHeight="1" x14ac:dyDescent="0.2">
      <c r="B1519" s="59"/>
      <c r="C1519" s="61"/>
      <c r="D1519" s="57"/>
      <c r="E1519" s="57"/>
      <c r="F1519" s="288"/>
      <c r="G1519" s="57"/>
      <c r="H1519" s="57"/>
      <c r="I1519" s="57"/>
      <c r="J1519" s="57"/>
      <c r="K1519" s="68"/>
      <c r="L1519" s="68"/>
      <c r="M1519" s="68"/>
      <c r="N1519" s="68"/>
      <c r="O1519" s="68"/>
      <c r="P1519" s="68"/>
      <c r="U1519" s="128" t="s">
        <v>1758</v>
      </c>
      <c r="V1519" s="128">
        <v>3701</v>
      </c>
    </row>
    <row r="1520" spans="1:171" ht="12.6" customHeight="1" x14ac:dyDescent="0.2">
      <c r="B1520" s="72" t="s">
        <v>303</v>
      </c>
      <c r="C1520" s="61" t="s">
        <v>4</v>
      </c>
      <c r="D1520" s="57"/>
      <c r="E1520" s="57"/>
      <c r="F1520" s="288"/>
      <c r="G1520" s="288"/>
      <c r="H1520" s="288"/>
      <c r="I1520" s="288"/>
      <c r="J1520" s="288"/>
      <c r="K1520" s="68">
        <f t="shared" ref="K1520:P1520" si="1230">K108</f>
        <v>0</v>
      </c>
      <c r="L1520" s="68">
        <f t="shared" si="1230"/>
        <v>0</v>
      </c>
      <c r="M1520" s="68">
        <f t="shared" si="1230"/>
        <v>0</v>
      </c>
      <c r="N1520" s="68">
        <f t="shared" si="1230"/>
        <v>0</v>
      </c>
      <c r="O1520" s="68">
        <f t="shared" si="1230"/>
        <v>12</v>
      </c>
      <c r="P1520" s="68">
        <f t="shared" si="1230"/>
        <v>12</v>
      </c>
      <c r="U1520" s="128" t="s">
        <v>2029</v>
      </c>
      <c r="V1520" s="128">
        <v>2700</v>
      </c>
    </row>
    <row r="1521" spans="2:22" ht="12.6" customHeight="1" x14ac:dyDescent="0.2">
      <c r="B1521" s="202" t="s">
        <v>555</v>
      </c>
      <c r="C1521" s="326" t="s">
        <v>4</v>
      </c>
      <c r="D1521" s="58"/>
      <c r="E1521" s="58"/>
      <c r="F1521" s="330"/>
      <c r="G1521" s="330"/>
      <c r="H1521" s="330"/>
      <c r="I1521" s="330"/>
      <c r="J1521" s="330"/>
      <c r="K1521" s="324"/>
      <c r="L1521" s="324"/>
      <c r="M1521" s="324">
        <v>0</v>
      </c>
      <c r="N1521" s="324">
        <v>0</v>
      </c>
      <c r="O1521" s="324">
        <v>0.25</v>
      </c>
      <c r="P1521" s="324">
        <v>0.5</v>
      </c>
      <c r="U1521" s="128" t="s">
        <v>1754</v>
      </c>
      <c r="V1521" s="1011">
        <f>V1519/V1520-1</f>
        <v>0.37074074074074082</v>
      </c>
    </row>
    <row r="1522" spans="2:22" ht="12.6" customHeight="1" x14ac:dyDescent="0.2">
      <c r="B1522" s="59"/>
      <c r="C1522" s="61"/>
      <c r="D1522" s="57"/>
      <c r="E1522" s="57"/>
      <c r="F1522" s="288"/>
      <c r="G1522" s="57"/>
      <c r="H1522" s="57"/>
      <c r="I1522" s="57"/>
      <c r="J1522" s="57"/>
      <c r="K1522" s="68"/>
      <c r="L1522" s="68"/>
      <c r="M1522" s="68"/>
      <c r="N1522" s="68"/>
      <c r="O1522" s="68"/>
      <c r="P1522" s="68"/>
      <c r="U1522" s="128" t="s">
        <v>1755</v>
      </c>
      <c r="V1522" s="453" t="s">
        <v>1756</v>
      </c>
    </row>
    <row r="1523" spans="2:22" ht="12.6" customHeight="1" x14ac:dyDescent="0.2">
      <c r="B1523" s="72" t="s">
        <v>489</v>
      </c>
      <c r="C1523" s="61"/>
      <c r="D1523" s="57"/>
      <c r="E1523" s="57"/>
      <c r="F1523" s="288"/>
      <c r="G1523" s="57"/>
      <c r="H1523" s="57"/>
      <c r="I1523" s="57"/>
      <c r="J1523" s="57"/>
      <c r="K1523" s="68"/>
      <c r="L1523" s="68"/>
      <c r="M1523" s="68"/>
      <c r="N1523" s="68"/>
      <c r="O1523" s="68"/>
      <c r="P1523" s="68"/>
      <c r="U1523" s="128" t="s">
        <v>2044</v>
      </c>
      <c r="V1523" s="1284">
        <v>12</v>
      </c>
    </row>
    <row r="1524" spans="2:22" ht="12.6" customHeight="1" x14ac:dyDescent="0.2">
      <c r="B1524" s="56" t="s">
        <v>279</v>
      </c>
      <c r="C1524" s="61"/>
      <c r="D1524" s="288"/>
      <c r="E1524" s="288"/>
      <c r="F1524" s="288"/>
      <c r="G1524" s="288"/>
      <c r="H1524" s="288"/>
      <c r="I1524" s="288"/>
      <c r="J1524" s="288"/>
      <c r="K1524" s="303">
        <f t="shared" ref="K1524:P1529" si="1231">J1524*(1+K1533)</f>
        <v>0</v>
      </c>
      <c r="L1524" s="303">
        <f t="shared" si="1231"/>
        <v>0</v>
      </c>
      <c r="M1524" s="303">
        <f t="shared" si="1231"/>
        <v>0</v>
      </c>
      <c r="N1524" s="303">
        <f t="shared" si="1231"/>
        <v>0</v>
      </c>
      <c r="O1524" s="303">
        <f t="shared" si="1231"/>
        <v>0</v>
      </c>
      <c r="P1524" s="303">
        <f t="shared" si="1231"/>
        <v>0</v>
      </c>
      <c r="U1524" s="128"/>
      <c r="V1524" s="453"/>
    </row>
    <row r="1525" spans="2:22" ht="12.6" customHeight="1" x14ac:dyDescent="0.2">
      <c r="B1525" s="56" t="s">
        <v>280</v>
      </c>
      <c r="C1525" s="61"/>
      <c r="D1525" s="288"/>
      <c r="E1525" s="288"/>
      <c r="F1525" s="288"/>
      <c r="G1525" s="288"/>
      <c r="H1525" s="288"/>
      <c r="I1525" s="288"/>
      <c r="J1525" s="288"/>
      <c r="K1525" s="303">
        <f t="shared" si="1231"/>
        <v>0</v>
      </c>
      <c r="L1525" s="303">
        <f t="shared" si="1231"/>
        <v>0</v>
      </c>
      <c r="M1525" s="303">
        <f t="shared" si="1231"/>
        <v>0</v>
      </c>
      <c r="N1525" s="303">
        <f t="shared" si="1231"/>
        <v>0</v>
      </c>
      <c r="O1525" s="303">
        <f t="shared" si="1231"/>
        <v>0</v>
      </c>
      <c r="P1525" s="303">
        <f t="shared" si="1231"/>
        <v>0</v>
      </c>
      <c r="U1525" s="144" t="s">
        <v>2037</v>
      </c>
      <c r="V1525" s="453"/>
    </row>
    <row r="1526" spans="2:22" ht="12.6" customHeight="1" x14ac:dyDescent="0.2">
      <c r="B1526" s="56" t="s">
        <v>281</v>
      </c>
      <c r="C1526" s="61"/>
      <c r="D1526" s="288"/>
      <c r="E1526" s="288"/>
      <c r="F1526" s="288"/>
      <c r="G1526" s="288"/>
      <c r="H1526" s="288"/>
      <c r="I1526" s="288"/>
      <c r="J1526" s="288"/>
      <c r="K1526" s="303">
        <f t="shared" si="1231"/>
        <v>0</v>
      </c>
      <c r="L1526" s="303">
        <f t="shared" si="1231"/>
        <v>0</v>
      </c>
      <c r="M1526" s="303">
        <f t="shared" si="1231"/>
        <v>0</v>
      </c>
      <c r="N1526" s="303">
        <f t="shared" si="1231"/>
        <v>0</v>
      </c>
      <c r="O1526" s="303">
        <f t="shared" si="1231"/>
        <v>0</v>
      </c>
      <c r="P1526" s="303">
        <f t="shared" si="1231"/>
        <v>0</v>
      </c>
      <c r="U1526" s="128" t="s">
        <v>2030</v>
      </c>
      <c r="V1526" s="128">
        <v>407400</v>
      </c>
    </row>
    <row r="1527" spans="2:22" ht="12.6" customHeight="1" x14ac:dyDescent="0.2">
      <c r="B1527" s="56" t="s">
        <v>282</v>
      </c>
      <c r="C1527" s="61"/>
      <c r="D1527" s="288"/>
      <c r="E1527" s="288"/>
      <c r="F1527" s="288"/>
      <c r="G1527" s="288"/>
      <c r="H1527" s="288"/>
      <c r="I1527" s="288"/>
      <c r="J1527" s="288"/>
      <c r="K1527" s="303">
        <f t="shared" si="1231"/>
        <v>0</v>
      </c>
      <c r="L1527" s="303">
        <f t="shared" si="1231"/>
        <v>0</v>
      </c>
      <c r="M1527" s="303">
        <f t="shared" si="1231"/>
        <v>0</v>
      </c>
      <c r="N1527" s="303">
        <f t="shared" si="1231"/>
        <v>0</v>
      </c>
      <c r="O1527" s="303">
        <f t="shared" si="1231"/>
        <v>0</v>
      </c>
      <c r="P1527" s="303">
        <f t="shared" si="1231"/>
        <v>0</v>
      </c>
      <c r="U1527" s="128" t="s">
        <v>2031</v>
      </c>
      <c r="V1527" s="146" t="s">
        <v>2032</v>
      </c>
    </row>
    <row r="1528" spans="2:22" ht="12.6" customHeight="1" x14ac:dyDescent="0.2">
      <c r="B1528" s="56" t="s">
        <v>283</v>
      </c>
      <c r="C1528" s="61"/>
      <c r="D1528" s="288"/>
      <c r="E1528" s="288"/>
      <c r="F1528" s="288"/>
      <c r="G1528" s="288"/>
      <c r="H1528" s="288"/>
      <c r="I1528" s="288"/>
      <c r="J1528" s="288"/>
      <c r="K1528" s="303">
        <f t="shared" si="1231"/>
        <v>0</v>
      </c>
      <c r="L1528" s="303">
        <f t="shared" si="1231"/>
        <v>0</v>
      </c>
      <c r="M1528" s="303">
        <f t="shared" si="1231"/>
        <v>0</v>
      </c>
      <c r="N1528" s="303">
        <f t="shared" si="1231"/>
        <v>0</v>
      </c>
      <c r="O1528" s="303">
        <f>O1520*O1521</f>
        <v>3</v>
      </c>
      <c r="P1528" s="303">
        <f>P1520*P1521</f>
        <v>6</v>
      </c>
      <c r="U1528" s="128"/>
      <c r="V1528" s="146"/>
    </row>
    <row r="1529" spans="2:22" ht="12.6" customHeight="1" x14ac:dyDescent="0.2">
      <c r="B1529" s="56" t="s">
        <v>284</v>
      </c>
      <c r="C1529" s="61"/>
      <c r="D1529" s="288"/>
      <c r="E1529" s="288"/>
      <c r="F1529" s="288"/>
      <c r="G1529" s="288"/>
      <c r="H1529" s="288"/>
      <c r="I1529" s="288"/>
      <c r="J1529" s="288"/>
      <c r="K1529" s="303">
        <f t="shared" si="1231"/>
        <v>0</v>
      </c>
      <c r="L1529" s="303">
        <f t="shared" si="1231"/>
        <v>0</v>
      </c>
      <c r="M1529" s="303">
        <f t="shared" si="1231"/>
        <v>0</v>
      </c>
      <c r="N1529" s="303">
        <f t="shared" si="1231"/>
        <v>0</v>
      </c>
      <c r="O1529" s="303">
        <f t="shared" si="1231"/>
        <v>0</v>
      </c>
      <c r="P1529" s="303">
        <f t="shared" si="1231"/>
        <v>0</v>
      </c>
      <c r="U1529" s="144" t="s">
        <v>2036</v>
      </c>
      <c r="V1529" s="146"/>
    </row>
    <row r="1530" spans="2:22" ht="12.6" customHeight="1" x14ac:dyDescent="0.2">
      <c r="B1530" s="72" t="s">
        <v>551</v>
      </c>
      <c r="C1530" s="95"/>
      <c r="D1530" s="63"/>
      <c r="E1530" s="63"/>
      <c r="F1530" s="63"/>
      <c r="G1530" s="63"/>
      <c r="H1530" s="63"/>
      <c r="I1530" s="63"/>
      <c r="J1530" s="63"/>
      <c r="K1530" s="64">
        <f t="shared" ref="K1530:N1530" ca="1" si="1232">J1530*(1+K1539)</f>
        <v>0</v>
      </c>
      <c r="L1530" s="64">
        <f t="shared" ca="1" si="1232"/>
        <v>0</v>
      </c>
      <c r="M1530" s="64">
        <f t="shared" ca="1" si="1232"/>
        <v>0</v>
      </c>
      <c r="N1530" s="64">
        <f t="shared" ca="1" si="1232"/>
        <v>0</v>
      </c>
      <c r="O1530" s="64">
        <f>SUM(O1524:O1529)</f>
        <v>3</v>
      </c>
      <c r="P1530" s="64">
        <f>SUM(P1524:P1529)</f>
        <v>6</v>
      </c>
      <c r="U1530" s="128" t="s">
        <v>2033</v>
      </c>
      <c r="V1530" s="128">
        <v>522830</v>
      </c>
    </row>
    <row r="1531" spans="2:22" ht="12.6" customHeight="1" x14ac:dyDescent="0.2">
      <c r="B1531" s="72"/>
      <c r="C1531" s="95"/>
      <c r="D1531" s="63"/>
      <c r="E1531" s="63"/>
      <c r="F1531" s="63"/>
      <c r="G1531" s="63"/>
      <c r="H1531" s="63"/>
      <c r="I1531" s="63"/>
      <c r="J1531" s="63"/>
      <c r="K1531" s="64"/>
      <c r="L1531" s="64"/>
      <c r="M1531" s="64"/>
      <c r="N1531" s="64"/>
      <c r="O1531" s="64"/>
      <c r="P1531" s="64"/>
      <c r="U1531" s="128" t="s">
        <v>2034</v>
      </c>
      <c r="V1531" s="146" t="s">
        <v>2035</v>
      </c>
    </row>
    <row r="1532" spans="2:22" ht="12.6" customHeight="1" x14ac:dyDescent="0.2">
      <c r="B1532" s="116" t="s">
        <v>227</v>
      </c>
      <c r="C1532" s="61"/>
      <c r="D1532" s="63"/>
      <c r="E1532" s="63"/>
      <c r="F1532" s="63"/>
      <c r="G1532" s="63"/>
      <c r="H1532" s="63"/>
      <c r="I1532" s="63"/>
      <c r="J1532" s="63"/>
      <c r="K1532" s="68"/>
      <c r="L1532" s="68"/>
      <c r="M1532" s="68"/>
      <c r="N1532" s="68"/>
      <c r="O1532" s="68"/>
      <c r="P1532" s="68"/>
      <c r="U1532" s="128"/>
      <c r="V1532" s="128"/>
    </row>
    <row r="1533" spans="2:22" ht="12.6" customHeight="1" x14ac:dyDescent="0.2">
      <c r="B1533" s="322" t="s">
        <v>279</v>
      </c>
      <c r="C1533" s="355"/>
      <c r="D1533" s="113"/>
      <c r="E1533" s="113"/>
      <c r="F1533" s="113"/>
      <c r="G1533" s="113"/>
      <c r="H1533" s="113"/>
      <c r="I1533" s="113"/>
      <c r="J1533" s="113"/>
      <c r="K1533" s="356">
        <v>0</v>
      </c>
      <c r="L1533" s="356">
        <v>0</v>
      </c>
      <c r="M1533" s="356">
        <v>0</v>
      </c>
      <c r="N1533" s="356">
        <v>0</v>
      </c>
      <c r="O1533" s="356">
        <v>0</v>
      </c>
      <c r="P1533" s="356">
        <v>0</v>
      </c>
      <c r="U1533" s="144" t="s">
        <v>2040</v>
      </c>
      <c r="V1533" s="128"/>
    </row>
    <row r="1534" spans="2:22" ht="12.6" customHeight="1" x14ac:dyDescent="0.2">
      <c r="B1534" s="322" t="s">
        <v>280</v>
      </c>
      <c r="C1534" s="355"/>
      <c r="D1534" s="113"/>
      <c r="E1534" s="113"/>
      <c r="F1534" s="113"/>
      <c r="G1534" s="113"/>
      <c r="H1534" s="113"/>
      <c r="I1534" s="113"/>
      <c r="J1534" s="113"/>
      <c r="K1534" s="356">
        <v>0.05</v>
      </c>
      <c r="L1534" s="356">
        <v>0.05</v>
      </c>
      <c r="M1534" s="356">
        <v>0.05</v>
      </c>
      <c r="N1534" s="356">
        <v>0.05</v>
      </c>
      <c r="O1534" s="356">
        <v>0.05</v>
      </c>
      <c r="P1534" s="356">
        <v>0.05</v>
      </c>
      <c r="U1534" s="128" t="s">
        <v>2038</v>
      </c>
      <c r="V1534" s="128">
        <v>6013</v>
      </c>
    </row>
    <row r="1535" spans="2:22" ht="12.6" customHeight="1" x14ac:dyDescent="0.2">
      <c r="B1535" s="322" t="s">
        <v>281</v>
      </c>
      <c r="C1535" s="355"/>
      <c r="D1535" s="113"/>
      <c r="E1535" s="113"/>
      <c r="F1535" s="113"/>
      <c r="G1535" s="113"/>
      <c r="H1535" s="113"/>
      <c r="I1535" s="113"/>
      <c r="J1535" s="113"/>
      <c r="K1535" s="356">
        <v>0</v>
      </c>
      <c r="L1535" s="356">
        <v>0</v>
      </c>
      <c r="M1535" s="356">
        <v>0</v>
      </c>
      <c r="N1535" s="356">
        <v>0</v>
      </c>
      <c r="O1535" s="356">
        <v>0</v>
      </c>
      <c r="P1535" s="356">
        <v>0</v>
      </c>
      <c r="U1535" s="128" t="s">
        <v>2039</v>
      </c>
      <c r="V1535" s="128">
        <v>3851</v>
      </c>
    </row>
    <row r="1536" spans="2:22" ht="12.6" customHeight="1" x14ac:dyDescent="0.2">
      <c r="B1536" s="322" t="s">
        <v>282</v>
      </c>
      <c r="C1536" s="355"/>
      <c r="D1536" s="113"/>
      <c r="E1536" s="113"/>
      <c r="F1536" s="113"/>
      <c r="G1536" s="113"/>
      <c r="H1536" s="113"/>
      <c r="I1536" s="113"/>
      <c r="J1536" s="113"/>
      <c r="K1536" s="356">
        <v>0</v>
      </c>
      <c r="L1536" s="356">
        <v>0</v>
      </c>
      <c r="M1536" s="356">
        <v>0</v>
      </c>
      <c r="N1536" s="356">
        <v>0</v>
      </c>
      <c r="O1536" s="356">
        <v>0</v>
      </c>
      <c r="P1536" s="356">
        <v>0</v>
      </c>
    </row>
    <row r="1537" spans="2:16" ht="12.6" customHeight="1" x14ac:dyDescent="0.2">
      <c r="B1537" s="322" t="s">
        <v>283</v>
      </c>
      <c r="C1537" s="355"/>
      <c r="D1537" s="113"/>
      <c r="E1537" s="113"/>
      <c r="F1537" s="113"/>
      <c r="G1537" s="113"/>
      <c r="H1537" s="113"/>
      <c r="I1537" s="113"/>
      <c r="J1537" s="113"/>
      <c r="K1537" s="356">
        <v>0.05</v>
      </c>
      <c r="L1537" s="356">
        <v>0.05</v>
      </c>
      <c r="M1537" s="356">
        <v>0.05</v>
      </c>
      <c r="N1537" s="356">
        <v>0.05</v>
      </c>
      <c r="O1537" s="356">
        <v>0.05</v>
      </c>
      <c r="P1537" s="356">
        <v>0.05</v>
      </c>
    </row>
    <row r="1538" spans="2:16" ht="12.6" customHeight="1" x14ac:dyDescent="0.2">
      <c r="B1538" s="322" t="s">
        <v>284</v>
      </c>
      <c r="C1538" s="355"/>
      <c r="D1538" s="113"/>
      <c r="E1538" s="113"/>
      <c r="F1538" s="113"/>
      <c r="G1538" s="113"/>
      <c r="H1538" s="113"/>
      <c r="I1538" s="113"/>
      <c r="J1538" s="113"/>
      <c r="K1538" s="356">
        <v>0</v>
      </c>
      <c r="L1538" s="356">
        <v>0</v>
      </c>
      <c r="M1538" s="356">
        <v>0</v>
      </c>
      <c r="N1538" s="356">
        <v>0</v>
      </c>
      <c r="O1538" s="356">
        <v>0</v>
      </c>
      <c r="P1538" s="356">
        <v>0</v>
      </c>
    </row>
    <row r="1539" spans="2:16" ht="12.6" customHeight="1" x14ac:dyDescent="0.2">
      <c r="B1539" s="331" t="s">
        <v>551</v>
      </c>
      <c r="C1539" s="358"/>
      <c r="D1539" s="117"/>
      <c r="E1539" s="117"/>
      <c r="F1539" s="117"/>
      <c r="G1539" s="117"/>
      <c r="H1539" s="117"/>
      <c r="I1539" s="117"/>
      <c r="J1539" s="117"/>
      <c r="K1539" s="204">
        <f t="shared" ref="K1539:P1539" ca="1" si="1233">IFERROR(K1530/J1530-1,0)</f>
        <v>0</v>
      </c>
      <c r="L1539" s="204">
        <f t="shared" ca="1" si="1233"/>
        <v>0</v>
      </c>
      <c r="M1539" s="204">
        <f t="shared" ca="1" si="1233"/>
        <v>0</v>
      </c>
      <c r="N1539" s="204">
        <f t="shared" ca="1" si="1233"/>
        <v>0</v>
      </c>
      <c r="O1539" s="204">
        <f t="shared" ca="1" si="1233"/>
        <v>0</v>
      </c>
      <c r="P1539" s="204">
        <f t="shared" si="1233"/>
        <v>1</v>
      </c>
    </row>
    <row r="1540" spans="2:16" ht="12.6" customHeight="1" x14ac:dyDescent="0.2">
      <c r="B1540" s="201"/>
      <c r="C1540" s="326"/>
      <c r="D1540" s="335"/>
      <c r="E1540" s="335"/>
      <c r="F1540" s="335"/>
      <c r="G1540" s="335"/>
      <c r="H1540" s="335"/>
      <c r="I1540" s="335"/>
      <c r="J1540" s="335"/>
      <c r="K1540" s="357"/>
      <c r="L1540" s="357"/>
      <c r="M1540" s="357"/>
      <c r="N1540" s="357"/>
      <c r="O1540" s="357"/>
      <c r="P1540" s="357"/>
    </row>
    <row r="1541" spans="2:16" ht="12.6" customHeight="1" x14ac:dyDescent="0.2">
      <c r="B1541" s="331" t="s">
        <v>287</v>
      </c>
      <c r="C1541" s="326"/>
      <c r="D1541" s="335"/>
      <c r="E1541" s="335"/>
      <c r="F1541" s="335"/>
      <c r="G1541" s="335"/>
      <c r="H1541" s="335"/>
      <c r="I1541" s="335"/>
      <c r="J1541" s="335"/>
      <c r="K1541" s="357"/>
      <c r="L1541" s="357"/>
      <c r="M1541" s="357"/>
      <c r="N1541" s="357"/>
      <c r="O1541" s="357"/>
      <c r="P1541" s="357"/>
    </row>
    <row r="1542" spans="2:16" ht="12.6" customHeight="1" x14ac:dyDescent="0.2">
      <c r="B1542" s="322" t="s">
        <v>279</v>
      </c>
      <c r="C1542" s="326"/>
      <c r="D1542" s="113"/>
      <c r="E1542" s="113"/>
      <c r="F1542" s="113"/>
      <c r="G1542" s="113"/>
      <c r="H1542" s="113"/>
      <c r="I1542" s="113"/>
      <c r="J1542" s="113"/>
      <c r="K1542" s="197" t="str">
        <f t="shared" ref="K1542:P1542" si="1234">IFERROR(K1524/K$1335,"--")</f>
        <v>--</v>
      </c>
      <c r="L1542" s="197" t="str">
        <f t="shared" si="1234"/>
        <v>--</v>
      </c>
      <c r="M1542" s="197" t="str">
        <f t="shared" si="1234"/>
        <v>--</v>
      </c>
      <c r="N1542" s="197" t="str">
        <f t="shared" si="1234"/>
        <v>--</v>
      </c>
      <c r="O1542" s="197" t="str">
        <f t="shared" si="1234"/>
        <v>--</v>
      </c>
      <c r="P1542" s="197" t="str">
        <f t="shared" si="1234"/>
        <v>--</v>
      </c>
    </row>
    <row r="1543" spans="2:16" ht="12.6" customHeight="1" x14ac:dyDescent="0.2">
      <c r="B1543" s="322" t="s">
        <v>280</v>
      </c>
      <c r="C1543" s="326"/>
      <c r="D1543" s="113"/>
      <c r="E1543" s="113"/>
      <c r="F1543" s="113"/>
      <c r="G1543" s="113"/>
      <c r="H1543" s="113"/>
      <c r="I1543" s="113"/>
      <c r="J1543" s="113"/>
      <c r="K1543" s="197" t="str">
        <f t="shared" ref="K1543:P1543" si="1235">IFERROR(K1525/K$1335,"--")</f>
        <v>--</v>
      </c>
      <c r="L1543" s="197" t="str">
        <f t="shared" si="1235"/>
        <v>--</v>
      </c>
      <c r="M1543" s="197" t="str">
        <f t="shared" si="1235"/>
        <v>--</v>
      </c>
      <c r="N1543" s="197" t="str">
        <f t="shared" si="1235"/>
        <v>--</v>
      </c>
      <c r="O1543" s="197" t="str">
        <f t="shared" si="1235"/>
        <v>--</v>
      </c>
      <c r="P1543" s="197" t="str">
        <f t="shared" si="1235"/>
        <v>--</v>
      </c>
    </row>
    <row r="1544" spans="2:16" ht="12.6" customHeight="1" x14ac:dyDescent="0.2">
      <c r="B1544" s="322" t="s">
        <v>281</v>
      </c>
      <c r="C1544" s="326"/>
      <c r="D1544" s="113"/>
      <c r="E1544" s="113"/>
      <c r="F1544" s="113"/>
      <c r="G1544" s="113"/>
      <c r="H1544" s="113"/>
      <c r="I1544" s="113"/>
      <c r="J1544" s="113"/>
      <c r="K1544" s="197" t="str">
        <f t="shared" ref="K1544:P1544" si="1236">IFERROR(K1526/K$1335,"--")</f>
        <v>--</v>
      </c>
      <c r="L1544" s="197" t="str">
        <f t="shared" si="1236"/>
        <v>--</v>
      </c>
      <c r="M1544" s="197" t="str">
        <f t="shared" si="1236"/>
        <v>--</v>
      </c>
      <c r="N1544" s="197" t="str">
        <f t="shared" si="1236"/>
        <v>--</v>
      </c>
      <c r="O1544" s="197" t="str">
        <f t="shared" si="1236"/>
        <v>--</v>
      </c>
      <c r="P1544" s="197" t="str">
        <f t="shared" si="1236"/>
        <v>--</v>
      </c>
    </row>
    <row r="1545" spans="2:16" ht="12.6" customHeight="1" x14ac:dyDescent="0.2">
      <c r="B1545" s="322" t="s">
        <v>282</v>
      </c>
      <c r="C1545" s="326"/>
      <c r="D1545" s="113"/>
      <c r="E1545" s="113"/>
      <c r="F1545" s="113"/>
      <c r="G1545" s="113"/>
      <c r="H1545" s="113"/>
      <c r="I1545" s="113"/>
      <c r="J1545" s="113"/>
      <c r="K1545" s="197" t="str">
        <f t="shared" ref="K1545:P1545" si="1237">IFERROR(K1527/K$1335,"--")</f>
        <v>--</v>
      </c>
      <c r="L1545" s="197" t="str">
        <f t="shared" si="1237"/>
        <v>--</v>
      </c>
      <c r="M1545" s="197" t="str">
        <f t="shared" si="1237"/>
        <v>--</v>
      </c>
      <c r="N1545" s="197" t="str">
        <f t="shared" si="1237"/>
        <v>--</v>
      </c>
      <c r="O1545" s="197" t="str">
        <f t="shared" si="1237"/>
        <v>--</v>
      </c>
      <c r="P1545" s="197" t="str">
        <f t="shared" si="1237"/>
        <v>--</v>
      </c>
    </row>
    <row r="1546" spans="2:16" ht="12.6" customHeight="1" x14ac:dyDescent="0.2">
      <c r="B1546" s="322" t="s">
        <v>283</v>
      </c>
      <c r="C1546" s="326"/>
      <c r="D1546" s="113"/>
      <c r="E1546" s="113"/>
      <c r="F1546" s="113"/>
      <c r="G1546" s="113"/>
      <c r="H1546" s="113"/>
      <c r="I1546" s="113"/>
      <c r="J1546" s="113"/>
      <c r="K1546" s="197" t="str">
        <f t="shared" ref="K1546:P1546" si="1238">IFERROR(K1528/K$1335,"--")</f>
        <v>--</v>
      </c>
      <c r="L1546" s="197" t="str">
        <f t="shared" si="1238"/>
        <v>--</v>
      </c>
      <c r="M1546" s="197" t="str">
        <f t="shared" si="1238"/>
        <v>--</v>
      </c>
      <c r="N1546" s="197" t="str">
        <f t="shared" si="1238"/>
        <v>--</v>
      </c>
      <c r="O1546" s="197" t="str">
        <f t="shared" si="1238"/>
        <v>--</v>
      </c>
      <c r="P1546" s="197" t="str">
        <f t="shared" si="1238"/>
        <v>--</v>
      </c>
    </row>
    <row r="1547" spans="2:16" ht="12.6" customHeight="1" x14ac:dyDescent="0.2">
      <c r="B1547" s="322" t="s">
        <v>284</v>
      </c>
      <c r="C1547" s="326"/>
      <c r="D1547" s="113"/>
      <c r="E1547" s="113"/>
      <c r="F1547" s="113"/>
      <c r="G1547" s="113"/>
      <c r="H1547" s="113"/>
      <c r="I1547" s="113"/>
      <c r="J1547" s="113"/>
      <c r="K1547" s="197" t="str">
        <f t="shared" ref="K1547:P1547" si="1239">IFERROR(K1529/K$1335,"--")</f>
        <v>--</v>
      </c>
      <c r="L1547" s="197" t="str">
        <f t="shared" si="1239"/>
        <v>--</v>
      </c>
      <c r="M1547" s="197" t="str">
        <f t="shared" si="1239"/>
        <v>--</v>
      </c>
      <c r="N1547" s="197" t="str">
        <f t="shared" si="1239"/>
        <v>--</v>
      </c>
      <c r="O1547" s="197" t="str">
        <f t="shared" si="1239"/>
        <v>--</v>
      </c>
      <c r="P1547" s="197" t="str">
        <f t="shared" si="1239"/>
        <v>--</v>
      </c>
    </row>
    <row r="1548" spans="2:16" ht="12.6" customHeight="1" x14ac:dyDescent="0.2">
      <c r="B1548" s="359" t="s">
        <v>551</v>
      </c>
      <c r="C1548" s="327"/>
      <c r="D1548" s="117"/>
      <c r="E1548" s="117"/>
      <c r="F1548" s="117"/>
      <c r="G1548" s="117"/>
      <c r="H1548" s="117"/>
      <c r="I1548" s="117"/>
      <c r="J1548" s="117"/>
      <c r="K1548" s="204" t="str">
        <f t="shared" ref="K1548:P1548" ca="1" si="1240">IFERROR(K1530/K$1335,"--")</f>
        <v>--</v>
      </c>
      <c r="L1548" s="204" t="str">
        <f t="shared" ca="1" si="1240"/>
        <v>--</v>
      </c>
      <c r="M1548" s="204" t="str">
        <f t="shared" ca="1" si="1240"/>
        <v>--</v>
      </c>
      <c r="N1548" s="204" t="str">
        <f t="shared" ca="1" si="1240"/>
        <v>--</v>
      </c>
      <c r="O1548" s="204" t="str">
        <f t="shared" si="1240"/>
        <v>--</v>
      </c>
      <c r="P1548" s="204" t="str">
        <f t="shared" si="1240"/>
        <v>--</v>
      </c>
    </row>
    <row r="1549" spans="2:16" ht="12.6" customHeight="1" x14ac:dyDescent="0.2">
      <c r="B1549" s="56"/>
      <c r="C1549" s="61"/>
      <c r="D1549" s="57"/>
      <c r="E1549" s="57"/>
      <c r="F1549" s="57"/>
      <c r="G1549" s="57"/>
      <c r="H1549" s="57"/>
      <c r="I1549" s="57"/>
      <c r="J1549" s="57"/>
      <c r="K1549" s="68"/>
      <c r="L1549" s="68"/>
      <c r="M1549" s="68"/>
      <c r="N1549" s="68"/>
      <c r="O1549" s="68"/>
      <c r="P1549" s="68"/>
    </row>
    <row r="1550" spans="2:16" ht="12.6" customHeight="1" x14ac:dyDescent="0.2">
      <c r="B1550" s="56" t="s">
        <v>563</v>
      </c>
      <c r="C1550" s="61" t="s">
        <v>566</v>
      </c>
      <c r="D1550" s="57"/>
      <c r="E1550" s="57"/>
      <c r="F1550" s="57"/>
      <c r="G1550" s="57"/>
      <c r="H1550" s="57"/>
      <c r="I1550" s="57"/>
      <c r="J1550" s="57"/>
      <c r="K1550" s="68">
        <f t="shared" ref="K1550:P1550" ca="1" si="1241">K1552-K1551</f>
        <v>0</v>
      </c>
      <c r="L1550" s="68">
        <f t="shared" ca="1" si="1241"/>
        <v>0</v>
      </c>
      <c r="M1550" s="68">
        <f t="shared" ca="1" si="1241"/>
        <v>0</v>
      </c>
      <c r="N1550" s="68">
        <f t="shared" ca="1" si="1241"/>
        <v>0</v>
      </c>
      <c r="O1550" s="68">
        <f t="shared" si="1241"/>
        <v>0</v>
      </c>
      <c r="P1550" s="68">
        <f t="shared" si="1241"/>
        <v>0</v>
      </c>
    </row>
    <row r="1551" spans="2:16" ht="12.6" customHeight="1" x14ac:dyDescent="0.2">
      <c r="B1551" s="56" t="s">
        <v>299</v>
      </c>
      <c r="C1551" s="61" t="s">
        <v>566</v>
      </c>
      <c r="D1551" s="57"/>
      <c r="E1551" s="57"/>
      <c r="F1551" s="57"/>
      <c r="G1551" s="57"/>
      <c r="H1551" s="57"/>
      <c r="I1551" s="57"/>
      <c r="J1551" s="57"/>
      <c r="K1551" s="68">
        <f t="shared" ref="K1551:P1551" ca="1" si="1242">K1552*K1561</f>
        <v>0</v>
      </c>
      <c r="L1551" s="68">
        <f t="shared" ca="1" si="1242"/>
        <v>0</v>
      </c>
      <c r="M1551" s="68">
        <f t="shared" ca="1" si="1242"/>
        <v>0</v>
      </c>
      <c r="N1551" s="68">
        <f t="shared" ca="1" si="1242"/>
        <v>0</v>
      </c>
      <c r="O1551" s="68">
        <f t="shared" si="1242"/>
        <v>3</v>
      </c>
      <c r="P1551" s="68">
        <f t="shared" si="1242"/>
        <v>6</v>
      </c>
    </row>
    <row r="1552" spans="2:16" ht="12.6" customHeight="1" x14ac:dyDescent="0.2">
      <c r="B1552" s="72" t="s">
        <v>551</v>
      </c>
      <c r="C1552" s="61"/>
      <c r="D1552" s="63"/>
      <c r="E1552" s="63"/>
      <c r="F1552" s="63"/>
      <c r="G1552" s="63"/>
      <c r="H1552" s="63"/>
      <c r="I1552" s="63"/>
      <c r="J1552" s="63"/>
      <c r="K1552" s="64">
        <f t="shared" ref="K1552:P1552" ca="1" si="1243">K1530</f>
        <v>0</v>
      </c>
      <c r="L1552" s="64">
        <f t="shared" ca="1" si="1243"/>
        <v>0</v>
      </c>
      <c r="M1552" s="64">
        <f t="shared" ca="1" si="1243"/>
        <v>0</v>
      </c>
      <c r="N1552" s="64">
        <f t="shared" ca="1" si="1243"/>
        <v>0</v>
      </c>
      <c r="O1552" s="64">
        <f t="shared" si="1243"/>
        <v>3</v>
      </c>
      <c r="P1552" s="64">
        <f t="shared" si="1243"/>
        <v>6</v>
      </c>
    </row>
    <row r="1553" spans="2:16" ht="12.6" customHeight="1" x14ac:dyDescent="0.2">
      <c r="B1553" s="72"/>
      <c r="C1553" s="61"/>
      <c r="D1553" s="63"/>
      <c r="E1553" s="63"/>
      <c r="F1553" s="63"/>
      <c r="G1553" s="63"/>
      <c r="H1553" s="63"/>
      <c r="I1553" s="63"/>
      <c r="J1553" s="63"/>
      <c r="K1553" s="64"/>
      <c r="L1553" s="64"/>
      <c r="M1553" s="64"/>
      <c r="N1553" s="64"/>
      <c r="O1553" s="64"/>
      <c r="P1553" s="64"/>
    </row>
    <row r="1554" spans="2:16" ht="12.6" customHeight="1" x14ac:dyDescent="0.2">
      <c r="B1554" s="331" t="s">
        <v>227</v>
      </c>
      <c r="C1554" s="326"/>
      <c r="D1554" s="335"/>
      <c r="E1554" s="335"/>
      <c r="F1554" s="335"/>
      <c r="G1554" s="335"/>
      <c r="H1554" s="335"/>
      <c r="I1554" s="335"/>
      <c r="J1554" s="335"/>
      <c r="K1554" s="336"/>
      <c r="L1554" s="336"/>
      <c r="M1554" s="336"/>
      <c r="N1554" s="336"/>
      <c r="O1554" s="336"/>
      <c r="P1554" s="336"/>
    </row>
    <row r="1555" spans="2:16" ht="12.6" customHeight="1" x14ac:dyDescent="0.2">
      <c r="B1555" s="322" t="s">
        <v>563</v>
      </c>
      <c r="C1555" s="326"/>
      <c r="D1555" s="113"/>
      <c r="E1555" s="113"/>
      <c r="F1555" s="113"/>
      <c r="G1555" s="113"/>
      <c r="H1555" s="113"/>
      <c r="I1555" s="113"/>
      <c r="J1555" s="113"/>
      <c r="K1555" s="197" t="str">
        <f t="shared" ref="K1555:P1557" ca="1" si="1244">IFERROR(K1550/J1550-1,"--")</f>
        <v>--</v>
      </c>
      <c r="L1555" s="197" t="str">
        <f t="shared" ca="1" si="1244"/>
        <v>--</v>
      </c>
      <c r="M1555" s="197" t="str">
        <f t="shared" ca="1" si="1244"/>
        <v>--</v>
      </c>
      <c r="N1555" s="197" t="str">
        <f t="shared" ca="1" si="1244"/>
        <v>--</v>
      </c>
      <c r="O1555" s="197" t="str">
        <f t="shared" ca="1" si="1244"/>
        <v>--</v>
      </c>
      <c r="P1555" s="197" t="str">
        <f t="shared" si="1244"/>
        <v>--</v>
      </c>
    </row>
    <row r="1556" spans="2:16" ht="12.6" customHeight="1" x14ac:dyDescent="0.2">
      <c r="B1556" s="322" t="s">
        <v>299</v>
      </c>
      <c r="C1556" s="326"/>
      <c r="D1556" s="113"/>
      <c r="E1556" s="113"/>
      <c r="F1556" s="113"/>
      <c r="G1556" s="113"/>
      <c r="H1556" s="113"/>
      <c r="I1556" s="113"/>
      <c r="J1556" s="113"/>
      <c r="K1556" s="197" t="str">
        <f t="shared" ca="1" si="1244"/>
        <v>--</v>
      </c>
      <c r="L1556" s="197" t="str">
        <f t="shared" ca="1" si="1244"/>
        <v>--</v>
      </c>
      <c r="M1556" s="197" t="str">
        <f t="shared" ca="1" si="1244"/>
        <v>--</v>
      </c>
      <c r="N1556" s="197" t="str">
        <f t="shared" ca="1" si="1244"/>
        <v>--</v>
      </c>
      <c r="O1556" s="197" t="str">
        <f t="shared" ca="1" si="1244"/>
        <v>--</v>
      </c>
      <c r="P1556" s="197">
        <f t="shared" si="1244"/>
        <v>1</v>
      </c>
    </row>
    <row r="1557" spans="2:16" ht="12.6" customHeight="1" x14ac:dyDescent="0.2">
      <c r="B1557" s="331" t="s">
        <v>551</v>
      </c>
      <c r="C1557" s="327"/>
      <c r="D1557" s="117"/>
      <c r="E1557" s="117"/>
      <c r="F1557" s="117"/>
      <c r="G1557" s="117"/>
      <c r="H1557" s="117"/>
      <c r="I1557" s="117"/>
      <c r="J1557" s="117"/>
      <c r="K1557" s="204" t="str">
        <f t="shared" ca="1" si="1244"/>
        <v>--</v>
      </c>
      <c r="L1557" s="204" t="str">
        <f t="shared" ca="1" si="1244"/>
        <v>--</v>
      </c>
      <c r="M1557" s="204" t="str">
        <f t="shared" ca="1" si="1244"/>
        <v>--</v>
      </c>
      <c r="N1557" s="204" t="str">
        <f t="shared" ca="1" si="1244"/>
        <v>--</v>
      </c>
      <c r="O1557" s="204" t="str">
        <f t="shared" ca="1" si="1244"/>
        <v>--</v>
      </c>
      <c r="P1557" s="204">
        <f t="shared" si="1244"/>
        <v>1</v>
      </c>
    </row>
    <row r="1558" spans="2:16" ht="12.6" customHeight="1" x14ac:dyDescent="0.2">
      <c r="B1558" s="331"/>
      <c r="C1558" s="326"/>
      <c r="D1558" s="335"/>
      <c r="E1558" s="335"/>
      <c r="F1558" s="335"/>
      <c r="G1558" s="335"/>
      <c r="H1558" s="335"/>
      <c r="I1558" s="335"/>
      <c r="J1558" s="335"/>
      <c r="K1558" s="336"/>
      <c r="L1558" s="336"/>
      <c r="M1558" s="336"/>
      <c r="N1558" s="336"/>
      <c r="O1558" s="336"/>
      <c r="P1558" s="336"/>
    </row>
    <row r="1559" spans="2:16" ht="12.6" customHeight="1" x14ac:dyDescent="0.2">
      <c r="B1559" s="331" t="s">
        <v>287</v>
      </c>
      <c r="C1559" s="326"/>
      <c r="D1559" s="335"/>
      <c r="E1559" s="335"/>
      <c r="F1559" s="335"/>
      <c r="G1559" s="335"/>
      <c r="H1559" s="335"/>
      <c r="I1559" s="335"/>
      <c r="J1559" s="335"/>
      <c r="K1559" s="336"/>
      <c r="L1559" s="336"/>
      <c r="M1559" s="336"/>
      <c r="N1559" s="336"/>
      <c r="O1559" s="336"/>
      <c r="P1559" s="336"/>
    </row>
    <row r="1560" spans="2:16" ht="12.6" customHeight="1" x14ac:dyDescent="0.2">
      <c r="B1560" s="322" t="s">
        <v>563</v>
      </c>
      <c r="C1560" s="326"/>
      <c r="D1560" s="113"/>
      <c r="E1560" s="113"/>
      <c r="F1560" s="113"/>
      <c r="G1560" s="113"/>
      <c r="H1560" s="113"/>
      <c r="I1560" s="113"/>
      <c r="J1560" s="113"/>
      <c r="K1560" s="197">
        <f t="shared" ref="K1560:P1560" si="1245">1-K1561</f>
        <v>0</v>
      </c>
      <c r="L1560" s="197">
        <f t="shared" si="1245"/>
        <v>0</v>
      </c>
      <c r="M1560" s="197">
        <f t="shared" si="1245"/>
        <v>0</v>
      </c>
      <c r="N1560" s="197">
        <f t="shared" si="1245"/>
        <v>0</v>
      </c>
      <c r="O1560" s="197">
        <f t="shared" si="1245"/>
        <v>0</v>
      </c>
      <c r="P1560" s="197">
        <f t="shared" si="1245"/>
        <v>0</v>
      </c>
    </row>
    <row r="1561" spans="2:16" ht="12.6" customHeight="1" x14ac:dyDescent="0.2">
      <c r="B1561" s="359" t="s">
        <v>299</v>
      </c>
      <c r="C1561" s="327"/>
      <c r="D1561" s="117"/>
      <c r="E1561" s="117"/>
      <c r="F1561" s="117"/>
      <c r="G1561" s="117"/>
      <c r="H1561" s="117"/>
      <c r="I1561" s="117"/>
      <c r="J1561" s="117"/>
      <c r="K1561" s="360">
        <v>1</v>
      </c>
      <c r="L1561" s="360">
        <f>K1561</f>
        <v>1</v>
      </c>
      <c r="M1561" s="360">
        <f>L1561</f>
        <v>1</v>
      </c>
      <c r="N1561" s="360">
        <f>M1561</f>
        <v>1</v>
      </c>
      <c r="O1561" s="360">
        <v>1</v>
      </c>
      <c r="P1561" s="360">
        <f>O1561</f>
        <v>1</v>
      </c>
    </row>
    <row r="1562" spans="2:16" ht="12.6" customHeight="1" x14ac:dyDescent="0.2">
      <c r="B1562" s="116"/>
      <c r="C1562" s="61"/>
      <c r="D1562" s="63"/>
      <c r="E1562" s="63"/>
      <c r="F1562" s="63"/>
      <c r="G1562" s="63"/>
      <c r="H1562" s="63"/>
      <c r="I1562" s="63"/>
      <c r="J1562" s="63"/>
      <c r="K1562" s="64"/>
      <c r="L1562" s="64"/>
      <c r="M1562" s="64"/>
      <c r="N1562" s="64"/>
      <c r="O1562" s="64"/>
      <c r="P1562" s="64"/>
    </row>
    <row r="1564" spans="2:16" ht="12.6" customHeight="1" x14ac:dyDescent="0.2">
      <c r="B1564" s="50" t="s">
        <v>306</v>
      </c>
      <c r="C1564" s="50"/>
      <c r="D1564" s="163"/>
      <c r="E1564" s="163"/>
      <c r="F1564" s="163"/>
      <c r="G1564" s="51"/>
      <c r="H1564" s="51"/>
      <c r="I1564" s="51"/>
      <c r="J1564" s="51"/>
      <c r="K1564" s="54"/>
      <c r="L1564" s="54"/>
      <c r="M1564" s="54"/>
      <c r="N1564" s="54"/>
      <c r="O1564" s="54"/>
      <c r="P1564" s="54"/>
    </row>
    <row r="1565" spans="2:16" ht="12.6" customHeight="1" x14ac:dyDescent="0.2">
      <c r="B1565" s="56" t="s">
        <v>241</v>
      </c>
      <c r="C1565" s="61"/>
      <c r="D1565" s="57"/>
      <c r="E1565" s="57"/>
      <c r="F1565" s="57"/>
      <c r="G1565" s="57">
        <v>6466.25</v>
      </c>
      <c r="H1565" s="57">
        <v>9988.86</v>
      </c>
      <c r="I1565" s="57">
        <v>12943.89</v>
      </c>
      <c r="J1565" s="57"/>
      <c r="K1565" s="68"/>
      <c r="L1565" s="68"/>
      <c r="M1565" s="68"/>
      <c r="N1565" s="68"/>
      <c r="O1565" s="68"/>
      <c r="P1565" s="68"/>
    </row>
    <row r="1566" spans="2:16" ht="12.6" customHeight="1" x14ac:dyDescent="0.2">
      <c r="B1566" s="56" t="s">
        <v>244</v>
      </c>
      <c r="C1566" s="61"/>
      <c r="D1566" s="57"/>
      <c r="E1566" s="57"/>
      <c r="F1566" s="57"/>
      <c r="G1566" s="57">
        <v>1093.74</v>
      </c>
      <c r="H1566" s="57">
        <v>1502.57</v>
      </c>
      <c r="I1566" s="57">
        <v>1836.17</v>
      </c>
      <c r="J1566" s="57"/>
      <c r="K1566" s="68"/>
      <c r="L1566" s="68"/>
      <c r="M1566" s="68"/>
      <c r="N1566" s="68"/>
      <c r="O1566" s="68"/>
      <c r="P1566" s="68"/>
    </row>
    <row r="1567" spans="2:16" ht="12.6" customHeight="1" x14ac:dyDescent="0.2">
      <c r="B1567" s="56" t="s">
        <v>243</v>
      </c>
      <c r="C1567" s="61"/>
      <c r="D1567" s="57"/>
      <c r="E1567" s="57"/>
      <c r="F1567" s="57"/>
      <c r="G1567" s="57">
        <v>990.65</v>
      </c>
      <c r="H1567" s="57">
        <v>656.48</v>
      </c>
      <c r="I1567" s="57">
        <v>694.18</v>
      </c>
      <c r="J1567" s="57"/>
      <c r="K1567" s="68"/>
      <c r="L1567" s="68"/>
      <c r="M1567" s="68"/>
      <c r="N1567" s="68"/>
      <c r="O1567" s="68"/>
      <c r="P1567" s="68"/>
    </row>
    <row r="1568" spans="2:16" ht="12.6" customHeight="1" x14ac:dyDescent="0.2">
      <c r="B1568" s="56" t="s">
        <v>242</v>
      </c>
      <c r="C1568" s="61"/>
      <c r="D1568" s="57"/>
      <c r="E1568" s="57"/>
      <c r="F1568" s="57"/>
      <c r="G1568" s="57">
        <v>511.76999999999975</v>
      </c>
      <c r="H1568" s="57">
        <v>519.93999999999983</v>
      </c>
      <c r="I1568" s="57">
        <v>1098.7400000000002</v>
      </c>
      <c r="J1568" s="57"/>
      <c r="K1568" s="68"/>
      <c r="L1568" s="68"/>
      <c r="M1568" s="68"/>
      <c r="N1568" s="68"/>
      <c r="O1568" s="68"/>
      <c r="P1568" s="68"/>
    </row>
    <row r="1569" spans="1:186" ht="12.6" customHeight="1" x14ac:dyDescent="0.2">
      <c r="B1569" s="59" t="s">
        <v>245</v>
      </c>
      <c r="C1569" s="61"/>
      <c r="D1569" s="57"/>
      <c r="E1569" s="57"/>
      <c r="F1569" s="57"/>
      <c r="G1569" s="57">
        <v>9062.41</v>
      </c>
      <c r="H1569" s="311">
        <v>12667.85</v>
      </c>
      <c r="I1569" s="57">
        <v>16572.98</v>
      </c>
      <c r="J1569" s="361"/>
      <c r="K1569" s="68"/>
      <c r="L1569" s="68"/>
      <c r="M1569" s="68"/>
      <c r="N1569" s="68"/>
      <c r="O1569" s="68"/>
      <c r="P1569" s="68"/>
    </row>
    <row r="1570" spans="1:186" ht="12.6" customHeight="1" x14ac:dyDescent="0.2">
      <c r="B1570" s="59" t="s">
        <v>237</v>
      </c>
      <c r="C1570" s="61"/>
      <c r="D1570" s="57"/>
      <c r="E1570" s="57"/>
      <c r="F1570" s="57"/>
      <c r="G1570" s="57">
        <v>4846.3</v>
      </c>
      <c r="H1570" s="57">
        <v>6638.69</v>
      </c>
      <c r="I1570" s="57">
        <v>10503.61</v>
      </c>
      <c r="J1570" s="57"/>
      <c r="K1570" s="68"/>
      <c r="L1570" s="68"/>
      <c r="M1570" s="68"/>
      <c r="N1570" s="68"/>
      <c r="O1570" s="68"/>
      <c r="P1570" s="68"/>
    </row>
    <row r="1571" spans="1:186" ht="12.6" customHeight="1" x14ac:dyDescent="0.2">
      <c r="B1571" s="118" t="s">
        <v>411</v>
      </c>
      <c r="C1571" s="119"/>
      <c r="D1571" s="120"/>
      <c r="E1571" s="120"/>
      <c r="F1571" s="120"/>
      <c r="G1571" s="120">
        <f>G1569+G1570</f>
        <v>13908.71</v>
      </c>
      <c r="H1571" s="120">
        <f>H1569+H1570</f>
        <v>19306.54</v>
      </c>
      <c r="I1571" s="120">
        <f>I1569+I1570</f>
        <v>27076.59</v>
      </c>
      <c r="J1571" s="120"/>
      <c r="K1571" s="121"/>
      <c r="L1571" s="121"/>
      <c r="M1571" s="121"/>
      <c r="N1571" s="121"/>
      <c r="O1571" s="121"/>
      <c r="P1571" s="121"/>
    </row>
    <row r="1572" spans="1:186" ht="12.6" customHeight="1" x14ac:dyDescent="0.2">
      <c r="B1572" s="59" t="s">
        <v>412</v>
      </c>
      <c r="C1572" s="61"/>
      <c r="D1572" s="57"/>
      <c r="E1572" s="57"/>
      <c r="F1572" s="57"/>
      <c r="G1572" s="57">
        <v>2126.9899999999998</v>
      </c>
      <c r="H1572" s="57">
        <v>3424.05</v>
      </c>
      <c r="I1572" s="57">
        <v>4870.8100000000004</v>
      </c>
      <c r="J1572" s="57"/>
      <c r="K1572" s="68"/>
      <c r="L1572" s="68"/>
      <c r="M1572" s="68"/>
      <c r="N1572" s="68"/>
      <c r="O1572" s="68"/>
      <c r="P1572" s="68"/>
    </row>
    <row r="1573" spans="1:186" s="38" customFormat="1" ht="12.6" customHeight="1" x14ac:dyDescent="0.2">
      <c r="B1573" s="72" t="s">
        <v>305</v>
      </c>
      <c r="C1573" s="95"/>
      <c r="D1573" s="63"/>
      <c r="E1573" s="63"/>
      <c r="F1573" s="63"/>
      <c r="G1573" s="63">
        <f>G1571+G1572</f>
        <v>16035.699999999999</v>
      </c>
      <c r="H1573" s="63">
        <f>H1571+H1572</f>
        <v>22730.59</v>
      </c>
      <c r="I1573" s="63">
        <f>I1571+I1572</f>
        <v>31947.4</v>
      </c>
      <c r="J1573" s="63"/>
      <c r="K1573" s="64"/>
      <c r="L1573" s="64"/>
      <c r="M1573" s="64"/>
      <c r="N1573" s="64"/>
      <c r="O1573" s="64"/>
      <c r="P1573" s="64"/>
      <c r="EO1573" s="38">
        <f>EO1578/25</f>
        <v>252</v>
      </c>
    </row>
    <row r="1574" spans="1:186" ht="12.6" customHeight="1" x14ac:dyDescent="0.2">
      <c r="A1574" s="87"/>
      <c r="B1574" s="87"/>
      <c r="C1574" s="40">
        <v>1</v>
      </c>
      <c r="D1574" s="40">
        <f>C1574+1</f>
        <v>2</v>
      </c>
      <c r="E1574" s="40">
        <f t="shared" ref="E1574" si="1246">D1574+1</f>
        <v>3</v>
      </c>
      <c r="F1574" s="40">
        <f t="shared" ref="F1574:AY1574" si="1247">E1574+1</f>
        <v>4</v>
      </c>
      <c r="G1574" s="40">
        <f t="shared" si="1247"/>
        <v>5</v>
      </c>
      <c r="H1574" s="40">
        <f t="shared" si="1247"/>
        <v>6</v>
      </c>
      <c r="I1574" s="40">
        <f t="shared" si="1247"/>
        <v>7</v>
      </c>
      <c r="J1574" s="40">
        <f t="shared" si="1247"/>
        <v>8</v>
      </c>
      <c r="K1574" s="40">
        <f t="shared" si="1247"/>
        <v>9</v>
      </c>
      <c r="L1574" s="40">
        <f t="shared" si="1247"/>
        <v>10</v>
      </c>
      <c r="M1574" s="40">
        <f t="shared" si="1247"/>
        <v>11</v>
      </c>
      <c r="N1574" s="40">
        <f t="shared" si="1247"/>
        <v>12</v>
      </c>
      <c r="O1574" s="40">
        <f t="shared" si="1247"/>
        <v>13</v>
      </c>
      <c r="P1574" s="40">
        <f t="shared" si="1247"/>
        <v>14</v>
      </c>
      <c r="Q1574" s="40">
        <f t="shared" si="1247"/>
        <v>15</v>
      </c>
      <c r="R1574" s="40">
        <f>Q1574+1</f>
        <v>16</v>
      </c>
      <c r="S1574" s="40">
        <f t="shared" si="1247"/>
        <v>17</v>
      </c>
      <c r="T1574" s="40">
        <f t="shared" si="1247"/>
        <v>18</v>
      </c>
      <c r="U1574" s="40">
        <f t="shared" si="1247"/>
        <v>19</v>
      </c>
      <c r="V1574" s="40">
        <f t="shared" si="1247"/>
        <v>20</v>
      </c>
      <c r="W1574" s="40">
        <f t="shared" si="1247"/>
        <v>21</v>
      </c>
      <c r="X1574" s="40">
        <f t="shared" si="1247"/>
        <v>22</v>
      </c>
      <c r="Y1574" s="40">
        <f t="shared" si="1247"/>
        <v>23</v>
      </c>
      <c r="Z1574" s="40">
        <f t="shared" si="1247"/>
        <v>24</v>
      </c>
      <c r="AA1574" s="40">
        <f>Z1574+1</f>
        <v>25</v>
      </c>
      <c r="AB1574" s="40">
        <f t="shared" si="1247"/>
        <v>26</v>
      </c>
      <c r="AC1574" s="40">
        <f t="shared" si="1247"/>
        <v>27</v>
      </c>
      <c r="AD1574" s="40">
        <f t="shared" si="1247"/>
        <v>28</v>
      </c>
      <c r="AE1574" s="40">
        <f t="shared" si="1247"/>
        <v>29</v>
      </c>
      <c r="AF1574" s="40">
        <f t="shared" si="1247"/>
        <v>30</v>
      </c>
      <c r="AG1574" s="40">
        <f t="shared" si="1247"/>
        <v>31</v>
      </c>
      <c r="AH1574" s="40">
        <f t="shared" si="1247"/>
        <v>32</v>
      </c>
      <c r="AI1574" s="40">
        <f t="shared" si="1247"/>
        <v>33</v>
      </c>
      <c r="AJ1574" s="40">
        <f t="shared" si="1247"/>
        <v>34</v>
      </c>
      <c r="AK1574" s="40">
        <f t="shared" si="1247"/>
        <v>35</v>
      </c>
      <c r="AL1574" s="40">
        <f t="shared" si="1247"/>
        <v>36</v>
      </c>
      <c r="AM1574" s="40">
        <f t="shared" si="1247"/>
        <v>37</v>
      </c>
      <c r="AN1574" s="40">
        <f t="shared" si="1247"/>
        <v>38</v>
      </c>
      <c r="AO1574" s="40">
        <f t="shared" si="1247"/>
        <v>39</v>
      </c>
      <c r="AP1574" s="40">
        <f t="shared" si="1247"/>
        <v>40</v>
      </c>
      <c r="AQ1574" s="40">
        <f t="shared" si="1247"/>
        <v>41</v>
      </c>
      <c r="AR1574" s="40">
        <f t="shared" si="1247"/>
        <v>42</v>
      </c>
      <c r="AS1574" s="40">
        <f t="shared" si="1247"/>
        <v>43</v>
      </c>
      <c r="AT1574" s="40">
        <f t="shared" si="1247"/>
        <v>44</v>
      </c>
      <c r="AU1574" s="40">
        <f t="shared" si="1247"/>
        <v>45</v>
      </c>
      <c r="AV1574" s="40">
        <f t="shared" si="1247"/>
        <v>46</v>
      </c>
      <c r="AW1574" s="40">
        <f t="shared" si="1247"/>
        <v>47</v>
      </c>
      <c r="AX1574" s="40">
        <f t="shared" si="1247"/>
        <v>48</v>
      </c>
      <c r="AY1574" s="40">
        <f t="shared" si="1247"/>
        <v>49</v>
      </c>
      <c r="BA1574" s="87"/>
      <c r="BB1574" s="87"/>
      <c r="BC1574" s="87"/>
      <c r="BD1574" s="87"/>
      <c r="BE1574" s="87"/>
      <c r="BF1574" s="87"/>
      <c r="BG1574" s="87"/>
      <c r="BH1574" s="87"/>
      <c r="BI1574" s="87"/>
      <c r="BJ1574" s="87"/>
      <c r="BK1574" s="87"/>
      <c r="BL1574" s="87"/>
      <c r="BM1574" s="87"/>
      <c r="BN1574" s="87"/>
      <c r="BP1574" s="87"/>
      <c r="BQ1574" s="87"/>
      <c r="BR1574" s="87"/>
      <c r="BS1574" s="87"/>
      <c r="BT1574" s="87"/>
      <c r="BU1574" s="87"/>
      <c r="BV1574" s="87"/>
      <c r="BW1574" s="87"/>
      <c r="BX1574" s="87"/>
      <c r="BY1574" s="87"/>
      <c r="BZ1574" s="87"/>
      <c r="CB1574" s="87"/>
      <c r="CC1574" s="87"/>
      <c r="CD1574" s="87"/>
      <c r="CE1574" s="87"/>
      <c r="CF1574" s="87"/>
      <c r="CG1574" s="87"/>
      <c r="CH1574" s="87"/>
      <c r="CI1574" s="87"/>
      <c r="CJ1574" s="87"/>
      <c r="CK1574" s="87"/>
      <c r="CL1574" s="87"/>
      <c r="CN1574" s="87"/>
      <c r="CO1574" s="87"/>
      <c r="CP1574" s="87"/>
      <c r="CQ1574" s="87"/>
      <c r="CR1574" s="87"/>
      <c r="CS1574" s="87"/>
      <c r="CT1574" s="87"/>
      <c r="CU1574" s="87"/>
      <c r="CV1574" s="87"/>
      <c r="CW1574" s="87"/>
      <c r="CX1574" s="87"/>
      <c r="CZ1574" s="87"/>
      <c r="DA1574" s="87"/>
      <c r="DB1574" s="87"/>
      <c r="DC1574" s="87"/>
      <c r="DD1574" s="87"/>
      <c r="DE1574" s="87"/>
      <c r="DF1574" s="87"/>
      <c r="DG1574" s="87"/>
      <c r="DH1574" s="87"/>
      <c r="DI1574" s="87"/>
      <c r="DJ1574" s="87"/>
      <c r="DL1574" s="87"/>
      <c r="DM1574" s="87"/>
      <c r="DN1574" s="87"/>
      <c r="DO1574" s="87"/>
      <c r="DP1574" s="87"/>
      <c r="DQ1574" s="87"/>
      <c r="DR1574" s="87"/>
      <c r="DS1574" s="87"/>
      <c r="DT1574" s="87"/>
      <c r="DU1574" s="87"/>
      <c r="DV1574" s="87"/>
      <c r="DX1574" s="87"/>
      <c r="DY1574" s="87"/>
      <c r="DZ1574" s="87"/>
      <c r="EA1574" s="87"/>
      <c r="EB1574" s="87"/>
      <c r="EC1574" s="87"/>
      <c r="ED1574" s="87"/>
      <c r="EE1574" s="87"/>
      <c r="EF1574" s="87"/>
      <c r="EG1574" s="87"/>
      <c r="EH1574" s="87"/>
      <c r="EJ1574" s="87"/>
      <c r="EK1574" s="87"/>
      <c r="EL1574" s="87"/>
      <c r="EM1574" s="87"/>
      <c r="EN1574" s="87"/>
      <c r="EO1574" s="87"/>
      <c r="EP1574" s="87"/>
      <c r="EQ1574" s="87"/>
      <c r="ER1574" s="87"/>
      <c r="ES1574" s="87"/>
      <c r="ET1574" s="87"/>
      <c r="EV1574" s="87"/>
      <c r="EW1574" s="87"/>
      <c r="EX1574" s="87"/>
      <c r="EY1574" s="87"/>
      <c r="EZ1574" s="87"/>
      <c r="FA1574" s="87"/>
      <c r="FB1574" s="87"/>
      <c r="FC1574" s="87"/>
      <c r="FD1574" s="87"/>
      <c r="FE1574" s="87"/>
      <c r="FF1574" s="87"/>
      <c r="FH1574" s="87"/>
      <c r="FI1574" s="87"/>
      <c r="FJ1574" s="87"/>
      <c r="FK1574" s="87"/>
      <c r="FL1574" s="87"/>
      <c r="FM1574" s="87"/>
      <c r="FN1574" s="87"/>
      <c r="FO1574" s="1049">
        <v>0.8</v>
      </c>
    </row>
    <row r="1575" spans="1:186" s="550" customFormat="1" ht="12.6" customHeight="1" x14ac:dyDescent="0.2">
      <c r="A1575" s="37"/>
      <c r="B1575" s="548"/>
      <c r="C1575" s="218"/>
      <c r="D1575" s="217"/>
      <c r="E1575" s="217"/>
      <c r="F1575" s="217"/>
      <c r="G1575" s="217"/>
      <c r="H1575" s="217"/>
      <c r="I1575" s="217"/>
      <c r="J1575" s="217"/>
      <c r="K1575" s="217"/>
      <c r="L1575" s="217"/>
      <c r="M1575" s="217"/>
      <c r="N1575" s="217"/>
      <c r="O1575" s="217"/>
      <c r="P1575" s="549"/>
      <c r="Q1575" s="547">
        <v>44651</v>
      </c>
      <c r="R1575" s="547">
        <v>45016</v>
      </c>
      <c r="S1575" s="547">
        <v>45382</v>
      </c>
      <c r="T1575" s="547">
        <v>45747</v>
      </c>
      <c r="U1575" s="547">
        <v>46112</v>
      </c>
      <c r="V1575" s="547">
        <v>46477</v>
      </c>
      <c r="W1575" s="547">
        <v>46843</v>
      </c>
      <c r="X1575" s="547">
        <v>47208</v>
      </c>
      <c r="Y1575" s="547">
        <v>47573</v>
      </c>
      <c r="Z1575" s="547">
        <v>47938</v>
      </c>
      <c r="AA1575" s="547">
        <v>48304</v>
      </c>
      <c r="AB1575" s="547"/>
      <c r="AC1575" s="547">
        <v>44651</v>
      </c>
      <c r="AD1575" s="547">
        <v>45016</v>
      </c>
      <c r="AE1575" s="547">
        <v>45382</v>
      </c>
      <c r="AF1575" s="547">
        <v>45747</v>
      </c>
      <c r="AG1575" s="547">
        <v>46112</v>
      </c>
      <c r="AH1575" s="547">
        <v>46477</v>
      </c>
      <c r="AI1575" s="547">
        <v>46843</v>
      </c>
      <c r="AJ1575" s="547">
        <v>47208</v>
      </c>
      <c r="AK1575" s="547">
        <v>47573</v>
      </c>
      <c r="AL1575" s="547">
        <v>47938</v>
      </c>
      <c r="AM1575" s="547">
        <v>48304</v>
      </c>
      <c r="AO1575" s="547">
        <v>44651</v>
      </c>
      <c r="AP1575" s="547">
        <v>45016</v>
      </c>
      <c r="AQ1575" s="547">
        <v>45382</v>
      </c>
      <c r="AR1575" s="547">
        <v>45747</v>
      </c>
      <c r="AS1575" s="547">
        <v>46112</v>
      </c>
      <c r="AT1575" s="547">
        <v>46477</v>
      </c>
      <c r="AU1575" s="547">
        <v>46843</v>
      </c>
      <c r="AV1575" s="547">
        <v>47208</v>
      </c>
      <c r="AW1575" s="547">
        <v>47573</v>
      </c>
      <c r="AX1575" s="547">
        <v>47938</v>
      </c>
      <c r="AY1575" s="547">
        <v>48304</v>
      </c>
      <c r="BA1575" s="547" t="s">
        <v>595</v>
      </c>
      <c r="BB1575" s="547" t="s">
        <v>596</v>
      </c>
      <c r="BC1575" s="547"/>
      <c r="BD1575" s="547">
        <v>44651</v>
      </c>
      <c r="BE1575" s="547">
        <v>45016</v>
      </c>
      <c r="BF1575" s="547">
        <v>45382</v>
      </c>
      <c r="BG1575" s="547">
        <v>45747</v>
      </c>
      <c r="BH1575" s="547">
        <v>46112</v>
      </c>
      <c r="BI1575" s="547">
        <v>46477</v>
      </c>
      <c r="BJ1575" s="547">
        <v>46843</v>
      </c>
      <c r="BK1575" s="547">
        <v>47208</v>
      </c>
      <c r="BL1575" s="547">
        <v>47573</v>
      </c>
      <c r="BM1575" s="547">
        <v>47938</v>
      </c>
      <c r="BN1575" s="547">
        <v>48304</v>
      </c>
      <c r="BP1575" s="547">
        <v>44651</v>
      </c>
      <c r="BQ1575" s="547">
        <v>45016</v>
      </c>
      <c r="BR1575" s="547">
        <v>45382</v>
      </c>
      <c r="BS1575" s="547">
        <v>45747</v>
      </c>
      <c r="BT1575" s="547">
        <v>46112</v>
      </c>
      <c r="BU1575" s="547">
        <v>46477</v>
      </c>
      <c r="BV1575" s="547">
        <v>46843</v>
      </c>
      <c r="BW1575" s="547">
        <v>47208</v>
      </c>
      <c r="BX1575" s="547">
        <v>47573</v>
      </c>
      <c r="BY1575" s="547">
        <v>47938</v>
      </c>
      <c r="BZ1575" s="547">
        <v>48304</v>
      </c>
      <c r="CB1575" s="547">
        <v>44651</v>
      </c>
      <c r="CC1575" s="547">
        <v>45016</v>
      </c>
      <c r="CD1575" s="547">
        <v>45382</v>
      </c>
      <c r="CE1575" s="547">
        <v>45747</v>
      </c>
      <c r="CF1575" s="547">
        <v>46112</v>
      </c>
      <c r="CG1575" s="547">
        <v>46477</v>
      </c>
      <c r="CH1575" s="547">
        <v>46843</v>
      </c>
      <c r="CI1575" s="547">
        <v>47208</v>
      </c>
      <c r="CJ1575" s="547">
        <v>47573</v>
      </c>
      <c r="CK1575" s="547">
        <v>47938</v>
      </c>
      <c r="CL1575" s="547">
        <v>48304</v>
      </c>
      <c r="CN1575" s="547">
        <v>44651</v>
      </c>
      <c r="CO1575" s="547">
        <v>45016</v>
      </c>
      <c r="CP1575" s="547">
        <v>45382</v>
      </c>
      <c r="CQ1575" s="547">
        <v>45747</v>
      </c>
      <c r="CR1575" s="547">
        <v>46112</v>
      </c>
      <c r="CS1575" s="547">
        <v>46477</v>
      </c>
      <c r="CT1575" s="547">
        <v>46843</v>
      </c>
      <c r="CU1575" s="547">
        <v>47208</v>
      </c>
      <c r="CV1575" s="547">
        <v>47573</v>
      </c>
      <c r="CW1575" s="547">
        <v>47938</v>
      </c>
      <c r="CX1575" s="547">
        <v>48304</v>
      </c>
      <c r="CZ1575" s="547">
        <v>44651</v>
      </c>
      <c r="DA1575" s="547">
        <v>45016</v>
      </c>
      <c r="DB1575" s="547">
        <v>45382</v>
      </c>
      <c r="DC1575" s="547">
        <v>45747</v>
      </c>
      <c r="DD1575" s="547">
        <v>46112</v>
      </c>
      <c r="DE1575" s="547">
        <v>46477</v>
      </c>
      <c r="DF1575" s="547">
        <v>46843</v>
      </c>
      <c r="DG1575" s="547">
        <v>47208</v>
      </c>
      <c r="DH1575" s="547">
        <v>47573</v>
      </c>
      <c r="DI1575" s="547">
        <v>47938</v>
      </c>
      <c r="DJ1575" s="547">
        <v>48304</v>
      </c>
      <c r="DL1575" s="547">
        <v>44651</v>
      </c>
      <c r="DM1575" s="547">
        <v>45016</v>
      </c>
      <c r="DN1575" s="547">
        <v>45382</v>
      </c>
      <c r="DO1575" s="547">
        <v>45747</v>
      </c>
      <c r="DP1575" s="547">
        <v>46112</v>
      </c>
      <c r="DQ1575" s="547">
        <v>46477</v>
      </c>
      <c r="DR1575" s="547">
        <v>46843</v>
      </c>
      <c r="DS1575" s="547">
        <v>47208</v>
      </c>
      <c r="DT1575" s="547">
        <v>47573</v>
      </c>
      <c r="DU1575" s="547">
        <v>47938</v>
      </c>
      <c r="DV1575" s="547">
        <v>48304</v>
      </c>
      <c r="DX1575" s="547">
        <v>44651</v>
      </c>
      <c r="DY1575" s="547">
        <v>45016</v>
      </c>
      <c r="DZ1575" s="547">
        <v>45382</v>
      </c>
      <c r="EA1575" s="547">
        <v>45747</v>
      </c>
      <c r="EB1575" s="547">
        <v>46112</v>
      </c>
      <c r="EC1575" s="547">
        <v>46477</v>
      </c>
      <c r="ED1575" s="547">
        <v>46843</v>
      </c>
      <c r="EE1575" s="547">
        <v>47208</v>
      </c>
      <c r="EF1575" s="547">
        <v>47573</v>
      </c>
      <c r="EG1575" s="547">
        <v>47938</v>
      </c>
      <c r="EH1575" s="547">
        <v>48304</v>
      </c>
      <c r="EJ1575" s="547">
        <v>44651</v>
      </c>
      <c r="EK1575" s="547">
        <v>45016</v>
      </c>
      <c r="EL1575" s="547">
        <v>45382</v>
      </c>
      <c r="EM1575" s="547">
        <v>45747</v>
      </c>
      <c r="EN1575" s="547">
        <v>46112</v>
      </c>
      <c r="EO1575" s="547">
        <v>46477</v>
      </c>
      <c r="EP1575" s="547">
        <v>46843</v>
      </c>
      <c r="EQ1575" s="547">
        <v>47208</v>
      </c>
      <c r="ER1575" s="547">
        <v>47573</v>
      </c>
      <c r="ES1575" s="547">
        <v>47938</v>
      </c>
      <c r="ET1575" s="547">
        <v>48304</v>
      </c>
      <c r="EV1575" s="547">
        <v>44651</v>
      </c>
      <c r="EW1575" s="547">
        <v>45016</v>
      </c>
      <c r="EX1575" s="547">
        <v>45382</v>
      </c>
      <c r="EY1575" s="547">
        <v>45747</v>
      </c>
      <c r="EZ1575" s="547">
        <v>46112</v>
      </c>
      <c r="FA1575" s="547">
        <v>46477</v>
      </c>
      <c r="FB1575" s="547">
        <v>46843</v>
      </c>
      <c r="FC1575" s="547">
        <v>47208</v>
      </c>
      <c r="FD1575" s="547">
        <v>47573</v>
      </c>
      <c r="FE1575" s="547">
        <v>47938</v>
      </c>
      <c r="FF1575" s="547">
        <v>48304</v>
      </c>
      <c r="FH1575" s="547">
        <v>44651</v>
      </c>
      <c r="FI1575" s="547">
        <v>45016</v>
      </c>
      <c r="FJ1575" s="547">
        <v>45382</v>
      </c>
      <c r="FK1575" s="547">
        <v>45747</v>
      </c>
      <c r="FL1575" s="547">
        <v>46112</v>
      </c>
      <c r="FM1575" s="547">
        <v>46477</v>
      </c>
      <c r="FN1575" s="547">
        <v>46843</v>
      </c>
      <c r="FO1575" s="547">
        <v>47208</v>
      </c>
      <c r="FP1575" s="547">
        <v>47573</v>
      </c>
      <c r="FQ1575" s="547">
        <v>47938</v>
      </c>
      <c r="FR1575" s="547">
        <v>48304</v>
      </c>
      <c r="FT1575" s="547">
        <v>44651</v>
      </c>
      <c r="FU1575" s="547">
        <v>45016</v>
      </c>
      <c r="FV1575" s="547">
        <v>45382</v>
      </c>
      <c r="FW1575" s="547">
        <v>45747</v>
      </c>
      <c r="FX1575" s="547">
        <v>46112</v>
      </c>
      <c r="FY1575" s="547">
        <v>46477</v>
      </c>
      <c r="FZ1575" s="547">
        <v>46843</v>
      </c>
      <c r="GA1575" s="547">
        <v>47208</v>
      </c>
      <c r="GB1575" s="547">
        <v>47573</v>
      </c>
      <c r="GC1575" s="547">
        <v>47938</v>
      </c>
      <c r="GD1575" s="547">
        <v>48304</v>
      </c>
    </row>
    <row r="1576" spans="1:186" ht="12.6" customHeight="1" x14ac:dyDescent="0.2">
      <c r="B1576" s="210"/>
      <c r="C1576" s="219" t="s">
        <v>915</v>
      </c>
      <c r="D1576" s="211"/>
      <c r="E1576" s="211"/>
      <c r="F1576" s="211"/>
      <c r="G1576" s="211"/>
      <c r="H1576" s="211" t="s">
        <v>566</v>
      </c>
      <c r="I1576" s="211" t="s">
        <v>591</v>
      </c>
      <c r="J1576" s="211" t="s">
        <v>235</v>
      </c>
      <c r="K1576" s="211"/>
      <c r="L1576" s="211" t="s">
        <v>597</v>
      </c>
      <c r="M1576" s="211" t="s">
        <v>340</v>
      </c>
      <c r="N1576" s="211"/>
      <c r="O1576" s="211" t="s">
        <v>477</v>
      </c>
      <c r="P1576" s="209"/>
      <c r="Q1576" s="314" t="s">
        <v>579</v>
      </c>
      <c r="R1576" s="314"/>
      <c r="S1576" s="314"/>
      <c r="T1576" s="314"/>
      <c r="U1576" s="314"/>
      <c r="V1576" s="314"/>
      <c r="W1576" s="314"/>
      <c r="X1576" s="314"/>
      <c r="Y1576" s="314"/>
      <c r="Z1576" s="314"/>
      <c r="AA1576" s="314"/>
      <c r="AB1576" s="313"/>
      <c r="AC1576" s="314" t="s">
        <v>580</v>
      </c>
      <c r="AD1576" s="314"/>
      <c r="AE1576" s="314"/>
      <c r="AF1576" s="314"/>
      <c r="AG1576" s="314"/>
      <c r="AH1576" s="314"/>
      <c r="AI1576" s="314"/>
      <c r="AJ1576" s="314"/>
      <c r="AK1576" s="314"/>
      <c r="AL1576" s="314"/>
      <c r="AM1576" s="314"/>
      <c r="AO1576" s="314" t="s">
        <v>916</v>
      </c>
      <c r="AP1576" s="314"/>
      <c r="AQ1576" s="314"/>
      <c r="AR1576" s="314"/>
      <c r="AS1576" s="314"/>
      <c r="AT1576" s="314"/>
      <c r="AU1576" s="314"/>
      <c r="AV1576" s="314"/>
      <c r="AW1576" s="314"/>
      <c r="AX1576" s="314"/>
      <c r="AY1576" s="314"/>
      <c r="BA1576" s="214"/>
      <c r="BB1576" s="214"/>
      <c r="BC1576" s="214"/>
      <c r="BD1576" s="314" t="s">
        <v>199</v>
      </c>
      <c r="BE1576" s="314"/>
      <c r="BF1576" s="314"/>
      <c r="BG1576" s="314"/>
      <c r="BH1576" s="314"/>
      <c r="BI1576" s="314"/>
      <c r="BJ1576" s="314"/>
      <c r="BK1576" s="314"/>
      <c r="BL1576" s="314"/>
      <c r="BM1576" s="314"/>
      <c r="BN1576" s="314"/>
      <c r="BP1576" s="314" t="s">
        <v>581</v>
      </c>
      <c r="BQ1576" s="213"/>
      <c r="BR1576" s="213"/>
      <c r="BS1576" s="213"/>
      <c r="BT1576" s="213"/>
      <c r="BU1576" s="213"/>
      <c r="BV1576" s="213"/>
      <c r="BW1576" s="213"/>
      <c r="BX1576" s="213"/>
      <c r="BY1576" s="213"/>
      <c r="BZ1576" s="213"/>
      <c r="CB1576" s="314" t="s">
        <v>582</v>
      </c>
      <c r="CC1576" s="213"/>
      <c r="CD1576" s="213"/>
      <c r="CE1576" s="213"/>
      <c r="CF1576" s="213"/>
      <c r="CG1576" s="213"/>
      <c r="CH1576" s="213"/>
      <c r="CI1576" s="213"/>
      <c r="CJ1576" s="213"/>
      <c r="CK1576" s="213"/>
      <c r="CL1576" s="213"/>
      <c r="CN1576" s="314" t="s">
        <v>583</v>
      </c>
      <c r="CO1576" s="314"/>
      <c r="CP1576" s="314"/>
      <c r="CQ1576" s="314"/>
      <c r="CR1576" s="314"/>
      <c r="CS1576" s="314"/>
      <c r="CT1576" s="314"/>
      <c r="CU1576" s="314"/>
      <c r="CV1576" s="314"/>
      <c r="CW1576" s="314"/>
      <c r="CX1576" s="314"/>
      <c r="CZ1576" s="314" t="s">
        <v>584</v>
      </c>
      <c r="DA1576" s="314"/>
      <c r="DB1576" s="314"/>
      <c r="DC1576" s="314"/>
      <c r="DD1576" s="314"/>
      <c r="DE1576" s="314"/>
      <c r="DF1576" s="314"/>
      <c r="DG1576" s="314"/>
      <c r="DH1576" s="314"/>
      <c r="DI1576" s="314"/>
      <c r="DJ1576" s="314"/>
      <c r="DL1576" s="314" t="s">
        <v>585</v>
      </c>
      <c r="DM1576" s="314"/>
      <c r="DN1576" s="314"/>
      <c r="DO1576" s="314"/>
      <c r="DP1576" s="314"/>
      <c r="DQ1576" s="314"/>
      <c r="DR1576" s="314"/>
      <c r="DS1576" s="314"/>
      <c r="DT1576" s="314"/>
      <c r="DU1576" s="314"/>
      <c r="DV1576" s="314"/>
      <c r="DX1576" s="314" t="s">
        <v>586</v>
      </c>
      <c r="DY1576" s="314"/>
      <c r="DZ1576" s="314"/>
      <c r="EA1576" s="314"/>
      <c r="EB1576" s="314"/>
      <c r="EC1576" s="314"/>
      <c r="ED1576" s="314"/>
      <c r="EE1576" s="314"/>
      <c r="EF1576" s="314"/>
      <c r="EG1576" s="314"/>
      <c r="EH1576" s="314"/>
      <c r="EJ1576" s="314" t="s">
        <v>587</v>
      </c>
      <c r="EK1576" s="314"/>
      <c r="EL1576" s="314"/>
      <c r="EM1576" s="314"/>
      <c r="EN1576" s="314"/>
      <c r="EO1576" s="314"/>
      <c r="EP1576" s="314"/>
      <c r="EQ1576" s="314"/>
      <c r="ER1576" s="314"/>
      <c r="ES1576" s="314"/>
      <c r="ET1576" s="314"/>
      <c r="EV1576" s="314" t="s">
        <v>588</v>
      </c>
      <c r="EW1576" s="1058">
        <v>0.09</v>
      </c>
      <c r="EX1576" s="1058">
        <v>0.09</v>
      </c>
      <c r="EY1576" s="1058">
        <v>7.0000000000000007E-2</v>
      </c>
      <c r="EZ1576" s="1058">
        <v>7.0000000000000007E-2</v>
      </c>
      <c r="FA1576" s="1058">
        <v>7.0000000000000007E-2</v>
      </c>
      <c r="FB1576" s="1058">
        <v>6.5000000000000002E-2</v>
      </c>
      <c r="FC1576" s="1058">
        <v>6.5000000000000002E-2</v>
      </c>
      <c r="FD1576" s="1058">
        <v>6.5000000000000002E-2</v>
      </c>
      <c r="FE1576" s="314"/>
      <c r="FF1576" s="314"/>
      <c r="FH1576" s="314" t="s">
        <v>589</v>
      </c>
      <c r="FI1576" s="314"/>
      <c r="FJ1576" s="314"/>
      <c r="FK1576" s="314"/>
      <c r="FL1576" s="314"/>
      <c r="FM1576" s="314"/>
      <c r="FN1576" s="314"/>
      <c r="FO1576" s="314"/>
      <c r="FP1576" s="314"/>
      <c r="FQ1576" s="314"/>
      <c r="FR1576" s="314"/>
      <c r="FT1576" s="314" t="s">
        <v>590</v>
      </c>
      <c r="FU1576" s="314"/>
      <c r="FV1576" s="314"/>
      <c r="FW1576" s="314"/>
      <c r="FX1576" s="314"/>
      <c r="FY1576" s="314"/>
      <c r="FZ1576" s="314"/>
      <c r="GA1576" s="314"/>
      <c r="GB1576" s="314"/>
      <c r="GC1576" s="314"/>
      <c r="GD1576" s="314"/>
    </row>
    <row r="1577" spans="1:186" ht="12.6" customHeight="1" x14ac:dyDescent="0.2">
      <c r="B1577" s="208"/>
      <c r="C1577" s="210"/>
      <c r="D1577" s="209"/>
      <c r="E1577" s="209"/>
      <c r="F1577" s="209"/>
      <c r="G1577" s="344"/>
      <c r="H1577" s="211"/>
      <c r="I1577" s="345"/>
      <c r="J1577" s="212" t="s">
        <v>578</v>
      </c>
      <c r="K1577" s="209"/>
      <c r="L1577" s="212"/>
      <c r="M1577" s="212"/>
      <c r="N1577" s="212"/>
      <c r="O1577" s="212"/>
      <c r="P1577" s="209"/>
      <c r="Q1577" s="213"/>
      <c r="R1577" s="213"/>
      <c r="S1577" s="213"/>
      <c r="T1577" s="213"/>
      <c r="U1577" s="213"/>
      <c r="V1577" s="213"/>
      <c r="W1577" s="213"/>
      <c r="X1577" s="213"/>
      <c r="Y1577" s="213"/>
      <c r="Z1577" s="213"/>
      <c r="AA1577" s="213"/>
      <c r="AB1577" s="214"/>
      <c r="AC1577" s="213"/>
      <c r="AD1577" s="213"/>
      <c r="AE1577" s="213"/>
      <c r="AF1577" s="213"/>
      <c r="AG1577" s="213"/>
      <c r="AH1577" s="213"/>
      <c r="AI1577" s="213"/>
      <c r="AJ1577" s="213"/>
      <c r="AK1577" s="213"/>
      <c r="AL1577" s="213"/>
      <c r="AM1577" s="213"/>
      <c r="AO1577" s="213"/>
      <c r="AP1577" s="213"/>
      <c r="AQ1577" s="213"/>
      <c r="AR1577" s="213"/>
      <c r="AS1577" s="213"/>
      <c r="AT1577" s="213"/>
      <c r="AU1577" s="213"/>
      <c r="AV1577" s="213"/>
      <c r="AW1577" s="213"/>
      <c r="AX1577" s="213"/>
      <c r="AY1577" s="213"/>
      <c r="BA1577" s="315"/>
      <c r="BB1577" s="315"/>
      <c r="BC1577" s="315"/>
      <c r="BD1577" s="213"/>
      <c r="BE1577" s="213"/>
      <c r="BF1577" s="213"/>
      <c r="BG1577" s="213"/>
      <c r="BH1577" s="213"/>
      <c r="BI1577" s="213"/>
      <c r="BJ1577" s="213"/>
      <c r="BK1577" s="213"/>
      <c r="BL1577" s="213"/>
      <c r="BM1577" s="213"/>
      <c r="BN1577" s="213"/>
      <c r="BP1577" s="316"/>
      <c r="BQ1577" s="316"/>
      <c r="BR1577" s="316"/>
      <c r="BS1577" s="316"/>
      <c r="BT1577" s="316"/>
      <c r="BU1577" s="316"/>
      <c r="BV1577" s="316"/>
      <c r="BW1577" s="316"/>
      <c r="BX1577" s="316"/>
      <c r="BY1577" s="316"/>
      <c r="BZ1577" s="316"/>
      <c r="CB1577" s="316"/>
      <c r="CC1577" s="316"/>
      <c r="CD1577" s="316"/>
      <c r="CE1577" s="316"/>
      <c r="CF1577" s="316"/>
      <c r="CG1577" s="316"/>
      <c r="CH1577" s="316"/>
      <c r="CI1577" s="316"/>
      <c r="CJ1577" s="316"/>
      <c r="CK1577" s="316"/>
      <c r="CL1577" s="316"/>
      <c r="CN1577" s="213"/>
      <c r="CO1577" s="213"/>
      <c r="CP1577" s="213"/>
      <c r="CQ1577" s="213"/>
      <c r="CR1577" s="213"/>
      <c r="CS1577" s="213"/>
      <c r="CT1577" s="213"/>
      <c r="CU1577" s="213"/>
      <c r="CV1577" s="213"/>
      <c r="CW1577" s="213"/>
      <c r="CX1577" s="213"/>
      <c r="CZ1577" s="213"/>
      <c r="DA1577" s="213"/>
      <c r="DB1577" s="213"/>
      <c r="DC1577" s="213"/>
      <c r="DD1577" s="213"/>
      <c r="DE1577" s="213"/>
      <c r="DF1577" s="213"/>
      <c r="DG1577" s="213"/>
      <c r="DH1577" s="213"/>
      <c r="DI1577" s="213"/>
      <c r="DJ1577" s="213"/>
      <c r="DL1577" s="213"/>
      <c r="DM1577" s="213"/>
      <c r="DN1577" s="213"/>
      <c r="DO1577" s="213"/>
      <c r="DP1577" s="213"/>
      <c r="DQ1577" s="213"/>
      <c r="DR1577" s="213"/>
      <c r="DS1577" s="213"/>
      <c r="DT1577" s="213"/>
      <c r="DU1577" s="213"/>
      <c r="DV1577" s="213"/>
      <c r="DX1577" s="213"/>
      <c r="DY1577" s="213"/>
      <c r="DZ1577" s="213"/>
      <c r="EA1577" s="213"/>
      <c r="EB1577" s="213"/>
      <c r="EC1577" s="213"/>
      <c r="ED1577" s="213"/>
      <c r="EE1577" s="213"/>
      <c r="EF1577" s="213"/>
      <c r="EG1577" s="213"/>
      <c r="EH1577" s="213"/>
      <c r="EJ1577" s="213"/>
      <c r="EK1577" s="213"/>
      <c r="EL1577" s="213"/>
      <c r="EM1577" s="213"/>
      <c r="EN1577" s="213"/>
      <c r="EO1577" s="213"/>
      <c r="EP1577" s="213"/>
      <c r="EQ1577" s="213"/>
      <c r="ER1577" s="213"/>
      <c r="ES1577" s="213"/>
      <c r="ET1577" s="213"/>
      <c r="EV1577" s="213"/>
      <c r="EW1577" s="213"/>
      <c r="EX1577" s="213"/>
      <c r="EY1577" s="213"/>
      <c r="EZ1577" s="213"/>
      <c r="FA1577" s="213"/>
      <c r="FB1577" s="213"/>
      <c r="FC1577" s="213"/>
      <c r="FD1577" s="213"/>
      <c r="FE1577" s="213"/>
      <c r="FF1577" s="213"/>
      <c r="FH1577" s="213"/>
      <c r="FI1577" s="213"/>
      <c r="FJ1577" s="213"/>
      <c r="FK1577" s="213"/>
      <c r="FL1577" s="213"/>
      <c r="FM1577" s="213"/>
      <c r="FN1577" s="213"/>
      <c r="FO1577" s="213"/>
      <c r="FP1577" s="213"/>
      <c r="FQ1577" s="213"/>
      <c r="FR1577" s="213"/>
      <c r="FT1577" s="213"/>
      <c r="FU1577" s="213"/>
      <c r="FV1577" s="213"/>
      <c r="FW1577" s="213"/>
      <c r="FX1577" s="213"/>
      <c r="FY1577" s="213"/>
      <c r="FZ1577" s="213"/>
      <c r="GA1577" s="213"/>
      <c r="GB1577" s="213"/>
      <c r="GC1577" s="213"/>
      <c r="GD1577" s="213"/>
    </row>
    <row r="1578" spans="1:186" ht="12.6" customHeight="1" x14ac:dyDescent="0.2">
      <c r="A1578" s="362"/>
      <c r="B1578" s="208" t="s">
        <v>592</v>
      </c>
      <c r="C1578" s="210" t="s">
        <v>3</v>
      </c>
      <c r="D1578" s="209"/>
      <c r="E1578" s="209"/>
      <c r="F1578" s="209"/>
      <c r="G1578" s="346"/>
      <c r="H1578" s="1157">
        <v>2</v>
      </c>
      <c r="I1578" s="363">
        <v>45383</v>
      </c>
      <c r="J1578" s="546">
        <v>46295</v>
      </c>
      <c r="K1578" s="209">
        <f t="shared" ref="K1578:K1585" si="1248">IF(MONTH(J1578)&lt;=3,YEAR(J1578),YEAR(J1578)+1)</f>
        <v>2027</v>
      </c>
      <c r="L1578" s="215"/>
      <c r="M1578" s="215">
        <v>9000</v>
      </c>
      <c r="N1578" s="212"/>
      <c r="O1578" s="212"/>
      <c r="P1578" s="209"/>
      <c r="Q1578" s="213">
        <f t="shared" ref="Q1578:AA1592" si="1249">IF(OR(ISERROR(Q$1575-$J1578),(Q$1575-$J1578)&gt;=365),365,IF((Q$1575-$J1578)&lt;=0,0,Q$1575-$J1578))</f>
        <v>0</v>
      </c>
      <c r="R1578" s="213">
        <f t="shared" ref="R1578:Z1592" si="1250">IF(OR(ISERROR(R$1575-$J1578),(R$1575-$J1578)&gt;=365),365,IF((R$1575-$J1578)&lt;=0,0,R$1575-$J1578))</f>
        <v>0</v>
      </c>
      <c r="S1578" s="213">
        <f t="shared" si="1250"/>
        <v>0</v>
      </c>
      <c r="T1578" s="213">
        <f t="shared" si="1250"/>
        <v>0</v>
      </c>
      <c r="U1578" s="213">
        <f t="shared" si="1250"/>
        <v>0</v>
      </c>
      <c r="V1578" s="213">
        <f t="shared" si="1250"/>
        <v>182</v>
      </c>
      <c r="W1578" s="213">
        <f t="shared" si="1250"/>
        <v>365</v>
      </c>
      <c r="X1578" s="213">
        <f t="shared" si="1250"/>
        <v>365</v>
      </c>
      <c r="Y1578" s="213">
        <f t="shared" si="1250"/>
        <v>365</v>
      </c>
      <c r="Z1578" s="213">
        <f t="shared" si="1250"/>
        <v>365</v>
      </c>
      <c r="AA1578" s="213">
        <f t="shared" si="1249"/>
        <v>365</v>
      </c>
      <c r="AB1578" s="214"/>
      <c r="AC1578" s="213">
        <f t="shared" ref="AC1578:AC1580" si="1251">IF(AND(P1578=0,Q1578&gt;0),1,IF(AB1578=0,0,AB1578+1))</f>
        <v>0</v>
      </c>
      <c r="AD1578" s="213">
        <f t="shared" ref="AD1578:AD1592" si="1252">IF(AND(Q1578=0,R1578&gt;0),1,IF(AC1578=0,0,AC1578+1))</f>
        <v>0</v>
      </c>
      <c r="AE1578" s="213">
        <f t="shared" ref="AE1578:AE1592" si="1253">IF(AND(R1578=0,S1578&gt;0),1,IF(AD1578=0,0,AD1578+1))</f>
        <v>0</v>
      </c>
      <c r="AF1578" s="213">
        <f t="shared" ref="AF1578:AF1592" si="1254">IF(AND(S1578=0,T1578&gt;0),1,IF(AE1578=0,0,AE1578+1))</f>
        <v>0</v>
      </c>
      <c r="AG1578" s="213">
        <f t="shared" ref="AG1578:AG1592" si="1255">IF(AND(T1578=0,U1578&gt;0),1,IF(AF1578=0,0,AF1578+1))</f>
        <v>0</v>
      </c>
      <c r="AH1578" s="213">
        <f t="shared" ref="AH1578:AH1592" si="1256">IF(AND(U1578=0,V1578&gt;0),1,IF(AG1578=0,0,AG1578+1))</f>
        <v>1</v>
      </c>
      <c r="AI1578" s="213">
        <f t="shared" ref="AI1578:AI1592" si="1257">IF(AND(V1578=0,W1578&gt;0),1,IF(AH1578=0,0,AH1578+1))</f>
        <v>2</v>
      </c>
      <c r="AJ1578" s="213">
        <f t="shared" ref="AJ1578:AJ1592" si="1258">IF(AND(W1578=0,X1578&gt;0),1,IF(AI1578=0,0,AI1578+1))</f>
        <v>3</v>
      </c>
      <c r="AK1578" s="213">
        <f t="shared" ref="AK1578:AK1592" si="1259">IF(AND(X1578=0,Y1578&gt;0),1,IF(AJ1578=0,0,AJ1578+1))</f>
        <v>4</v>
      </c>
      <c r="AL1578" s="213">
        <f t="shared" ref="AL1578:AL1592" si="1260">IF(AND(Y1578=0,Z1578&gt;0),1,IF(AK1578=0,0,AK1578+1))</f>
        <v>5</v>
      </c>
      <c r="AM1578" s="213">
        <f t="shared" ref="AM1578:AM1592" si="1261">IF(AND(Z1578=0,AA1578&gt;0),1,IF(AL1578=0,0,AL1578+1))</f>
        <v>6</v>
      </c>
      <c r="AO1578" s="213">
        <f>IF(AND(AC1578&gt;0,AB1578=0),$H1578,0)</f>
        <v>0</v>
      </c>
      <c r="AP1578" s="213">
        <f t="shared" ref="AP1578:AP1592" si="1262">IF(AND(AD1578&gt;0,AC1578=0),$H1578,0)</f>
        <v>0</v>
      </c>
      <c r="AQ1578" s="213">
        <f t="shared" ref="AQ1578:AQ1592" si="1263">IF(AND(AE1578&gt;0,AD1578=0),$H1578,0)</f>
        <v>0</v>
      </c>
      <c r="AR1578" s="213">
        <f t="shared" ref="AR1578:AR1592" si="1264">IF(AND(AF1578&gt;0,AE1578=0),$H1578,0)</f>
        <v>0</v>
      </c>
      <c r="AS1578" s="213">
        <f t="shared" ref="AS1578:AS1592" si="1265">IF(AND(AG1578&gt;0,AF1578=0),$H1578,0)</f>
        <v>0</v>
      </c>
      <c r="AT1578" s="213">
        <f t="shared" ref="AT1578:AT1592" si="1266">IF(AND(AH1578&gt;0,AG1578=0),$H1578,0)</f>
        <v>2</v>
      </c>
      <c r="AU1578" s="213">
        <f t="shared" ref="AU1578:AU1592" si="1267">IF(AND(AI1578&gt;0,AH1578=0),$H1578,0)</f>
        <v>0</v>
      </c>
      <c r="AV1578" s="213">
        <f t="shared" ref="AV1578:AV1592" si="1268">IF(AND(AJ1578&gt;0,AI1578=0),$H1578,0)</f>
        <v>0</v>
      </c>
      <c r="AW1578" s="213">
        <f t="shared" ref="AW1578:AW1592" si="1269">IF(AND(AK1578&gt;0,AJ1578=0),$H1578,0)</f>
        <v>0</v>
      </c>
      <c r="AX1578" s="213">
        <f t="shared" ref="AX1578:AX1592" si="1270">IF(AND(AL1578&gt;0,AK1578=0),$H1578,0)</f>
        <v>0</v>
      </c>
      <c r="AY1578" s="213">
        <f t="shared" ref="AY1578:AY1592" si="1271">IF(AND(AM1578&gt;0,AL1578=0),$H1578,0)</f>
        <v>0</v>
      </c>
      <c r="BA1578" s="551">
        <v>0.3</v>
      </c>
      <c r="BB1578" s="551">
        <v>4.4999999999999998E-2</v>
      </c>
      <c r="BC1578" s="315"/>
      <c r="BD1578" s="213">
        <f t="shared" ref="BD1578:BD1592" si="1272">$BB1578*$M1578*(Q1578/365)*(90%)</f>
        <v>0</v>
      </c>
      <c r="BE1578" s="213">
        <f t="shared" ref="BE1578:BE1592" si="1273">$BB1578*$M1578*(R1578/365)*(90%)</f>
        <v>0</v>
      </c>
      <c r="BF1578" s="213">
        <f t="shared" ref="BF1578:BF1592" si="1274">$BB1578*$M1578*(S1578/365)*(90%)</f>
        <v>0</v>
      </c>
      <c r="BG1578" s="213">
        <f t="shared" ref="BG1578:BG1592" si="1275">$BB1578*$M1578*(T1578/365)*(90%)</f>
        <v>0</v>
      </c>
      <c r="BH1578" s="213">
        <f t="shared" ref="BH1578:BH1592" si="1276">$BB1578*$M1578*(U1578/365)*(90%)</f>
        <v>0</v>
      </c>
      <c r="BI1578" s="213">
        <f t="shared" ref="BI1578:BI1592" si="1277">$BB1578*$M1578*(V1578/365)*(90%)</f>
        <v>181.75068493150687</v>
      </c>
      <c r="BJ1578" s="213">
        <f t="shared" ref="BJ1578:BJ1592" si="1278">$BB1578*$M1578*(W1578/365)*(90%)</f>
        <v>364.5</v>
      </c>
      <c r="BK1578" s="213">
        <f t="shared" ref="BK1578:BK1592" si="1279">$BB1578*$M1578*(X1578/365)*(90%)</f>
        <v>364.5</v>
      </c>
      <c r="BL1578" s="213">
        <f t="shared" ref="BL1578:BL1592" si="1280">$BB1578*$M1578*(Y1578/365)*(90%)</f>
        <v>364.5</v>
      </c>
      <c r="BM1578" s="213"/>
      <c r="BN1578" s="213"/>
      <c r="BP1578" s="216">
        <f t="shared" ref="BP1578:BX1578" si="1281">IF(AND($J1578&gt;BO$1575,$J1578&lt;=BP$1575),IF($I1578&gt;BO$1575,$J1578-$I1578,$J1578-BO$1575),IF($J1578&lt;=BO$1575,0,IF(AND($I1578&gt;BO$1575,$I1578&lt;=BP$1575),BP$1575-$I1578,IF($I1578&gt;BP$1575,0,BP$1575-BO$1575))))</f>
        <v>0</v>
      </c>
      <c r="BQ1578" s="216">
        <f t="shared" si="1281"/>
        <v>0</v>
      </c>
      <c r="BR1578" s="216">
        <f t="shared" si="1281"/>
        <v>0</v>
      </c>
      <c r="BS1578" s="216">
        <f t="shared" si="1281"/>
        <v>364</v>
      </c>
      <c r="BT1578" s="216">
        <f t="shared" si="1281"/>
        <v>365</v>
      </c>
      <c r="BU1578" s="216">
        <f t="shared" si="1281"/>
        <v>183</v>
      </c>
      <c r="BV1578" s="216">
        <f t="shared" si="1281"/>
        <v>0</v>
      </c>
      <c r="BW1578" s="216">
        <f t="shared" si="1281"/>
        <v>0</v>
      </c>
      <c r="BX1578" s="216">
        <f t="shared" si="1281"/>
        <v>0</v>
      </c>
      <c r="BY1578" s="216"/>
      <c r="BZ1578" s="216"/>
      <c r="CB1578" s="316"/>
      <c r="CC1578" s="354">
        <f t="shared" ref="CC1578:CJ1584" si="1282">BQ1578/($J1578-$I1578)</f>
        <v>0</v>
      </c>
      <c r="CD1578" s="354">
        <f t="shared" si="1282"/>
        <v>0</v>
      </c>
      <c r="CE1578" s="354">
        <f>BS1578/($J1578-$I1578)-35%</f>
        <v>4.9122807017543901E-2</v>
      </c>
      <c r="CF1578" s="354">
        <f>BT1578/($J1578-$I1578)-10%</f>
        <v>0.300219298245614</v>
      </c>
      <c r="CG1578" s="354">
        <f t="shared" si="1282"/>
        <v>0.20065789473684212</v>
      </c>
      <c r="CH1578" s="354">
        <f t="shared" si="1282"/>
        <v>0</v>
      </c>
      <c r="CI1578" s="354">
        <f t="shared" si="1282"/>
        <v>0</v>
      </c>
      <c r="CJ1578" s="354">
        <f t="shared" si="1282"/>
        <v>0</v>
      </c>
      <c r="CK1578" s="316"/>
      <c r="CL1578" s="316"/>
      <c r="CM1578" s="539">
        <f>SUM(CC1578:CL1578)</f>
        <v>0.55000000000000004</v>
      </c>
      <c r="CN1578" s="213">
        <f t="shared" ref="CN1578:CN1592" si="1283">IF($M1578*CB1578&lt;=0,,$M1578*CB1578)</f>
        <v>0</v>
      </c>
      <c r="CO1578" s="213">
        <f t="shared" ref="CO1578:CO1592" si="1284">IF($M1578*CC1578&lt;=0,,$M1578*CC1578)</f>
        <v>0</v>
      </c>
      <c r="CP1578" s="213">
        <f t="shared" ref="CP1578:CP1592" si="1285">IF($M1578*CD1578&lt;=0,,$M1578*CD1578)</f>
        <v>0</v>
      </c>
      <c r="CQ1578" s="213">
        <f t="shared" ref="CQ1578:CQ1592" si="1286">IF($M1578*CE1578&lt;=0,,$M1578*CE1578)</f>
        <v>442.10526315789514</v>
      </c>
      <c r="CR1578" s="213">
        <f t="shared" ref="CR1578:CR1592" si="1287">IF($M1578*CF1578&lt;=0,,$M1578*CF1578)</f>
        <v>2701.9736842105258</v>
      </c>
      <c r="CS1578" s="213">
        <f t="shared" ref="CS1578:CS1592" si="1288">IF($M1578*CG1578&lt;=0,,$M1578*CG1578)</f>
        <v>1805.921052631579</v>
      </c>
      <c r="CT1578" s="213">
        <f t="shared" ref="CT1578:CT1592" si="1289">IF($M1578*CH1578&lt;=0,,$M1578*CH1578)</f>
        <v>0</v>
      </c>
      <c r="CU1578" s="213">
        <f t="shared" ref="CU1578:CU1592" si="1290">IF($M1578*CI1578&lt;=0,,$M1578*CI1578)</f>
        <v>0</v>
      </c>
      <c r="CV1578" s="213">
        <f t="shared" ref="CV1578:CV1592" si="1291">IF($M1578*CJ1578&lt;=0,,$M1578*CJ1578)</f>
        <v>0</v>
      </c>
      <c r="CW1578" s="213"/>
      <c r="CX1578" s="213"/>
      <c r="CZ1578" s="213">
        <f t="shared" ref="CZ1578:CZ1592" si="1292">$BA1578*CN1578</f>
        <v>0</v>
      </c>
      <c r="DA1578" s="213">
        <f t="shared" ref="DA1578:DA1592" si="1293">$BA1578*CO1578</f>
        <v>0</v>
      </c>
      <c r="DB1578" s="213">
        <f t="shared" ref="DB1578:DB1592" si="1294">$BA1578*CP1578</f>
        <v>0</v>
      </c>
      <c r="DC1578" s="213">
        <f t="shared" ref="DC1578:DC1592" si="1295">$BA1578*CQ1578</f>
        <v>132.63157894736852</v>
      </c>
      <c r="DD1578" s="213">
        <f t="shared" ref="DD1578:DD1592" si="1296">$BA1578*CR1578</f>
        <v>810.59210526315769</v>
      </c>
      <c r="DE1578" s="213">
        <f t="shared" ref="DE1578:DE1592" si="1297">$BA1578*CS1578</f>
        <v>541.77631578947364</v>
      </c>
      <c r="DF1578" s="213">
        <f t="shared" ref="DF1578:DF1592" si="1298">$BA1578*CT1578</f>
        <v>0</v>
      </c>
      <c r="DG1578" s="213">
        <f t="shared" ref="DG1578:DG1592" si="1299">$BA1578*CU1578</f>
        <v>0</v>
      </c>
      <c r="DH1578" s="213">
        <f t="shared" ref="DH1578:DH1592" si="1300">$BA1578*CV1578</f>
        <v>0</v>
      </c>
      <c r="DI1578" s="213"/>
      <c r="DJ1578" s="213"/>
      <c r="DL1578" s="213">
        <f t="shared" ref="DL1578:DT1580" si="1301">CN1578-CZ1578</f>
        <v>0</v>
      </c>
      <c r="DM1578" s="213">
        <f t="shared" si="1301"/>
        <v>0</v>
      </c>
      <c r="DN1578" s="213">
        <f t="shared" si="1301"/>
        <v>0</v>
      </c>
      <c r="DO1578" s="213">
        <f t="shared" si="1301"/>
        <v>309.47368421052659</v>
      </c>
      <c r="DP1578" s="213">
        <f t="shared" si="1301"/>
        <v>1891.3815789473681</v>
      </c>
      <c r="DQ1578" s="213">
        <f t="shared" si="1301"/>
        <v>1264.1447368421054</v>
      </c>
      <c r="DR1578" s="213">
        <f t="shared" si="1301"/>
        <v>0</v>
      </c>
      <c r="DS1578" s="213">
        <f t="shared" si="1301"/>
        <v>0</v>
      </c>
      <c r="DT1578" s="213">
        <f t="shared" si="1301"/>
        <v>0</v>
      </c>
      <c r="DU1578" s="213"/>
      <c r="DV1578" s="213"/>
      <c r="DX1578" s="213">
        <f t="shared" ref="DX1578:DX1592" si="1302">IF(AC1578&lt;=26,IF(AND(P1578=0,Q1578&gt;0),0,IF(Q1578&gt;0,($M1578*(1-$BA1578))/25,0)),0)</f>
        <v>0</v>
      </c>
      <c r="DY1578" s="213">
        <f t="shared" ref="DY1578:DY1592" si="1303">IF(AD1578&lt;=26,IF(AND(Q1578=0,R1578&gt;0),0,IF(R1578&gt;0,($M1578*(1-$BA1578))/25,0)),0)</f>
        <v>0</v>
      </c>
      <c r="DZ1578" s="213">
        <f t="shared" ref="DZ1578:DZ1592" si="1304">IF(AE1578&lt;=26,IF(AND(R1578=0,S1578&gt;0),0,IF(S1578&gt;0,($M1578*(1-$BA1578))/25,0)),0)</f>
        <v>0</v>
      </c>
      <c r="EA1578" s="213">
        <f t="shared" ref="EA1578:EA1592" si="1305">IF(AF1578&lt;=26,IF(AND(S1578=0,T1578&gt;0),0,IF(T1578&gt;0,($M1578*(1-$BA1578))/25,0)),0)</f>
        <v>0</v>
      </c>
      <c r="EB1578" s="213">
        <f t="shared" ref="EB1578:EB1592" si="1306">IF(AG1578&lt;=26,IF(AND(T1578=0,U1578&gt;0),0,IF(U1578&gt;0,($M1578*(1-$BA1578))/25,0)),0)</f>
        <v>0</v>
      </c>
      <c r="EC1578" s="213">
        <f t="shared" ref="EC1578:EC1592" si="1307">IF(AH1578&lt;=26,IF(AND(U1578=0,V1578&gt;0),0,IF(V1578&gt;0,($M1578*(1-$BA1578))/25,0)),0)</f>
        <v>0</v>
      </c>
      <c r="ED1578" s="213">
        <f t="shared" ref="ED1578:ED1592" si="1308">IF(AI1578&lt;=26,IF(AND(V1578=0,W1578&gt;0),0,IF(W1578&gt;0,($M1578*(1-$BA1578))/25,0)),0)</f>
        <v>252</v>
      </c>
      <c r="EE1578" s="213">
        <f t="shared" ref="EE1578:EE1592" si="1309">IF(AJ1578&lt;=26,IF(AND(W1578=0,X1578&gt;0),0,IF(X1578&gt;0,($M1578*(1-$BA1578))/25,0)),0)</f>
        <v>252</v>
      </c>
      <c r="EF1578" s="213">
        <f t="shared" ref="EF1578:EF1592" si="1310">IF(AK1578&lt;=26,IF(AND(X1578=0,Y1578&gt;0),0,IF(Y1578&gt;0,($M1578*(1-$BA1578))/25,0)),0)</f>
        <v>252</v>
      </c>
      <c r="EG1578" s="213"/>
      <c r="EH1578" s="213"/>
      <c r="EJ1578" s="213">
        <f>+IF(AC1578&gt;0,$M1578*(1-$BA1578)-SUM($DX1578:DX1578),DL1578)</f>
        <v>0</v>
      </c>
      <c r="EK1578" s="213">
        <f>+IF(AD1578&gt;0,$M1578*(1-$BA1578)-SUM($DX1578:DY1578),DM1578)</f>
        <v>0</v>
      </c>
      <c r="EL1578" s="213">
        <f>+IF(AE1578&gt;0,$M1578*(1-$BA1578)-SUM($DX1578:DZ1578),DN1578)</f>
        <v>0</v>
      </c>
      <c r="EM1578" s="213">
        <f>+IF(AF1578&gt;0,$M1578*(1-$BA1578)-SUM($DX1578:EA1578),DO1578)</f>
        <v>309.47368421052659</v>
      </c>
      <c r="EN1578" s="213">
        <f>+IF(AG1578&gt;0,$M1578*(1-$BA1578)-SUM($DX1578:EB1578),DP1578)</f>
        <v>1891.3815789473681</v>
      </c>
      <c r="EO1578" s="213">
        <f>+IF(AH1578&gt;0,$M1578*(1-$BA1578)-SUM($DX1578:EC1578),DQ1578)</f>
        <v>6300</v>
      </c>
      <c r="EP1578" s="213">
        <f>+IF(AI1578&gt;0,$M1578*(1-$BA1578)-SUM($DX1578:ED1578),DR1578)</f>
        <v>6048</v>
      </c>
      <c r="EQ1578" s="213">
        <f>+IF(AJ1578&gt;0,$M1578*(1-$BA1578)-SUM($DX1578:EE1578),DS1578)</f>
        <v>5796</v>
      </c>
      <c r="ER1578" s="213">
        <f>+IF(AK1578&gt;0,$M1578*(1-$BA1578)-SUM($DX1578:EF1578),DT1578)</f>
        <v>5544</v>
      </c>
      <c r="ES1578" s="213"/>
      <c r="ET1578" s="213"/>
      <c r="EV1578" s="213"/>
      <c r="EW1578" s="213">
        <f t="shared" ref="EW1578:EW1592" si="1311">EK1578*(EW$1576)*(R1578/365)</f>
        <v>0</v>
      </c>
      <c r="EX1578" s="213">
        <f t="shared" ref="EX1578:EX1592" si="1312">EL1578*(EX$1576)*(S1578/365)</f>
        <v>0</v>
      </c>
      <c r="EY1578" s="213">
        <f t="shared" ref="EY1578:EY1592" si="1313">EM1578*(EY$1576)*(T1578/365)</f>
        <v>0</v>
      </c>
      <c r="EZ1578" s="213">
        <f t="shared" ref="EZ1578:EZ1592" si="1314">EN1578*(EZ$1576)*(U1578/365)</f>
        <v>0</v>
      </c>
      <c r="FA1578" s="213">
        <f t="shared" ref="FA1578:FA1592" si="1315">EO1578*(FA$1576)*(V1578/365)</f>
        <v>219.89589041095894</v>
      </c>
      <c r="FB1578" s="213">
        <f t="shared" ref="FB1578:FB1592" si="1316">EP1578*(FB$1576)*(W1578/365)</f>
        <v>393.12</v>
      </c>
      <c r="FC1578" s="213">
        <f t="shared" ref="FC1578:FC1592" si="1317">EQ1578*(FC$1576)*(X1578/365)</f>
        <v>376.74</v>
      </c>
      <c r="FD1578" s="213">
        <f t="shared" ref="FD1578:FD1592" si="1318">ER1578*(FD$1576)*(Y1578/365)</f>
        <v>360.36</v>
      </c>
      <c r="FE1578" s="213"/>
      <c r="FF1578" s="213"/>
      <c r="FH1578" s="213">
        <f t="shared" ref="FH1578:FH1592" si="1319">IF(AC1578=1,$M1578,)</f>
        <v>0</v>
      </c>
      <c r="FI1578" s="213">
        <f t="shared" ref="FI1578:FI1592" si="1320">IF(AD1578=1,$M1578,)</f>
        <v>0</v>
      </c>
      <c r="FJ1578" s="213">
        <f>IF(AE1578=1,$M1578*'[4]Assumptions_Subs &amp; JV'!JL$503,)</f>
        <v>0</v>
      </c>
      <c r="FK1578" s="213">
        <f>IF(AF1578=1,$M1578*'[4]Assumptions_Subs &amp; JV'!JM$503,)</f>
        <v>0</v>
      </c>
      <c r="FL1578" s="213">
        <f t="shared" ref="FL1578:FL1592" si="1321">IF(AG1578=1,$M1578,)</f>
        <v>0</v>
      </c>
      <c r="FM1578" s="213">
        <f t="shared" ref="FM1578:FM1592" si="1322">IF(AH1578=1,$M1578,)</f>
        <v>9000</v>
      </c>
      <c r="FN1578" s="213">
        <f t="shared" ref="FN1578:FN1592" si="1323">IF(AI1578=1,$M1578,)</f>
        <v>0</v>
      </c>
      <c r="FO1578" s="213">
        <f t="shared" ref="FO1578:FO1592" si="1324">(IF(AJ1578=1,$M1578,))</f>
        <v>0</v>
      </c>
      <c r="FP1578" s="213">
        <f t="shared" ref="FP1578:FP1592" si="1325">IF(AK1578=1,$M1578,)</f>
        <v>0</v>
      </c>
      <c r="FQ1578" s="213"/>
      <c r="FR1578" s="213"/>
      <c r="FT1578" s="213">
        <f t="shared" ref="FT1578:FT1592" si="1326">IF(AC1578&lt;1,FS1578+CN1578,)</f>
        <v>0</v>
      </c>
      <c r="FU1578" s="213">
        <f t="shared" ref="FU1578:FU1592" si="1327">IF(AD1578&lt;1,FT1578+CO1578,)</f>
        <v>0</v>
      </c>
      <c r="FV1578" s="213">
        <f t="shared" ref="FV1578:FV1592" si="1328">IF(AE1578&lt;1,FU1578+CP1578,)</f>
        <v>0</v>
      </c>
      <c r="FW1578" s="213">
        <f t="shared" ref="FW1578:FW1592" si="1329">IF(AF1578&lt;1,FV1578+CQ1578,)</f>
        <v>442.10526315789514</v>
      </c>
      <c r="FX1578" s="213">
        <f t="shared" ref="FX1578:FX1592" si="1330">IF(AG1578&lt;1,FW1578+CR1578,)</f>
        <v>3144.0789473684208</v>
      </c>
      <c r="FY1578" s="213">
        <f t="shared" ref="FY1578:FY1592" si="1331">IF(AH1578&lt;1,FX1578+CS1578,)</f>
        <v>0</v>
      </c>
      <c r="FZ1578" s="213">
        <f t="shared" ref="FZ1578:FZ1592" si="1332">IF(AI1578&lt;1,FY1578+CT1578,)</f>
        <v>0</v>
      </c>
      <c r="GA1578" s="213">
        <f t="shared" ref="GA1578:GA1592" si="1333">IF(AJ1578&lt;1,FZ1578+CU1578,)</f>
        <v>0</v>
      </c>
      <c r="GB1578" s="213">
        <f t="shared" ref="GB1578:GB1592" si="1334">IF(AK1578&lt;1,GA1578+CV1578,)</f>
        <v>0</v>
      </c>
      <c r="GC1578" s="213"/>
      <c r="GD1578" s="213"/>
    </row>
    <row r="1579" spans="1:186" ht="12.6" customHeight="1" x14ac:dyDescent="0.2">
      <c r="A1579" s="362"/>
      <c r="B1579" s="208" t="s">
        <v>560</v>
      </c>
      <c r="C1579" s="210" t="s">
        <v>3</v>
      </c>
      <c r="D1579" s="209"/>
      <c r="E1579" s="209"/>
      <c r="F1579" s="209"/>
      <c r="G1579" s="346"/>
      <c r="H1579" s="1157">
        <v>20</v>
      </c>
      <c r="I1579" s="363">
        <v>45748</v>
      </c>
      <c r="J1579" s="546">
        <v>46478</v>
      </c>
      <c r="K1579" s="209">
        <f t="shared" si="1248"/>
        <v>2028</v>
      </c>
      <c r="L1579" s="215">
        <f>M1579/H1579</f>
        <v>491.45833333333337</v>
      </c>
      <c r="M1579" s="215">
        <f>Key!AD29</f>
        <v>9829.1666666666679</v>
      </c>
      <c r="N1579" s="212"/>
      <c r="O1579" s="212"/>
      <c r="P1579" s="209"/>
      <c r="Q1579" s="213">
        <f t="shared" si="1249"/>
        <v>0</v>
      </c>
      <c r="R1579" s="213">
        <f t="shared" si="1250"/>
        <v>0</v>
      </c>
      <c r="S1579" s="213">
        <f t="shared" si="1250"/>
        <v>0</v>
      </c>
      <c r="T1579" s="213">
        <f t="shared" si="1250"/>
        <v>0</v>
      </c>
      <c r="U1579" s="213">
        <f t="shared" si="1250"/>
        <v>0</v>
      </c>
      <c r="V1579" s="213">
        <f t="shared" si="1250"/>
        <v>0</v>
      </c>
      <c r="W1579" s="213">
        <f t="shared" si="1250"/>
        <v>365</v>
      </c>
      <c r="X1579" s="213">
        <f t="shared" si="1250"/>
        <v>365</v>
      </c>
      <c r="Y1579" s="213">
        <f t="shared" si="1250"/>
        <v>365</v>
      </c>
      <c r="Z1579" s="213">
        <f t="shared" si="1250"/>
        <v>365</v>
      </c>
      <c r="AA1579" s="213">
        <f t="shared" si="1249"/>
        <v>365</v>
      </c>
      <c r="AB1579" s="214"/>
      <c r="AC1579" s="213">
        <f t="shared" si="1251"/>
        <v>0</v>
      </c>
      <c r="AD1579" s="213">
        <f t="shared" si="1252"/>
        <v>0</v>
      </c>
      <c r="AE1579" s="213">
        <f t="shared" si="1253"/>
        <v>0</v>
      </c>
      <c r="AF1579" s="213">
        <f t="shared" si="1254"/>
        <v>0</v>
      </c>
      <c r="AG1579" s="213">
        <f t="shared" si="1255"/>
        <v>0</v>
      </c>
      <c r="AH1579" s="213">
        <f t="shared" si="1256"/>
        <v>0</v>
      </c>
      <c r="AI1579" s="213">
        <f t="shared" si="1257"/>
        <v>1</v>
      </c>
      <c r="AJ1579" s="213">
        <f t="shared" si="1258"/>
        <v>2</v>
      </c>
      <c r="AK1579" s="213">
        <f t="shared" si="1259"/>
        <v>3</v>
      </c>
      <c r="AL1579" s="213">
        <f t="shared" si="1260"/>
        <v>4</v>
      </c>
      <c r="AM1579" s="213">
        <f t="shared" si="1261"/>
        <v>5</v>
      </c>
      <c r="AO1579" s="213">
        <f t="shared" ref="AO1579:AO1592" si="1335">IF(AND(AC1579&gt;0,AB1579=0),$H1579,0)</f>
        <v>0</v>
      </c>
      <c r="AP1579" s="213">
        <f t="shared" si="1262"/>
        <v>0</v>
      </c>
      <c r="AQ1579" s="213">
        <f t="shared" si="1263"/>
        <v>0</v>
      </c>
      <c r="AR1579" s="213">
        <f t="shared" si="1264"/>
        <v>0</v>
      </c>
      <c r="AS1579" s="213">
        <f t="shared" si="1265"/>
        <v>0</v>
      </c>
      <c r="AT1579" s="213">
        <f t="shared" si="1266"/>
        <v>0</v>
      </c>
      <c r="AU1579" s="213">
        <f t="shared" si="1267"/>
        <v>20</v>
      </c>
      <c r="AV1579" s="213">
        <f t="shared" si="1268"/>
        <v>0</v>
      </c>
      <c r="AW1579" s="213">
        <f t="shared" si="1269"/>
        <v>0</v>
      </c>
      <c r="AX1579" s="213">
        <f t="shared" si="1270"/>
        <v>0</v>
      </c>
      <c r="AY1579" s="213">
        <f t="shared" si="1271"/>
        <v>0</v>
      </c>
      <c r="BA1579" s="551">
        <v>0.3</v>
      </c>
      <c r="BB1579" s="551">
        <v>4.4999999999999998E-2</v>
      </c>
      <c r="BC1579" s="315"/>
      <c r="BD1579" s="213">
        <f t="shared" si="1272"/>
        <v>0</v>
      </c>
      <c r="BE1579" s="213">
        <f t="shared" si="1273"/>
        <v>0</v>
      </c>
      <c r="BF1579" s="213">
        <f t="shared" si="1274"/>
        <v>0</v>
      </c>
      <c r="BG1579" s="213">
        <f t="shared" si="1275"/>
        <v>0</v>
      </c>
      <c r="BH1579" s="213">
        <f t="shared" si="1276"/>
        <v>0</v>
      </c>
      <c r="BI1579" s="213">
        <f t="shared" si="1277"/>
        <v>0</v>
      </c>
      <c r="BJ1579" s="213">
        <f t="shared" si="1278"/>
        <v>398.08125000000007</v>
      </c>
      <c r="BK1579" s="213">
        <f t="shared" si="1279"/>
        <v>398.08125000000007</v>
      </c>
      <c r="BL1579" s="213">
        <f t="shared" si="1280"/>
        <v>398.08125000000007</v>
      </c>
      <c r="BM1579" s="213"/>
      <c r="BN1579" s="213"/>
      <c r="BP1579" s="216">
        <f t="shared" ref="BP1579:BX1579" si="1336">IF(AND($J1579&gt;BO$1575,$J1579&lt;=BP$1575),IF($I1579&gt;BO$1575,$J1579-$I1579,$J1579-BO$1575),IF($J1579&lt;=BO$1575,0,IF(AND($I1579&gt;BO$1575,$I1579&lt;=BP$1575),BP$1575-$I1579,IF($I1579&gt;BP$1575,0,BP$1575-BO$1575))))</f>
        <v>0</v>
      </c>
      <c r="BQ1579" s="216">
        <f t="shared" si="1336"/>
        <v>0</v>
      </c>
      <c r="BR1579" s="216">
        <f t="shared" si="1336"/>
        <v>0</v>
      </c>
      <c r="BS1579" s="216">
        <f t="shared" si="1336"/>
        <v>0</v>
      </c>
      <c r="BT1579" s="216">
        <f t="shared" si="1336"/>
        <v>364</v>
      </c>
      <c r="BU1579" s="216">
        <f t="shared" si="1336"/>
        <v>365</v>
      </c>
      <c r="BV1579" s="216">
        <f t="shared" si="1336"/>
        <v>1</v>
      </c>
      <c r="BW1579" s="216">
        <f t="shared" si="1336"/>
        <v>0</v>
      </c>
      <c r="BX1579" s="216">
        <f t="shared" si="1336"/>
        <v>0</v>
      </c>
      <c r="BY1579" s="216"/>
      <c r="BZ1579" s="216"/>
      <c r="CB1579" s="316"/>
      <c r="CC1579" s="354">
        <f t="shared" si="1282"/>
        <v>0</v>
      </c>
      <c r="CD1579" s="354">
        <f t="shared" si="1282"/>
        <v>0</v>
      </c>
      <c r="CE1579" s="354">
        <f t="shared" si="1282"/>
        <v>0</v>
      </c>
      <c r="CF1579" s="354">
        <f>BT1579/($J1579-$I1579)-20%</f>
        <v>0.29863013698630136</v>
      </c>
      <c r="CG1579" s="354">
        <f>BU1579/($J1579-$I1579)+20%</f>
        <v>0.7</v>
      </c>
      <c r="CH1579" s="354">
        <f t="shared" si="1282"/>
        <v>1.3698630136986301E-3</v>
      </c>
      <c r="CI1579" s="354">
        <f t="shared" si="1282"/>
        <v>0</v>
      </c>
      <c r="CJ1579" s="354">
        <f t="shared" si="1282"/>
        <v>0</v>
      </c>
      <c r="CK1579" s="316"/>
      <c r="CL1579" s="316"/>
      <c r="CM1579" s="539">
        <f t="shared" ref="CM1579:CM1592" si="1337">SUM(CC1579:CL1579)</f>
        <v>1</v>
      </c>
      <c r="CN1579" s="213">
        <f t="shared" si="1283"/>
        <v>0</v>
      </c>
      <c r="CO1579" s="213">
        <f t="shared" si="1284"/>
        <v>0</v>
      </c>
      <c r="CP1579" s="213">
        <f t="shared" si="1285"/>
        <v>0</v>
      </c>
      <c r="CQ1579" s="213">
        <f t="shared" si="1286"/>
        <v>0</v>
      </c>
      <c r="CR1579" s="213">
        <f t="shared" si="1287"/>
        <v>2935.2853881278543</v>
      </c>
      <c r="CS1579" s="213">
        <f t="shared" si="1288"/>
        <v>6880.416666666667</v>
      </c>
      <c r="CT1579" s="213">
        <f t="shared" si="1289"/>
        <v>13.46461187214612</v>
      </c>
      <c r="CU1579" s="213">
        <f t="shared" si="1290"/>
        <v>0</v>
      </c>
      <c r="CV1579" s="213">
        <f t="shared" si="1291"/>
        <v>0</v>
      </c>
      <c r="CW1579" s="213"/>
      <c r="CX1579" s="213"/>
      <c r="CZ1579" s="213">
        <f t="shared" si="1292"/>
        <v>0</v>
      </c>
      <c r="DA1579" s="213">
        <f t="shared" si="1293"/>
        <v>0</v>
      </c>
      <c r="DB1579" s="213">
        <f t="shared" si="1294"/>
        <v>0</v>
      </c>
      <c r="DC1579" s="213">
        <f t="shared" si="1295"/>
        <v>0</v>
      </c>
      <c r="DD1579" s="213">
        <f>$BA1579*CR1579</f>
        <v>880.58561643835628</v>
      </c>
      <c r="DE1579" s="213">
        <f t="shared" si="1297"/>
        <v>2064.125</v>
      </c>
      <c r="DF1579" s="213">
        <f t="shared" si="1298"/>
        <v>4.0393835616438363</v>
      </c>
      <c r="DG1579" s="213">
        <f t="shared" si="1299"/>
        <v>0</v>
      </c>
      <c r="DH1579" s="213">
        <f t="shared" si="1300"/>
        <v>0</v>
      </c>
      <c r="DI1579" s="213"/>
      <c r="DJ1579" s="213"/>
      <c r="DL1579" s="213">
        <f t="shared" si="1301"/>
        <v>0</v>
      </c>
      <c r="DM1579" s="213">
        <f t="shared" si="1301"/>
        <v>0</v>
      </c>
      <c r="DN1579" s="213">
        <f t="shared" si="1301"/>
        <v>0</v>
      </c>
      <c r="DO1579" s="213">
        <f t="shared" si="1301"/>
        <v>0</v>
      </c>
      <c r="DP1579" s="213">
        <f t="shared" si="1301"/>
        <v>2054.699771689498</v>
      </c>
      <c r="DQ1579" s="213">
        <f t="shared" si="1301"/>
        <v>4816.291666666667</v>
      </c>
      <c r="DR1579" s="213">
        <f t="shared" si="1301"/>
        <v>9.425228310502284</v>
      </c>
      <c r="DS1579" s="213">
        <f t="shared" si="1301"/>
        <v>0</v>
      </c>
      <c r="DT1579" s="213">
        <f t="shared" si="1301"/>
        <v>0</v>
      </c>
      <c r="DU1579" s="213"/>
      <c r="DV1579" s="213"/>
      <c r="DX1579" s="213">
        <f t="shared" si="1302"/>
        <v>0</v>
      </c>
      <c r="DY1579" s="213">
        <f t="shared" si="1303"/>
        <v>0</v>
      </c>
      <c r="DZ1579" s="213">
        <f t="shared" si="1304"/>
        <v>0</v>
      </c>
      <c r="EA1579" s="213">
        <f t="shared" si="1305"/>
        <v>0</v>
      </c>
      <c r="EB1579" s="213">
        <f t="shared" si="1306"/>
        <v>0</v>
      </c>
      <c r="EC1579" s="213">
        <f t="shared" si="1307"/>
        <v>0</v>
      </c>
      <c r="ED1579" s="213">
        <f t="shared" si="1308"/>
        <v>0</v>
      </c>
      <c r="EE1579" s="213">
        <f t="shared" si="1309"/>
        <v>275.2166666666667</v>
      </c>
      <c r="EF1579" s="213">
        <f t="shared" si="1310"/>
        <v>275.2166666666667</v>
      </c>
      <c r="EG1579" s="213"/>
      <c r="EH1579" s="213"/>
      <c r="EJ1579" s="213">
        <f>+IF(AC1579&gt;0,$M1579*(1-$BA1579)-SUM($DX1579:DX1579),DL1579)</f>
        <v>0</v>
      </c>
      <c r="EK1579" s="213">
        <f>+IF(AD1579&gt;0,$M1579*(1-$BA1579)-SUM($DX1579:DY1579),DM1579)</f>
        <v>0</v>
      </c>
      <c r="EL1579" s="213">
        <f>+IF(AE1579&gt;0,$M1579*(1-$BA1579)-SUM($DX1579:DZ1579),DN1579)</f>
        <v>0</v>
      </c>
      <c r="EM1579" s="213">
        <f>+IF(AF1579&gt;0,$M1579*(1-$BA1579)-SUM($DX1579:EA1579),DO1579)</f>
        <v>0</v>
      </c>
      <c r="EN1579" s="213">
        <f>+IF(AG1579&gt;0,$M1579*(1-$BA1579)-SUM($DX1579:EB1579),DP1579)</f>
        <v>2054.699771689498</v>
      </c>
      <c r="EO1579" s="213">
        <f>+IF(AH1579&gt;0,$M1579*(1-$BA1579)-SUM($DX1579:EC1579),DQ1579)</f>
        <v>4816.291666666667</v>
      </c>
      <c r="EP1579" s="213">
        <f>+IF(AI1579&gt;0,$M1579*(1-$BA1579)-SUM($DX1579:ED1579),DR1579)</f>
        <v>6880.416666666667</v>
      </c>
      <c r="EQ1579" s="213">
        <f>+IF(AJ1579&gt;0,$M1579*(1-$BA1579)-SUM($DX1579:EE1579),DS1579)</f>
        <v>6605.2000000000007</v>
      </c>
      <c r="ER1579" s="213">
        <f>+IF(AK1579&gt;0,$M1579*(1-$BA1579)-SUM($DX1579:EF1579),DT1579)</f>
        <v>6329.9833333333336</v>
      </c>
      <c r="ES1579" s="213"/>
      <c r="ET1579" s="213"/>
      <c r="EV1579" s="213"/>
      <c r="EW1579" s="213">
        <f t="shared" si="1311"/>
        <v>0</v>
      </c>
      <c r="EX1579" s="213">
        <f t="shared" si="1312"/>
        <v>0</v>
      </c>
      <c r="EY1579" s="213">
        <f t="shared" si="1313"/>
        <v>0</v>
      </c>
      <c r="EZ1579" s="213">
        <f t="shared" si="1314"/>
        <v>0</v>
      </c>
      <c r="FA1579" s="213">
        <f t="shared" si="1315"/>
        <v>0</v>
      </c>
      <c r="FB1579" s="213">
        <f t="shared" si="1316"/>
        <v>447.22708333333338</v>
      </c>
      <c r="FC1579" s="213">
        <f t="shared" si="1317"/>
        <v>429.33800000000008</v>
      </c>
      <c r="FD1579" s="213">
        <f t="shared" si="1318"/>
        <v>411.44891666666672</v>
      </c>
      <c r="FE1579" s="213"/>
      <c r="FF1579" s="213"/>
      <c r="FH1579" s="213">
        <f t="shared" si="1319"/>
        <v>0</v>
      </c>
      <c r="FI1579" s="213">
        <f t="shared" si="1320"/>
        <v>0</v>
      </c>
      <c r="FJ1579" s="213">
        <f>IF(AE1579=1,$M1579*'[4]Assumptions_Subs &amp; JV'!JL$503,)</f>
        <v>0</v>
      </c>
      <c r="FK1579" s="213">
        <f>IF(AF1579=1,$M1579*'[4]Assumptions_Subs &amp; JV'!JM$503,)</f>
        <v>0</v>
      </c>
      <c r="FL1579" s="213">
        <f t="shared" si="1321"/>
        <v>0</v>
      </c>
      <c r="FM1579" s="213">
        <f t="shared" si="1322"/>
        <v>0</v>
      </c>
      <c r="FN1579" s="213">
        <f t="shared" si="1323"/>
        <v>9829.1666666666679</v>
      </c>
      <c r="FO1579" s="213">
        <f t="shared" si="1324"/>
        <v>0</v>
      </c>
      <c r="FP1579" s="213">
        <f t="shared" si="1325"/>
        <v>0</v>
      </c>
      <c r="FQ1579" s="213"/>
      <c r="FR1579" s="213"/>
      <c r="FT1579" s="213">
        <f t="shared" si="1326"/>
        <v>0</v>
      </c>
      <c r="FU1579" s="213">
        <f t="shared" si="1327"/>
        <v>0</v>
      </c>
      <c r="FV1579" s="213">
        <f t="shared" si="1328"/>
        <v>0</v>
      </c>
      <c r="FW1579" s="213">
        <f t="shared" si="1329"/>
        <v>0</v>
      </c>
      <c r="FX1579" s="213">
        <f t="shared" si="1330"/>
        <v>2935.2853881278543</v>
      </c>
      <c r="FY1579" s="213">
        <f t="shared" si="1331"/>
        <v>9815.7020547945212</v>
      </c>
      <c r="FZ1579" s="213">
        <f t="shared" si="1332"/>
        <v>0</v>
      </c>
      <c r="GA1579" s="213">
        <f t="shared" si="1333"/>
        <v>0</v>
      </c>
      <c r="GB1579" s="213">
        <f t="shared" si="1334"/>
        <v>0</v>
      </c>
      <c r="GC1579" s="213"/>
      <c r="GD1579" s="213"/>
    </row>
    <row r="1580" spans="1:186" ht="12.6" customHeight="1" x14ac:dyDescent="0.2">
      <c r="A1580" s="362"/>
      <c r="B1580" s="208" t="s">
        <v>561</v>
      </c>
      <c r="C1580" s="210" t="s">
        <v>790</v>
      </c>
      <c r="D1580" s="209"/>
      <c r="E1580" s="209"/>
      <c r="F1580" s="209"/>
      <c r="G1580" s="346"/>
      <c r="H1580" s="1157">
        <v>16</v>
      </c>
      <c r="I1580" s="363">
        <v>45748</v>
      </c>
      <c r="J1580" s="546">
        <v>46478</v>
      </c>
      <c r="K1580" s="209">
        <f t="shared" si="1248"/>
        <v>2028</v>
      </c>
      <c r="L1580" s="215">
        <f>M1580/H1580</f>
        <v>860.05208333333326</v>
      </c>
      <c r="M1580" s="215">
        <f>Key!AD30</f>
        <v>13760.833333333332</v>
      </c>
      <c r="N1580" s="212"/>
      <c r="O1580" s="212"/>
      <c r="P1580" s="209"/>
      <c r="Q1580" s="213">
        <f t="shared" si="1249"/>
        <v>0</v>
      </c>
      <c r="R1580" s="213">
        <f t="shared" si="1250"/>
        <v>0</v>
      </c>
      <c r="S1580" s="213">
        <f t="shared" si="1250"/>
        <v>0</v>
      </c>
      <c r="T1580" s="213">
        <f t="shared" si="1250"/>
        <v>0</v>
      </c>
      <c r="U1580" s="213">
        <f t="shared" si="1250"/>
        <v>0</v>
      </c>
      <c r="V1580" s="213">
        <f t="shared" si="1250"/>
        <v>0</v>
      </c>
      <c r="W1580" s="213">
        <f t="shared" si="1250"/>
        <v>365</v>
      </c>
      <c r="X1580" s="213">
        <f t="shared" si="1250"/>
        <v>365</v>
      </c>
      <c r="Y1580" s="213">
        <f t="shared" si="1250"/>
        <v>365</v>
      </c>
      <c r="Z1580" s="213">
        <f t="shared" si="1250"/>
        <v>365</v>
      </c>
      <c r="AA1580" s="213">
        <f t="shared" si="1249"/>
        <v>365</v>
      </c>
      <c r="AB1580" s="214"/>
      <c r="AC1580" s="213">
        <f t="shared" si="1251"/>
        <v>0</v>
      </c>
      <c r="AD1580" s="213">
        <f t="shared" si="1252"/>
        <v>0</v>
      </c>
      <c r="AE1580" s="213">
        <f t="shared" si="1253"/>
        <v>0</v>
      </c>
      <c r="AF1580" s="213">
        <f t="shared" si="1254"/>
        <v>0</v>
      </c>
      <c r="AG1580" s="213">
        <f t="shared" si="1255"/>
        <v>0</v>
      </c>
      <c r="AH1580" s="213">
        <f t="shared" si="1256"/>
        <v>0</v>
      </c>
      <c r="AI1580" s="213">
        <f t="shared" si="1257"/>
        <v>1</v>
      </c>
      <c r="AJ1580" s="213">
        <f t="shared" si="1258"/>
        <v>2</v>
      </c>
      <c r="AK1580" s="213">
        <f t="shared" si="1259"/>
        <v>3</v>
      </c>
      <c r="AL1580" s="213">
        <f t="shared" si="1260"/>
        <v>4</v>
      </c>
      <c r="AM1580" s="213">
        <f t="shared" si="1261"/>
        <v>5</v>
      </c>
      <c r="AO1580" s="213">
        <f t="shared" si="1335"/>
        <v>0</v>
      </c>
      <c r="AP1580" s="213">
        <f t="shared" si="1262"/>
        <v>0</v>
      </c>
      <c r="AQ1580" s="213">
        <f t="shared" si="1263"/>
        <v>0</v>
      </c>
      <c r="AR1580" s="213">
        <f t="shared" si="1264"/>
        <v>0</v>
      </c>
      <c r="AS1580" s="213">
        <f t="shared" si="1265"/>
        <v>0</v>
      </c>
      <c r="AT1580" s="213">
        <f t="shared" si="1266"/>
        <v>0</v>
      </c>
      <c r="AU1580" s="213">
        <f t="shared" si="1267"/>
        <v>16</v>
      </c>
      <c r="AV1580" s="213">
        <f t="shared" si="1268"/>
        <v>0</v>
      </c>
      <c r="AW1580" s="213">
        <f t="shared" si="1269"/>
        <v>0</v>
      </c>
      <c r="AX1580" s="213">
        <f t="shared" si="1270"/>
        <v>0</v>
      </c>
      <c r="AY1580" s="213">
        <f t="shared" si="1271"/>
        <v>0</v>
      </c>
      <c r="BA1580" s="551">
        <v>0.3</v>
      </c>
      <c r="BB1580" s="551">
        <v>4.4999999999999998E-2</v>
      </c>
      <c r="BC1580" s="315"/>
      <c r="BD1580" s="213">
        <f t="shared" si="1272"/>
        <v>0</v>
      </c>
      <c r="BE1580" s="213">
        <f t="shared" si="1273"/>
        <v>0</v>
      </c>
      <c r="BF1580" s="213">
        <f t="shared" si="1274"/>
        <v>0</v>
      </c>
      <c r="BG1580" s="213">
        <f t="shared" si="1275"/>
        <v>0</v>
      </c>
      <c r="BH1580" s="213">
        <f t="shared" si="1276"/>
        <v>0</v>
      </c>
      <c r="BI1580" s="213">
        <f t="shared" si="1277"/>
        <v>0</v>
      </c>
      <c r="BJ1580" s="213">
        <f t="shared" si="1278"/>
        <v>557.31375000000003</v>
      </c>
      <c r="BK1580" s="213">
        <f t="shared" si="1279"/>
        <v>557.31375000000003</v>
      </c>
      <c r="BL1580" s="213">
        <f t="shared" si="1280"/>
        <v>557.31375000000003</v>
      </c>
      <c r="BM1580" s="213"/>
      <c r="BN1580" s="213"/>
      <c r="BP1580" s="216">
        <f t="shared" ref="BP1580:BX1580" si="1338">IF(AND($J1580&gt;BO$1575,$J1580&lt;=BP$1575),IF($I1580&gt;BO$1575,$J1580-$I1580,$J1580-BO$1575),IF($J1580&lt;=BO$1575,0,IF(AND($I1580&gt;BO$1575,$I1580&lt;=BP$1575),BP$1575-$I1580,IF($I1580&gt;BP$1575,0,BP$1575-BO$1575))))</f>
        <v>0</v>
      </c>
      <c r="BQ1580" s="216">
        <f t="shared" si="1338"/>
        <v>0</v>
      </c>
      <c r="BR1580" s="216">
        <f t="shared" si="1338"/>
        <v>0</v>
      </c>
      <c r="BS1580" s="216">
        <f t="shared" si="1338"/>
        <v>0</v>
      </c>
      <c r="BT1580" s="216">
        <f t="shared" si="1338"/>
        <v>364</v>
      </c>
      <c r="BU1580" s="216">
        <f t="shared" si="1338"/>
        <v>365</v>
      </c>
      <c r="BV1580" s="216">
        <f t="shared" si="1338"/>
        <v>1</v>
      </c>
      <c r="BW1580" s="216">
        <f t="shared" si="1338"/>
        <v>0</v>
      </c>
      <c r="BX1580" s="216">
        <f t="shared" si="1338"/>
        <v>0</v>
      </c>
      <c r="BY1580" s="216"/>
      <c r="BZ1580" s="216"/>
      <c r="CB1580" s="316"/>
      <c r="CC1580" s="354">
        <f t="shared" si="1282"/>
        <v>0</v>
      </c>
      <c r="CD1580" s="354">
        <f t="shared" si="1282"/>
        <v>0</v>
      </c>
      <c r="CE1580" s="354">
        <f t="shared" si="1282"/>
        <v>0</v>
      </c>
      <c r="CF1580" s="354">
        <f>BT1580/($J1580-$I1580)-20%</f>
        <v>0.29863013698630136</v>
      </c>
      <c r="CG1580" s="354">
        <f>BU1580/($J1580-$I1580)+20%</f>
        <v>0.7</v>
      </c>
      <c r="CH1580" s="354">
        <f t="shared" si="1282"/>
        <v>1.3698630136986301E-3</v>
      </c>
      <c r="CI1580" s="354">
        <f t="shared" si="1282"/>
        <v>0</v>
      </c>
      <c r="CJ1580" s="354">
        <f t="shared" si="1282"/>
        <v>0</v>
      </c>
      <c r="CK1580" s="316"/>
      <c r="CL1580" s="316"/>
      <c r="CM1580" s="539">
        <f t="shared" si="1337"/>
        <v>1</v>
      </c>
      <c r="CN1580" s="213">
        <f t="shared" si="1283"/>
        <v>0</v>
      </c>
      <c r="CO1580" s="213">
        <f t="shared" si="1284"/>
        <v>0</v>
      </c>
      <c r="CP1580" s="213">
        <f t="shared" si="1285"/>
        <v>0</v>
      </c>
      <c r="CQ1580" s="213">
        <f t="shared" si="1286"/>
        <v>0</v>
      </c>
      <c r="CR1580" s="213">
        <f t="shared" si="1287"/>
        <v>4109.3995433789951</v>
      </c>
      <c r="CS1580" s="213">
        <f t="shared" si="1288"/>
        <v>9632.5833333333321</v>
      </c>
      <c r="CT1580" s="213">
        <f t="shared" si="1289"/>
        <v>18.850456621004565</v>
      </c>
      <c r="CU1580" s="213">
        <f t="shared" si="1290"/>
        <v>0</v>
      </c>
      <c r="CV1580" s="213">
        <f t="shared" si="1291"/>
        <v>0</v>
      </c>
      <c r="CW1580" s="213"/>
      <c r="CX1580" s="213"/>
      <c r="CZ1580" s="213">
        <f t="shared" si="1292"/>
        <v>0</v>
      </c>
      <c r="DA1580" s="213">
        <f t="shared" si="1293"/>
        <v>0</v>
      </c>
      <c r="DB1580" s="213">
        <f t="shared" si="1294"/>
        <v>0</v>
      </c>
      <c r="DC1580" s="213">
        <f t="shared" si="1295"/>
        <v>0</v>
      </c>
      <c r="DD1580" s="213">
        <f t="shared" si="1296"/>
        <v>1232.8198630136985</v>
      </c>
      <c r="DE1580" s="213">
        <f t="shared" si="1297"/>
        <v>2889.7749999999996</v>
      </c>
      <c r="DF1580" s="213">
        <f t="shared" si="1298"/>
        <v>5.6551369863013692</v>
      </c>
      <c r="DG1580" s="213">
        <f t="shared" si="1299"/>
        <v>0</v>
      </c>
      <c r="DH1580" s="213">
        <f t="shared" si="1300"/>
        <v>0</v>
      </c>
      <c r="DI1580" s="213"/>
      <c r="DJ1580" s="213"/>
      <c r="DL1580" s="213">
        <f t="shared" si="1301"/>
        <v>0</v>
      </c>
      <c r="DM1580" s="213">
        <f t="shared" si="1301"/>
        <v>0</v>
      </c>
      <c r="DN1580" s="213">
        <f t="shared" si="1301"/>
        <v>0</v>
      </c>
      <c r="DO1580" s="213">
        <f t="shared" si="1301"/>
        <v>0</v>
      </c>
      <c r="DP1580" s="213">
        <f t="shared" si="1301"/>
        <v>2876.5796803652966</v>
      </c>
      <c r="DQ1580" s="213">
        <f t="shared" si="1301"/>
        <v>6742.8083333333325</v>
      </c>
      <c r="DR1580" s="213">
        <f t="shared" si="1301"/>
        <v>13.195319634703196</v>
      </c>
      <c r="DS1580" s="213">
        <f t="shared" si="1301"/>
        <v>0</v>
      </c>
      <c r="DT1580" s="213">
        <f t="shared" si="1301"/>
        <v>0</v>
      </c>
      <c r="DU1580" s="213"/>
      <c r="DV1580" s="213"/>
      <c r="DX1580" s="213">
        <f t="shared" si="1302"/>
        <v>0</v>
      </c>
      <c r="DY1580" s="213">
        <f t="shared" si="1303"/>
        <v>0</v>
      </c>
      <c r="DZ1580" s="213">
        <f t="shared" si="1304"/>
        <v>0</v>
      </c>
      <c r="EA1580" s="213">
        <f t="shared" si="1305"/>
        <v>0</v>
      </c>
      <c r="EB1580" s="213">
        <f t="shared" si="1306"/>
        <v>0</v>
      </c>
      <c r="EC1580" s="213">
        <f t="shared" si="1307"/>
        <v>0</v>
      </c>
      <c r="ED1580" s="213">
        <f t="shared" si="1308"/>
        <v>0</v>
      </c>
      <c r="EE1580" s="213">
        <f t="shared" si="1309"/>
        <v>385.30333333333328</v>
      </c>
      <c r="EF1580" s="213">
        <f t="shared" si="1310"/>
        <v>385.30333333333328</v>
      </c>
      <c r="EG1580" s="213"/>
      <c r="EH1580" s="213"/>
      <c r="EJ1580" s="213">
        <f>+IF(AC1580&gt;0,$M1580*(1-$BA1580)-SUM($DX1580:DX1580),DL1580)</f>
        <v>0</v>
      </c>
      <c r="EK1580" s="213">
        <f>+IF(AD1580&gt;0,$M1580*(1-$BA1580)-SUM($DX1580:DY1580),DM1580)</f>
        <v>0</v>
      </c>
      <c r="EL1580" s="213">
        <f>+IF(AE1580&gt;0,$M1580*(1-$BA1580)-SUM($DX1580:DZ1580),DN1580)</f>
        <v>0</v>
      </c>
      <c r="EM1580" s="213">
        <f>+IF(AF1580&gt;0,$M1580*(1-$BA1580)-SUM($DX1580:EA1580),DO1580)</f>
        <v>0</v>
      </c>
      <c r="EN1580" s="213">
        <f>+IF(AG1580&gt;0,$M1580*(1-$BA1580)-SUM($DX1580:EB1580),DP1580)</f>
        <v>2876.5796803652966</v>
      </c>
      <c r="EO1580" s="213">
        <f>+IF(AH1580&gt;0,$M1580*(1-$BA1580)-SUM($DX1580:EC1580),DQ1580)</f>
        <v>6742.8083333333325</v>
      </c>
      <c r="EP1580" s="213">
        <f>+IF(AI1580&gt;0,$M1580*(1-$BA1580)-SUM($DX1580:ED1580),DR1580)</f>
        <v>9632.5833333333321</v>
      </c>
      <c r="EQ1580" s="213">
        <f>+IF(AJ1580&gt;0,$M1580*(1-$BA1580)-SUM($DX1580:EE1580),DS1580)</f>
        <v>9247.2799999999988</v>
      </c>
      <c r="ER1580" s="213">
        <f>+IF(AK1580&gt;0,$M1580*(1-$BA1580)-SUM($DX1580:EF1580),DT1580)</f>
        <v>8861.9766666666656</v>
      </c>
      <c r="ES1580" s="213"/>
      <c r="ET1580" s="213"/>
      <c r="EV1580" s="213"/>
      <c r="EW1580" s="213">
        <f t="shared" si="1311"/>
        <v>0</v>
      </c>
      <c r="EX1580" s="213">
        <f t="shared" si="1312"/>
        <v>0</v>
      </c>
      <c r="EY1580" s="213">
        <f t="shared" si="1313"/>
        <v>0</v>
      </c>
      <c r="EZ1580" s="213">
        <f t="shared" si="1314"/>
        <v>0</v>
      </c>
      <c r="FA1580" s="213">
        <f t="shared" si="1315"/>
        <v>0</v>
      </c>
      <c r="FB1580" s="213">
        <f t="shared" si="1316"/>
        <v>626.11791666666659</v>
      </c>
      <c r="FC1580" s="213">
        <f t="shared" si="1317"/>
        <v>601.07319999999993</v>
      </c>
      <c r="FD1580" s="213">
        <f t="shared" si="1318"/>
        <v>576.02848333333327</v>
      </c>
      <c r="FE1580" s="213"/>
      <c r="FF1580" s="213"/>
      <c r="FH1580" s="213">
        <f t="shared" si="1319"/>
        <v>0</v>
      </c>
      <c r="FI1580" s="213">
        <f t="shared" si="1320"/>
        <v>0</v>
      </c>
      <c r="FJ1580" s="213">
        <f>IF(AE1580=1,$M1580*'[4]Assumptions_Subs &amp; JV'!JL$503,)</f>
        <v>0</v>
      </c>
      <c r="FK1580" s="213">
        <f>IF(AF1580=1,$M1580*'[4]Assumptions_Subs &amp; JV'!JM$503,)</f>
        <v>0</v>
      </c>
      <c r="FL1580" s="213">
        <f t="shared" si="1321"/>
        <v>0</v>
      </c>
      <c r="FM1580" s="213">
        <f t="shared" si="1322"/>
        <v>0</v>
      </c>
      <c r="FN1580" s="213">
        <f t="shared" si="1323"/>
        <v>13760.833333333332</v>
      </c>
      <c r="FO1580" s="213">
        <f t="shared" si="1324"/>
        <v>0</v>
      </c>
      <c r="FP1580" s="213">
        <f t="shared" si="1325"/>
        <v>0</v>
      </c>
      <c r="FQ1580" s="213"/>
      <c r="FR1580" s="213"/>
      <c r="FT1580" s="213">
        <f t="shared" si="1326"/>
        <v>0</v>
      </c>
      <c r="FU1580" s="213">
        <f t="shared" si="1327"/>
        <v>0</v>
      </c>
      <c r="FV1580" s="213">
        <f t="shared" si="1328"/>
        <v>0</v>
      </c>
      <c r="FW1580" s="213">
        <f t="shared" si="1329"/>
        <v>0</v>
      </c>
      <c r="FX1580" s="213">
        <f t="shared" si="1330"/>
        <v>4109.3995433789951</v>
      </c>
      <c r="FY1580" s="213">
        <f t="shared" si="1331"/>
        <v>13741.982876712327</v>
      </c>
      <c r="FZ1580" s="213">
        <f t="shared" si="1332"/>
        <v>0</v>
      </c>
      <c r="GA1580" s="213">
        <f t="shared" si="1333"/>
        <v>0</v>
      </c>
      <c r="GB1580" s="213">
        <f t="shared" si="1334"/>
        <v>0</v>
      </c>
      <c r="GC1580" s="213"/>
      <c r="GD1580" s="213"/>
    </row>
    <row r="1581" spans="1:186" ht="12.6" customHeight="1" x14ac:dyDescent="0.2">
      <c r="A1581" s="362"/>
      <c r="B1581" s="208" t="s">
        <v>593</v>
      </c>
      <c r="C1581" s="210" t="s">
        <v>214</v>
      </c>
      <c r="D1581" s="209"/>
      <c r="E1581" s="209"/>
      <c r="F1581" s="209"/>
      <c r="G1581" s="346"/>
      <c r="H1581" s="1157">
        <v>4</v>
      </c>
      <c r="I1581" s="363">
        <v>45383</v>
      </c>
      <c r="J1581" s="546">
        <v>46203</v>
      </c>
      <c r="K1581" s="209">
        <f t="shared" si="1248"/>
        <v>2027</v>
      </c>
      <c r="L1581" s="215"/>
      <c r="M1581" s="215">
        <v>1500</v>
      </c>
      <c r="N1581" s="212"/>
      <c r="O1581" s="212"/>
      <c r="P1581" s="209"/>
      <c r="Q1581" s="213">
        <f t="shared" si="1249"/>
        <v>0</v>
      </c>
      <c r="R1581" s="213">
        <f t="shared" si="1250"/>
        <v>0</v>
      </c>
      <c r="S1581" s="213">
        <f t="shared" si="1250"/>
        <v>0</v>
      </c>
      <c r="T1581" s="213">
        <f t="shared" si="1250"/>
        <v>0</v>
      </c>
      <c r="U1581" s="213">
        <f t="shared" si="1250"/>
        <v>0</v>
      </c>
      <c r="V1581" s="213">
        <f t="shared" si="1250"/>
        <v>274</v>
      </c>
      <c r="W1581" s="213">
        <f t="shared" si="1250"/>
        <v>365</v>
      </c>
      <c r="X1581" s="213">
        <f t="shared" si="1250"/>
        <v>365</v>
      </c>
      <c r="Y1581" s="213">
        <f t="shared" si="1250"/>
        <v>365</v>
      </c>
      <c r="Z1581" s="213">
        <f t="shared" si="1250"/>
        <v>365</v>
      </c>
      <c r="AA1581" s="213">
        <f t="shared" si="1249"/>
        <v>365</v>
      </c>
      <c r="AB1581" s="214"/>
      <c r="AC1581" s="213">
        <f t="shared" ref="AC1581:AC1582" si="1339">IF(AND(P1581=0,Q1581&gt;0),1,IF(AB1581=0,0,AB1581+1))</f>
        <v>0</v>
      </c>
      <c r="AD1581" s="213">
        <f t="shared" si="1252"/>
        <v>0</v>
      </c>
      <c r="AE1581" s="213">
        <f t="shared" si="1253"/>
        <v>0</v>
      </c>
      <c r="AF1581" s="213">
        <f t="shared" si="1254"/>
        <v>0</v>
      </c>
      <c r="AG1581" s="213">
        <f t="shared" si="1255"/>
        <v>0</v>
      </c>
      <c r="AH1581" s="213">
        <f t="shared" si="1256"/>
        <v>1</v>
      </c>
      <c r="AI1581" s="213">
        <f t="shared" si="1257"/>
        <v>2</v>
      </c>
      <c r="AJ1581" s="213">
        <f t="shared" si="1258"/>
        <v>3</v>
      </c>
      <c r="AK1581" s="213">
        <f t="shared" si="1259"/>
        <v>4</v>
      </c>
      <c r="AL1581" s="213">
        <f t="shared" si="1260"/>
        <v>5</v>
      </c>
      <c r="AM1581" s="213">
        <f t="shared" si="1261"/>
        <v>6</v>
      </c>
      <c r="AO1581" s="213">
        <f t="shared" si="1335"/>
        <v>0</v>
      </c>
      <c r="AP1581" s="213">
        <f t="shared" si="1262"/>
        <v>0</v>
      </c>
      <c r="AQ1581" s="213">
        <f t="shared" si="1263"/>
        <v>0</v>
      </c>
      <c r="AR1581" s="213">
        <f t="shared" si="1264"/>
        <v>0</v>
      </c>
      <c r="AS1581" s="213">
        <f t="shared" si="1265"/>
        <v>0</v>
      </c>
      <c r="AT1581" s="213">
        <f t="shared" si="1266"/>
        <v>4</v>
      </c>
      <c r="AU1581" s="213">
        <f t="shared" si="1267"/>
        <v>0</v>
      </c>
      <c r="AV1581" s="213">
        <f t="shared" si="1268"/>
        <v>0</v>
      </c>
      <c r="AW1581" s="213">
        <f t="shared" si="1269"/>
        <v>0</v>
      </c>
      <c r="AX1581" s="213">
        <f t="shared" si="1270"/>
        <v>0</v>
      </c>
      <c r="AY1581" s="213">
        <f t="shared" si="1271"/>
        <v>0</v>
      </c>
      <c r="BA1581" s="551">
        <v>0.3</v>
      </c>
      <c r="BB1581" s="551">
        <v>4.4999999999999998E-2</v>
      </c>
      <c r="BC1581" s="315"/>
      <c r="BD1581" s="213">
        <f t="shared" si="1272"/>
        <v>0</v>
      </c>
      <c r="BE1581" s="213">
        <f t="shared" si="1273"/>
        <v>0</v>
      </c>
      <c r="BF1581" s="213">
        <f t="shared" si="1274"/>
        <v>0</v>
      </c>
      <c r="BG1581" s="213">
        <f t="shared" si="1275"/>
        <v>0</v>
      </c>
      <c r="BH1581" s="213">
        <f t="shared" si="1276"/>
        <v>0</v>
      </c>
      <c r="BI1581" s="213">
        <f t="shared" si="1277"/>
        <v>45.604109589041101</v>
      </c>
      <c r="BJ1581" s="213">
        <f t="shared" si="1278"/>
        <v>60.75</v>
      </c>
      <c r="BK1581" s="213">
        <f t="shared" si="1279"/>
        <v>60.75</v>
      </c>
      <c r="BL1581" s="213">
        <f t="shared" si="1280"/>
        <v>60.75</v>
      </c>
      <c r="BM1581" s="213"/>
      <c r="BN1581" s="213"/>
      <c r="BP1581" s="216">
        <f t="shared" ref="BP1581:BX1581" si="1340">IF(AND($J1581&gt;BO$1575,$J1581&lt;=BP$1575),IF($I1581&gt;BO$1575,$J1581-$I1581,$J1581-BO$1575),IF($J1581&lt;=BO$1575,0,IF(AND($I1581&gt;BO$1575,$I1581&lt;=BP$1575),BP$1575-$I1581,IF($I1581&gt;BP$1575,0,BP$1575-BO$1575))))</f>
        <v>0</v>
      </c>
      <c r="BQ1581" s="216">
        <f t="shared" si="1340"/>
        <v>0</v>
      </c>
      <c r="BR1581" s="216">
        <f t="shared" si="1340"/>
        <v>0</v>
      </c>
      <c r="BS1581" s="216">
        <f t="shared" si="1340"/>
        <v>364</v>
      </c>
      <c r="BT1581" s="216">
        <f t="shared" si="1340"/>
        <v>365</v>
      </c>
      <c r="BU1581" s="216">
        <f t="shared" si="1340"/>
        <v>91</v>
      </c>
      <c r="BV1581" s="216">
        <f t="shared" si="1340"/>
        <v>0</v>
      </c>
      <c r="BW1581" s="216">
        <f t="shared" si="1340"/>
        <v>0</v>
      </c>
      <c r="BX1581" s="216">
        <f t="shared" si="1340"/>
        <v>0</v>
      </c>
      <c r="BY1581" s="216"/>
      <c r="BZ1581" s="216"/>
      <c r="CB1581" s="316"/>
      <c r="CC1581" s="354">
        <f t="shared" si="1282"/>
        <v>0</v>
      </c>
      <c r="CD1581" s="354">
        <f t="shared" si="1282"/>
        <v>0</v>
      </c>
      <c r="CE1581" s="354">
        <f>BS1581/($J1581-$I1581)-25%</f>
        <v>0.19390243902439025</v>
      </c>
      <c r="CF1581" s="354">
        <f>BT1581/($J1581-$I1581)-10%</f>
        <v>0.34512195121951217</v>
      </c>
      <c r="CG1581" s="354">
        <f t="shared" si="1282"/>
        <v>0.11097560975609756</v>
      </c>
      <c r="CH1581" s="354">
        <f t="shared" si="1282"/>
        <v>0</v>
      </c>
      <c r="CI1581" s="354">
        <f t="shared" si="1282"/>
        <v>0</v>
      </c>
      <c r="CJ1581" s="354">
        <f t="shared" si="1282"/>
        <v>0</v>
      </c>
      <c r="CK1581" s="316"/>
      <c r="CL1581" s="316"/>
      <c r="CM1581" s="539">
        <f t="shared" si="1337"/>
        <v>0.65</v>
      </c>
      <c r="CN1581" s="213">
        <f t="shared" si="1283"/>
        <v>0</v>
      </c>
      <c r="CO1581" s="213">
        <f t="shared" si="1284"/>
        <v>0</v>
      </c>
      <c r="CP1581" s="213">
        <f t="shared" si="1285"/>
        <v>0</v>
      </c>
      <c r="CQ1581" s="213">
        <f t="shared" si="1286"/>
        <v>290.85365853658539</v>
      </c>
      <c r="CR1581" s="213">
        <f t="shared" si="1287"/>
        <v>517.68292682926824</v>
      </c>
      <c r="CS1581" s="213">
        <f t="shared" si="1288"/>
        <v>166.46341463414635</v>
      </c>
      <c r="CT1581" s="213">
        <f t="shared" si="1289"/>
        <v>0</v>
      </c>
      <c r="CU1581" s="213">
        <f t="shared" si="1290"/>
        <v>0</v>
      </c>
      <c r="CV1581" s="213">
        <f t="shared" si="1291"/>
        <v>0</v>
      </c>
      <c r="CW1581" s="213"/>
      <c r="CX1581" s="213"/>
      <c r="CZ1581" s="213">
        <f t="shared" si="1292"/>
        <v>0</v>
      </c>
      <c r="DA1581" s="213">
        <f t="shared" si="1293"/>
        <v>0</v>
      </c>
      <c r="DB1581" s="213">
        <f t="shared" si="1294"/>
        <v>0</v>
      </c>
      <c r="DC1581" s="213">
        <f t="shared" si="1295"/>
        <v>87.256097560975618</v>
      </c>
      <c r="DD1581" s="213">
        <f t="shared" si="1296"/>
        <v>155.30487804878047</v>
      </c>
      <c r="DE1581" s="213">
        <f t="shared" si="1297"/>
        <v>49.939024390243901</v>
      </c>
      <c r="DF1581" s="213">
        <f t="shared" si="1298"/>
        <v>0</v>
      </c>
      <c r="DG1581" s="213">
        <f t="shared" si="1299"/>
        <v>0</v>
      </c>
      <c r="DH1581" s="213">
        <f t="shared" si="1300"/>
        <v>0</v>
      </c>
      <c r="DI1581" s="213"/>
      <c r="DJ1581" s="213"/>
      <c r="DL1581" s="213">
        <f t="shared" ref="DL1581:DT1582" si="1341">CN1581-CZ1581</f>
        <v>0</v>
      </c>
      <c r="DM1581" s="213">
        <f t="shared" si="1341"/>
        <v>0</v>
      </c>
      <c r="DN1581" s="213">
        <f t="shared" si="1341"/>
        <v>0</v>
      </c>
      <c r="DO1581" s="213">
        <f t="shared" si="1341"/>
        <v>203.59756097560978</v>
      </c>
      <c r="DP1581" s="213">
        <f t="shared" si="1341"/>
        <v>362.3780487804878</v>
      </c>
      <c r="DQ1581" s="213">
        <f t="shared" si="1341"/>
        <v>116.52439024390245</v>
      </c>
      <c r="DR1581" s="213">
        <f t="shared" si="1341"/>
        <v>0</v>
      </c>
      <c r="DS1581" s="213">
        <f t="shared" si="1341"/>
        <v>0</v>
      </c>
      <c r="DT1581" s="213">
        <f t="shared" si="1341"/>
        <v>0</v>
      </c>
      <c r="DU1581" s="213"/>
      <c r="DV1581" s="213"/>
      <c r="DX1581" s="213">
        <f t="shared" si="1302"/>
        <v>0</v>
      </c>
      <c r="DY1581" s="213">
        <f t="shared" si="1303"/>
        <v>0</v>
      </c>
      <c r="DZ1581" s="213">
        <f t="shared" si="1304"/>
        <v>0</v>
      </c>
      <c r="EA1581" s="213">
        <f t="shared" si="1305"/>
        <v>0</v>
      </c>
      <c r="EB1581" s="213">
        <f t="shared" si="1306"/>
        <v>0</v>
      </c>
      <c r="EC1581" s="213">
        <f t="shared" si="1307"/>
        <v>0</v>
      </c>
      <c r="ED1581" s="213">
        <f t="shared" si="1308"/>
        <v>42</v>
      </c>
      <c r="EE1581" s="213">
        <f t="shared" si="1309"/>
        <v>42</v>
      </c>
      <c r="EF1581" s="213">
        <f t="shared" si="1310"/>
        <v>42</v>
      </c>
      <c r="EG1581" s="213"/>
      <c r="EH1581" s="213"/>
      <c r="EJ1581" s="213">
        <f>+IF(AC1581&gt;0,$M1581*(1-$BA1581)-SUM($DX1581:DX1581),DL1581)</f>
        <v>0</v>
      </c>
      <c r="EK1581" s="213">
        <f>+IF(AD1581&gt;0,$M1581*(1-$BA1581)-SUM($DX1581:DY1581),DM1581)</f>
        <v>0</v>
      </c>
      <c r="EL1581" s="213">
        <f>+IF(AE1581&gt;0,$M1581*(1-$BA1581)-SUM($DX1581:DZ1581),DN1581)</f>
        <v>0</v>
      </c>
      <c r="EM1581" s="213">
        <f>+IF(AF1581&gt;0,$M1581*(1-$BA1581)-SUM($DX1581:EA1581),DO1581)</f>
        <v>203.59756097560978</v>
      </c>
      <c r="EN1581" s="213">
        <f>+IF(AG1581&gt;0,$M1581*(1-$BA1581)-SUM($DX1581:EB1581),DP1581)</f>
        <v>362.3780487804878</v>
      </c>
      <c r="EO1581" s="213">
        <f>+IF(AH1581&gt;0,$M1581*(1-$BA1581)-SUM($DX1581:EC1581),DQ1581)</f>
        <v>1050</v>
      </c>
      <c r="EP1581" s="213">
        <f>+IF(AI1581&gt;0,$M1581*(1-$BA1581)-SUM($DX1581:ED1581),DR1581)</f>
        <v>1008</v>
      </c>
      <c r="EQ1581" s="213">
        <f>+IF(AJ1581&gt;0,$M1581*(1-$BA1581)-SUM($DX1581:EE1581),DS1581)</f>
        <v>966</v>
      </c>
      <c r="ER1581" s="213">
        <f>+IF(AK1581&gt;0,$M1581*(1-$BA1581)-SUM($DX1581:EF1581),DT1581)</f>
        <v>924</v>
      </c>
      <c r="ES1581" s="213"/>
      <c r="ET1581" s="213"/>
      <c r="EV1581" s="213"/>
      <c r="EW1581" s="213">
        <f t="shared" si="1311"/>
        <v>0</v>
      </c>
      <c r="EX1581" s="213">
        <f t="shared" si="1312"/>
        <v>0</v>
      </c>
      <c r="EY1581" s="213">
        <f t="shared" si="1313"/>
        <v>0</v>
      </c>
      <c r="EZ1581" s="213">
        <f t="shared" si="1314"/>
        <v>0</v>
      </c>
      <c r="FA1581" s="213">
        <f t="shared" si="1315"/>
        <v>55.175342465753424</v>
      </c>
      <c r="FB1581" s="213">
        <f t="shared" si="1316"/>
        <v>65.52</v>
      </c>
      <c r="FC1581" s="213">
        <f t="shared" si="1317"/>
        <v>62.79</v>
      </c>
      <c r="FD1581" s="213">
        <f t="shared" si="1318"/>
        <v>60.06</v>
      </c>
      <c r="FE1581" s="213"/>
      <c r="FF1581" s="213"/>
      <c r="FH1581" s="213">
        <f t="shared" si="1319"/>
        <v>0</v>
      </c>
      <c r="FI1581" s="213">
        <f t="shared" si="1320"/>
        <v>0</v>
      </c>
      <c r="FJ1581" s="213">
        <f>IF(AE1581=1,$M1581*'[4]Assumptions_Subs &amp; JV'!JL$503,)</f>
        <v>0</v>
      </c>
      <c r="FK1581" s="213">
        <f>IF(AF1581=1,$M1581*'[4]Assumptions_Subs &amp; JV'!JM$503,)</f>
        <v>0</v>
      </c>
      <c r="FL1581" s="213">
        <f t="shared" si="1321"/>
        <v>0</v>
      </c>
      <c r="FM1581" s="213">
        <f t="shared" si="1322"/>
        <v>1500</v>
      </c>
      <c r="FN1581" s="213">
        <f t="shared" si="1323"/>
        <v>0</v>
      </c>
      <c r="FO1581" s="213">
        <f t="shared" si="1324"/>
        <v>0</v>
      </c>
      <c r="FP1581" s="213">
        <f t="shared" si="1325"/>
        <v>0</v>
      </c>
      <c r="FQ1581" s="213"/>
      <c r="FR1581" s="213"/>
      <c r="FT1581" s="213">
        <f t="shared" si="1326"/>
        <v>0</v>
      </c>
      <c r="FU1581" s="213">
        <f t="shared" si="1327"/>
        <v>0</v>
      </c>
      <c r="FV1581" s="213">
        <f t="shared" si="1328"/>
        <v>0</v>
      </c>
      <c r="FW1581" s="213">
        <f t="shared" si="1329"/>
        <v>290.85365853658539</v>
      </c>
      <c r="FX1581" s="213">
        <f t="shared" si="1330"/>
        <v>808.53658536585363</v>
      </c>
      <c r="FY1581" s="213">
        <f t="shared" si="1331"/>
        <v>0</v>
      </c>
      <c r="FZ1581" s="213">
        <f t="shared" si="1332"/>
        <v>0</v>
      </c>
      <c r="GA1581" s="213">
        <f t="shared" si="1333"/>
        <v>0</v>
      </c>
      <c r="GB1581" s="213">
        <f t="shared" si="1334"/>
        <v>0</v>
      </c>
      <c r="GC1581" s="213"/>
      <c r="GD1581" s="213"/>
    </row>
    <row r="1582" spans="1:186" ht="12.6" customHeight="1" x14ac:dyDescent="0.2">
      <c r="A1582" s="362"/>
      <c r="B1582" s="208" t="s">
        <v>216</v>
      </c>
      <c r="C1582" s="210" t="s">
        <v>216</v>
      </c>
      <c r="D1582" s="209"/>
      <c r="E1582" s="209"/>
      <c r="F1582" s="209"/>
      <c r="G1582" s="346"/>
      <c r="H1582" s="1157">
        <v>1.82</v>
      </c>
      <c r="I1582" s="363">
        <v>45383</v>
      </c>
      <c r="J1582" s="546">
        <v>46295</v>
      </c>
      <c r="K1582" s="209">
        <f t="shared" si="1248"/>
        <v>2027</v>
      </c>
      <c r="L1582" s="215"/>
      <c r="M1582" s="215">
        <f>1565.43</f>
        <v>1565.43</v>
      </c>
      <c r="N1582" s="212"/>
      <c r="O1582" s="212"/>
      <c r="P1582" s="209"/>
      <c r="Q1582" s="213">
        <f t="shared" si="1249"/>
        <v>0</v>
      </c>
      <c r="R1582" s="213">
        <f t="shared" si="1250"/>
        <v>0</v>
      </c>
      <c r="S1582" s="213">
        <f t="shared" si="1250"/>
        <v>0</v>
      </c>
      <c r="T1582" s="213">
        <f t="shared" si="1250"/>
        <v>0</v>
      </c>
      <c r="U1582" s="213">
        <f t="shared" si="1250"/>
        <v>0</v>
      </c>
      <c r="V1582" s="213">
        <f t="shared" si="1250"/>
        <v>182</v>
      </c>
      <c r="W1582" s="213">
        <f t="shared" si="1250"/>
        <v>365</v>
      </c>
      <c r="X1582" s="213">
        <f t="shared" si="1250"/>
        <v>365</v>
      </c>
      <c r="Y1582" s="213">
        <f t="shared" si="1250"/>
        <v>365</v>
      </c>
      <c r="Z1582" s="213">
        <f t="shared" si="1250"/>
        <v>365</v>
      </c>
      <c r="AA1582" s="213">
        <f t="shared" si="1249"/>
        <v>365</v>
      </c>
      <c r="AB1582" s="214"/>
      <c r="AC1582" s="213">
        <f t="shared" si="1339"/>
        <v>0</v>
      </c>
      <c r="AD1582" s="213">
        <f t="shared" si="1252"/>
        <v>0</v>
      </c>
      <c r="AE1582" s="213">
        <f t="shared" si="1253"/>
        <v>0</v>
      </c>
      <c r="AF1582" s="213">
        <f t="shared" si="1254"/>
        <v>0</v>
      </c>
      <c r="AG1582" s="213">
        <f t="shared" si="1255"/>
        <v>0</v>
      </c>
      <c r="AH1582" s="213">
        <f t="shared" si="1256"/>
        <v>1</v>
      </c>
      <c r="AI1582" s="213">
        <f t="shared" si="1257"/>
        <v>2</v>
      </c>
      <c r="AJ1582" s="213">
        <f t="shared" si="1258"/>
        <v>3</v>
      </c>
      <c r="AK1582" s="213">
        <f t="shared" si="1259"/>
        <v>4</v>
      </c>
      <c r="AL1582" s="213">
        <f t="shared" si="1260"/>
        <v>5</v>
      </c>
      <c r="AM1582" s="213">
        <f t="shared" si="1261"/>
        <v>6</v>
      </c>
      <c r="AO1582" s="213">
        <f t="shared" si="1335"/>
        <v>0</v>
      </c>
      <c r="AP1582" s="213">
        <f t="shared" si="1262"/>
        <v>0</v>
      </c>
      <c r="AQ1582" s="213">
        <f t="shared" si="1263"/>
        <v>0</v>
      </c>
      <c r="AR1582" s="213">
        <f t="shared" si="1264"/>
        <v>0</v>
      </c>
      <c r="AS1582" s="213">
        <f t="shared" si="1265"/>
        <v>0</v>
      </c>
      <c r="AT1582" s="213">
        <f t="shared" si="1266"/>
        <v>1.82</v>
      </c>
      <c r="AU1582" s="213">
        <f t="shared" si="1267"/>
        <v>0</v>
      </c>
      <c r="AV1582" s="213">
        <f t="shared" si="1268"/>
        <v>0</v>
      </c>
      <c r="AW1582" s="213">
        <f t="shared" si="1269"/>
        <v>0</v>
      </c>
      <c r="AX1582" s="213">
        <f t="shared" si="1270"/>
        <v>0</v>
      </c>
      <c r="AY1582" s="213">
        <f t="shared" si="1271"/>
        <v>0</v>
      </c>
      <c r="BA1582" s="551">
        <v>0.3</v>
      </c>
      <c r="BB1582" s="551">
        <v>4.4999999999999998E-2</v>
      </c>
      <c r="BC1582" s="315"/>
      <c r="BD1582" s="213">
        <f t="shared" si="1272"/>
        <v>0</v>
      </c>
      <c r="BE1582" s="213">
        <f t="shared" si="1273"/>
        <v>0</v>
      </c>
      <c r="BF1582" s="213">
        <f t="shared" si="1274"/>
        <v>0</v>
      </c>
      <c r="BG1582" s="213">
        <f t="shared" si="1275"/>
        <v>0</v>
      </c>
      <c r="BH1582" s="213">
        <f t="shared" si="1276"/>
        <v>0</v>
      </c>
      <c r="BI1582" s="213">
        <f t="shared" si="1277"/>
        <v>31.613108301369866</v>
      </c>
      <c r="BJ1582" s="213">
        <f t="shared" si="1278"/>
        <v>63.399915</v>
      </c>
      <c r="BK1582" s="213">
        <f t="shared" si="1279"/>
        <v>63.399915</v>
      </c>
      <c r="BL1582" s="213">
        <f t="shared" si="1280"/>
        <v>63.399915</v>
      </c>
      <c r="BM1582" s="213"/>
      <c r="BN1582" s="213"/>
      <c r="BP1582" s="216">
        <f t="shared" ref="BP1582:BX1582" si="1342">IF(AND($J1582&gt;BO$1575,$J1582&lt;=BP$1575),IF($I1582&gt;BO$1575,$J1582-$I1582,$J1582-BO$1575),IF($J1582&lt;=BO$1575,0,IF(AND($I1582&gt;BO$1575,$I1582&lt;=BP$1575),BP$1575-$I1582,IF($I1582&gt;BP$1575,0,BP$1575-BO$1575))))</f>
        <v>0</v>
      </c>
      <c r="BQ1582" s="216">
        <f t="shared" si="1342"/>
        <v>0</v>
      </c>
      <c r="BR1582" s="216">
        <f t="shared" si="1342"/>
        <v>0</v>
      </c>
      <c r="BS1582" s="216">
        <f t="shared" si="1342"/>
        <v>364</v>
      </c>
      <c r="BT1582" s="216">
        <f t="shared" si="1342"/>
        <v>365</v>
      </c>
      <c r="BU1582" s="216">
        <f t="shared" si="1342"/>
        <v>183</v>
      </c>
      <c r="BV1582" s="216">
        <f t="shared" si="1342"/>
        <v>0</v>
      </c>
      <c r="BW1582" s="216">
        <f t="shared" si="1342"/>
        <v>0</v>
      </c>
      <c r="BX1582" s="216">
        <f t="shared" si="1342"/>
        <v>0</v>
      </c>
      <c r="BY1582" s="216"/>
      <c r="BZ1582" s="216"/>
      <c r="CB1582" s="316"/>
      <c r="CC1582" s="354">
        <f t="shared" si="1282"/>
        <v>0</v>
      </c>
      <c r="CD1582" s="354">
        <f t="shared" si="1282"/>
        <v>0</v>
      </c>
      <c r="CE1582" s="354">
        <f>BS1582/($J1582-$I1582)-25%</f>
        <v>0.14912280701754388</v>
      </c>
      <c r="CF1582" s="354">
        <f>BT1582/($J1582-$I1582)-30%</f>
        <v>0.10021929824561404</v>
      </c>
      <c r="CG1582" s="354">
        <f t="shared" si="1282"/>
        <v>0.20065789473684212</v>
      </c>
      <c r="CH1582" s="354">
        <f t="shared" si="1282"/>
        <v>0</v>
      </c>
      <c r="CI1582" s="354">
        <f t="shared" si="1282"/>
        <v>0</v>
      </c>
      <c r="CJ1582" s="354">
        <f t="shared" si="1282"/>
        <v>0</v>
      </c>
      <c r="CK1582" s="316"/>
      <c r="CL1582" s="316"/>
      <c r="CM1582" s="539">
        <f t="shared" si="1337"/>
        <v>0.45000000000000007</v>
      </c>
      <c r="CN1582" s="213">
        <f t="shared" si="1283"/>
        <v>0</v>
      </c>
      <c r="CO1582" s="213">
        <f t="shared" si="1284"/>
        <v>0</v>
      </c>
      <c r="CP1582" s="213">
        <f t="shared" si="1285"/>
        <v>0</v>
      </c>
      <c r="CQ1582" s="213">
        <f t="shared" si="1286"/>
        <v>233.44131578947372</v>
      </c>
      <c r="CR1582" s="213">
        <f t="shared" si="1287"/>
        <v>156.88629605263159</v>
      </c>
      <c r="CS1582" s="213">
        <f t="shared" si="1288"/>
        <v>314.11588815789474</v>
      </c>
      <c r="CT1582" s="213">
        <f t="shared" si="1289"/>
        <v>0</v>
      </c>
      <c r="CU1582" s="213">
        <f t="shared" si="1290"/>
        <v>0</v>
      </c>
      <c r="CV1582" s="213">
        <f t="shared" si="1291"/>
        <v>0</v>
      </c>
      <c r="CW1582" s="213"/>
      <c r="CX1582" s="213"/>
      <c r="CZ1582" s="213">
        <f t="shared" si="1292"/>
        <v>0</v>
      </c>
      <c r="DA1582" s="213">
        <f t="shared" si="1293"/>
        <v>0</v>
      </c>
      <c r="DB1582" s="213">
        <f t="shared" si="1294"/>
        <v>0</v>
      </c>
      <c r="DC1582" s="213">
        <f t="shared" si="1295"/>
        <v>70.032394736842107</v>
      </c>
      <c r="DD1582" s="213">
        <f t="shared" si="1296"/>
        <v>47.065888815789478</v>
      </c>
      <c r="DE1582" s="213">
        <f t="shared" si="1297"/>
        <v>94.234766447368415</v>
      </c>
      <c r="DF1582" s="213">
        <f t="shared" si="1298"/>
        <v>0</v>
      </c>
      <c r="DG1582" s="213">
        <f t="shared" si="1299"/>
        <v>0</v>
      </c>
      <c r="DH1582" s="213">
        <f t="shared" si="1300"/>
        <v>0</v>
      </c>
      <c r="DI1582" s="213"/>
      <c r="DJ1582" s="213"/>
      <c r="DL1582" s="213">
        <f t="shared" si="1341"/>
        <v>0</v>
      </c>
      <c r="DM1582" s="213">
        <f t="shared" si="1341"/>
        <v>0</v>
      </c>
      <c r="DN1582" s="213">
        <f t="shared" si="1341"/>
        <v>0</v>
      </c>
      <c r="DO1582" s="213">
        <f t="shared" si="1341"/>
        <v>163.40892105263163</v>
      </c>
      <c r="DP1582" s="213">
        <f t="shared" si="1341"/>
        <v>109.82040723684212</v>
      </c>
      <c r="DQ1582" s="213">
        <f t="shared" si="1341"/>
        <v>219.88112171052632</v>
      </c>
      <c r="DR1582" s="213">
        <f t="shared" si="1341"/>
        <v>0</v>
      </c>
      <c r="DS1582" s="213">
        <f t="shared" si="1341"/>
        <v>0</v>
      </c>
      <c r="DT1582" s="213">
        <f t="shared" si="1341"/>
        <v>0</v>
      </c>
      <c r="DU1582" s="213"/>
      <c r="DV1582" s="213"/>
      <c r="DX1582" s="213">
        <f t="shared" si="1302"/>
        <v>0</v>
      </c>
      <c r="DY1582" s="213">
        <f t="shared" si="1303"/>
        <v>0</v>
      </c>
      <c r="DZ1582" s="213">
        <f t="shared" si="1304"/>
        <v>0</v>
      </c>
      <c r="EA1582" s="213">
        <f t="shared" si="1305"/>
        <v>0</v>
      </c>
      <c r="EB1582" s="213">
        <f t="shared" si="1306"/>
        <v>0</v>
      </c>
      <c r="EC1582" s="213">
        <f t="shared" si="1307"/>
        <v>0</v>
      </c>
      <c r="ED1582" s="213">
        <f t="shared" si="1308"/>
        <v>43.832039999999999</v>
      </c>
      <c r="EE1582" s="213">
        <f t="shared" si="1309"/>
        <v>43.832039999999999</v>
      </c>
      <c r="EF1582" s="213">
        <f t="shared" si="1310"/>
        <v>43.832039999999999</v>
      </c>
      <c r="EG1582" s="213"/>
      <c r="EH1582" s="213"/>
      <c r="EJ1582" s="213">
        <f>+IF(AC1582&gt;0,$M1582*(1-$BA1582)-SUM($DX1582:DX1582),DL1582)</f>
        <v>0</v>
      </c>
      <c r="EK1582" s="213">
        <f>+IF(AD1582&gt;0,$M1582*(1-$BA1582)-SUM($DX1582:DY1582),DM1582)</f>
        <v>0</v>
      </c>
      <c r="EL1582" s="213">
        <f>+IF(AE1582&gt;0,$M1582*(1-$BA1582)-SUM($DX1582:DZ1582),DN1582)</f>
        <v>0</v>
      </c>
      <c r="EM1582" s="213">
        <f>+IF(AF1582&gt;0,$M1582*(1-$BA1582)-SUM($DX1582:EA1582),DO1582)</f>
        <v>163.40892105263163</v>
      </c>
      <c r="EN1582" s="213">
        <f>+IF(AG1582&gt;0,$M1582*(1-$BA1582)-SUM($DX1582:EB1582),DP1582)</f>
        <v>109.82040723684212</v>
      </c>
      <c r="EO1582" s="213">
        <f>+IF(AH1582&gt;0,$M1582*(1-$BA1582)-SUM($DX1582:EC1582),DQ1582)</f>
        <v>1095.8009999999999</v>
      </c>
      <c r="EP1582" s="213">
        <f>+IF(AI1582&gt;0,$M1582*(1-$BA1582)-SUM($DX1582:ED1582),DR1582)</f>
        <v>1051.9689599999999</v>
      </c>
      <c r="EQ1582" s="213">
        <f>+IF(AJ1582&gt;0,$M1582*(1-$BA1582)-SUM($DX1582:EE1582),DS1582)</f>
        <v>1008.1369199999999</v>
      </c>
      <c r="ER1582" s="213">
        <f>+IF(AK1582&gt;0,$M1582*(1-$BA1582)-SUM($DX1582:EF1582),DT1582)</f>
        <v>964.30487999999991</v>
      </c>
      <c r="ES1582" s="213"/>
      <c r="ET1582" s="213"/>
      <c r="EV1582" s="213"/>
      <c r="EW1582" s="213">
        <f t="shared" si="1311"/>
        <v>0</v>
      </c>
      <c r="EX1582" s="213">
        <f t="shared" si="1312"/>
        <v>0</v>
      </c>
      <c r="EY1582" s="213">
        <f t="shared" si="1313"/>
        <v>0</v>
      </c>
      <c r="EZ1582" s="213">
        <f t="shared" si="1314"/>
        <v>0</v>
      </c>
      <c r="FA1582" s="213">
        <f t="shared" si="1315"/>
        <v>38.247958191780818</v>
      </c>
      <c r="FB1582" s="213">
        <f t="shared" si="1316"/>
        <v>68.377982399999993</v>
      </c>
      <c r="FC1582" s="213">
        <f t="shared" si="1317"/>
        <v>65.528899799999991</v>
      </c>
      <c r="FD1582" s="213">
        <f t="shared" si="1318"/>
        <v>62.679817199999995</v>
      </c>
      <c r="FE1582" s="213"/>
      <c r="FF1582" s="213"/>
      <c r="FH1582" s="213">
        <f t="shared" si="1319"/>
        <v>0</v>
      </c>
      <c r="FI1582" s="213">
        <f t="shared" si="1320"/>
        <v>0</v>
      </c>
      <c r="FJ1582" s="213">
        <f>IF(AE1582=1,$M1582*'[4]Assumptions_Subs &amp; JV'!JL$503,)</f>
        <v>0</v>
      </c>
      <c r="FK1582" s="213">
        <f>IF(AF1582=1,$M1582*'[4]Assumptions_Subs &amp; JV'!JM$503,)</f>
        <v>0</v>
      </c>
      <c r="FL1582" s="213">
        <f t="shared" si="1321"/>
        <v>0</v>
      </c>
      <c r="FM1582" s="213">
        <f t="shared" si="1322"/>
        <v>1565.43</v>
      </c>
      <c r="FN1582" s="213">
        <f t="shared" si="1323"/>
        <v>0</v>
      </c>
      <c r="FO1582" s="213">
        <f t="shared" si="1324"/>
        <v>0</v>
      </c>
      <c r="FP1582" s="213">
        <f t="shared" si="1325"/>
        <v>0</v>
      </c>
      <c r="FQ1582" s="213"/>
      <c r="FR1582" s="213"/>
      <c r="FT1582" s="213">
        <f t="shared" si="1326"/>
        <v>0</v>
      </c>
      <c r="FU1582" s="213">
        <f t="shared" si="1327"/>
        <v>0</v>
      </c>
      <c r="FV1582" s="213">
        <f t="shared" si="1328"/>
        <v>0</v>
      </c>
      <c r="FW1582" s="213">
        <f t="shared" si="1329"/>
        <v>233.44131578947372</v>
      </c>
      <c r="FX1582" s="213">
        <f t="shared" si="1330"/>
        <v>390.32761184210528</v>
      </c>
      <c r="FY1582" s="213">
        <f t="shared" si="1331"/>
        <v>0</v>
      </c>
      <c r="FZ1582" s="213">
        <f t="shared" si="1332"/>
        <v>0</v>
      </c>
      <c r="GA1582" s="213">
        <f t="shared" si="1333"/>
        <v>0</v>
      </c>
      <c r="GB1582" s="213">
        <f t="shared" si="1334"/>
        <v>0</v>
      </c>
      <c r="GC1582" s="213"/>
      <c r="GD1582" s="213"/>
    </row>
    <row r="1583" spans="1:186" ht="12.6" customHeight="1" x14ac:dyDescent="0.2">
      <c r="A1583" s="362"/>
      <c r="B1583" s="208" t="s">
        <v>553</v>
      </c>
      <c r="C1583" s="210" t="s">
        <v>553</v>
      </c>
      <c r="D1583" s="209"/>
      <c r="E1583" s="209"/>
      <c r="F1583" s="209"/>
      <c r="G1583" s="346"/>
      <c r="H1583" s="1157">
        <v>7</v>
      </c>
      <c r="I1583" s="363">
        <v>45383</v>
      </c>
      <c r="J1583" s="546">
        <v>46295</v>
      </c>
      <c r="K1583" s="209">
        <f t="shared" si="1248"/>
        <v>2027</v>
      </c>
      <c r="L1583" s="215"/>
      <c r="M1583" s="215">
        <v>6000</v>
      </c>
      <c r="N1583" s="212"/>
      <c r="O1583" s="212"/>
      <c r="P1583" s="209"/>
      <c r="Q1583" s="213">
        <f t="shared" si="1249"/>
        <v>0</v>
      </c>
      <c r="R1583" s="213">
        <f t="shared" si="1250"/>
        <v>0</v>
      </c>
      <c r="S1583" s="213">
        <f t="shared" si="1250"/>
        <v>0</v>
      </c>
      <c r="T1583" s="213">
        <f t="shared" si="1250"/>
        <v>0</v>
      </c>
      <c r="U1583" s="213">
        <f t="shared" si="1250"/>
        <v>0</v>
      </c>
      <c r="V1583" s="213">
        <f t="shared" si="1250"/>
        <v>182</v>
      </c>
      <c r="W1583" s="213">
        <f t="shared" si="1250"/>
        <v>365</v>
      </c>
      <c r="X1583" s="213">
        <f t="shared" si="1250"/>
        <v>365</v>
      </c>
      <c r="Y1583" s="213">
        <f t="shared" si="1250"/>
        <v>365</v>
      </c>
      <c r="Z1583" s="213">
        <f t="shared" si="1250"/>
        <v>365</v>
      </c>
      <c r="AA1583" s="213">
        <f t="shared" si="1249"/>
        <v>365</v>
      </c>
      <c r="AB1583" s="214"/>
      <c r="AC1583" s="213">
        <f t="shared" ref="AC1583:AC1584" si="1343">IF(AND(P1583=0,Q1583&gt;0),1,IF(AB1583=0,0,AB1583+1))</f>
        <v>0</v>
      </c>
      <c r="AD1583" s="213">
        <f t="shared" si="1252"/>
        <v>0</v>
      </c>
      <c r="AE1583" s="213">
        <f t="shared" si="1253"/>
        <v>0</v>
      </c>
      <c r="AF1583" s="213">
        <f t="shared" si="1254"/>
        <v>0</v>
      </c>
      <c r="AG1583" s="213">
        <f t="shared" si="1255"/>
        <v>0</v>
      </c>
      <c r="AH1583" s="213">
        <f t="shared" si="1256"/>
        <v>1</v>
      </c>
      <c r="AI1583" s="213">
        <f t="shared" si="1257"/>
        <v>2</v>
      </c>
      <c r="AJ1583" s="213">
        <f t="shared" si="1258"/>
        <v>3</v>
      </c>
      <c r="AK1583" s="213">
        <f t="shared" si="1259"/>
        <v>4</v>
      </c>
      <c r="AL1583" s="213">
        <f t="shared" si="1260"/>
        <v>5</v>
      </c>
      <c r="AM1583" s="213">
        <f t="shared" si="1261"/>
        <v>6</v>
      </c>
      <c r="AO1583" s="213">
        <f t="shared" si="1335"/>
        <v>0</v>
      </c>
      <c r="AP1583" s="213">
        <f t="shared" si="1262"/>
        <v>0</v>
      </c>
      <c r="AQ1583" s="213">
        <f t="shared" si="1263"/>
        <v>0</v>
      </c>
      <c r="AR1583" s="213">
        <f t="shared" si="1264"/>
        <v>0</v>
      </c>
      <c r="AS1583" s="213">
        <f t="shared" si="1265"/>
        <v>0</v>
      </c>
      <c r="AT1583" s="213">
        <f t="shared" si="1266"/>
        <v>7</v>
      </c>
      <c r="AU1583" s="213">
        <f t="shared" si="1267"/>
        <v>0</v>
      </c>
      <c r="AV1583" s="213">
        <f t="shared" si="1268"/>
        <v>0</v>
      </c>
      <c r="AW1583" s="213">
        <f t="shared" si="1269"/>
        <v>0</v>
      </c>
      <c r="AX1583" s="213">
        <f t="shared" si="1270"/>
        <v>0</v>
      </c>
      <c r="AY1583" s="213">
        <f t="shared" si="1271"/>
        <v>0</v>
      </c>
      <c r="BA1583" s="551">
        <v>0.3</v>
      </c>
      <c r="BB1583" s="551">
        <v>4.4999999999999998E-2</v>
      </c>
      <c r="BC1583" s="315"/>
      <c r="BD1583" s="213">
        <f t="shared" si="1272"/>
        <v>0</v>
      </c>
      <c r="BE1583" s="213">
        <f t="shared" si="1273"/>
        <v>0</v>
      </c>
      <c r="BF1583" s="213">
        <f t="shared" si="1274"/>
        <v>0</v>
      </c>
      <c r="BG1583" s="213">
        <f t="shared" si="1275"/>
        <v>0</v>
      </c>
      <c r="BH1583" s="213">
        <f t="shared" si="1276"/>
        <v>0</v>
      </c>
      <c r="BI1583" s="213">
        <f t="shared" si="1277"/>
        <v>121.16712328767125</v>
      </c>
      <c r="BJ1583" s="213">
        <f t="shared" si="1278"/>
        <v>243</v>
      </c>
      <c r="BK1583" s="213">
        <f t="shared" si="1279"/>
        <v>243</v>
      </c>
      <c r="BL1583" s="213">
        <f t="shared" si="1280"/>
        <v>243</v>
      </c>
      <c r="BM1583" s="213"/>
      <c r="BN1583" s="213"/>
      <c r="BP1583" s="216">
        <f t="shared" ref="BP1583:BX1583" si="1344">IF(AND($J1583&gt;BO$1575,$J1583&lt;=BP$1575),IF($I1583&gt;BO$1575,$J1583-$I1583,$J1583-BO$1575),IF($J1583&lt;=BO$1575,0,IF(AND($I1583&gt;BO$1575,$I1583&lt;=BP$1575),BP$1575-$I1583,IF($I1583&gt;BP$1575,0,BP$1575-BO$1575))))</f>
        <v>0</v>
      </c>
      <c r="BQ1583" s="216">
        <f t="shared" si="1344"/>
        <v>0</v>
      </c>
      <c r="BR1583" s="216">
        <f t="shared" si="1344"/>
        <v>0</v>
      </c>
      <c r="BS1583" s="216">
        <f t="shared" si="1344"/>
        <v>364</v>
      </c>
      <c r="BT1583" s="216">
        <f t="shared" si="1344"/>
        <v>365</v>
      </c>
      <c r="BU1583" s="216">
        <f t="shared" si="1344"/>
        <v>183</v>
      </c>
      <c r="BV1583" s="216">
        <f t="shared" si="1344"/>
        <v>0</v>
      </c>
      <c r="BW1583" s="216">
        <f t="shared" si="1344"/>
        <v>0</v>
      </c>
      <c r="BX1583" s="216">
        <f t="shared" si="1344"/>
        <v>0</v>
      </c>
      <c r="BY1583" s="216"/>
      <c r="BZ1583" s="216"/>
      <c r="CB1583" s="316"/>
      <c r="CC1583" s="354">
        <f t="shared" si="1282"/>
        <v>0</v>
      </c>
      <c r="CD1583" s="354">
        <f t="shared" si="1282"/>
        <v>0</v>
      </c>
      <c r="CE1583" s="354">
        <f>BS1583/($J1583-$I1583)-25%</f>
        <v>0.14912280701754388</v>
      </c>
      <c r="CF1583" s="354">
        <f>BT1583/($J1583-$I1583)-37%</f>
        <v>3.0219298245614035E-2</v>
      </c>
      <c r="CG1583" s="354">
        <f t="shared" si="1282"/>
        <v>0.20065789473684212</v>
      </c>
      <c r="CH1583" s="354">
        <f t="shared" si="1282"/>
        <v>0</v>
      </c>
      <c r="CI1583" s="354">
        <f t="shared" si="1282"/>
        <v>0</v>
      </c>
      <c r="CJ1583" s="354">
        <f t="shared" si="1282"/>
        <v>0</v>
      </c>
      <c r="CK1583" s="316"/>
      <c r="CL1583" s="316"/>
      <c r="CM1583" s="539">
        <f t="shared" si="1337"/>
        <v>0.38</v>
      </c>
      <c r="CN1583" s="213">
        <f t="shared" si="1283"/>
        <v>0</v>
      </c>
      <c r="CO1583" s="213">
        <f t="shared" si="1284"/>
        <v>0</v>
      </c>
      <c r="CP1583" s="213">
        <f t="shared" si="1285"/>
        <v>0</v>
      </c>
      <c r="CQ1583" s="213">
        <f t="shared" si="1286"/>
        <v>894.73684210526324</v>
      </c>
      <c r="CR1583" s="213">
        <f t="shared" si="1287"/>
        <v>181.31578947368422</v>
      </c>
      <c r="CS1583" s="213">
        <f t="shared" si="1288"/>
        <v>1203.9473684210527</v>
      </c>
      <c r="CT1583" s="213">
        <f t="shared" si="1289"/>
        <v>0</v>
      </c>
      <c r="CU1583" s="213">
        <f t="shared" si="1290"/>
        <v>0</v>
      </c>
      <c r="CV1583" s="213">
        <f t="shared" si="1291"/>
        <v>0</v>
      </c>
      <c r="CW1583" s="213"/>
      <c r="CX1583" s="213"/>
      <c r="CZ1583" s="213">
        <f t="shared" si="1292"/>
        <v>0</v>
      </c>
      <c r="DA1583" s="213">
        <f t="shared" si="1293"/>
        <v>0</v>
      </c>
      <c r="DB1583" s="213">
        <f t="shared" si="1294"/>
        <v>0</v>
      </c>
      <c r="DC1583" s="213">
        <f t="shared" si="1295"/>
        <v>268.42105263157896</v>
      </c>
      <c r="DD1583" s="213">
        <f t="shared" si="1296"/>
        <v>54.394736842105267</v>
      </c>
      <c r="DE1583" s="213">
        <f t="shared" si="1297"/>
        <v>361.18421052631578</v>
      </c>
      <c r="DF1583" s="213">
        <f t="shared" si="1298"/>
        <v>0</v>
      </c>
      <c r="DG1583" s="213">
        <f t="shared" si="1299"/>
        <v>0</v>
      </c>
      <c r="DH1583" s="213">
        <f t="shared" si="1300"/>
        <v>0</v>
      </c>
      <c r="DI1583" s="213"/>
      <c r="DJ1583" s="213"/>
      <c r="DL1583" s="213">
        <f t="shared" ref="DL1583:DT1584" si="1345">CN1583-CZ1583</f>
        <v>0</v>
      </c>
      <c r="DM1583" s="213">
        <f t="shared" si="1345"/>
        <v>0</v>
      </c>
      <c r="DN1583" s="213">
        <f t="shared" si="1345"/>
        <v>0</v>
      </c>
      <c r="DO1583" s="213">
        <f t="shared" si="1345"/>
        <v>626.31578947368428</v>
      </c>
      <c r="DP1583" s="213">
        <f t="shared" si="1345"/>
        <v>126.92105263157896</v>
      </c>
      <c r="DQ1583" s="213">
        <f t="shared" si="1345"/>
        <v>842.76315789473688</v>
      </c>
      <c r="DR1583" s="213">
        <f t="shared" si="1345"/>
        <v>0</v>
      </c>
      <c r="DS1583" s="213">
        <f t="shared" si="1345"/>
        <v>0</v>
      </c>
      <c r="DT1583" s="213">
        <f t="shared" si="1345"/>
        <v>0</v>
      </c>
      <c r="DU1583" s="213"/>
      <c r="DV1583" s="213"/>
      <c r="DX1583" s="213">
        <f t="shared" si="1302"/>
        <v>0</v>
      </c>
      <c r="DY1583" s="213">
        <f t="shared" si="1303"/>
        <v>0</v>
      </c>
      <c r="DZ1583" s="213">
        <f t="shared" si="1304"/>
        <v>0</v>
      </c>
      <c r="EA1583" s="213">
        <f t="shared" si="1305"/>
        <v>0</v>
      </c>
      <c r="EB1583" s="213">
        <f t="shared" si="1306"/>
        <v>0</v>
      </c>
      <c r="EC1583" s="213">
        <f t="shared" si="1307"/>
        <v>0</v>
      </c>
      <c r="ED1583" s="213">
        <f t="shared" si="1308"/>
        <v>168</v>
      </c>
      <c r="EE1583" s="213">
        <f t="shared" si="1309"/>
        <v>168</v>
      </c>
      <c r="EF1583" s="213">
        <f t="shared" si="1310"/>
        <v>168</v>
      </c>
      <c r="EG1583" s="213"/>
      <c r="EH1583" s="213"/>
      <c r="EJ1583" s="213">
        <f>+IF(AC1583&gt;0,$M1583*(1-$BA1583)-SUM($DX1583:DX1583),DL1583)</f>
        <v>0</v>
      </c>
      <c r="EK1583" s="213">
        <f>+IF(AD1583&gt;0,$M1583*(1-$BA1583)-SUM($DX1583:DY1583),DM1583)</f>
        <v>0</v>
      </c>
      <c r="EL1583" s="213">
        <f>+IF(AE1583&gt;0,$M1583*(1-$BA1583)-SUM($DX1583:DZ1583),DN1583)</f>
        <v>0</v>
      </c>
      <c r="EM1583" s="213">
        <f>+IF(AF1583&gt;0,$M1583*(1-$BA1583)-SUM($DX1583:EA1583),DO1583)</f>
        <v>626.31578947368428</v>
      </c>
      <c r="EN1583" s="213">
        <f>+IF(AG1583&gt;0,$M1583*(1-$BA1583)-SUM($DX1583:EB1583),DP1583)</f>
        <v>126.92105263157896</v>
      </c>
      <c r="EO1583" s="213">
        <f>+IF(AH1583&gt;0,$M1583*(1-$BA1583)-SUM($DX1583:EC1583),DQ1583)</f>
        <v>4200</v>
      </c>
      <c r="EP1583" s="213">
        <f>+IF(AI1583&gt;0,$M1583*(1-$BA1583)-SUM($DX1583:ED1583),DR1583)</f>
        <v>4032</v>
      </c>
      <c r="EQ1583" s="213">
        <f>+IF(AJ1583&gt;0,$M1583*(1-$BA1583)-SUM($DX1583:EE1583),DS1583)</f>
        <v>3864</v>
      </c>
      <c r="ER1583" s="213">
        <f>+IF(AK1583&gt;0,$M1583*(1-$BA1583)-SUM($DX1583:EF1583),DT1583)</f>
        <v>3696</v>
      </c>
      <c r="ES1583" s="213"/>
      <c r="ET1583" s="213"/>
      <c r="EV1583" s="213"/>
      <c r="EW1583" s="213">
        <f t="shared" si="1311"/>
        <v>0</v>
      </c>
      <c r="EX1583" s="213">
        <f t="shared" si="1312"/>
        <v>0</v>
      </c>
      <c r="EY1583" s="213">
        <f t="shared" si="1313"/>
        <v>0</v>
      </c>
      <c r="EZ1583" s="213">
        <f t="shared" si="1314"/>
        <v>0</v>
      </c>
      <c r="FA1583" s="213">
        <f t="shared" si="1315"/>
        <v>146.59726027397261</v>
      </c>
      <c r="FB1583" s="213">
        <f t="shared" si="1316"/>
        <v>262.08</v>
      </c>
      <c r="FC1583" s="213">
        <f t="shared" si="1317"/>
        <v>251.16</v>
      </c>
      <c r="FD1583" s="213">
        <f t="shared" si="1318"/>
        <v>240.24</v>
      </c>
      <c r="FE1583" s="213"/>
      <c r="FF1583" s="213"/>
      <c r="FH1583" s="213">
        <f t="shared" si="1319"/>
        <v>0</v>
      </c>
      <c r="FI1583" s="213">
        <f t="shared" si="1320"/>
        <v>0</v>
      </c>
      <c r="FJ1583" s="213">
        <f>IF(AE1583=1,$M1583*'[4]Assumptions_Subs &amp; JV'!JL$503,)</f>
        <v>0</v>
      </c>
      <c r="FK1583" s="213">
        <f>IF(AF1583=1,$M1583*'[4]Assumptions_Subs &amp; JV'!JM$503,)</f>
        <v>0</v>
      </c>
      <c r="FL1583" s="213">
        <f t="shared" si="1321"/>
        <v>0</v>
      </c>
      <c r="FM1583" s="213">
        <f t="shared" si="1322"/>
        <v>6000</v>
      </c>
      <c r="FN1583" s="213">
        <f t="shared" si="1323"/>
        <v>0</v>
      </c>
      <c r="FO1583" s="213">
        <f t="shared" si="1324"/>
        <v>0</v>
      </c>
      <c r="FP1583" s="213">
        <f t="shared" si="1325"/>
        <v>0</v>
      </c>
      <c r="FQ1583" s="213"/>
      <c r="FR1583" s="213"/>
      <c r="FT1583" s="213">
        <f t="shared" si="1326"/>
        <v>0</v>
      </c>
      <c r="FU1583" s="213">
        <f t="shared" si="1327"/>
        <v>0</v>
      </c>
      <c r="FV1583" s="213">
        <f t="shared" si="1328"/>
        <v>0</v>
      </c>
      <c r="FW1583" s="213">
        <f t="shared" si="1329"/>
        <v>894.73684210526324</v>
      </c>
      <c r="FX1583" s="213">
        <f t="shared" si="1330"/>
        <v>1076.0526315789475</v>
      </c>
      <c r="FY1583" s="213">
        <f t="shared" si="1331"/>
        <v>0</v>
      </c>
      <c r="FZ1583" s="213">
        <f t="shared" si="1332"/>
        <v>0</v>
      </c>
      <c r="GA1583" s="213">
        <f t="shared" si="1333"/>
        <v>0</v>
      </c>
      <c r="GB1583" s="213">
        <f t="shared" si="1334"/>
        <v>0</v>
      </c>
      <c r="GC1583" s="213"/>
      <c r="GD1583" s="213"/>
    </row>
    <row r="1584" spans="1:186" ht="12.6" customHeight="1" x14ac:dyDescent="0.2">
      <c r="A1584" s="362"/>
      <c r="B1584" s="208" t="s">
        <v>554</v>
      </c>
      <c r="C1584" s="210" t="s">
        <v>788</v>
      </c>
      <c r="D1584" s="209"/>
      <c r="E1584" s="209"/>
      <c r="F1584" s="209"/>
      <c r="G1584" s="346"/>
      <c r="H1584" s="1157">
        <v>4.5</v>
      </c>
      <c r="I1584" s="363">
        <v>45383</v>
      </c>
      <c r="J1584" s="546">
        <v>45884</v>
      </c>
      <c r="K1584" s="209">
        <f t="shared" si="1248"/>
        <v>2026</v>
      </c>
      <c r="L1584" s="215"/>
      <c r="M1584" s="215">
        <v>1000</v>
      </c>
      <c r="N1584" s="212"/>
      <c r="O1584" s="212"/>
      <c r="P1584" s="209"/>
      <c r="Q1584" s="213">
        <f t="shared" si="1249"/>
        <v>0</v>
      </c>
      <c r="R1584" s="213">
        <f t="shared" si="1250"/>
        <v>0</v>
      </c>
      <c r="S1584" s="213">
        <f t="shared" si="1250"/>
        <v>0</v>
      </c>
      <c r="T1584" s="213">
        <f t="shared" si="1250"/>
        <v>0</v>
      </c>
      <c r="U1584" s="213">
        <f t="shared" si="1250"/>
        <v>228</v>
      </c>
      <c r="V1584" s="213">
        <f t="shared" si="1250"/>
        <v>365</v>
      </c>
      <c r="W1584" s="213">
        <f t="shared" si="1250"/>
        <v>365</v>
      </c>
      <c r="X1584" s="213">
        <f t="shared" si="1250"/>
        <v>365</v>
      </c>
      <c r="Y1584" s="213">
        <f t="shared" si="1250"/>
        <v>365</v>
      </c>
      <c r="Z1584" s="213">
        <f t="shared" si="1250"/>
        <v>365</v>
      </c>
      <c r="AA1584" s="213">
        <f t="shared" si="1249"/>
        <v>365</v>
      </c>
      <c r="AB1584" s="214"/>
      <c r="AC1584" s="213">
        <f t="shared" si="1343"/>
        <v>0</v>
      </c>
      <c r="AD1584" s="213">
        <f t="shared" si="1252"/>
        <v>0</v>
      </c>
      <c r="AE1584" s="213">
        <f t="shared" si="1253"/>
        <v>0</v>
      </c>
      <c r="AF1584" s="213">
        <f t="shared" si="1254"/>
        <v>0</v>
      </c>
      <c r="AG1584" s="213">
        <f t="shared" si="1255"/>
        <v>1</v>
      </c>
      <c r="AH1584" s="213">
        <f t="shared" si="1256"/>
        <v>2</v>
      </c>
      <c r="AI1584" s="213">
        <f t="shared" si="1257"/>
        <v>3</v>
      </c>
      <c r="AJ1584" s="213">
        <f t="shared" si="1258"/>
        <v>4</v>
      </c>
      <c r="AK1584" s="213">
        <f t="shared" si="1259"/>
        <v>5</v>
      </c>
      <c r="AL1584" s="213">
        <f t="shared" si="1260"/>
        <v>6</v>
      </c>
      <c r="AM1584" s="213">
        <f t="shared" si="1261"/>
        <v>7</v>
      </c>
      <c r="AO1584" s="213">
        <f t="shared" si="1335"/>
        <v>0</v>
      </c>
      <c r="AP1584" s="213">
        <f t="shared" si="1262"/>
        <v>0</v>
      </c>
      <c r="AQ1584" s="213">
        <f t="shared" si="1263"/>
        <v>0</v>
      </c>
      <c r="AR1584" s="213">
        <f t="shared" si="1264"/>
        <v>0</v>
      </c>
      <c r="AS1584" s="213">
        <f t="shared" si="1265"/>
        <v>4.5</v>
      </c>
      <c r="AT1584" s="213">
        <f t="shared" si="1266"/>
        <v>0</v>
      </c>
      <c r="AU1584" s="213">
        <f t="shared" si="1267"/>
        <v>0</v>
      </c>
      <c r="AV1584" s="213">
        <f t="shared" si="1268"/>
        <v>0</v>
      </c>
      <c r="AW1584" s="213">
        <f t="shared" si="1269"/>
        <v>0</v>
      </c>
      <c r="AX1584" s="213">
        <f t="shared" si="1270"/>
        <v>0</v>
      </c>
      <c r="AY1584" s="213">
        <f t="shared" si="1271"/>
        <v>0</v>
      </c>
      <c r="BA1584" s="551">
        <v>0.3</v>
      </c>
      <c r="BB1584" s="551">
        <v>4.4999999999999998E-2</v>
      </c>
      <c r="BC1584" s="315"/>
      <c r="BD1584" s="213">
        <f t="shared" si="1272"/>
        <v>0</v>
      </c>
      <c r="BE1584" s="213">
        <f t="shared" si="1273"/>
        <v>0</v>
      </c>
      <c r="BF1584" s="213">
        <f t="shared" si="1274"/>
        <v>0</v>
      </c>
      <c r="BG1584" s="213">
        <f t="shared" si="1275"/>
        <v>0</v>
      </c>
      <c r="BH1584" s="213">
        <f t="shared" si="1276"/>
        <v>25.298630136986301</v>
      </c>
      <c r="BI1584" s="213">
        <f t="shared" si="1277"/>
        <v>40.5</v>
      </c>
      <c r="BJ1584" s="213">
        <f t="shared" si="1278"/>
        <v>40.5</v>
      </c>
      <c r="BK1584" s="213">
        <f t="shared" si="1279"/>
        <v>40.5</v>
      </c>
      <c r="BL1584" s="213">
        <f t="shared" si="1280"/>
        <v>40.5</v>
      </c>
      <c r="BM1584" s="213"/>
      <c r="BN1584" s="213"/>
      <c r="BP1584" s="216">
        <f t="shared" ref="BP1584:BX1584" si="1346">IF(AND($J1584&gt;BO$1575,$J1584&lt;=BP$1575),IF($I1584&gt;BO$1575,$J1584-$I1584,$J1584-BO$1575),IF($J1584&lt;=BO$1575,0,IF(AND($I1584&gt;BO$1575,$I1584&lt;=BP$1575),BP$1575-$I1584,IF($I1584&gt;BP$1575,0,BP$1575-BO$1575))))</f>
        <v>0</v>
      </c>
      <c r="BQ1584" s="216">
        <f t="shared" si="1346"/>
        <v>0</v>
      </c>
      <c r="BR1584" s="216">
        <f t="shared" si="1346"/>
        <v>0</v>
      </c>
      <c r="BS1584" s="216">
        <f t="shared" si="1346"/>
        <v>364</v>
      </c>
      <c r="BT1584" s="216">
        <f t="shared" si="1346"/>
        <v>137</v>
      </c>
      <c r="BU1584" s="216">
        <f t="shared" si="1346"/>
        <v>0</v>
      </c>
      <c r="BV1584" s="216">
        <f t="shared" si="1346"/>
        <v>0</v>
      </c>
      <c r="BW1584" s="216">
        <f t="shared" si="1346"/>
        <v>0</v>
      </c>
      <c r="BX1584" s="216">
        <f t="shared" si="1346"/>
        <v>0</v>
      </c>
      <c r="BY1584" s="216"/>
      <c r="BZ1584" s="216"/>
      <c r="CB1584" s="316"/>
      <c r="CC1584" s="354">
        <f t="shared" si="1282"/>
        <v>0</v>
      </c>
      <c r="CD1584" s="354">
        <f t="shared" si="1282"/>
        <v>0</v>
      </c>
      <c r="CE1584" s="354">
        <f>BS1584/($J1584-$I1584)-20%</f>
        <v>0.52654690618762467</v>
      </c>
      <c r="CF1584" s="354">
        <f>BT1584/($J1584-$I1584)-17%</f>
        <v>0.10345309381237525</v>
      </c>
      <c r="CG1584" s="354">
        <f t="shared" si="1282"/>
        <v>0</v>
      </c>
      <c r="CH1584" s="354">
        <f t="shared" si="1282"/>
        <v>0</v>
      </c>
      <c r="CI1584" s="354">
        <f t="shared" si="1282"/>
        <v>0</v>
      </c>
      <c r="CJ1584" s="354">
        <f t="shared" si="1282"/>
        <v>0</v>
      </c>
      <c r="CK1584" s="316"/>
      <c r="CL1584" s="316"/>
      <c r="CM1584" s="539">
        <f t="shared" si="1337"/>
        <v>0.62999999999999989</v>
      </c>
      <c r="CN1584" s="213">
        <f t="shared" si="1283"/>
        <v>0</v>
      </c>
      <c r="CO1584" s="213">
        <f t="shared" si="1284"/>
        <v>0</v>
      </c>
      <c r="CP1584" s="213">
        <f t="shared" si="1285"/>
        <v>0</v>
      </c>
      <c r="CQ1584" s="213">
        <f t="shared" si="1286"/>
        <v>526.5469061876247</v>
      </c>
      <c r="CR1584" s="213">
        <f t="shared" si="1287"/>
        <v>103.45309381237524</v>
      </c>
      <c r="CS1584" s="213">
        <f t="shared" si="1288"/>
        <v>0</v>
      </c>
      <c r="CT1584" s="213">
        <f t="shared" si="1289"/>
        <v>0</v>
      </c>
      <c r="CU1584" s="213">
        <f t="shared" si="1290"/>
        <v>0</v>
      </c>
      <c r="CV1584" s="213">
        <f t="shared" si="1291"/>
        <v>0</v>
      </c>
      <c r="CW1584" s="213"/>
      <c r="CX1584" s="213"/>
      <c r="CZ1584" s="213">
        <f t="shared" si="1292"/>
        <v>0</v>
      </c>
      <c r="DA1584" s="213">
        <f t="shared" si="1293"/>
        <v>0</v>
      </c>
      <c r="DB1584" s="213">
        <f t="shared" si="1294"/>
        <v>0</v>
      </c>
      <c r="DC1584" s="213">
        <f t="shared" si="1295"/>
        <v>157.9640718562874</v>
      </c>
      <c r="DD1584" s="213">
        <f t="shared" si="1296"/>
        <v>31.035928143712571</v>
      </c>
      <c r="DE1584" s="213">
        <f t="shared" si="1297"/>
        <v>0</v>
      </c>
      <c r="DF1584" s="213">
        <f t="shared" si="1298"/>
        <v>0</v>
      </c>
      <c r="DG1584" s="213">
        <f t="shared" si="1299"/>
        <v>0</v>
      </c>
      <c r="DH1584" s="213">
        <f t="shared" si="1300"/>
        <v>0</v>
      </c>
      <c r="DI1584" s="213"/>
      <c r="DJ1584" s="213"/>
      <c r="DL1584" s="213">
        <f t="shared" si="1345"/>
        <v>0</v>
      </c>
      <c r="DM1584" s="213">
        <f t="shared" si="1345"/>
        <v>0</v>
      </c>
      <c r="DN1584" s="213">
        <f t="shared" si="1345"/>
        <v>0</v>
      </c>
      <c r="DO1584" s="213">
        <f t="shared" si="1345"/>
        <v>368.58283433133727</v>
      </c>
      <c r="DP1584" s="213">
        <f t="shared" si="1345"/>
        <v>72.417165668662676</v>
      </c>
      <c r="DQ1584" s="213">
        <f t="shared" si="1345"/>
        <v>0</v>
      </c>
      <c r="DR1584" s="213">
        <f t="shared" si="1345"/>
        <v>0</v>
      </c>
      <c r="DS1584" s="213">
        <f t="shared" si="1345"/>
        <v>0</v>
      </c>
      <c r="DT1584" s="213">
        <f t="shared" si="1345"/>
        <v>0</v>
      </c>
      <c r="DU1584" s="213"/>
      <c r="DV1584" s="213"/>
      <c r="DX1584" s="213">
        <f t="shared" si="1302"/>
        <v>0</v>
      </c>
      <c r="DY1584" s="213">
        <f t="shared" si="1303"/>
        <v>0</v>
      </c>
      <c r="DZ1584" s="213">
        <f t="shared" si="1304"/>
        <v>0</v>
      </c>
      <c r="EA1584" s="213">
        <f t="shared" si="1305"/>
        <v>0</v>
      </c>
      <c r="EB1584" s="213">
        <f t="shared" si="1306"/>
        <v>0</v>
      </c>
      <c r="EC1584" s="213">
        <f t="shared" si="1307"/>
        <v>28</v>
      </c>
      <c r="ED1584" s="213">
        <f t="shared" si="1308"/>
        <v>28</v>
      </c>
      <c r="EE1584" s="213">
        <f t="shared" si="1309"/>
        <v>28</v>
      </c>
      <c r="EF1584" s="213">
        <f t="shared" si="1310"/>
        <v>28</v>
      </c>
      <c r="EG1584" s="213"/>
      <c r="EH1584" s="213"/>
      <c r="EJ1584" s="213">
        <f>+IF(AC1584&gt;0,$M1584*(1-$BA1584)-SUM($DX1584:DX1584),DL1584)</f>
        <v>0</v>
      </c>
      <c r="EK1584" s="213">
        <f>+IF(AD1584&gt;0,$M1584*(1-$BA1584)-SUM($DX1584:DY1584),DM1584)</f>
        <v>0</v>
      </c>
      <c r="EL1584" s="213">
        <f>+IF(AE1584&gt;0,$M1584*(1-$BA1584)-SUM($DX1584:DZ1584),DN1584)</f>
        <v>0</v>
      </c>
      <c r="EM1584" s="213">
        <f>+IF(AF1584&gt;0,$M1584*(1-$BA1584)-SUM($DX1584:EA1584),DO1584)</f>
        <v>368.58283433133727</v>
      </c>
      <c r="EN1584" s="213">
        <f>+IF(AG1584&gt;0,$M1584*(1-$BA1584)-SUM($DX1584:EB1584),DP1584)</f>
        <v>700</v>
      </c>
      <c r="EO1584" s="213">
        <f>+IF(AH1584&gt;0,$M1584*(1-$BA1584)-SUM($DX1584:EC1584),DQ1584)</f>
        <v>672</v>
      </c>
      <c r="EP1584" s="213">
        <f>+IF(AI1584&gt;0,$M1584*(1-$BA1584)-SUM($DX1584:ED1584),DR1584)</f>
        <v>644</v>
      </c>
      <c r="EQ1584" s="213">
        <f>+IF(AJ1584&gt;0,$M1584*(1-$BA1584)-SUM($DX1584:EE1584),DS1584)</f>
        <v>616</v>
      </c>
      <c r="ER1584" s="213">
        <f>+IF(AK1584&gt;0,$M1584*(1-$BA1584)-SUM($DX1584:EF1584),DT1584)</f>
        <v>588</v>
      </c>
      <c r="ES1584" s="213"/>
      <c r="ET1584" s="213"/>
      <c r="EV1584" s="213"/>
      <c r="EW1584" s="213">
        <f t="shared" si="1311"/>
        <v>0</v>
      </c>
      <c r="EX1584" s="213">
        <f t="shared" si="1312"/>
        <v>0</v>
      </c>
      <c r="EY1584" s="213">
        <f t="shared" si="1313"/>
        <v>0</v>
      </c>
      <c r="EZ1584" s="213">
        <f t="shared" si="1314"/>
        <v>30.608219178082194</v>
      </c>
      <c r="FA1584" s="213">
        <f t="shared" si="1315"/>
        <v>47.040000000000006</v>
      </c>
      <c r="FB1584" s="213">
        <f t="shared" si="1316"/>
        <v>41.86</v>
      </c>
      <c r="FC1584" s="213">
        <f t="shared" si="1317"/>
        <v>40.04</v>
      </c>
      <c r="FD1584" s="213">
        <f t="shared" si="1318"/>
        <v>38.22</v>
      </c>
      <c r="FE1584" s="213"/>
      <c r="FF1584" s="213"/>
      <c r="FH1584" s="213">
        <f t="shared" si="1319"/>
        <v>0</v>
      </c>
      <c r="FI1584" s="213">
        <f t="shared" si="1320"/>
        <v>0</v>
      </c>
      <c r="FJ1584" s="213">
        <f>IF(AE1584=1,$M1584*'[4]Assumptions_Subs &amp; JV'!JL$503,)</f>
        <v>0</v>
      </c>
      <c r="FK1584" s="213">
        <f>IF(AF1584=1,$M1584*'[4]Assumptions_Subs &amp; JV'!JM$503,)</f>
        <v>0</v>
      </c>
      <c r="FL1584" s="213">
        <f t="shared" si="1321"/>
        <v>1000</v>
      </c>
      <c r="FM1584" s="213">
        <f t="shared" si="1322"/>
        <v>0</v>
      </c>
      <c r="FN1584" s="213">
        <f t="shared" si="1323"/>
        <v>0</v>
      </c>
      <c r="FO1584" s="213">
        <f t="shared" si="1324"/>
        <v>0</v>
      </c>
      <c r="FP1584" s="213">
        <f t="shared" si="1325"/>
        <v>0</v>
      </c>
      <c r="FQ1584" s="213"/>
      <c r="FR1584" s="213"/>
      <c r="FT1584" s="213">
        <f t="shared" si="1326"/>
        <v>0</v>
      </c>
      <c r="FU1584" s="213">
        <f t="shared" si="1327"/>
        <v>0</v>
      </c>
      <c r="FV1584" s="213">
        <f t="shared" si="1328"/>
        <v>0</v>
      </c>
      <c r="FW1584" s="213">
        <f t="shared" si="1329"/>
        <v>526.5469061876247</v>
      </c>
      <c r="FX1584" s="213">
        <f t="shared" si="1330"/>
        <v>0</v>
      </c>
      <c r="FY1584" s="213">
        <f t="shared" si="1331"/>
        <v>0</v>
      </c>
      <c r="FZ1584" s="213">
        <f t="shared" si="1332"/>
        <v>0</v>
      </c>
      <c r="GA1584" s="213">
        <f t="shared" si="1333"/>
        <v>0</v>
      </c>
      <c r="GB1584" s="213">
        <f t="shared" si="1334"/>
        <v>0</v>
      </c>
      <c r="GC1584" s="213"/>
      <c r="GD1584" s="213"/>
    </row>
    <row r="1585" spans="1:186" ht="12.6" customHeight="1" x14ac:dyDescent="0.2">
      <c r="A1585" s="362"/>
      <c r="B1585" s="208" t="s">
        <v>15</v>
      </c>
      <c r="C1585" s="210" t="s">
        <v>789</v>
      </c>
      <c r="D1585" s="209"/>
      <c r="E1585" s="209"/>
      <c r="F1585" s="209"/>
      <c r="G1585" s="346"/>
      <c r="H1585" s="1157">
        <v>30</v>
      </c>
      <c r="I1585" s="363">
        <v>45383</v>
      </c>
      <c r="J1585" s="546">
        <v>47026</v>
      </c>
      <c r="K1585" s="209">
        <f t="shared" si="1248"/>
        <v>2029</v>
      </c>
      <c r="L1585" s="215">
        <f t="shared" ref="L1585:L1591" si="1347">M1585/H1585</f>
        <v>1373</v>
      </c>
      <c r="M1585" s="215">
        <v>41190</v>
      </c>
      <c r="N1585" s="212"/>
      <c r="O1585" s="212"/>
      <c r="P1585" s="209"/>
      <c r="Q1585" s="213">
        <f t="shared" si="1249"/>
        <v>0</v>
      </c>
      <c r="R1585" s="213">
        <f t="shared" si="1250"/>
        <v>0</v>
      </c>
      <c r="S1585" s="213">
        <f t="shared" si="1250"/>
        <v>0</v>
      </c>
      <c r="T1585" s="213">
        <f t="shared" si="1250"/>
        <v>0</v>
      </c>
      <c r="U1585" s="213">
        <f t="shared" si="1250"/>
        <v>0</v>
      </c>
      <c r="V1585" s="213">
        <f t="shared" si="1250"/>
        <v>0</v>
      </c>
      <c r="W1585" s="213">
        <f t="shared" si="1250"/>
        <v>0</v>
      </c>
      <c r="X1585" s="213">
        <f t="shared" si="1250"/>
        <v>182</v>
      </c>
      <c r="Y1585" s="213">
        <f t="shared" si="1250"/>
        <v>365</v>
      </c>
      <c r="Z1585" s="213">
        <f t="shared" si="1250"/>
        <v>365</v>
      </c>
      <c r="AA1585" s="213">
        <f t="shared" si="1249"/>
        <v>365</v>
      </c>
      <c r="AB1585" s="214"/>
      <c r="AC1585" s="213">
        <f t="shared" ref="AC1585" si="1348">IF(AND(P1585=0,Q1585&gt;0),1,IF(AB1585=0,0,AB1585+1))</f>
        <v>0</v>
      </c>
      <c r="AD1585" s="213">
        <f t="shared" si="1252"/>
        <v>0</v>
      </c>
      <c r="AE1585" s="213">
        <f t="shared" si="1253"/>
        <v>0</v>
      </c>
      <c r="AF1585" s="213">
        <f t="shared" si="1254"/>
        <v>0</v>
      </c>
      <c r="AG1585" s="213">
        <f t="shared" si="1255"/>
        <v>0</v>
      </c>
      <c r="AH1585" s="213">
        <f t="shared" si="1256"/>
        <v>0</v>
      </c>
      <c r="AI1585" s="213">
        <f t="shared" si="1257"/>
        <v>0</v>
      </c>
      <c r="AJ1585" s="213">
        <f t="shared" si="1258"/>
        <v>1</v>
      </c>
      <c r="AK1585" s="213">
        <f t="shared" si="1259"/>
        <v>2</v>
      </c>
      <c r="AL1585" s="213">
        <f t="shared" si="1260"/>
        <v>3</v>
      </c>
      <c r="AM1585" s="213">
        <f t="shared" si="1261"/>
        <v>4</v>
      </c>
      <c r="AO1585" s="213">
        <f t="shared" si="1335"/>
        <v>0</v>
      </c>
      <c r="AP1585" s="213">
        <f t="shared" si="1262"/>
        <v>0</v>
      </c>
      <c r="AQ1585" s="213">
        <f t="shared" si="1263"/>
        <v>0</v>
      </c>
      <c r="AR1585" s="213">
        <f t="shared" si="1264"/>
        <v>0</v>
      </c>
      <c r="AS1585" s="213">
        <f t="shared" si="1265"/>
        <v>0</v>
      </c>
      <c r="AT1585" s="213">
        <f t="shared" si="1266"/>
        <v>0</v>
      </c>
      <c r="AU1585" s="213">
        <f t="shared" si="1267"/>
        <v>0</v>
      </c>
      <c r="AV1585" s="213">
        <f t="shared" si="1268"/>
        <v>30</v>
      </c>
      <c r="AW1585" s="213">
        <f t="shared" si="1269"/>
        <v>0</v>
      </c>
      <c r="AX1585" s="213">
        <f t="shared" si="1270"/>
        <v>0</v>
      </c>
      <c r="AY1585" s="213">
        <f t="shared" si="1271"/>
        <v>0</v>
      </c>
      <c r="BA1585" s="551">
        <v>0.3</v>
      </c>
      <c r="BB1585" s="551">
        <v>4.4999999999999998E-2</v>
      </c>
      <c r="BC1585" s="315"/>
      <c r="BD1585" s="213">
        <f t="shared" si="1272"/>
        <v>0</v>
      </c>
      <c r="BE1585" s="213">
        <f t="shared" si="1273"/>
        <v>0</v>
      </c>
      <c r="BF1585" s="213">
        <f t="shared" si="1274"/>
        <v>0</v>
      </c>
      <c r="BG1585" s="213">
        <f t="shared" si="1275"/>
        <v>0</v>
      </c>
      <c r="BH1585" s="213">
        <f t="shared" si="1276"/>
        <v>0</v>
      </c>
      <c r="BI1585" s="213">
        <f t="shared" si="1277"/>
        <v>0</v>
      </c>
      <c r="BJ1585" s="213">
        <f t="shared" si="1278"/>
        <v>0</v>
      </c>
      <c r="BK1585" s="213">
        <f t="shared" si="1279"/>
        <v>831.81230136986301</v>
      </c>
      <c r="BL1585" s="213">
        <f t="shared" si="1280"/>
        <v>1668.1949999999999</v>
      </c>
      <c r="BM1585" s="213"/>
      <c r="BN1585" s="213"/>
      <c r="BP1585" s="216">
        <f t="shared" ref="BP1585:BX1585" si="1349">IF(AND($J1585&gt;BO$1575,$J1585&lt;=BP$1575),IF($I1585&gt;BO$1575,$J1585-$I1585,$J1585-BO$1575),IF($J1585&lt;=BO$1575,0,IF(AND($I1585&gt;BO$1575,$I1585&lt;=BP$1575),BP$1575-$I1585,IF($I1585&gt;BP$1575,0,BP$1575-BO$1575))))</f>
        <v>0</v>
      </c>
      <c r="BQ1585" s="216">
        <f t="shared" si="1349"/>
        <v>0</v>
      </c>
      <c r="BR1585" s="216">
        <f t="shared" si="1349"/>
        <v>0</v>
      </c>
      <c r="BS1585" s="216">
        <f t="shared" si="1349"/>
        <v>364</v>
      </c>
      <c r="BT1585" s="216">
        <f t="shared" si="1349"/>
        <v>365</v>
      </c>
      <c r="BU1585" s="216">
        <f t="shared" si="1349"/>
        <v>365</v>
      </c>
      <c r="BV1585" s="216">
        <f t="shared" si="1349"/>
        <v>366</v>
      </c>
      <c r="BW1585" s="216">
        <f t="shared" si="1349"/>
        <v>183</v>
      </c>
      <c r="BX1585" s="216">
        <f t="shared" si="1349"/>
        <v>0</v>
      </c>
      <c r="BY1585" s="216"/>
      <c r="BZ1585" s="216"/>
      <c r="CB1585" s="316"/>
      <c r="CC1585" s="354">
        <f t="shared" ref="CC1585:CD1586" si="1350">BQ1585/($J1585-$I1585)</f>
        <v>0</v>
      </c>
      <c r="CD1585" s="354">
        <f t="shared" si="1350"/>
        <v>0</v>
      </c>
      <c r="CE1585" s="354">
        <f>BS1585/($J1585-$I1585)-20%</f>
        <v>2.1545952525867301E-2</v>
      </c>
      <c r="CF1585" s="354">
        <f>BT1585/($J1585-$I1585)-20%</f>
        <v>2.2154595252586728E-2</v>
      </c>
      <c r="CG1585" s="354">
        <f>BU1585/($J1585-$I1585)-20%</f>
        <v>2.2154595252586728E-2</v>
      </c>
      <c r="CH1585" s="354">
        <f>BV1585/($J1585-$I1585)-10%</f>
        <v>0.12276323797930613</v>
      </c>
      <c r="CI1585" s="354">
        <f>BW1585/($J1585-$I1585)+15%</f>
        <v>0.26138161898965306</v>
      </c>
      <c r="CJ1585" s="354">
        <f t="shared" ref="CI1585:CJ1587" si="1351">BX1585/($J1585-$I1585)</f>
        <v>0</v>
      </c>
      <c r="CK1585" s="316"/>
      <c r="CL1585" s="316"/>
      <c r="CM1585" s="539">
        <f t="shared" si="1337"/>
        <v>0.44999999999999996</v>
      </c>
      <c r="CN1585" s="213">
        <f t="shared" si="1283"/>
        <v>0</v>
      </c>
      <c r="CO1585" s="213">
        <f t="shared" si="1284"/>
        <v>0</v>
      </c>
      <c r="CP1585" s="213">
        <f t="shared" si="1285"/>
        <v>0</v>
      </c>
      <c r="CQ1585" s="213">
        <f t="shared" si="1286"/>
        <v>887.47778454047409</v>
      </c>
      <c r="CR1585" s="213">
        <f t="shared" si="1287"/>
        <v>912.54777845404737</v>
      </c>
      <c r="CS1585" s="213">
        <f t="shared" si="1288"/>
        <v>912.54777845404737</v>
      </c>
      <c r="CT1585" s="213">
        <f t="shared" si="1289"/>
        <v>5056.6177723676201</v>
      </c>
      <c r="CU1585" s="213">
        <f t="shared" si="1290"/>
        <v>10766.30888618381</v>
      </c>
      <c r="CV1585" s="213">
        <f t="shared" si="1291"/>
        <v>0</v>
      </c>
      <c r="CW1585" s="213"/>
      <c r="CX1585" s="213"/>
      <c r="CZ1585" s="213">
        <f t="shared" si="1292"/>
        <v>0</v>
      </c>
      <c r="DA1585" s="213">
        <f t="shared" si="1293"/>
        <v>0</v>
      </c>
      <c r="DB1585" s="213">
        <f t="shared" si="1294"/>
        <v>0</v>
      </c>
      <c r="DC1585" s="213">
        <f t="shared" si="1295"/>
        <v>266.2433353621422</v>
      </c>
      <c r="DD1585" s="213">
        <f t="shared" si="1296"/>
        <v>273.76433353621422</v>
      </c>
      <c r="DE1585" s="213">
        <f t="shared" si="1297"/>
        <v>273.76433353621422</v>
      </c>
      <c r="DF1585" s="213">
        <f t="shared" si="1298"/>
        <v>1516.9853317102859</v>
      </c>
      <c r="DG1585" s="213">
        <f t="shared" si="1299"/>
        <v>3229.8926658551427</v>
      </c>
      <c r="DH1585" s="213">
        <f t="shared" si="1300"/>
        <v>0</v>
      </c>
      <c r="DI1585" s="213"/>
      <c r="DJ1585" s="213"/>
      <c r="DL1585" s="213">
        <f t="shared" ref="DL1585:DT1585" si="1352">CN1585-CZ1585</f>
        <v>0</v>
      </c>
      <c r="DM1585" s="213">
        <f t="shared" si="1352"/>
        <v>0</v>
      </c>
      <c r="DN1585" s="213">
        <f t="shared" si="1352"/>
        <v>0</v>
      </c>
      <c r="DO1585" s="213">
        <f t="shared" si="1352"/>
        <v>621.23444917833194</v>
      </c>
      <c r="DP1585" s="213">
        <f t="shared" si="1352"/>
        <v>638.78344491783309</v>
      </c>
      <c r="DQ1585" s="213">
        <f t="shared" si="1352"/>
        <v>638.78344491783309</v>
      </c>
      <c r="DR1585" s="213">
        <f t="shared" si="1352"/>
        <v>3539.632440657334</v>
      </c>
      <c r="DS1585" s="213">
        <f t="shared" si="1352"/>
        <v>7536.4162203286669</v>
      </c>
      <c r="DT1585" s="213">
        <f t="shared" si="1352"/>
        <v>0</v>
      </c>
      <c r="DU1585" s="213"/>
      <c r="DV1585" s="213"/>
      <c r="DX1585" s="213">
        <f t="shared" si="1302"/>
        <v>0</v>
      </c>
      <c r="DY1585" s="213">
        <f t="shared" si="1303"/>
        <v>0</v>
      </c>
      <c r="DZ1585" s="213">
        <f t="shared" si="1304"/>
        <v>0</v>
      </c>
      <c r="EA1585" s="213">
        <f t="shared" si="1305"/>
        <v>0</v>
      </c>
      <c r="EB1585" s="213">
        <f t="shared" si="1306"/>
        <v>0</v>
      </c>
      <c r="EC1585" s="213">
        <f t="shared" si="1307"/>
        <v>0</v>
      </c>
      <c r="ED1585" s="213">
        <f t="shared" si="1308"/>
        <v>0</v>
      </c>
      <c r="EE1585" s="213">
        <f t="shared" si="1309"/>
        <v>0</v>
      </c>
      <c r="EF1585" s="213">
        <f t="shared" si="1310"/>
        <v>1153.32</v>
      </c>
      <c r="EG1585" s="213"/>
      <c r="EH1585" s="213"/>
      <c r="EJ1585" s="213">
        <f>+IF(AC1585&gt;0,$M1585*(1-$BA1585)-SUM($DX1585:DX1585),DL1585)</f>
        <v>0</v>
      </c>
      <c r="EK1585" s="213">
        <f>+IF(AD1585&gt;0,$M1585*(1-$BA1585)-SUM($DX1585:DY1585),DM1585)</f>
        <v>0</v>
      </c>
      <c r="EL1585" s="213">
        <f>+IF(AE1585&gt;0,$M1585*(1-$BA1585)-SUM($DX1585:DZ1585),DN1585)</f>
        <v>0</v>
      </c>
      <c r="EM1585" s="213">
        <f>+IF(AF1585&gt;0,$M1585*(1-$BA1585)-SUM($DX1585:EA1585),DO1585)</f>
        <v>621.23444917833194</v>
      </c>
      <c r="EN1585" s="213">
        <f>+IF(AG1585&gt;0,$M1585*(1-$BA1585)-SUM($DX1585:EB1585),DP1585)</f>
        <v>638.78344491783309</v>
      </c>
      <c r="EO1585" s="213">
        <f>+IF(AH1585&gt;0,$M1585*(1-$BA1585)-SUM($DX1585:EC1585),DQ1585)</f>
        <v>638.78344491783309</v>
      </c>
      <c r="EP1585" s="213">
        <f>+IF(AI1585&gt;0,$M1585*(1-$BA1585)-SUM($DX1585:ED1585),DR1585)</f>
        <v>3539.632440657334</v>
      </c>
      <c r="EQ1585" s="213">
        <f>+IF(AJ1585&gt;0,$M1585*(1-$BA1585)-SUM($DX1585:EE1585),DS1585)</f>
        <v>28832.999999999996</v>
      </c>
      <c r="ER1585" s="213">
        <f>+IF(AK1585&gt;0,$M1585*(1-$BA1585)-SUM($DX1585:EF1585),DT1585)</f>
        <v>27679.679999999997</v>
      </c>
      <c r="ES1585" s="213"/>
      <c r="ET1585" s="213"/>
      <c r="EV1585" s="213"/>
      <c r="EW1585" s="213">
        <f t="shared" si="1311"/>
        <v>0</v>
      </c>
      <c r="EX1585" s="213">
        <f t="shared" si="1312"/>
        <v>0</v>
      </c>
      <c r="EY1585" s="213">
        <f t="shared" si="1313"/>
        <v>0</v>
      </c>
      <c r="EZ1585" s="213">
        <f t="shared" si="1314"/>
        <v>0</v>
      </c>
      <c r="FA1585" s="213">
        <f t="shared" si="1315"/>
        <v>0</v>
      </c>
      <c r="FB1585" s="213">
        <f t="shared" si="1316"/>
        <v>0</v>
      </c>
      <c r="FC1585" s="213">
        <f t="shared" si="1317"/>
        <v>934.50517808219172</v>
      </c>
      <c r="FD1585" s="213">
        <f t="shared" si="1318"/>
        <v>1799.1791999999998</v>
      </c>
      <c r="FE1585" s="213"/>
      <c r="FF1585" s="213"/>
      <c r="FH1585" s="213">
        <f t="shared" si="1319"/>
        <v>0</v>
      </c>
      <c r="FI1585" s="213">
        <f t="shared" si="1320"/>
        <v>0</v>
      </c>
      <c r="FJ1585" s="213">
        <f>IF(AE1585=1,$M1585*'[4]Assumptions_Subs &amp; JV'!JL$503,)</f>
        <v>0</v>
      </c>
      <c r="FK1585" s="213">
        <f>IF(AF1585=1,$M1585*'[4]Assumptions_Subs &amp; JV'!JM$503,)</f>
        <v>0</v>
      </c>
      <c r="FL1585" s="213">
        <f t="shared" si="1321"/>
        <v>0</v>
      </c>
      <c r="FM1585" s="213">
        <f t="shared" si="1322"/>
        <v>0</v>
      </c>
      <c r="FN1585" s="213">
        <f t="shared" si="1323"/>
        <v>0</v>
      </c>
      <c r="FO1585" s="213">
        <f t="shared" si="1324"/>
        <v>41190</v>
      </c>
      <c r="FP1585" s="213">
        <f t="shared" si="1325"/>
        <v>0</v>
      </c>
      <c r="FQ1585" s="213"/>
      <c r="FR1585" s="213"/>
      <c r="FT1585" s="213">
        <f t="shared" si="1326"/>
        <v>0</v>
      </c>
      <c r="FU1585" s="213">
        <f t="shared" si="1327"/>
        <v>0</v>
      </c>
      <c r="FV1585" s="213">
        <f t="shared" si="1328"/>
        <v>0</v>
      </c>
      <c r="FW1585" s="213">
        <f t="shared" si="1329"/>
        <v>887.47778454047409</v>
      </c>
      <c r="FX1585" s="213">
        <f t="shared" si="1330"/>
        <v>1800.0255629945214</v>
      </c>
      <c r="FY1585" s="213">
        <f t="shared" si="1331"/>
        <v>2712.5733414485685</v>
      </c>
      <c r="FZ1585" s="213">
        <f t="shared" si="1332"/>
        <v>7769.1911138161886</v>
      </c>
      <c r="GA1585" s="213">
        <f t="shared" si="1333"/>
        <v>0</v>
      </c>
      <c r="GB1585" s="213">
        <f t="shared" si="1334"/>
        <v>0</v>
      </c>
      <c r="GC1585" s="213"/>
      <c r="GD1585" s="213"/>
    </row>
    <row r="1586" spans="1:186" ht="12.6" customHeight="1" x14ac:dyDescent="0.2">
      <c r="A1586" s="362"/>
      <c r="B1586" s="208" t="s">
        <v>573</v>
      </c>
      <c r="C1586" s="210" t="s">
        <v>558</v>
      </c>
      <c r="D1586" s="209"/>
      <c r="E1586" s="209"/>
      <c r="F1586" s="209"/>
      <c r="G1586" s="346"/>
      <c r="H1586" s="1157">
        <v>30</v>
      </c>
      <c r="I1586" s="363">
        <v>45383</v>
      </c>
      <c r="J1586" s="546">
        <v>46568</v>
      </c>
      <c r="K1586" s="209">
        <f t="shared" ref="K1586:K1592" si="1353">IF(MONTH(J1586)&lt;=3,YEAR(J1586),YEAR(J1586)+1)</f>
        <v>2028</v>
      </c>
      <c r="L1586" s="215">
        <f t="shared" si="1347"/>
        <v>1000</v>
      </c>
      <c r="M1586" s="215">
        <f>Key!AD28</f>
        <v>30000</v>
      </c>
      <c r="N1586" s="212"/>
      <c r="O1586" s="212"/>
      <c r="P1586" s="209"/>
      <c r="Q1586" s="213">
        <f t="shared" si="1249"/>
        <v>0</v>
      </c>
      <c r="R1586" s="213">
        <f t="shared" si="1250"/>
        <v>0</v>
      </c>
      <c r="S1586" s="213">
        <f t="shared" si="1250"/>
        <v>0</v>
      </c>
      <c r="T1586" s="213">
        <f t="shared" si="1250"/>
        <v>0</v>
      </c>
      <c r="U1586" s="213">
        <f t="shared" si="1250"/>
        <v>0</v>
      </c>
      <c r="V1586" s="213">
        <f t="shared" si="1250"/>
        <v>0</v>
      </c>
      <c r="W1586" s="213">
        <f t="shared" si="1250"/>
        <v>275</v>
      </c>
      <c r="X1586" s="213">
        <f t="shared" si="1250"/>
        <v>365</v>
      </c>
      <c r="Y1586" s="213">
        <f t="shared" si="1250"/>
        <v>365</v>
      </c>
      <c r="Z1586" s="213">
        <f t="shared" si="1250"/>
        <v>365</v>
      </c>
      <c r="AA1586" s="213">
        <f t="shared" si="1249"/>
        <v>365</v>
      </c>
      <c r="AB1586" s="214"/>
      <c r="AC1586" s="213">
        <f t="shared" ref="AC1586:AC1592" si="1354">IF(AND(P1586=0,Q1586&gt;0),1,IF(AB1586=0,0,AB1586+1))</f>
        <v>0</v>
      </c>
      <c r="AD1586" s="213">
        <f t="shared" si="1252"/>
        <v>0</v>
      </c>
      <c r="AE1586" s="213">
        <f t="shared" si="1253"/>
        <v>0</v>
      </c>
      <c r="AF1586" s="213">
        <f t="shared" si="1254"/>
        <v>0</v>
      </c>
      <c r="AG1586" s="213">
        <f t="shared" si="1255"/>
        <v>0</v>
      </c>
      <c r="AH1586" s="213">
        <f t="shared" si="1256"/>
        <v>0</v>
      </c>
      <c r="AI1586" s="213">
        <f t="shared" si="1257"/>
        <v>1</v>
      </c>
      <c r="AJ1586" s="213">
        <f t="shared" si="1258"/>
        <v>2</v>
      </c>
      <c r="AK1586" s="213">
        <f t="shared" si="1259"/>
        <v>3</v>
      </c>
      <c r="AL1586" s="213">
        <f t="shared" si="1260"/>
        <v>4</v>
      </c>
      <c r="AM1586" s="213">
        <f t="shared" si="1261"/>
        <v>5</v>
      </c>
      <c r="AO1586" s="213">
        <f t="shared" si="1335"/>
        <v>0</v>
      </c>
      <c r="AP1586" s="213">
        <f t="shared" si="1262"/>
        <v>0</v>
      </c>
      <c r="AQ1586" s="213">
        <f t="shared" si="1263"/>
        <v>0</v>
      </c>
      <c r="AR1586" s="213">
        <f t="shared" si="1264"/>
        <v>0</v>
      </c>
      <c r="AS1586" s="213">
        <f t="shared" si="1265"/>
        <v>0</v>
      </c>
      <c r="AT1586" s="213">
        <f t="shared" si="1266"/>
        <v>0</v>
      </c>
      <c r="AU1586" s="213">
        <f t="shared" si="1267"/>
        <v>30</v>
      </c>
      <c r="AV1586" s="213">
        <f t="shared" si="1268"/>
        <v>0</v>
      </c>
      <c r="AW1586" s="213">
        <f t="shared" si="1269"/>
        <v>0</v>
      </c>
      <c r="AX1586" s="213">
        <f t="shared" si="1270"/>
        <v>0</v>
      </c>
      <c r="AY1586" s="213">
        <f t="shared" si="1271"/>
        <v>0</v>
      </c>
      <c r="BA1586" s="551">
        <v>0.3</v>
      </c>
      <c r="BB1586" s="551">
        <v>4.4999999999999998E-2</v>
      </c>
      <c r="BC1586" s="315"/>
      <c r="BD1586" s="213">
        <f t="shared" si="1272"/>
        <v>0</v>
      </c>
      <c r="BE1586" s="213">
        <f t="shared" si="1273"/>
        <v>0</v>
      </c>
      <c r="BF1586" s="213">
        <f t="shared" si="1274"/>
        <v>0</v>
      </c>
      <c r="BG1586" s="213">
        <f t="shared" si="1275"/>
        <v>0</v>
      </c>
      <c r="BH1586" s="213">
        <f t="shared" si="1276"/>
        <v>0</v>
      </c>
      <c r="BI1586" s="213">
        <f t="shared" si="1277"/>
        <v>0</v>
      </c>
      <c r="BJ1586" s="213">
        <f t="shared" si="1278"/>
        <v>915.41095890410963</v>
      </c>
      <c r="BK1586" s="213">
        <f t="shared" si="1279"/>
        <v>1215</v>
      </c>
      <c r="BL1586" s="213">
        <f t="shared" si="1280"/>
        <v>1215</v>
      </c>
      <c r="BM1586" s="213"/>
      <c r="BN1586" s="213"/>
      <c r="BP1586" s="216">
        <f t="shared" ref="BP1586:BX1586" si="1355">IF(AND($J1586&gt;BO$1575,$J1586&lt;=BP$1575),IF($I1586&gt;BO$1575,$J1586-$I1586,$J1586-BO$1575),IF($J1586&lt;=BO$1575,0,IF(AND($I1586&gt;BO$1575,$I1586&lt;=BP$1575),BP$1575-$I1586,IF($I1586&gt;BP$1575,0,BP$1575-BO$1575))))</f>
        <v>0</v>
      </c>
      <c r="BQ1586" s="216">
        <f t="shared" si="1355"/>
        <v>0</v>
      </c>
      <c r="BR1586" s="216">
        <f t="shared" si="1355"/>
        <v>0</v>
      </c>
      <c r="BS1586" s="216">
        <f t="shared" si="1355"/>
        <v>364</v>
      </c>
      <c r="BT1586" s="216">
        <f t="shared" si="1355"/>
        <v>365</v>
      </c>
      <c r="BU1586" s="216">
        <f t="shared" si="1355"/>
        <v>365</v>
      </c>
      <c r="BV1586" s="216">
        <f t="shared" si="1355"/>
        <v>91</v>
      </c>
      <c r="BW1586" s="216">
        <f t="shared" si="1355"/>
        <v>0</v>
      </c>
      <c r="BX1586" s="216">
        <f t="shared" si="1355"/>
        <v>0</v>
      </c>
      <c r="BY1586" s="216"/>
      <c r="BZ1586" s="216"/>
      <c r="CB1586" s="316"/>
      <c r="CC1586" s="354">
        <f t="shared" si="1350"/>
        <v>0</v>
      </c>
      <c r="CD1586" s="354">
        <f t="shared" si="1350"/>
        <v>0</v>
      </c>
      <c r="CE1586" s="354">
        <f>BS1586/($J1586-$I1586)-20%</f>
        <v>0.1071729957805907</v>
      </c>
      <c r="CF1586" s="354">
        <f>BT1586/($J1586-$I1586)-30%</f>
        <v>8.0168776371308259E-3</v>
      </c>
      <c r="CG1586" s="354">
        <f>BU1586/($J1586-$I1586)-20%</f>
        <v>0.1080168776371308</v>
      </c>
      <c r="CH1586" s="354">
        <f>BV1586/($J1586-$I1586)</f>
        <v>7.6793248945147677E-2</v>
      </c>
      <c r="CI1586" s="354">
        <f t="shared" si="1351"/>
        <v>0</v>
      </c>
      <c r="CJ1586" s="354">
        <f t="shared" si="1351"/>
        <v>0</v>
      </c>
      <c r="CK1586" s="316"/>
      <c r="CL1586" s="316"/>
      <c r="CM1586" s="539">
        <f t="shared" si="1337"/>
        <v>0.3</v>
      </c>
      <c r="CN1586" s="213">
        <f t="shared" si="1283"/>
        <v>0</v>
      </c>
      <c r="CO1586" s="213">
        <f t="shared" si="1284"/>
        <v>0</v>
      </c>
      <c r="CP1586" s="213">
        <f t="shared" si="1285"/>
        <v>0</v>
      </c>
      <c r="CQ1586" s="213">
        <f t="shared" si="1286"/>
        <v>3215.1898734177207</v>
      </c>
      <c r="CR1586" s="213">
        <f t="shared" si="1287"/>
        <v>240.50632911392478</v>
      </c>
      <c r="CS1586" s="213">
        <f t="shared" si="1288"/>
        <v>3240.506329113924</v>
      </c>
      <c r="CT1586" s="213">
        <f t="shared" si="1289"/>
        <v>2303.7974683544303</v>
      </c>
      <c r="CU1586" s="213">
        <f t="shared" si="1290"/>
        <v>0</v>
      </c>
      <c r="CV1586" s="213">
        <f t="shared" si="1291"/>
        <v>0</v>
      </c>
      <c r="CW1586" s="213"/>
      <c r="CX1586" s="213"/>
      <c r="CZ1586" s="213">
        <f t="shared" si="1292"/>
        <v>0</v>
      </c>
      <c r="DA1586" s="213">
        <f t="shared" si="1293"/>
        <v>0</v>
      </c>
      <c r="DB1586" s="213">
        <f t="shared" si="1294"/>
        <v>0</v>
      </c>
      <c r="DC1586" s="213">
        <f t="shared" si="1295"/>
        <v>964.55696202531612</v>
      </c>
      <c r="DD1586" s="213">
        <f t="shared" si="1296"/>
        <v>72.151898734177436</v>
      </c>
      <c r="DE1586" s="213">
        <f t="shared" si="1297"/>
        <v>972.15189873417717</v>
      </c>
      <c r="DF1586" s="213">
        <f t="shared" si="1298"/>
        <v>691.13924050632909</v>
      </c>
      <c r="DG1586" s="213">
        <f t="shared" si="1299"/>
        <v>0</v>
      </c>
      <c r="DH1586" s="213">
        <f t="shared" si="1300"/>
        <v>0</v>
      </c>
      <c r="DI1586" s="213"/>
      <c r="DJ1586" s="213"/>
      <c r="DL1586" s="213">
        <f t="shared" ref="DL1586:DL1592" si="1356">CN1586-CZ1586</f>
        <v>0</v>
      </c>
      <c r="DM1586" s="213">
        <f t="shared" ref="DM1586:DM1592" si="1357">CO1586-DA1586</f>
        <v>0</v>
      </c>
      <c r="DN1586" s="213">
        <f t="shared" ref="DN1586:DN1592" si="1358">CP1586-DB1586</f>
        <v>0</v>
      </c>
      <c r="DO1586" s="213">
        <f t="shared" ref="DO1586:DO1592" si="1359">CQ1586-DC1586</f>
        <v>2250.6329113924048</v>
      </c>
      <c r="DP1586" s="213">
        <f t="shared" ref="DP1586:DP1592" si="1360">CR1586-DD1586</f>
        <v>168.35443037974733</v>
      </c>
      <c r="DQ1586" s="213">
        <f t="shared" ref="DQ1586:DQ1592" si="1361">CS1586-DE1586</f>
        <v>2268.3544303797471</v>
      </c>
      <c r="DR1586" s="213">
        <f t="shared" ref="DR1586:DR1592" si="1362">CT1586-DF1586</f>
        <v>1612.6582278481012</v>
      </c>
      <c r="DS1586" s="213">
        <f t="shared" ref="DS1586:DS1592" si="1363">CU1586-DG1586</f>
        <v>0</v>
      </c>
      <c r="DT1586" s="213">
        <f t="shared" ref="DT1586:DT1592" si="1364">CV1586-DH1586</f>
        <v>0</v>
      </c>
      <c r="DU1586" s="213"/>
      <c r="DV1586" s="213"/>
      <c r="DX1586" s="213">
        <f t="shared" si="1302"/>
        <v>0</v>
      </c>
      <c r="DY1586" s="213">
        <f t="shared" si="1303"/>
        <v>0</v>
      </c>
      <c r="DZ1586" s="213">
        <f t="shared" si="1304"/>
        <v>0</v>
      </c>
      <c r="EA1586" s="213">
        <f t="shared" si="1305"/>
        <v>0</v>
      </c>
      <c r="EB1586" s="213">
        <f t="shared" si="1306"/>
        <v>0</v>
      </c>
      <c r="EC1586" s="213">
        <f t="shared" si="1307"/>
        <v>0</v>
      </c>
      <c r="ED1586" s="213">
        <f t="shared" si="1308"/>
        <v>0</v>
      </c>
      <c r="EE1586" s="213">
        <f t="shared" si="1309"/>
        <v>840</v>
      </c>
      <c r="EF1586" s="213">
        <f t="shared" si="1310"/>
        <v>840</v>
      </c>
      <c r="EG1586" s="213"/>
      <c r="EH1586" s="213"/>
      <c r="EJ1586" s="213">
        <f>+IF(AC1586&gt;0,$M1586*(1-$BA1586)-SUM($DX1586:DX1586),DL1586)</f>
        <v>0</v>
      </c>
      <c r="EK1586" s="213">
        <f>+IF(AD1586&gt;0,$M1586*(1-$BA1586)-SUM($DX1586:DY1586),DM1586)</f>
        <v>0</v>
      </c>
      <c r="EL1586" s="213">
        <f>+IF(AE1586&gt;0,$M1586*(1-$BA1586)-SUM($DX1586:DZ1586),DN1586)</f>
        <v>0</v>
      </c>
      <c r="EM1586" s="213">
        <f>+IF(AF1586&gt;0,$M1586*(1-$BA1586)-SUM($DX1586:EA1586),DO1586)</f>
        <v>2250.6329113924048</v>
      </c>
      <c r="EN1586" s="213">
        <f>+IF(AG1586&gt;0,$M1586*(1-$BA1586)-SUM($DX1586:EB1586),DP1586)</f>
        <v>168.35443037974733</v>
      </c>
      <c r="EO1586" s="213">
        <f>+IF(AH1586&gt;0,$M1586*(1-$BA1586)-SUM($DX1586:EC1586),DQ1586)</f>
        <v>2268.3544303797471</v>
      </c>
      <c r="EP1586" s="213">
        <f>+IF(AI1586&gt;0,$M1586*(1-$BA1586)-SUM($DX1586:ED1586),DR1586)</f>
        <v>21000</v>
      </c>
      <c r="EQ1586" s="213">
        <f>+IF(AJ1586&gt;0,$M1586*(1-$BA1586)-SUM($DX1586:EE1586),DS1586)</f>
        <v>20160</v>
      </c>
      <c r="ER1586" s="213">
        <f>+IF(AK1586&gt;0,$M1586*(1-$BA1586)-SUM($DX1586:EF1586),DT1586)</f>
        <v>19320</v>
      </c>
      <c r="ES1586" s="213"/>
      <c r="ET1586" s="213"/>
      <c r="EV1586" s="213"/>
      <c r="EW1586" s="213">
        <f t="shared" si="1311"/>
        <v>0</v>
      </c>
      <c r="EX1586" s="213">
        <f t="shared" si="1312"/>
        <v>0</v>
      </c>
      <c r="EY1586" s="213">
        <f t="shared" si="1313"/>
        <v>0</v>
      </c>
      <c r="EZ1586" s="213">
        <f t="shared" si="1314"/>
        <v>0</v>
      </c>
      <c r="FA1586" s="213">
        <f t="shared" si="1315"/>
        <v>0</v>
      </c>
      <c r="FB1586" s="213">
        <f t="shared" si="1316"/>
        <v>1028.4246575342465</v>
      </c>
      <c r="FC1586" s="213">
        <f t="shared" si="1317"/>
        <v>1310.4000000000001</v>
      </c>
      <c r="FD1586" s="213">
        <f t="shared" si="1318"/>
        <v>1255.8</v>
      </c>
      <c r="FE1586" s="213"/>
      <c r="FF1586" s="213"/>
      <c r="FH1586" s="213">
        <f t="shared" si="1319"/>
        <v>0</v>
      </c>
      <c r="FI1586" s="213">
        <f t="shared" si="1320"/>
        <v>0</v>
      </c>
      <c r="FJ1586" s="213">
        <f>IF(AE1586=1,$M1586*'[4]Assumptions_Subs &amp; JV'!JL$503,)</f>
        <v>0</v>
      </c>
      <c r="FK1586" s="213">
        <f>IF(AF1586=1,$M1586*'[4]Assumptions_Subs &amp; JV'!JM$503,)</f>
        <v>0</v>
      </c>
      <c r="FL1586" s="213">
        <f t="shared" si="1321"/>
        <v>0</v>
      </c>
      <c r="FM1586" s="213">
        <f t="shared" si="1322"/>
        <v>0</v>
      </c>
      <c r="FN1586" s="213">
        <f t="shared" si="1323"/>
        <v>30000</v>
      </c>
      <c r="FO1586" s="213">
        <f t="shared" si="1324"/>
        <v>0</v>
      </c>
      <c r="FP1586" s="213">
        <f t="shared" si="1325"/>
        <v>0</v>
      </c>
      <c r="FQ1586" s="213"/>
      <c r="FR1586" s="213"/>
      <c r="FT1586" s="213">
        <f t="shared" si="1326"/>
        <v>0</v>
      </c>
      <c r="FU1586" s="213">
        <f t="shared" si="1327"/>
        <v>0</v>
      </c>
      <c r="FV1586" s="213">
        <f t="shared" si="1328"/>
        <v>0</v>
      </c>
      <c r="FW1586" s="213">
        <f t="shared" si="1329"/>
        <v>3215.1898734177207</v>
      </c>
      <c r="FX1586" s="213">
        <f t="shared" si="1330"/>
        <v>3455.6962025316457</v>
      </c>
      <c r="FY1586" s="213">
        <f t="shared" si="1331"/>
        <v>6696.2025316455693</v>
      </c>
      <c r="FZ1586" s="213">
        <f t="shared" si="1332"/>
        <v>0</v>
      </c>
      <c r="GA1586" s="213">
        <f t="shared" si="1333"/>
        <v>0</v>
      </c>
      <c r="GB1586" s="213">
        <f t="shared" si="1334"/>
        <v>0</v>
      </c>
      <c r="GC1586" s="213"/>
      <c r="GD1586" s="213"/>
    </row>
    <row r="1587" spans="1:186" ht="12.6" customHeight="1" x14ac:dyDescent="0.2">
      <c r="A1587" s="362"/>
      <c r="B1587" s="208" t="s">
        <v>760</v>
      </c>
      <c r="C1587" s="210" t="s">
        <v>760</v>
      </c>
      <c r="D1587" s="209"/>
      <c r="E1587" s="209"/>
      <c r="F1587" s="209"/>
      <c r="G1587" s="346"/>
      <c r="H1587" s="1157">
        <v>30</v>
      </c>
      <c r="I1587" s="363">
        <v>45565</v>
      </c>
      <c r="J1587" s="546">
        <v>46507</v>
      </c>
      <c r="K1587" s="209">
        <f>IF(MONTH(J1587)&lt;=3,YEAR(J1587),YEAR(J1587)+1)</f>
        <v>2028</v>
      </c>
      <c r="L1587" s="215">
        <f t="shared" si="1347"/>
        <v>1333.3333333333333</v>
      </c>
      <c r="M1587" s="215">
        <f>Key!AD31</f>
        <v>40000</v>
      </c>
      <c r="N1587" s="212"/>
      <c r="O1587" s="212"/>
      <c r="P1587" s="209"/>
      <c r="Q1587" s="213">
        <f t="shared" si="1249"/>
        <v>0</v>
      </c>
      <c r="R1587" s="213">
        <f t="shared" si="1250"/>
        <v>0</v>
      </c>
      <c r="S1587" s="213">
        <f t="shared" si="1250"/>
        <v>0</v>
      </c>
      <c r="T1587" s="213">
        <f t="shared" si="1250"/>
        <v>0</v>
      </c>
      <c r="U1587" s="213">
        <f t="shared" si="1250"/>
        <v>0</v>
      </c>
      <c r="V1587" s="213">
        <f t="shared" si="1250"/>
        <v>0</v>
      </c>
      <c r="W1587" s="213">
        <f t="shared" si="1250"/>
        <v>336</v>
      </c>
      <c r="X1587" s="213">
        <f t="shared" si="1250"/>
        <v>365</v>
      </c>
      <c r="Y1587" s="213">
        <f t="shared" si="1250"/>
        <v>365</v>
      </c>
      <c r="Z1587" s="213">
        <f t="shared" si="1250"/>
        <v>365</v>
      </c>
      <c r="AA1587" s="213">
        <f t="shared" si="1249"/>
        <v>365</v>
      </c>
      <c r="AB1587" s="214"/>
      <c r="AC1587" s="213">
        <f t="shared" ref="AC1587" si="1365">IF(AND(P1587=0,Q1587&gt;0),1,IF(AB1587=0,0,AB1587+1))</f>
        <v>0</v>
      </c>
      <c r="AD1587" s="213">
        <f t="shared" si="1252"/>
        <v>0</v>
      </c>
      <c r="AE1587" s="213">
        <f t="shared" si="1253"/>
        <v>0</v>
      </c>
      <c r="AF1587" s="213">
        <f t="shared" si="1254"/>
        <v>0</v>
      </c>
      <c r="AG1587" s="213">
        <f t="shared" si="1255"/>
        <v>0</v>
      </c>
      <c r="AH1587" s="213">
        <f t="shared" si="1256"/>
        <v>0</v>
      </c>
      <c r="AI1587" s="213">
        <f t="shared" si="1257"/>
        <v>1</v>
      </c>
      <c r="AJ1587" s="213">
        <f t="shared" si="1258"/>
        <v>2</v>
      </c>
      <c r="AK1587" s="213">
        <f t="shared" si="1259"/>
        <v>3</v>
      </c>
      <c r="AL1587" s="213">
        <f t="shared" si="1260"/>
        <v>4</v>
      </c>
      <c r="AM1587" s="213">
        <f t="shared" si="1261"/>
        <v>5</v>
      </c>
      <c r="AO1587" s="213">
        <f t="shared" si="1335"/>
        <v>0</v>
      </c>
      <c r="AP1587" s="213">
        <f t="shared" si="1262"/>
        <v>0</v>
      </c>
      <c r="AQ1587" s="213">
        <f t="shared" si="1263"/>
        <v>0</v>
      </c>
      <c r="AR1587" s="213">
        <f t="shared" si="1264"/>
        <v>0</v>
      </c>
      <c r="AS1587" s="213">
        <f t="shared" si="1265"/>
        <v>0</v>
      </c>
      <c r="AT1587" s="213">
        <f t="shared" si="1266"/>
        <v>0</v>
      </c>
      <c r="AU1587" s="213">
        <f t="shared" si="1267"/>
        <v>30</v>
      </c>
      <c r="AV1587" s="213">
        <f t="shared" si="1268"/>
        <v>0</v>
      </c>
      <c r="AW1587" s="213">
        <f t="shared" si="1269"/>
        <v>0</v>
      </c>
      <c r="AX1587" s="213">
        <f t="shared" si="1270"/>
        <v>0</v>
      </c>
      <c r="AY1587" s="213">
        <f t="shared" si="1271"/>
        <v>0</v>
      </c>
      <c r="BA1587" s="551">
        <v>0.3</v>
      </c>
      <c r="BB1587" s="551">
        <v>4.4999999999999998E-2</v>
      </c>
      <c r="BC1587" s="315"/>
      <c r="BD1587" s="213">
        <f t="shared" si="1272"/>
        <v>0</v>
      </c>
      <c r="BE1587" s="213">
        <f t="shared" si="1273"/>
        <v>0</v>
      </c>
      <c r="BF1587" s="213">
        <f t="shared" si="1274"/>
        <v>0</v>
      </c>
      <c r="BG1587" s="213">
        <f t="shared" si="1275"/>
        <v>0</v>
      </c>
      <c r="BH1587" s="213">
        <f t="shared" si="1276"/>
        <v>0</v>
      </c>
      <c r="BI1587" s="213">
        <f t="shared" si="1277"/>
        <v>0</v>
      </c>
      <c r="BJ1587" s="213">
        <f t="shared" si="1278"/>
        <v>1491.2876712328766</v>
      </c>
      <c r="BK1587" s="213">
        <f t="shared" si="1279"/>
        <v>1620</v>
      </c>
      <c r="BL1587" s="213">
        <f t="shared" si="1280"/>
        <v>1620</v>
      </c>
      <c r="BM1587" s="213"/>
      <c r="BN1587" s="213"/>
      <c r="BP1587" s="216">
        <f t="shared" ref="BP1587:BX1587" si="1366">IF(AND($J1587&gt;BO$1575,$J1587&lt;=BP$1575),IF($I1587&gt;BO$1575,$J1587-$I1587,$J1587-BO$1575),IF($J1587&lt;=BO$1575,0,IF(AND($I1587&gt;BO$1575,$I1587&lt;=BP$1575),BP$1575-$I1587,IF($I1587&gt;BP$1575,0,BP$1575-BO$1575))))</f>
        <v>0</v>
      </c>
      <c r="BQ1587" s="216">
        <f t="shared" si="1366"/>
        <v>0</v>
      </c>
      <c r="BR1587" s="216">
        <f t="shared" si="1366"/>
        <v>0</v>
      </c>
      <c r="BS1587" s="216">
        <f t="shared" si="1366"/>
        <v>182</v>
      </c>
      <c r="BT1587" s="216">
        <f t="shared" si="1366"/>
        <v>365</v>
      </c>
      <c r="BU1587" s="216">
        <f t="shared" si="1366"/>
        <v>365</v>
      </c>
      <c r="BV1587" s="216">
        <f t="shared" si="1366"/>
        <v>30</v>
      </c>
      <c r="BW1587" s="216">
        <f t="shared" si="1366"/>
        <v>0</v>
      </c>
      <c r="BX1587" s="216">
        <f t="shared" si="1366"/>
        <v>0</v>
      </c>
      <c r="BY1587" s="216"/>
      <c r="BZ1587" s="216"/>
      <c r="CB1587" s="316"/>
      <c r="CC1587" s="354">
        <f t="shared" ref="CC1587:CD1592" si="1367">BQ1587/($J1587-$I1587)</f>
        <v>0</v>
      </c>
      <c r="CD1587" s="354">
        <f t="shared" si="1367"/>
        <v>0</v>
      </c>
      <c r="CE1587" s="354">
        <f>BS1587/($J1587-$I1587)-15%</f>
        <v>4.3205944798301504E-2</v>
      </c>
      <c r="CF1587" s="354">
        <f>BT1587/($J1587-$I1587)-20%</f>
        <v>0.18747346072186838</v>
      </c>
      <c r="CG1587" s="354">
        <f>BU1587/($J1587-$I1587)-25%</f>
        <v>0.13747346072186839</v>
      </c>
      <c r="CH1587" s="354">
        <f>BV1587/($J1587-$I1587)+20%</f>
        <v>0.23184713375796179</v>
      </c>
      <c r="CI1587" s="354">
        <f t="shared" si="1351"/>
        <v>0</v>
      </c>
      <c r="CJ1587" s="354">
        <f t="shared" si="1351"/>
        <v>0</v>
      </c>
      <c r="CK1587" s="316"/>
      <c r="CL1587" s="316"/>
      <c r="CM1587" s="539">
        <f t="shared" si="1337"/>
        <v>0.60000000000000009</v>
      </c>
      <c r="CN1587" s="213">
        <f t="shared" si="1283"/>
        <v>0</v>
      </c>
      <c r="CO1587" s="213">
        <f t="shared" si="1284"/>
        <v>0</v>
      </c>
      <c r="CP1587" s="213">
        <f t="shared" si="1285"/>
        <v>0</v>
      </c>
      <c r="CQ1587" s="213">
        <f t="shared" si="1286"/>
        <v>1728.2377919320602</v>
      </c>
      <c r="CR1587" s="213">
        <f t="shared" si="1287"/>
        <v>7498.9384288747351</v>
      </c>
      <c r="CS1587" s="213">
        <f t="shared" si="1288"/>
        <v>5498.938428874736</v>
      </c>
      <c r="CT1587" s="213">
        <f t="shared" si="1289"/>
        <v>9273.885350318471</v>
      </c>
      <c r="CU1587" s="213">
        <f t="shared" si="1290"/>
        <v>0</v>
      </c>
      <c r="CV1587" s="213">
        <f t="shared" si="1291"/>
        <v>0</v>
      </c>
      <c r="CW1587" s="213"/>
      <c r="CX1587" s="213"/>
      <c r="CZ1587" s="213">
        <f t="shared" si="1292"/>
        <v>0</v>
      </c>
      <c r="DA1587" s="213">
        <f t="shared" si="1293"/>
        <v>0</v>
      </c>
      <c r="DB1587" s="213">
        <f t="shared" si="1294"/>
        <v>0</v>
      </c>
      <c r="DC1587" s="213">
        <f t="shared" si="1295"/>
        <v>518.47133757961808</v>
      </c>
      <c r="DD1587" s="213">
        <f t="shared" si="1296"/>
        <v>2249.6815286624205</v>
      </c>
      <c r="DE1587" s="213">
        <f t="shared" si="1297"/>
        <v>1649.6815286624208</v>
      </c>
      <c r="DF1587" s="213">
        <f t="shared" si="1298"/>
        <v>2782.1656050955412</v>
      </c>
      <c r="DG1587" s="213">
        <f t="shared" si="1299"/>
        <v>0</v>
      </c>
      <c r="DH1587" s="213">
        <f t="shared" si="1300"/>
        <v>0</v>
      </c>
      <c r="DI1587" s="213"/>
      <c r="DJ1587" s="213"/>
      <c r="DL1587" s="213">
        <f t="shared" ref="DL1587:DT1587" si="1368">CN1587-CZ1587</f>
        <v>0</v>
      </c>
      <c r="DM1587" s="213">
        <f t="shared" si="1368"/>
        <v>0</v>
      </c>
      <c r="DN1587" s="213">
        <f t="shared" si="1368"/>
        <v>0</v>
      </c>
      <c r="DO1587" s="213">
        <f t="shared" si="1368"/>
        <v>1209.766454352442</v>
      </c>
      <c r="DP1587" s="213">
        <f t="shared" si="1368"/>
        <v>5249.2569002123146</v>
      </c>
      <c r="DQ1587" s="213">
        <f t="shared" si="1368"/>
        <v>3849.2569002123155</v>
      </c>
      <c r="DR1587" s="213">
        <f t="shared" si="1368"/>
        <v>6491.7197452229302</v>
      </c>
      <c r="DS1587" s="213">
        <f t="shared" si="1368"/>
        <v>0</v>
      </c>
      <c r="DT1587" s="213">
        <f t="shared" si="1368"/>
        <v>0</v>
      </c>
      <c r="DU1587" s="213"/>
      <c r="DV1587" s="213"/>
      <c r="DX1587" s="213">
        <f t="shared" si="1302"/>
        <v>0</v>
      </c>
      <c r="DY1587" s="213">
        <f t="shared" si="1303"/>
        <v>0</v>
      </c>
      <c r="DZ1587" s="213">
        <f t="shared" si="1304"/>
        <v>0</v>
      </c>
      <c r="EA1587" s="213">
        <f t="shared" si="1305"/>
        <v>0</v>
      </c>
      <c r="EB1587" s="213">
        <f t="shared" si="1306"/>
        <v>0</v>
      </c>
      <c r="EC1587" s="213">
        <f t="shared" si="1307"/>
        <v>0</v>
      </c>
      <c r="ED1587" s="213">
        <f t="shared" si="1308"/>
        <v>0</v>
      </c>
      <c r="EE1587" s="213">
        <f t="shared" si="1309"/>
        <v>1120</v>
      </c>
      <c r="EF1587" s="213">
        <f t="shared" si="1310"/>
        <v>1120</v>
      </c>
      <c r="EG1587" s="213"/>
      <c r="EH1587" s="213"/>
      <c r="EJ1587" s="213">
        <f>+IF(AC1587&gt;0,$M1587*(1-$BA1587)-SUM($DX1587:DX1587),DL1587)</f>
        <v>0</v>
      </c>
      <c r="EK1587" s="213">
        <f>+IF(AD1587&gt;0,$M1587*(1-$BA1587)-SUM($DX1587:DY1587),DM1587)</f>
        <v>0</v>
      </c>
      <c r="EL1587" s="213">
        <f>+IF(AE1587&gt;0,$M1587*(1-$BA1587)-SUM($DX1587:DZ1587),DN1587)</f>
        <v>0</v>
      </c>
      <c r="EM1587" s="213">
        <f>+IF(AF1587&gt;0,$M1587*(1-$BA1587)-SUM($DX1587:EA1587),DO1587)</f>
        <v>1209.766454352442</v>
      </c>
      <c r="EN1587" s="213">
        <f>+IF(AG1587&gt;0,$M1587*(1-$BA1587)-SUM($DX1587:EB1587),DP1587)</f>
        <v>5249.2569002123146</v>
      </c>
      <c r="EO1587" s="213">
        <f>+IF(AH1587&gt;0,$M1587*(1-$BA1587)-SUM($DX1587:EC1587),DQ1587)</f>
        <v>3849.2569002123155</v>
      </c>
      <c r="EP1587" s="213">
        <f>+IF(AI1587&gt;0,$M1587*(1-$BA1587)-SUM($DX1587:ED1587),DR1587)</f>
        <v>28000</v>
      </c>
      <c r="EQ1587" s="213">
        <f>+IF(AJ1587&gt;0,$M1587*(1-$BA1587)-SUM($DX1587:EE1587),DS1587)</f>
        <v>26880</v>
      </c>
      <c r="ER1587" s="213">
        <f>+IF(AK1587&gt;0,$M1587*(1-$BA1587)-SUM($DX1587:EF1587),DT1587)</f>
        <v>25760</v>
      </c>
      <c r="ES1587" s="213"/>
      <c r="ET1587" s="213"/>
      <c r="EV1587" s="213"/>
      <c r="EW1587" s="213">
        <f t="shared" si="1311"/>
        <v>0</v>
      </c>
      <c r="EX1587" s="213">
        <f t="shared" si="1312"/>
        <v>0</v>
      </c>
      <c r="EY1587" s="213">
        <f t="shared" si="1313"/>
        <v>0</v>
      </c>
      <c r="EZ1587" s="213">
        <f t="shared" si="1314"/>
        <v>0</v>
      </c>
      <c r="FA1587" s="213">
        <f t="shared" si="1315"/>
        <v>0</v>
      </c>
      <c r="FB1587" s="213">
        <f t="shared" si="1316"/>
        <v>1675.3972602739725</v>
      </c>
      <c r="FC1587" s="213">
        <f t="shared" si="1317"/>
        <v>1747.2</v>
      </c>
      <c r="FD1587" s="213">
        <f t="shared" si="1318"/>
        <v>1674.4</v>
      </c>
      <c r="FE1587" s="213"/>
      <c r="FF1587" s="213"/>
      <c r="FH1587" s="213">
        <f t="shared" si="1319"/>
        <v>0</v>
      </c>
      <c r="FI1587" s="213">
        <f t="shared" si="1320"/>
        <v>0</v>
      </c>
      <c r="FJ1587" s="213">
        <f>IF(AE1587=1,$M1587*'[4]Assumptions_Subs &amp; JV'!JL$503,)</f>
        <v>0</v>
      </c>
      <c r="FK1587" s="213">
        <f>IF(AF1587=1,$M1587*'[4]Assumptions_Subs &amp; JV'!JM$503,)</f>
        <v>0</v>
      </c>
      <c r="FL1587" s="213">
        <f t="shared" si="1321"/>
        <v>0</v>
      </c>
      <c r="FM1587" s="213">
        <f t="shared" si="1322"/>
        <v>0</v>
      </c>
      <c r="FN1587" s="213">
        <f t="shared" si="1323"/>
        <v>40000</v>
      </c>
      <c r="FO1587" s="213">
        <f t="shared" si="1324"/>
        <v>0</v>
      </c>
      <c r="FP1587" s="213">
        <f t="shared" si="1325"/>
        <v>0</v>
      </c>
      <c r="FQ1587" s="213"/>
      <c r="FR1587" s="213"/>
      <c r="FT1587" s="213">
        <f t="shared" si="1326"/>
        <v>0</v>
      </c>
      <c r="FU1587" s="213">
        <f t="shared" si="1327"/>
        <v>0</v>
      </c>
      <c r="FV1587" s="213">
        <f t="shared" si="1328"/>
        <v>0</v>
      </c>
      <c r="FW1587" s="213">
        <f t="shared" si="1329"/>
        <v>1728.2377919320602</v>
      </c>
      <c r="FX1587" s="213">
        <f t="shared" si="1330"/>
        <v>9227.1762208067958</v>
      </c>
      <c r="FY1587" s="213">
        <f t="shared" si="1331"/>
        <v>14726.114649681531</v>
      </c>
      <c r="FZ1587" s="213">
        <f t="shared" si="1332"/>
        <v>0</v>
      </c>
      <c r="GA1587" s="213">
        <f t="shared" si="1333"/>
        <v>0</v>
      </c>
      <c r="GB1587" s="213">
        <f t="shared" si="1334"/>
        <v>0</v>
      </c>
      <c r="GC1587" s="213"/>
      <c r="GD1587" s="213"/>
    </row>
    <row r="1588" spans="1:186" ht="12.6" customHeight="1" x14ac:dyDescent="0.2">
      <c r="A1588" s="362"/>
      <c r="B1588" s="208" t="s">
        <v>2045</v>
      </c>
      <c r="C1588" s="208" t="s">
        <v>2045</v>
      </c>
      <c r="D1588" s="209"/>
      <c r="E1588" s="209"/>
      <c r="F1588" s="209"/>
      <c r="G1588" s="346"/>
      <c r="H1588" s="1157">
        <v>12</v>
      </c>
      <c r="I1588" s="363">
        <v>46295</v>
      </c>
      <c r="J1588" s="546">
        <v>47149</v>
      </c>
      <c r="K1588" s="209">
        <f t="shared" si="1353"/>
        <v>2029</v>
      </c>
      <c r="L1588" s="215">
        <f t="shared" si="1347"/>
        <v>693.54166666666663</v>
      </c>
      <c r="M1588" s="215">
        <f>Key!AD38</f>
        <v>8322.5</v>
      </c>
      <c r="N1588" s="212"/>
      <c r="O1588" s="212"/>
      <c r="P1588" s="209"/>
      <c r="Q1588" s="213">
        <f t="shared" si="1249"/>
        <v>0</v>
      </c>
      <c r="R1588" s="213">
        <f t="shared" si="1250"/>
        <v>0</v>
      </c>
      <c r="S1588" s="213">
        <f t="shared" si="1250"/>
        <v>0</v>
      </c>
      <c r="T1588" s="213">
        <f t="shared" si="1250"/>
        <v>0</v>
      </c>
      <c r="U1588" s="213">
        <f t="shared" si="1250"/>
        <v>0</v>
      </c>
      <c r="V1588" s="213">
        <f t="shared" si="1250"/>
        <v>0</v>
      </c>
      <c r="W1588" s="213">
        <f t="shared" si="1250"/>
        <v>0</v>
      </c>
      <c r="X1588" s="213">
        <f t="shared" si="1250"/>
        <v>59</v>
      </c>
      <c r="Y1588" s="213">
        <f t="shared" si="1250"/>
        <v>365</v>
      </c>
      <c r="Z1588" s="213">
        <f t="shared" si="1250"/>
        <v>365</v>
      </c>
      <c r="AA1588" s="213">
        <f t="shared" si="1249"/>
        <v>365</v>
      </c>
      <c r="AB1588" s="214"/>
      <c r="AC1588" s="213">
        <f t="shared" si="1354"/>
        <v>0</v>
      </c>
      <c r="AD1588" s="213">
        <f t="shared" si="1252"/>
        <v>0</v>
      </c>
      <c r="AE1588" s="213">
        <f t="shared" si="1253"/>
        <v>0</v>
      </c>
      <c r="AF1588" s="213">
        <f t="shared" si="1254"/>
        <v>0</v>
      </c>
      <c r="AG1588" s="213">
        <f t="shared" si="1255"/>
        <v>0</v>
      </c>
      <c r="AH1588" s="213">
        <f t="shared" si="1256"/>
        <v>0</v>
      </c>
      <c r="AI1588" s="213">
        <f t="shared" si="1257"/>
        <v>0</v>
      </c>
      <c r="AJ1588" s="213">
        <f t="shared" si="1258"/>
        <v>1</v>
      </c>
      <c r="AK1588" s="213">
        <f t="shared" si="1259"/>
        <v>2</v>
      </c>
      <c r="AL1588" s="213">
        <f t="shared" si="1260"/>
        <v>3</v>
      </c>
      <c r="AM1588" s="213">
        <f t="shared" si="1261"/>
        <v>4</v>
      </c>
      <c r="AO1588" s="213">
        <f t="shared" si="1335"/>
        <v>0</v>
      </c>
      <c r="AP1588" s="213">
        <f t="shared" si="1262"/>
        <v>0</v>
      </c>
      <c r="AQ1588" s="213">
        <f t="shared" si="1263"/>
        <v>0</v>
      </c>
      <c r="AR1588" s="213">
        <f t="shared" si="1264"/>
        <v>0</v>
      </c>
      <c r="AS1588" s="213">
        <f t="shared" si="1265"/>
        <v>0</v>
      </c>
      <c r="AT1588" s="213">
        <f t="shared" si="1266"/>
        <v>0</v>
      </c>
      <c r="AU1588" s="213">
        <f t="shared" si="1267"/>
        <v>0</v>
      </c>
      <c r="AV1588" s="213">
        <f t="shared" si="1268"/>
        <v>12</v>
      </c>
      <c r="AW1588" s="213">
        <f t="shared" si="1269"/>
        <v>0</v>
      </c>
      <c r="AX1588" s="213">
        <f t="shared" si="1270"/>
        <v>0</v>
      </c>
      <c r="AY1588" s="213">
        <f t="shared" si="1271"/>
        <v>0</v>
      </c>
      <c r="BA1588" s="551">
        <v>0.3</v>
      </c>
      <c r="BB1588" s="551">
        <v>4.4999999999999998E-2</v>
      </c>
      <c r="BC1588" s="315"/>
      <c r="BD1588" s="213">
        <f t="shared" si="1272"/>
        <v>0</v>
      </c>
      <c r="BE1588" s="213">
        <f t="shared" si="1273"/>
        <v>0</v>
      </c>
      <c r="BF1588" s="213">
        <f t="shared" si="1274"/>
        <v>0</v>
      </c>
      <c r="BG1588" s="213">
        <f t="shared" si="1275"/>
        <v>0</v>
      </c>
      <c r="BH1588" s="213">
        <f t="shared" si="1276"/>
        <v>0</v>
      </c>
      <c r="BI1588" s="213">
        <f t="shared" si="1277"/>
        <v>0</v>
      </c>
      <c r="BJ1588" s="213">
        <f t="shared" si="1278"/>
        <v>0</v>
      </c>
      <c r="BK1588" s="213">
        <f t="shared" si="1279"/>
        <v>54.483873287671237</v>
      </c>
      <c r="BL1588" s="213">
        <f t="shared" si="1280"/>
        <v>337.06124999999997</v>
      </c>
      <c r="BM1588" s="213"/>
      <c r="BN1588" s="213"/>
      <c r="BP1588" s="216">
        <f t="shared" ref="BP1588:BX1588" si="1369">IF(AND($J1588&gt;BO$1575,$J1588&lt;=BP$1575),IF($I1588&gt;BO$1575,$J1588-$I1588,$J1588-BO$1575),IF($J1588&lt;=BO$1575,0,IF(AND($I1588&gt;BO$1575,$I1588&lt;=BP$1575),BP$1575-$I1588,IF($I1588&gt;BP$1575,0,BP$1575-BO$1575))))</f>
        <v>0</v>
      </c>
      <c r="BQ1588" s="216">
        <f t="shared" si="1369"/>
        <v>0</v>
      </c>
      <c r="BR1588" s="216">
        <f t="shared" si="1369"/>
        <v>0</v>
      </c>
      <c r="BS1588" s="216">
        <f t="shared" si="1369"/>
        <v>0</v>
      </c>
      <c r="BT1588" s="216">
        <f t="shared" si="1369"/>
        <v>0</v>
      </c>
      <c r="BU1588" s="216">
        <f t="shared" si="1369"/>
        <v>182</v>
      </c>
      <c r="BV1588" s="216">
        <f t="shared" si="1369"/>
        <v>366</v>
      </c>
      <c r="BW1588" s="216">
        <f t="shared" si="1369"/>
        <v>306</v>
      </c>
      <c r="BX1588" s="216">
        <f t="shared" si="1369"/>
        <v>0</v>
      </c>
      <c r="BY1588" s="216"/>
      <c r="BZ1588" s="216"/>
      <c r="CB1588" s="316"/>
      <c r="CC1588" s="354">
        <f t="shared" si="1367"/>
        <v>0</v>
      </c>
      <c r="CD1588" s="354">
        <f t="shared" si="1367"/>
        <v>0</v>
      </c>
      <c r="CE1588" s="354">
        <f>BS1588/($J1588-$I1588)</f>
        <v>0</v>
      </c>
      <c r="CF1588" s="354">
        <f>BT1588/($J1588-$I1588)</f>
        <v>0</v>
      </c>
      <c r="CG1588" s="354">
        <f>BU1588/($J1588-$I1588)-15%</f>
        <v>6.3114754098360648E-2</v>
      </c>
      <c r="CH1588" s="354">
        <f>BV1588/($J1588-$I1588)-25%</f>
        <v>0.17857142857142855</v>
      </c>
      <c r="CI1588" s="354">
        <f>BW1588/($J1588-$I1588)+20%</f>
        <v>0.55831381733021079</v>
      </c>
      <c r="CJ1588" s="354">
        <f>BX1588/($J1588-$I1588)</f>
        <v>0</v>
      </c>
      <c r="CK1588" s="316"/>
      <c r="CL1588" s="316"/>
      <c r="CM1588" s="539">
        <f t="shared" si="1337"/>
        <v>0.8</v>
      </c>
      <c r="CN1588" s="213">
        <f t="shared" si="1283"/>
        <v>0</v>
      </c>
      <c r="CO1588" s="213">
        <f t="shared" si="1284"/>
        <v>0</v>
      </c>
      <c r="CP1588" s="213">
        <f t="shared" si="1285"/>
        <v>0</v>
      </c>
      <c r="CQ1588" s="213">
        <f t="shared" si="1286"/>
        <v>0</v>
      </c>
      <c r="CR1588" s="213">
        <f t="shared" si="1287"/>
        <v>0</v>
      </c>
      <c r="CS1588" s="213">
        <f t="shared" si="1288"/>
        <v>525.27254098360652</v>
      </c>
      <c r="CT1588" s="213">
        <f t="shared" si="1289"/>
        <v>1486.160714285714</v>
      </c>
      <c r="CU1588" s="213">
        <f t="shared" si="1290"/>
        <v>4646.5667447306796</v>
      </c>
      <c r="CV1588" s="213">
        <f t="shared" si="1291"/>
        <v>0</v>
      </c>
      <c r="CW1588" s="213"/>
      <c r="CX1588" s="213"/>
      <c r="CZ1588" s="213">
        <f t="shared" si="1292"/>
        <v>0</v>
      </c>
      <c r="DA1588" s="213">
        <f t="shared" si="1293"/>
        <v>0</v>
      </c>
      <c r="DB1588" s="213">
        <f t="shared" si="1294"/>
        <v>0</v>
      </c>
      <c r="DC1588" s="213">
        <f t="shared" si="1295"/>
        <v>0</v>
      </c>
      <c r="DD1588" s="213">
        <f t="shared" si="1296"/>
        <v>0</v>
      </c>
      <c r="DE1588" s="213">
        <f t="shared" si="1297"/>
        <v>157.58176229508194</v>
      </c>
      <c r="DF1588" s="213">
        <f t="shared" si="1298"/>
        <v>445.84821428571416</v>
      </c>
      <c r="DG1588" s="213">
        <f t="shared" si="1299"/>
        <v>1393.9700234192039</v>
      </c>
      <c r="DH1588" s="213">
        <f t="shared" si="1300"/>
        <v>0</v>
      </c>
      <c r="DI1588" s="213"/>
      <c r="DJ1588" s="213"/>
      <c r="DL1588" s="213">
        <f t="shared" si="1356"/>
        <v>0</v>
      </c>
      <c r="DM1588" s="213">
        <f t="shared" si="1357"/>
        <v>0</v>
      </c>
      <c r="DN1588" s="213">
        <f t="shared" si="1358"/>
        <v>0</v>
      </c>
      <c r="DO1588" s="213">
        <f t="shared" si="1359"/>
        <v>0</v>
      </c>
      <c r="DP1588" s="213">
        <f t="shared" si="1360"/>
        <v>0</v>
      </c>
      <c r="DQ1588" s="213">
        <f t="shared" si="1361"/>
        <v>367.69077868852457</v>
      </c>
      <c r="DR1588" s="213">
        <f t="shared" si="1362"/>
        <v>1040.3124999999998</v>
      </c>
      <c r="DS1588" s="213">
        <f t="shared" si="1363"/>
        <v>3252.5967213114754</v>
      </c>
      <c r="DT1588" s="213">
        <f t="shared" si="1364"/>
        <v>0</v>
      </c>
      <c r="DU1588" s="213"/>
      <c r="DV1588" s="213"/>
      <c r="DX1588" s="213">
        <f t="shared" si="1302"/>
        <v>0</v>
      </c>
      <c r="DY1588" s="213">
        <f t="shared" si="1303"/>
        <v>0</v>
      </c>
      <c r="DZ1588" s="213">
        <f t="shared" si="1304"/>
        <v>0</v>
      </c>
      <c r="EA1588" s="213">
        <f t="shared" si="1305"/>
        <v>0</v>
      </c>
      <c r="EB1588" s="213">
        <f t="shared" si="1306"/>
        <v>0</v>
      </c>
      <c r="EC1588" s="213">
        <f t="shared" si="1307"/>
        <v>0</v>
      </c>
      <c r="ED1588" s="213">
        <f t="shared" si="1308"/>
        <v>0</v>
      </c>
      <c r="EE1588" s="213">
        <f t="shared" si="1309"/>
        <v>0</v>
      </c>
      <c r="EF1588" s="213">
        <f t="shared" si="1310"/>
        <v>233.03</v>
      </c>
      <c r="EG1588" s="213"/>
      <c r="EH1588" s="213"/>
      <c r="EJ1588" s="213">
        <f>+IF(AC1588&gt;0,$M1588*(1-$BA1588)-SUM($DX1588:DX1588),DL1588)</f>
        <v>0</v>
      </c>
      <c r="EK1588" s="213">
        <f>+IF(AD1588&gt;0,$M1588*(1-$BA1588)-SUM($DX1588:DY1588),DM1588)</f>
        <v>0</v>
      </c>
      <c r="EL1588" s="213">
        <f>+IF(AE1588&gt;0,$M1588*(1-$BA1588)-SUM($DX1588:DZ1588),DN1588)</f>
        <v>0</v>
      </c>
      <c r="EM1588" s="213">
        <f>+IF(AF1588&gt;0,$M1588*(1-$BA1588)-SUM($DX1588:EA1588),DO1588)</f>
        <v>0</v>
      </c>
      <c r="EN1588" s="213">
        <f>+IF(AG1588&gt;0,$M1588*(1-$BA1588)-SUM($DX1588:EB1588),DP1588)</f>
        <v>0</v>
      </c>
      <c r="EO1588" s="213">
        <f>+IF(AH1588&gt;0,$M1588*(1-$BA1588)-SUM($DX1588:EC1588),DQ1588)</f>
        <v>367.69077868852457</v>
      </c>
      <c r="EP1588" s="213">
        <f>+IF(AI1588&gt;0,$M1588*(1-$BA1588)-SUM($DX1588:ED1588),DR1588)</f>
        <v>1040.3124999999998</v>
      </c>
      <c r="EQ1588" s="213">
        <f>+IF(AJ1588&gt;0,$M1588*(1-$BA1588)-SUM($DX1588:EE1588),DS1588)</f>
        <v>5825.75</v>
      </c>
      <c r="ER1588" s="213">
        <f>+IF(AK1588&gt;0,$M1588*(1-$BA1588)-SUM($DX1588:EF1588),DT1588)</f>
        <v>5592.72</v>
      </c>
      <c r="ES1588" s="213"/>
      <c r="ET1588" s="213"/>
      <c r="EV1588" s="213"/>
      <c r="EW1588" s="213">
        <f t="shared" si="1311"/>
        <v>0</v>
      </c>
      <c r="EX1588" s="213">
        <f t="shared" si="1312"/>
        <v>0</v>
      </c>
      <c r="EY1588" s="213">
        <f t="shared" si="1313"/>
        <v>0</v>
      </c>
      <c r="EZ1588" s="213">
        <f t="shared" si="1314"/>
        <v>0</v>
      </c>
      <c r="FA1588" s="213">
        <f t="shared" si="1315"/>
        <v>0</v>
      </c>
      <c r="FB1588" s="213">
        <f t="shared" si="1316"/>
        <v>0</v>
      </c>
      <c r="FC1588" s="213">
        <f t="shared" si="1317"/>
        <v>61.210277397260285</v>
      </c>
      <c r="FD1588" s="213">
        <f t="shared" si="1318"/>
        <v>363.52680000000004</v>
      </c>
      <c r="FE1588" s="213"/>
      <c r="FF1588" s="213"/>
      <c r="FH1588" s="213">
        <f t="shared" si="1319"/>
        <v>0</v>
      </c>
      <c r="FI1588" s="213">
        <f t="shared" si="1320"/>
        <v>0</v>
      </c>
      <c r="FJ1588" s="213">
        <f>IF(AE1588=1,$M1588*'[4]Assumptions_Subs &amp; JV'!JL$503,)</f>
        <v>0</v>
      </c>
      <c r="FK1588" s="213">
        <f>IF(AF1588=1,$M1588*'[4]Assumptions_Subs &amp; JV'!JM$503,)</f>
        <v>0</v>
      </c>
      <c r="FL1588" s="213">
        <f t="shared" si="1321"/>
        <v>0</v>
      </c>
      <c r="FM1588" s="213">
        <f t="shared" si="1322"/>
        <v>0</v>
      </c>
      <c r="FN1588" s="213">
        <f t="shared" si="1323"/>
        <v>0</v>
      </c>
      <c r="FO1588" s="213">
        <f t="shared" si="1324"/>
        <v>8322.5</v>
      </c>
      <c r="FP1588" s="213">
        <f t="shared" si="1325"/>
        <v>0</v>
      </c>
      <c r="FQ1588" s="213"/>
      <c r="FR1588" s="213"/>
      <c r="FT1588" s="213">
        <f t="shared" si="1326"/>
        <v>0</v>
      </c>
      <c r="FU1588" s="213">
        <f t="shared" si="1327"/>
        <v>0</v>
      </c>
      <c r="FV1588" s="213">
        <f t="shared" si="1328"/>
        <v>0</v>
      </c>
      <c r="FW1588" s="213">
        <f t="shared" si="1329"/>
        <v>0</v>
      </c>
      <c r="FX1588" s="213">
        <f t="shared" si="1330"/>
        <v>0</v>
      </c>
      <c r="FY1588" s="213">
        <f t="shared" si="1331"/>
        <v>525.27254098360652</v>
      </c>
      <c r="FZ1588" s="213">
        <f t="shared" si="1332"/>
        <v>2011.4332552693204</v>
      </c>
      <c r="GA1588" s="213">
        <f t="shared" si="1333"/>
        <v>0</v>
      </c>
      <c r="GB1588" s="213">
        <f t="shared" si="1334"/>
        <v>0</v>
      </c>
      <c r="GC1588" s="213"/>
      <c r="GD1588" s="213"/>
    </row>
    <row r="1589" spans="1:186" ht="12.6" customHeight="1" x14ac:dyDescent="0.2">
      <c r="A1589" s="362"/>
      <c r="B1589" s="208" t="s">
        <v>766</v>
      </c>
      <c r="C1589" s="210" t="s">
        <v>664</v>
      </c>
      <c r="D1589" s="209"/>
      <c r="E1589" s="209"/>
      <c r="F1589" s="209"/>
      <c r="G1589" s="346"/>
      <c r="H1589" s="1157">
        <f>Key!K32</f>
        <v>33</v>
      </c>
      <c r="I1589" s="363">
        <v>45930</v>
      </c>
      <c r="J1589" s="546">
        <v>47213</v>
      </c>
      <c r="K1589" s="209">
        <f>IF(MONTH(J1589)&lt;=3,YEAR(J1589),YEAR(J1589)+1)</f>
        <v>2030</v>
      </c>
      <c r="L1589" s="215">
        <f t="shared" si="1347"/>
        <v>2502.7272727272725</v>
      </c>
      <c r="M1589" s="215">
        <f>Key!AD32+40000</f>
        <v>82590</v>
      </c>
      <c r="N1589" s="212"/>
      <c r="O1589" s="212"/>
      <c r="P1589" s="209"/>
      <c r="Q1589" s="213">
        <f t="shared" si="1249"/>
        <v>0</v>
      </c>
      <c r="R1589" s="213">
        <f t="shared" si="1250"/>
        <v>0</v>
      </c>
      <c r="S1589" s="213">
        <f t="shared" si="1250"/>
        <v>0</v>
      </c>
      <c r="T1589" s="213">
        <f t="shared" si="1250"/>
        <v>0</v>
      </c>
      <c r="U1589" s="213">
        <f t="shared" si="1250"/>
        <v>0</v>
      </c>
      <c r="V1589" s="213">
        <f t="shared" si="1250"/>
        <v>0</v>
      </c>
      <c r="W1589" s="213">
        <f t="shared" si="1250"/>
        <v>0</v>
      </c>
      <c r="X1589" s="213">
        <f t="shared" si="1250"/>
        <v>0</v>
      </c>
      <c r="Y1589" s="213">
        <f t="shared" si="1250"/>
        <v>360</v>
      </c>
      <c r="Z1589" s="213">
        <f t="shared" si="1250"/>
        <v>365</v>
      </c>
      <c r="AA1589" s="213">
        <f t="shared" si="1249"/>
        <v>365</v>
      </c>
      <c r="AB1589" s="214"/>
      <c r="AC1589" s="213">
        <f t="shared" ref="AC1589:AC1591" si="1370">IF(AND(P1589=0,Q1589&gt;0),1,IF(AB1589=0,0,AB1589+1))</f>
        <v>0</v>
      </c>
      <c r="AD1589" s="213">
        <f t="shared" si="1252"/>
        <v>0</v>
      </c>
      <c r="AE1589" s="213">
        <f t="shared" si="1253"/>
        <v>0</v>
      </c>
      <c r="AF1589" s="213">
        <f t="shared" si="1254"/>
        <v>0</v>
      </c>
      <c r="AG1589" s="213">
        <f t="shared" si="1255"/>
        <v>0</v>
      </c>
      <c r="AH1589" s="213">
        <f t="shared" si="1256"/>
        <v>0</v>
      </c>
      <c r="AI1589" s="213">
        <f t="shared" si="1257"/>
        <v>0</v>
      </c>
      <c r="AJ1589" s="213">
        <f t="shared" si="1258"/>
        <v>0</v>
      </c>
      <c r="AK1589" s="213">
        <f t="shared" si="1259"/>
        <v>1</v>
      </c>
      <c r="AL1589" s="213">
        <f t="shared" si="1260"/>
        <v>2</v>
      </c>
      <c r="AM1589" s="213">
        <f t="shared" si="1261"/>
        <v>3</v>
      </c>
      <c r="AO1589" s="213">
        <f t="shared" si="1335"/>
        <v>0</v>
      </c>
      <c r="AP1589" s="213">
        <f t="shared" si="1262"/>
        <v>0</v>
      </c>
      <c r="AQ1589" s="213">
        <f t="shared" si="1263"/>
        <v>0</v>
      </c>
      <c r="AR1589" s="213">
        <f t="shared" si="1264"/>
        <v>0</v>
      </c>
      <c r="AS1589" s="213">
        <f t="shared" si="1265"/>
        <v>0</v>
      </c>
      <c r="AT1589" s="213">
        <f t="shared" si="1266"/>
        <v>0</v>
      </c>
      <c r="AU1589" s="213">
        <f t="shared" si="1267"/>
        <v>0</v>
      </c>
      <c r="AV1589" s="213">
        <f t="shared" si="1268"/>
        <v>0</v>
      </c>
      <c r="AW1589" s="213">
        <f t="shared" si="1269"/>
        <v>33</v>
      </c>
      <c r="AX1589" s="213">
        <f t="shared" si="1270"/>
        <v>0</v>
      </c>
      <c r="AY1589" s="213">
        <f t="shared" si="1271"/>
        <v>0</v>
      </c>
      <c r="BA1589" s="551">
        <v>0.3</v>
      </c>
      <c r="BB1589" s="551">
        <v>4.4999999999999998E-2</v>
      </c>
      <c r="BC1589" s="315"/>
      <c r="BD1589" s="213">
        <f t="shared" si="1272"/>
        <v>0</v>
      </c>
      <c r="BE1589" s="213">
        <f t="shared" si="1273"/>
        <v>0</v>
      </c>
      <c r="BF1589" s="213">
        <f t="shared" si="1274"/>
        <v>0</v>
      </c>
      <c r="BG1589" s="213">
        <f t="shared" si="1275"/>
        <v>0</v>
      </c>
      <c r="BH1589" s="213">
        <f t="shared" si="1276"/>
        <v>0</v>
      </c>
      <c r="BI1589" s="213">
        <f t="shared" si="1277"/>
        <v>0</v>
      </c>
      <c r="BJ1589" s="213">
        <f t="shared" si="1278"/>
        <v>0</v>
      </c>
      <c r="BK1589" s="213">
        <f t="shared" si="1279"/>
        <v>0</v>
      </c>
      <c r="BL1589" s="213">
        <f t="shared" si="1280"/>
        <v>3299.0745205479448</v>
      </c>
      <c r="BM1589" s="213"/>
      <c r="BN1589" s="213"/>
      <c r="BP1589" s="216">
        <f t="shared" ref="BP1589:BX1589" si="1371">IF(AND($J1589&gt;BO$1575,$J1589&lt;=BP$1575),IF($I1589&gt;BO$1575,$J1589-$I1589,$J1589-BO$1575),IF($J1589&lt;=BO$1575,0,IF(AND($I1589&gt;BO$1575,$I1589&lt;=BP$1575),BP$1575-$I1589,IF($I1589&gt;BP$1575,0,BP$1575-BO$1575))))</f>
        <v>0</v>
      </c>
      <c r="BQ1589" s="216">
        <f t="shared" si="1371"/>
        <v>0</v>
      </c>
      <c r="BR1589" s="216">
        <f t="shared" si="1371"/>
        <v>0</v>
      </c>
      <c r="BS1589" s="216">
        <f t="shared" si="1371"/>
        <v>0</v>
      </c>
      <c r="BT1589" s="216">
        <f t="shared" si="1371"/>
        <v>182</v>
      </c>
      <c r="BU1589" s="216">
        <f t="shared" si="1371"/>
        <v>365</v>
      </c>
      <c r="BV1589" s="216">
        <f t="shared" si="1371"/>
        <v>366</v>
      </c>
      <c r="BW1589" s="216">
        <f t="shared" si="1371"/>
        <v>365</v>
      </c>
      <c r="BX1589" s="216">
        <f t="shared" si="1371"/>
        <v>5</v>
      </c>
      <c r="BY1589" s="216"/>
      <c r="BZ1589" s="216"/>
      <c r="CB1589" s="316"/>
      <c r="CC1589" s="354">
        <f t="shared" si="1367"/>
        <v>0</v>
      </c>
      <c r="CD1589" s="354">
        <f t="shared" si="1367"/>
        <v>0</v>
      </c>
      <c r="CE1589" s="354">
        <f>BS1589/($J1589-$I1589)</f>
        <v>0</v>
      </c>
      <c r="CF1589" s="354">
        <f>BT1589/($J1589-$I1589)-10%</f>
        <v>4.185502727981294E-2</v>
      </c>
      <c r="CG1589" s="354">
        <f>BU1589/($J1589-$I1589)-15%</f>
        <v>0.13448947778643802</v>
      </c>
      <c r="CH1589" s="354">
        <f>BV1589/($J1589-$I1589)-20%</f>
        <v>8.5268901013250187E-2</v>
      </c>
      <c r="CI1589" s="354">
        <f>BW1589/($J1589-$I1589)</f>
        <v>0.28448947778643802</v>
      </c>
      <c r="CJ1589" s="354">
        <f>BX1589/($J1589-$I1589)</f>
        <v>3.897116134060795E-3</v>
      </c>
      <c r="CK1589" s="316"/>
      <c r="CL1589" s="316"/>
      <c r="CM1589" s="539">
        <f t="shared" si="1337"/>
        <v>0.54999999999999993</v>
      </c>
      <c r="CN1589" s="213">
        <f t="shared" si="1283"/>
        <v>0</v>
      </c>
      <c r="CO1589" s="213">
        <f t="shared" si="1284"/>
        <v>0</v>
      </c>
      <c r="CP1589" s="213">
        <f t="shared" si="1285"/>
        <v>0</v>
      </c>
      <c r="CQ1589" s="213">
        <f t="shared" si="1286"/>
        <v>0</v>
      </c>
      <c r="CR1589" s="213">
        <f t="shared" si="1287"/>
        <v>3456.8067030397506</v>
      </c>
      <c r="CS1589" s="213">
        <f t="shared" si="1288"/>
        <v>11107.485970381917</v>
      </c>
      <c r="CT1589" s="213">
        <f t="shared" si="1289"/>
        <v>7042.3585346843329</v>
      </c>
      <c r="CU1589" s="213">
        <f t="shared" si="1290"/>
        <v>23495.985970381917</v>
      </c>
      <c r="CV1589" s="213">
        <f t="shared" si="1291"/>
        <v>321.86282151208104</v>
      </c>
      <c r="CW1589" s="213"/>
      <c r="CX1589" s="213"/>
      <c r="CZ1589" s="213">
        <f t="shared" si="1292"/>
        <v>0</v>
      </c>
      <c r="DA1589" s="213">
        <f t="shared" si="1293"/>
        <v>0</v>
      </c>
      <c r="DB1589" s="213">
        <f t="shared" si="1294"/>
        <v>0</v>
      </c>
      <c r="DC1589" s="213">
        <f t="shared" si="1295"/>
        <v>0</v>
      </c>
      <c r="DD1589" s="213">
        <f t="shared" si="1296"/>
        <v>1037.0420109119252</v>
      </c>
      <c r="DE1589" s="213">
        <f t="shared" si="1297"/>
        <v>3332.2457911145748</v>
      </c>
      <c r="DF1589" s="213">
        <f t="shared" si="1298"/>
        <v>2112.7075604052998</v>
      </c>
      <c r="DG1589" s="213">
        <f t="shared" si="1299"/>
        <v>7048.795791114575</v>
      </c>
      <c r="DH1589" s="213">
        <f t="shared" si="1300"/>
        <v>96.558846453624312</v>
      </c>
      <c r="DI1589" s="213"/>
      <c r="DJ1589" s="213"/>
      <c r="DL1589" s="213">
        <f t="shared" ref="DL1589:DT1591" si="1372">CN1589-CZ1589</f>
        <v>0</v>
      </c>
      <c r="DM1589" s="213">
        <f t="shared" si="1372"/>
        <v>0</v>
      </c>
      <c r="DN1589" s="213">
        <f t="shared" si="1372"/>
        <v>0</v>
      </c>
      <c r="DO1589" s="213">
        <f t="shared" si="1372"/>
        <v>0</v>
      </c>
      <c r="DP1589" s="213">
        <f t="shared" si="1372"/>
        <v>2419.7646921278256</v>
      </c>
      <c r="DQ1589" s="213">
        <f t="shared" si="1372"/>
        <v>7775.2401792673418</v>
      </c>
      <c r="DR1589" s="213">
        <f t="shared" si="1372"/>
        <v>4929.6509742790331</v>
      </c>
      <c r="DS1589" s="213">
        <f t="shared" si="1372"/>
        <v>16447.190179267342</v>
      </c>
      <c r="DT1589" s="213">
        <f t="shared" si="1372"/>
        <v>225.30397505845673</v>
      </c>
      <c r="DU1589" s="213"/>
      <c r="DV1589" s="213"/>
      <c r="DX1589" s="213">
        <f t="shared" si="1302"/>
        <v>0</v>
      </c>
      <c r="DY1589" s="213">
        <f t="shared" si="1303"/>
        <v>0</v>
      </c>
      <c r="DZ1589" s="213">
        <f t="shared" si="1304"/>
        <v>0</v>
      </c>
      <c r="EA1589" s="213">
        <f t="shared" si="1305"/>
        <v>0</v>
      </c>
      <c r="EB1589" s="213">
        <f t="shared" si="1306"/>
        <v>0</v>
      </c>
      <c r="EC1589" s="213">
        <f t="shared" si="1307"/>
        <v>0</v>
      </c>
      <c r="ED1589" s="213">
        <f t="shared" si="1308"/>
        <v>0</v>
      </c>
      <c r="EE1589" s="213">
        <f t="shared" si="1309"/>
        <v>0</v>
      </c>
      <c r="EF1589" s="213">
        <f t="shared" si="1310"/>
        <v>0</v>
      </c>
      <c r="EG1589" s="213"/>
      <c r="EH1589" s="213"/>
      <c r="EJ1589" s="213">
        <f>+IF(AC1589&gt;0,$M1589*(1-$BA1589)-SUM($DX1589:DX1589),DL1589)</f>
        <v>0</v>
      </c>
      <c r="EK1589" s="213">
        <f>+IF(AD1589&gt;0,$M1589*(1-$BA1589)-SUM($DX1589:DY1589),DM1589)</f>
        <v>0</v>
      </c>
      <c r="EL1589" s="213">
        <f>+IF(AE1589&gt;0,$M1589*(1-$BA1589)-SUM($DX1589:DZ1589),DN1589)</f>
        <v>0</v>
      </c>
      <c r="EM1589" s="213">
        <f>+IF(AF1589&gt;0,$M1589*(1-$BA1589)-SUM($DX1589:EA1589),DO1589)</f>
        <v>0</v>
      </c>
      <c r="EN1589" s="213">
        <f>+IF(AG1589&gt;0,$M1589*(1-$BA1589)-SUM($DX1589:EB1589),DP1589)</f>
        <v>2419.7646921278256</v>
      </c>
      <c r="EO1589" s="213">
        <f>+IF(AH1589&gt;0,$M1589*(1-$BA1589)-SUM($DX1589:EC1589),DQ1589)</f>
        <v>7775.2401792673418</v>
      </c>
      <c r="EP1589" s="213">
        <f>+IF(AI1589&gt;0,$M1589*(1-$BA1589)-SUM($DX1589:ED1589),DR1589)</f>
        <v>4929.6509742790331</v>
      </c>
      <c r="EQ1589" s="213">
        <f>+IF(AJ1589&gt;0,$M1589*(1-$BA1589)-SUM($DX1589:EE1589),DS1589)</f>
        <v>16447.190179267342</v>
      </c>
      <c r="ER1589" s="213">
        <f>+IF(AK1589&gt;0,$M1589*(1-$BA1589)-SUM($DX1589:EF1589),DT1589)</f>
        <v>57812.999999999993</v>
      </c>
      <c r="ES1589" s="213"/>
      <c r="ET1589" s="213"/>
      <c r="EV1589" s="213"/>
      <c r="EW1589" s="213">
        <f t="shared" si="1311"/>
        <v>0</v>
      </c>
      <c r="EX1589" s="213">
        <f t="shared" si="1312"/>
        <v>0</v>
      </c>
      <c r="EY1589" s="213">
        <f t="shared" si="1313"/>
        <v>0</v>
      </c>
      <c r="EZ1589" s="213">
        <f t="shared" si="1314"/>
        <v>0</v>
      </c>
      <c r="FA1589" s="213">
        <f t="shared" si="1315"/>
        <v>0</v>
      </c>
      <c r="FB1589" s="213">
        <f t="shared" si="1316"/>
        <v>0</v>
      </c>
      <c r="FC1589" s="213">
        <f t="shared" si="1317"/>
        <v>0</v>
      </c>
      <c r="FD1589" s="213">
        <f t="shared" si="1318"/>
        <v>3706.3676712328761</v>
      </c>
      <c r="FE1589" s="213"/>
      <c r="FF1589" s="213"/>
      <c r="FH1589" s="213">
        <f t="shared" si="1319"/>
        <v>0</v>
      </c>
      <c r="FI1589" s="213">
        <f t="shared" si="1320"/>
        <v>0</v>
      </c>
      <c r="FJ1589" s="213">
        <f>IF(AE1589=1,$M1589*'[4]Assumptions_Subs &amp; JV'!JL$503,)</f>
        <v>0</v>
      </c>
      <c r="FK1589" s="213">
        <f>IF(AF1589=1,$M1589*'[4]Assumptions_Subs &amp; JV'!JM$503,)</f>
        <v>0</v>
      </c>
      <c r="FL1589" s="213">
        <f t="shared" si="1321"/>
        <v>0</v>
      </c>
      <c r="FM1589" s="213">
        <f t="shared" si="1322"/>
        <v>0</v>
      </c>
      <c r="FN1589" s="213">
        <f t="shared" si="1323"/>
        <v>0</v>
      </c>
      <c r="FO1589" s="213">
        <f t="shared" si="1324"/>
        <v>0</v>
      </c>
      <c r="FP1589" s="213">
        <f t="shared" si="1325"/>
        <v>82590</v>
      </c>
      <c r="FQ1589" s="213"/>
      <c r="FR1589" s="213"/>
      <c r="FT1589" s="213">
        <f t="shared" si="1326"/>
        <v>0</v>
      </c>
      <c r="FU1589" s="213">
        <f t="shared" si="1327"/>
        <v>0</v>
      </c>
      <c r="FV1589" s="213">
        <f t="shared" si="1328"/>
        <v>0</v>
      </c>
      <c r="FW1589" s="213">
        <f t="shared" si="1329"/>
        <v>0</v>
      </c>
      <c r="FX1589" s="213">
        <f t="shared" si="1330"/>
        <v>3456.8067030397506</v>
      </c>
      <c r="FY1589" s="213">
        <f t="shared" si="1331"/>
        <v>14564.292673421667</v>
      </c>
      <c r="FZ1589" s="213">
        <f t="shared" si="1332"/>
        <v>21606.651208105999</v>
      </c>
      <c r="GA1589" s="213">
        <f t="shared" si="1333"/>
        <v>45102.637178487916</v>
      </c>
      <c r="GB1589" s="213">
        <f t="shared" si="1334"/>
        <v>0</v>
      </c>
      <c r="GC1589" s="213"/>
      <c r="GD1589" s="213"/>
    </row>
    <row r="1590" spans="1:186" ht="12.6" customHeight="1" x14ac:dyDescent="0.2">
      <c r="A1590" s="362"/>
      <c r="B1590" s="208" t="s">
        <v>1866</v>
      </c>
      <c r="C1590" s="210" t="s">
        <v>1866</v>
      </c>
      <c r="D1590" s="209"/>
      <c r="E1590" s="209"/>
      <c r="F1590" s="209"/>
      <c r="G1590" s="346"/>
      <c r="H1590" s="1157">
        <f>Key!K33</f>
        <v>27</v>
      </c>
      <c r="I1590" s="363">
        <v>45930</v>
      </c>
      <c r="J1590" s="546">
        <v>47299</v>
      </c>
      <c r="K1590" s="209">
        <f>IF(MONTH(J1590)&lt;=3,YEAR(J1590),YEAR(J1590)+1)</f>
        <v>2030</v>
      </c>
      <c r="L1590" s="215">
        <f t="shared" si="1347"/>
        <v>933.33333333333337</v>
      </c>
      <c r="M1590" s="215">
        <f>Key!AD33</f>
        <v>25200</v>
      </c>
      <c r="N1590" s="212"/>
      <c r="O1590" s="212"/>
      <c r="P1590" s="209"/>
      <c r="Q1590" s="213">
        <f t="shared" si="1249"/>
        <v>0</v>
      </c>
      <c r="R1590" s="213">
        <f t="shared" si="1250"/>
        <v>0</v>
      </c>
      <c r="S1590" s="213">
        <f t="shared" si="1250"/>
        <v>0</v>
      </c>
      <c r="T1590" s="213">
        <f t="shared" si="1250"/>
        <v>0</v>
      </c>
      <c r="U1590" s="213">
        <f t="shared" si="1250"/>
        <v>0</v>
      </c>
      <c r="V1590" s="213">
        <f t="shared" si="1250"/>
        <v>0</v>
      </c>
      <c r="W1590" s="213">
        <f t="shared" si="1250"/>
        <v>0</v>
      </c>
      <c r="X1590" s="213">
        <f t="shared" si="1250"/>
        <v>0</v>
      </c>
      <c r="Y1590" s="213">
        <f t="shared" si="1250"/>
        <v>274</v>
      </c>
      <c r="Z1590" s="213">
        <f t="shared" si="1250"/>
        <v>365</v>
      </c>
      <c r="AA1590" s="213">
        <f t="shared" si="1249"/>
        <v>365</v>
      </c>
      <c r="AB1590" s="214"/>
      <c r="AC1590" s="213">
        <f t="shared" si="1370"/>
        <v>0</v>
      </c>
      <c r="AD1590" s="213">
        <f t="shared" si="1252"/>
        <v>0</v>
      </c>
      <c r="AE1590" s="213">
        <f t="shared" si="1253"/>
        <v>0</v>
      </c>
      <c r="AF1590" s="213">
        <f t="shared" si="1254"/>
        <v>0</v>
      </c>
      <c r="AG1590" s="213">
        <f t="shared" si="1255"/>
        <v>0</v>
      </c>
      <c r="AH1590" s="213">
        <f t="shared" si="1256"/>
        <v>0</v>
      </c>
      <c r="AI1590" s="213">
        <f t="shared" si="1257"/>
        <v>0</v>
      </c>
      <c r="AJ1590" s="213">
        <f t="shared" si="1258"/>
        <v>0</v>
      </c>
      <c r="AK1590" s="213">
        <f t="shared" si="1259"/>
        <v>1</v>
      </c>
      <c r="AL1590" s="213">
        <f t="shared" si="1260"/>
        <v>2</v>
      </c>
      <c r="AM1590" s="213">
        <f t="shared" si="1261"/>
        <v>3</v>
      </c>
      <c r="AO1590" s="213">
        <f t="shared" si="1335"/>
        <v>0</v>
      </c>
      <c r="AP1590" s="213">
        <f t="shared" si="1262"/>
        <v>0</v>
      </c>
      <c r="AQ1590" s="213">
        <f t="shared" si="1263"/>
        <v>0</v>
      </c>
      <c r="AR1590" s="213">
        <f t="shared" si="1264"/>
        <v>0</v>
      </c>
      <c r="AS1590" s="213">
        <f t="shared" si="1265"/>
        <v>0</v>
      </c>
      <c r="AT1590" s="213">
        <f t="shared" si="1266"/>
        <v>0</v>
      </c>
      <c r="AU1590" s="213">
        <f t="shared" si="1267"/>
        <v>0</v>
      </c>
      <c r="AV1590" s="213">
        <f t="shared" si="1268"/>
        <v>0</v>
      </c>
      <c r="AW1590" s="213">
        <f t="shared" si="1269"/>
        <v>27</v>
      </c>
      <c r="AX1590" s="213">
        <f t="shared" si="1270"/>
        <v>0</v>
      </c>
      <c r="AY1590" s="213">
        <f t="shared" si="1271"/>
        <v>0</v>
      </c>
      <c r="BA1590" s="551">
        <v>0.3</v>
      </c>
      <c r="BB1590" s="551">
        <v>4.4999999999999998E-2</v>
      </c>
      <c r="BC1590" s="315"/>
      <c r="BD1590" s="213">
        <f t="shared" si="1272"/>
        <v>0</v>
      </c>
      <c r="BE1590" s="213">
        <f t="shared" si="1273"/>
        <v>0</v>
      </c>
      <c r="BF1590" s="213">
        <f t="shared" si="1274"/>
        <v>0</v>
      </c>
      <c r="BG1590" s="213">
        <f t="shared" si="1275"/>
        <v>0</v>
      </c>
      <c r="BH1590" s="213">
        <f t="shared" si="1276"/>
        <v>0</v>
      </c>
      <c r="BI1590" s="213">
        <f t="shared" si="1277"/>
        <v>0</v>
      </c>
      <c r="BJ1590" s="213">
        <f t="shared" si="1278"/>
        <v>0</v>
      </c>
      <c r="BK1590" s="213">
        <f t="shared" si="1279"/>
        <v>0</v>
      </c>
      <c r="BL1590" s="213">
        <f t="shared" si="1280"/>
        <v>766.14904109589054</v>
      </c>
      <c r="BM1590" s="213"/>
      <c r="BN1590" s="213"/>
      <c r="BP1590" s="216">
        <f t="shared" ref="BP1590:BX1590" si="1373">IF(AND($J1590&gt;BO$1575,$J1590&lt;=BP$1575),IF($I1590&gt;BO$1575,$J1590-$I1590,$J1590-BO$1575),IF($J1590&lt;=BO$1575,0,IF(AND($I1590&gt;BO$1575,$I1590&lt;=BP$1575),BP$1575-$I1590,IF($I1590&gt;BP$1575,0,BP$1575-BO$1575))))</f>
        <v>0</v>
      </c>
      <c r="BQ1590" s="216">
        <f t="shared" si="1373"/>
        <v>0</v>
      </c>
      <c r="BR1590" s="216">
        <f t="shared" si="1373"/>
        <v>0</v>
      </c>
      <c r="BS1590" s="216">
        <f t="shared" si="1373"/>
        <v>0</v>
      </c>
      <c r="BT1590" s="216">
        <f t="shared" si="1373"/>
        <v>182</v>
      </c>
      <c r="BU1590" s="216">
        <f t="shared" si="1373"/>
        <v>365</v>
      </c>
      <c r="BV1590" s="216">
        <f t="shared" si="1373"/>
        <v>366</v>
      </c>
      <c r="BW1590" s="216">
        <f t="shared" si="1373"/>
        <v>365</v>
      </c>
      <c r="BX1590" s="216">
        <f t="shared" si="1373"/>
        <v>91</v>
      </c>
      <c r="BY1590" s="216"/>
      <c r="BZ1590" s="216"/>
      <c r="CB1590" s="316"/>
      <c r="CC1590" s="354">
        <f t="shared" si="1367"/>
        <v>0</v>
      </c>
      <c r="CD1590" s="354">
        <f t="shared" si="1367"/>
        <v>0</v>
      </c>
      <c r="CE1590" s="354">
        <f>BS1590/($J1590-$I1590)</f>
        <v>0</v>
      </c>
      <c r="CF1590" s="354">
        <f>BT1590/($J1590-$I1590)-13%</f>
        <v>2.9437545653761832E-3</v>
      </c>
      <c r="CG1590" s="354">
        <f>BU1590/($J1590-$I1590)-9%</f>
        <v>0.176617969320672</v>
      </c>
      <c r="CH1590" s="354">
        <f>BV1590/($J1590-$I1590)+20%-10%-25%</f>
        <v>0.11734842951059166</v>
      </c>
      <c r="CI1590" s="354">
        <f>BW1590/($J1590-$I1590)-15%</f>
        <v>0.116617969320672</v>
      </c>
      <c r="CJ1590" s="354">
        <f>BX1590/($J1590-$I1590)+52%</f>
        <v>0.58647187728268813</v>
      </c>
      <c r="CK1590" s="316"/>
      <c r="CL1590" s="316"/>
      <c r="CM1590" s="539">
        <f t="shared" si="1337"/>
        <v>1</v>
      </c>
      <c r="CN1590" s="213">
        <f t="shared" si="1283"/>
        <v>0</v>
      </c>
      <c r="CO1590" s="213">
        <f t="shared" si="1284"/>
        <v>0</v>
      </c>
      <c r="CP1590" s="213">
        <f t="shared" si="1285"/>
        <v>0</v>
      </c>
      <c r="CQ1590" s="213">
        <f t="shared" si="1286"/>
        <v>0</v>
      </c>
      <c r="CR1590" s="213">
        <f t="shared" si="1287"/>
        <v>74.182615047479814</v>
      </c>
      <c r="CS1590" s="213">
        <f t="shared" si="1288"/>
        <v>4450.7728268809342</v>
      </c>
      <c r="CT1590" s="213">
        <f t="shared" si="1289"/>
        <v>2957.1804236669095</v>
      </c>
      <c r="CU1590" s="213">
        <f t="shared" si="1290"/>
        <v>2938.7728268809346</v>
      </c>
      <c r="CV1590" s="213">
        <f t="shared" si="1291"/>
        <v>14779.09130752374</v>
      </c>
      <c r="CW1590" s="213"/>
      <c r="CX1590" s="213"/>
      <c r="CZ1590" s="213">
        <f t="shared" si="1292"/>
        <v>0</v>
      </c>
      <c r="DA1590" s="213">
        <f t="shared" si="1293"/>
        <v>0</v>
      </c>
      <c r="DB1590" s="213">
        <f t="shared" si="1294"/>
        <v>0</v>
      </c>
      <c r="DC1590" s="213">
        <f t="shared" si="1295"/>
        <v>0</v>
      </c>
      <c r="DD1590" s="213">
        <f t="shared" si="1296"/>
        <v>22.254784514243944</v>
      </c>
      <c r="DE1590" s="213">
        <f t="shared" si="1297"/>
        <v>1335.2318480642803</v>
      </c>
      <c r="DF1590" s="213">
        <f t="shared" si="1298"/>
        <v>887.15412710007286</v>
      </c>
      <c r="DG1590" s="213">
        <f t="shared" si="1299"/>
        <v>881.63184806428035</v>
      </c>
      <c r="DH1590" s="213">
        <f t="shared" si="1300"/>
        <v>4433.7273922571221</v>
      </c>
      <c r="DI1590" s="213"/>
      <c r="DJ1590" s="213"/>
      <c r="DL1590" s="213">
        <f t="shared" si="1372"/>
        <v>0</v>
      </c>
      <c r="DM1590" s="213">
        <f t="shared" si="1372"/>
        <v>0</v>
      </c>
      <c r="DN1590" s="213">
        <f t="shared" si="1372"/>
        <v>0</v>
      </c>
      <c r="DO1590" s="213">
        <f t="shared" si="1372"/>
        <v>0</v>
      </c>
      <c r="DP1590" s="213">
        <f t="shared" si="1372"/>
        <v>51.92783053323587</v>
      </c>
      <c r="DQ1590" s="213">
        <f t="shared" si="1372"/>
        <v>3115.5409788166539</v>
      </c>
      <c r="DR1590" s="213">
        <f t="shared" si="1372"/>
        <v>2070.0262965668367</v>
      </c>
      <c r="DS1590" s="213">
        <f t="shared" si="1372"/>
        <v>2057.1409788166543</v>
      </c>
      <c r="DT1590" s="213">
        <f t="shared" si="1372"/>
        <v>10345.363915266618</v>
      </c>
      <c r="DU1590" s="213"/>
      <c r="DV1590" s="213"/>
      <c r="DX1590" s="213">
        <f t="shared" si="1302"/>
        <v>0</v>
      </c>
      <c r="DY1590" s="213">
        <f t="shared" si="1303"/>
        <v>0</v>
      </c>
      <c r="DZ1590" s="213">
        <f t="shared" si="1304"/>
        <v>0</v>
      </c>
      <c r="EA1590" s="213">
        <f t="shared" si="1305"/>
        <v>0</v>
      </c>
      <c r="EB1590" s="213">
        <f t="shared" si="1306"/>
        <v>0</v>
      </c>
      <c r="EC1590" s="213">
        <f t="shared" si="1307"/>
        <v>0</v>
      </c>
      <c r="ED1590" s="213">
        <f t="shared" si="1308"/>
        <v>0</v>
      </c>
      <c r="EE1590" s="213">
        <f t="shared" si="1309"/>
        <v>0</v>
      </c>
      <c r="EF1590" s="213">
        <f t="shared" si="1310"/>
        <v>0</v>
      </c>
      <c r="EG1590" s="213"/>
      <c r="EH1590" s="213"/>
      <c r="EJ1590" s="213">
        <f>+IF(AC1590&gt;0,$M1590*(1-$BA1590)-SUM($DX1590:DX1590),DL1590)</f>
        <v>0</v>
      </c>
      <c r="EK1590" s="213">
        <f>+IF(AD1590&gt;0,$M1590*(1-$BA1590)-SUM($DX1590:DY1590),DM1590)</f>
        <v>0</v>
      </c>
      <c r="EL1590" s="213">
        <f>+IF(AE1590&gt;0,$M1590*(1-$BA1590)-SUM($DX1590:DZ1590),DN1590)</f>
        <v>0</v>
      </c>
      <c r="EM1590" s="213">
        <f>+IF(AF1590&gt;0,$M1590*(1-$BA1590)-SUM($DX1590:EA1590),DO1590)</f>
        <v>0</v>
      </c>
      <c r="EN1590" s="213">
        <f>+IF(AG1590&gt;0,$M1590*(1-$BA1590)-SUM($DX1590:EB1590),DP1590)</f>
        <v>51.92783053323587</v>
      </c>
      <c r="EO1590" s="213">
        <f>+IF(AH1590&gt;0,$M1590*(1-$BA1590)-SUM($DX1590:EC1590),DQ1590)</f>
        <v>3115.5409788166539</v>
      </c>
      <c r="EP1590" s="213">
        <f>+IF(AI1590&gt;0,$M1590*(1-$BA1590)-SUM($DX1590:ED1590),DR1590)</f>
        <v>2070.0262965668367</v>
      </c>
      <c r="EQ1590" s="213">
        <f>+IF(AJ1590&gt;0,$M1590*(1-$BA1590)-SUM($DX1590:EE1590),DS1590)</f>
        <v>2057.1409788166543</v>
      </c>
      <c r="ER1590" s="213">
        <f>+IF(AK1590&gt;0,$M1590*(1-$BA1590)-SUM($DX1590:EF1590),DT1590)</f>
        <v>17640</v>
      </c>
      <c r="ES1590" s="213"/>
      <c r="ET1590" s="213"/>
      <c r="EV1590" s="213"/>
      <c r="EW1590" s="213">
        <f t="shared" si="1311"/>
        <v>0</v>
      </c>
      <c r="EX1590" s="213">
        <f t="shared" si="1312"/>
        <v>0</v>
      </c>
      <c r="EY1590" s="213">
        <f t="shared" si="1313"/>
        <v>0</v>
      </c>
      <c r="EZ1590" s="213">
        <f t="shared" si="1314"/>
        <v>0</v>
      </c>
      <c r="FA1590" s="213">
        <f t="shared" si="1315"/>
        <v>0</v>
      </c>
      <c r="FB1590" s="213">
        <f t="shared" si="1316"/>
        <v>0</v>
      </c>
      <c r="FC1590" s="213">
        <f t="shared" si="1317"/>
        <v>0</v>
      </c>
      <c r="FD1590" s="213">
        <f t="shared" si="1318"/>
        <v>860.73534246575355</v>
      </c>
      <c r="FE1590" s="213"/>
      <c r="FF1590" s="213"/>
      <c r="FH1590" s="213">
        <f t="shared" si="1319"/>
        <v>0</v>
      </c>
      <c r="FI1590" s="213">
        <f t="shared" si="1320"/>
        <v>0</v>
      </c>
      <c r="FJ1590" s="213">
        <f>IF(AE1590=1,$M1590*'[4]Assumptions_Subs &amp; JV'!JL$503,)</f>
        <v>0</v>
      </c>
      <c r="FK1590" s="213">
        <f>IF(AF1590=1,$M1590*'[4]Assumptions_Subs &amp; JV'!JM$503,)</f>
        <v>0</v>
      </c>
      <c r="FL1590" s="213">
        <f t="shared" si="1321"/>
        <v>0</v>
      </c>
      <c r="FM1590" s="213">
        <f t="shared" si="1322"/>
        <v>0</v>
      </c>
      <c r="FN1590" s="213">
        <f t="shared" si="1323"/>
        <v>0</v>
      </c>
      <c r="FO1590" s="213">
        <f t="shared" si="1324"/>
        <v>0</v>
      </c>
      <c r="FP1590" s="213">
        <f t="shared" si="1325"/>
        <v>25200</v>
      </c>
      <c r="FQ1590" s="213"/>
      <c r="FR1590" s="213"/>
      <c r="FT1590" s="213">
        <f t="shared" si="1326"/>
        <v>0</v>
      </c>
      <c r="FU1590" s="213">
        <f t="shared" si="1327"/>
        <v>0</v>
      </c>
      <c r="FV1590" s="213">
        <f t="shared" si="1328"/>
        <v>0</v>
      </c>
      <c r="FW1590" s="213">
        <f t="shared" si="1329"/>
        <v>0</v>
      </c>
      <c r="FX1590" s="213">
        <f t="shared" si="1330"/>
        <v>74.182615047479814</v>
      </c>
      <c r="FY1590" s="213">
        <f t="shared" si="1331"/>
        <v>4524.9554419284141</v>
      </c>
      <c r="FZ1590" s="213">
        <f t="shared" si="1332"/>
        <v>7482.1358655953236</v>
      </c>
      <c r="GA1590" s="213">
        <f t="shared" si="1333"/>
        <v>10420.908692476258</v>
      </c>
      <c r="GB1590" s="213">
        <f t="shared" si="1334"/>
        <v>0</v>
      </c>
      <c r="GC1590" s="213"/>
      <c r="GD1590" s="213"/>
    </row>
    <row r="1591" spans="1:186" ht="12.6" customHeight="1" x14ac:dyDescent="0.2">
      <c r="B1591" s="208" t="s">
        <v>1767</v>
      </c>
      <c r="C1591" s="208" t="s">
        <v>1767</v>
      </c>
      <c r="D1591" s="209"/>
      <c r="E1591" s="209"/>
      <c r="F1591" s="209"/>
      <c r="G1591" s="346"/>
      <c r="H1591" s="1157">
        <v>6.3</v>
      </c>
      <c r="I1591" s="363">
        <v>46021</v>
      </c>
      <c r="J1591" s="546">
        <f>I1591+30*21</f>
        <v>46651</v>
      </c>
      <c r="K1591" s="209">
        <f>IF(MONTH(J1591)&lt;=3,YEAR(J1591),YEAR(J1591)+1)</f>
        <v>2028</v>
      </c>
      <c r="L1591" s="215">
        <f t="shared" si="1347"/>
        <v>1174.6031746031747</v>
      </c>
      <c r="M1591" s="215">
        <f>Key!C225</f>
        <v>7400</v>
      </c>
      <c r="N1591" s="212"/>
      <c r="O1591" s="212"/>
      <c r="P1591" s="209"/>
      <c r="Q1591" s="213">
        <f t="shared" si="1249"/>
        <v>0</v>
      </c>
      <c r="R1591" s="213">
        <f t="shared" si="1250"/>
        <v>0</v>
      </c>
      <c r="S1591" s="213">
        <f t="shared" si="1250"/>
        <v>0</v>
      </c>
      <c r="T1591" s="213">
        <f t="shared" si="1250"/>
        <v>0</v>
      </c>
      <c r="U1591" s="213">
        <f t="shared" si="1250"/>
        <v>0</v>
      </c>
      <c r="V1591" s="213">
        <f t="shared" si="1250"/>
        <v>0</v>
      </c>
      <c r="W1591" s="213">
        <f t="shared" si="1250"/>
        <v>192</v>
      </c>
      <c r="X1591" s="213">
        <f t="shared" si="1250"/>
        <v>365</v>
      </c>
      <c r="Y1591" s="213">
        <f t="shared" si="1250"/>
        <v>365</v>
      </c>
      <c r="Z1591" s="213">
        <f t="shared" si="1250"/>
        <v>365</v>
      </c>
      <c r="AA1591" s="213">
        <f t="shared" si="1249"/>
        <v>365</v>
      </c>
      <c r="AB1591" s="214"/>
      <c r="AC1591" s="213">
        <f t="shared" si="1370"/>
        <v>0</v>
      </c>
      <c r="AD1591" s="213">
        <f t="shared" si="1252"/>
        <v>0</v>
      </c>
      <c r="AE1591" s="213">
        <f t="shared" si="1253"/>
        <v>0</v>
      </c>
      <c r="AF1591" s="213">
        <f t="shared" si="1254"/>
        <v>0</v>
      </c>
      <c r="AG1591" s="213">
        <f t="shared" si="1255"/>
        <v>0</v>
      </c>
      <c r="AH1591" s="213">
        <f t="shared" si="1256"/>
        <v>0</v>
      </c>
      <c r="AI1591" s="213">
        <f t="shared" si="1257"/>
        <v>1</v>
      </c>
      <c r="AJ1591" s="213">
        <f t="shared" si="1258"/>
        <v>2</v>
      </c>
      <c r="AK1591" s="213">
        <f t="shared" si="1259"/>
        <v>3</v>
      </c>
      <c r="AL1591" s="213">
        <f t="shared" si="1260"/>
        <v>4</v>
      </c>
      <c r="AM1591" s="213">
        <f t="shared" si="1261"/>
        <v>5</v>
      </c>
      <c r="AO1591" s="213">
        <f t="shared" si="1335"/>
        <v>0</v>
      </c>
      <c r="AP1591" s="213">
        <f t="shared" si="1262"/>
        <v>0</v>
      </c>
      <c r="AQ1591" s="213">
        <f t="shared" si="1263"/>
        <v>0</v>
      </c>
      <c r="AR1591" s="213">
        <f t="shared" si="1264"/>
        <v>0</v>
      </c>
      <c r="AS1591" s="213">
        <f t="shared" si="1265"/>
        <v>0</v>
      </c>
      <c r="AT1591" s="213">
        <f t="shared" si="1266"/>
        <v>0</v>
      </c>
      <c r="AU1591" s="213">
        <f>IF(AND(AI1591&gt;0,AH1591=0),$H1591,0)</f>
        <v>6.3</v>
      </c>
      <c r="AV1591" s="213">
        <f t="shared" si="1268"/>
        <v>0</v>
      </c>
      <c r="AW1591" s="213">
        <f t="shared" si="1269"/>
        <v>0</v>
      </c>
      <c r="AX1591" s="213">
        <f t="shared" si="1270"/>
        <v>0</v>
      </c>
      <c r="AY1591" s="213">
        <f t="shared" si="1271"/>
        <v>0</v>
      </c>
      <c r="BA1591" s="551">
        <v>0.3</v>
      </c>
      <c r="BB1591" s="551">
        <v>4.4999999999999998E-2</v>
      </c>
      <c r="BC1591" s="315"/>
      <c r="BD1591" s="213">
        <f t="shared" si="1272"/>
        <v>0</v>
      </c>
      <c r="BE1591" s="213">
        <f t="shared" si="1273"/>
        <v>0</v>
      </c>
      <c r="BF1591" s="213">
        <f t="shared" si="1274"/>
        <v>0</v>
      </c>
      <c r="BG1591" s="213">
        <f t="shared" si="1275"/>
        <v>0</v>
      </c>
      <c r="BH1591" s="213">
        <f t="shared" si="1276"/>
        <v>0</v>
      </c>
      <c r="BI1591" s="213">
        <f t="shared" si="1277"/>
        <v>0</v>
      </c>
      <c r="BJ1591" s="213">
        <f t="shared" si="1278"/>
        <v>157.6504109589041</v>
      </c>
      <c r="BK1591" s="213">
        <f t="shared" si="1279"/>
        <v>299.7</v>
      </c>
      <c r="BL1591" s="213">
        <f t="shared" si="1280"/>
        <v>299.7</v>
      </c>
      <c r="BM1591" s="213"/>
      <c r="BN1591" s="213"/>
      <c r="BP1591" s="216">
        <f t="shared" ref="BP1591:BX1591" si="1374">IF(AND($J1591&gt;BO$1575,$J1591&lt;=BP$1575),IF($I1591&gt;BO$1575,$J1591-$I1591,$J1591-BO$1575),IF($J1591&lt;=BO$1575,0,IF(AND($I1591&gt;BO$1575,$I1591&lt;=BP$1575),BP$1575-$I1591,IF($I1591&gt;BP$1575,0,BP$1575-BO$1575))))</f>
        <v>0</v>
      </c>
      <c r="BQ1591" s="216">
        <f t="shared" si="1374"/>
        <v>0</v>
      </c>
      <c r="BR1591" s="216">
        <f t="shared" si="1374"/>
        <v>0</v>
      </c>
      <c r="BS1591" s="216">
        <f t="shared" si="1374"/>
        <v>0</v>
      </c>
      <c r="BT1591" s="216">
        <f t="shared" si="1374"/>
        <v>91</v>
      </c>
      <c r="BU1591" s="216">
        <f t="shared" si="1374"/>
        <v>365</v>
      </c>
      <c r="BV1591" s="216">
        <f t="shared" si="1374"/>
        <v>174</v>
      </c>
      <c r="BW1591" s="216">
        <f t="shared" si="1374"/>
        <v>0</v>
      </c>
      <c r="BX1591" s="216">
        <f t="shared" si="1374"/>
        <v>0</v>
      </c>
      <c r="BY1591" s="216"/>
      <c r="BZ1591" s="216"/>
      <c r="CB1591" s="316"/>
      <c r="CC1591" s="354">
        <f t="shared" si="1367"/>
        <v>0</v>
      </c>
      <c r="CD1591" s="354">
        <f t="shared" si="1367"/>
        <v>0</v>
      </c>
      <c r="CE1591" s="354">
        <f>BS1591/($J1591-$I1591)</f>
        <v>0</v>
      </c>
      <c r="CF1591" s="354">
        <f>BT1591/($J1591-$I1591)-14%</f>
        <v>4.4444444444444176E-3</v>
      </c>
      <c r="CG1591" s="354">
        <f>BU1591/($J1591-$I1591)-20%-25%</f>
        <v>0.12936507936507941</v>
      </c>
      <c r="CH1591" s="354">
        <f>BV1591/($J1591-$I1591)+20%-10%-30%</f>
        <v>7.6190476190476197E-2</v>
      </c>
      <c r="CI1591" s="354">
        <f>BW1591/($J1591-$I1591)+10%+15%+25%+10%</f>
        <v>0.6</v>
      </c>
      <c r="CJ1591" s="354">
        <f>BX1591/($J1591-$I1591)</f>
        <v>0</v>
      </c>
      <c r="CK1591" s="316"/>
      <c r="CL1591" s="316"/>
      <c r="CM1591" s="539">
        <f t="shared" si="1337"/>
        <v>0.81</v>
      </c>
      <c r="CN1591" s="213">
        <f t="shared" si="1283"/>
        <v>0</v>
      </c>
      <c r="CO1591" s="213">
        <f t="shared" si="1284"/>
        <v>0</v>
      </c>
      <c r="CP1591" s="213">
        <f t="shared" si="1285"/>
        <v>0</v>
      </c>
      <c r="CQ1591" s="213">
        <f t="shared" si="1286"/>
        <v>0</v>
      </c>
      <c r="CR1591" s="213">
        <f t="shared" si="1287"/>
        <v>32.888888888888687</v>
      </c>
      <c r="CS1591" s="213">
        <f t="shared" si="1288"/>
        <v>957.30158730158757</v>
      </c>
      <c r="CT1591" s="213">
        <f t="shared" si="1289"/>
        <v>563.80952380952385</v>
      </c>
      <c r="CU1591" s="213">
        <f t="shared" si="1290"/>
        <v>4440</v>
      </c>
      <c r="CV1591" s="213">
        <f t="shared" si="1291"/>
        <v>0</v>
      </c>
      <c r="CW1591" s="213"/>
      <c r="CX1591" s="213"/>
      <c r="CZ1591" s="213">
        <f t="shared" si="1292"/>
        <v>0</v>
      </c>
      <c r="DA1591" s="213">
        <f t="shared" si="1293"/>
        <v>0</v>
      </c>
      <c r="DB1591" s="213">
        <f t="shared" si="1294"/>
        <v>0</v>
      </c>
      <c r="DC1591" s="213">
        <f t="shared" si="1295"/>
        <v>0</v>
      </c>
      <c r="DD1591" s="213">
        <f t="shared" si="1296"/>
        <v>9.866666666666605</v>
      </c>
      <c r="DE1591" s="213">
        <f t="shared" si="1297"/>
        <v>287.19047619047626</v>
      </c>
      <c r="DF1591" s="213">
        <f t="shared" si="1298"/>
        <v>169.14285714285714</v>
      </c>
      <c r="DG1591" s="213">
        <f t="shared" si="1299"/>
        <v>1332</v>
      </c>
      <c r="DH1591" s="213">
        <f t="shared" si="1300"/>
        <v>0</v>
      </c>
      <c r="DI1591" s="213"/>
      <c r="DJ1591" s="213"/>
      <c r="DL1591" s="213">
        <f t="shared" si="1372"/>
        <v>0</v>
      </c>
      <c r="DM1591" s="213">
        <f t="shared" si="1372"/>
        <v>0</v>
      </c>
      <c r="DN1591" s="213">
        <f t="shared" si="1372"/>
        <v>0</v>
      </c>
      <c r="DO1591" s="213">
        <f t="shared" si="1372"/>
        <v>0</v>
      </c>
      <c r="DP1591" s="213">
        <f t="shared" si="1372"/>
        <v>23.022222222222084</v>
      </c>
      <c r="DQ1591" s="213">
        <f t="shared" si="1372"/>
        <v>670.11111111111131</v>
      </c>
      <c r="DR1591" s="213">
        <f t="shared" si="1372"/>
        <v>394.66666666666674</v>
      </c>
      <c r="DS1591" s="213">
        <f t="shared" si="1372"/>
        <v>3108</v>
      </c>
      <c r="DT1591" s="213">
        <f t="shared" si="1372"/>
        <v>0</v>
      </c>
      <c r="DU1591" s="213"/>
      <c r="DV1591" s="213"/>
      <c r="DX1591" s="213">
        <f t="shared" si="1302"/>
        <v>0</v>
      </c>
      <c r="DY1591" s="213">
        <f t="shared" si="1303"/>
        <v>0</v>
      </c>
      <c r="DZ1591" s="213">
        <f t="shared" si="1304"/>
        <v>0</v>
      </c>
      <c r="EA1591" s="213">
        <f t="shared" si="1305"/>
        <v>0</v>
      </c>
      <c r="EB1591" s="213">
        <f t="shared" si="1306"/>
        <v>0</v>
      </c>
      <c r="EC1591" s="213">
        <f t="shared" si="1307"/>
        <v>0</v>
      </c>
      <c r="ED1591" s="213">
        <f t="shared" si="1308"/>
        <v>0</v>
      </c>
      <c r="EE1591" s="213">
        <f t="shared" si="1309"/>
        <v>207.2</v>
      </c>
      <c r="EF1591" s="213">
        <f t="shared" si="1310"/>
        <v>207.2</v>
      </c>
      <c r="EG1591" s="213"/>
      <c r="EH1591" s="213"/>
      <c r="EJ1591" s="213">
        <f>+IF(AC1591&gt;0,$M1591*(1-$BA1591)-SUM($DX1591:DX1591),DL1591)</f>
        <v>0</v>
      </c>
      <c r="EK1591" s="213">
        <f>+IF(AD1591&gt;0,$M1591*(1-$BA1591)-SUM($DX1591:DY1591),DM1591)</f>
        <v>0</v>
      </c>
      <c r="EL1591" s="213">
        <f>+IF(AE1591&gt;0,$M1591*(1-$BA1591)-SUM($DX1591:DZ1591),DN1591)</f>
        <v>0</v>
      </c>
      <c r="EM1591" s="213">
        <f>+IF(AF1591&gt;0,$M1591*(1-$BA1591)-SUM($DX1591:EA1591),DO1591)</f>
        <v>0</v>
      </c>
      <c r="EN1591" s="213">
        <f>+IF(AG1591&gt;0,$M1591*(1-$BA1591)-SUM($DX1591:EB1591),DP1591)</f>
        <v>23.022222222222084</v>
      </c>
      <c r="EO1591" s="213">
        <f>+IF(AH1591&gt;0,$M1591*(1-$BA1591)-SUM($DX1591:EC1591),DQ1591)</f>
        <v>670.11111111111131</v>
      </c>
      <c r="EP1591" s="213">
        <f>+IF(AI1591&gt;0,$M1591*(1-$BA1591)-SUM($DX1591:ED1591),DR1591)</f>
        <v>5180</v>
      </c>
      <c r="EQ1591" s="213">
        <f>+IF(AJ1591&gt;0,$M1591*(1-$BA1591)-SUM($DX1591:EE1591),DS1591)</f>
        <v>4972.8</v>
      </c>
      <c r="ER1591" s="213">
        <f>+IF(AK1591&gt;0,$M1591*(1-$BA1591)-SUM($DX1591:EF1591),DT1591)</f>
        <v>4765.6000000000004</v>
      </c>
      <c r="ES1591" s="213"/>
      <c r="ET1591" s="213"/>
      <c r="EV1591" s="213"/>
      <c r="EW1591" s="213">
        <f t="shared" si="1311"/>
        <v>0</v>
      </c>
      <c r="EX1591" s="213">
        <f t="shared" si="1312"/>
        <v>0</v>
      </c>
      <c r="EY1591" s="213">
        <f t="shared" si="1313"/>
        <v>0</v>
      </c>
      <c r="EZ1591" s="213">
        <f t="shared" si="1314"/>
        <v>0</v>
      </c>
      <c r="FA1591" s="213">
        <f t="shared" si="1315"/>
        <v>0</v>
      </c>
      <c r="FB1591" s="213">
        <f t="shared" si="1316"/>
        <v>177.11342465753421</v>
      </c>
      <c r="FC1591" s="213">
        <f t="shared" si="1317"/>
        <v>323.23200000000003</v>
      </c>
      <c r="FD1591" s="213">
        <f t="shared" si="1318"/>
        <v>309.76400000000001</v>
      </c>
      <c r="FE1591" s="213"/>
      <c r="FF1591" s="213"/>
      <c r="FH1591" s="213">
        <f t="shared" si="1319"/>
        <v>0</v>
      </c>
      <c r="FI1591" s="213">
        <f t="shared" si="1320"/>
        <v>0</v>
      </c>
      <c r="FJ1591" s="213">
        <f>IF(AE1591=1,$M1591*'[4]Assumptions_Subs &amp; JV'!JL$503,)</f>
        <v>0</v>
      </c>
      <c r="FK1591" s="213">
        <f>IF(AF1591=1,$M1591*'[4]Assumptions_Subs &amp; JV'!JM$503,)</f>
        <v>0</v>
      </c>
      <c r="FL1591" s="213">
        <f t="shared" si="1321"/>
        <v>0</v>
      </c>
      <c r="FM1591" s="213">
        <f t="shared" si="1322"/>
        <v>0</v>
      </c>
      <c r="FN1591" s="213">
        <f t="shared" si="1323"/>
        <v>7400</v>
      </c>
      <c r="FO1591" s="213">
        <f t="shared" si="1324"/>
        <v>0</v>
      </c>
      <c r="FP1591" s="213">
        <f t="shared" si="1325"/>
        <v>0</v>
      </c>
      <c r="FQ1591" s="213"/>
      <c r="FR1591" s="213"/>
      <c r="FT1591" s="213">
        <f t="shared" si="1326"/>
        <v>0</v>
      </c>
      <c r="FU1591" s="213">
        <f t="shared" si="1327"/>
        <v>0</v>
      </c>
      <c r="FV1591" s="213">
        <f t="shared" si="1328"/>
        <v>0</v>
      </c>
      <c r="FW1591" s="213">
        <f t="shared" si="1329"/>
        <v>0</v>
      </c>
      <c r="FX1591" s="213">
        <f t="shared" si="1330"/>
        <v>32.888888888888687</v>
      </c>
      <c r="FY1591" s="213">
        <f t="shared" si="1331"/>
        <v>990.19047619047626</v>
      </c>
      <c r="FZ1591" s="213">
        <f t="shared" si="1332"/>
        <v>0</v>
      </c>
      <c r="GA1591" s="213">
        <f t="shared" si="1333"/>
        <v>0</v>
      </c>
      <c r="GB1591" s="213">
        <f t="shared" si="1334"/>
        <v>0</v>
      </c>
      <c r="GC1591" s="213"/>
      <c r="GD1591" s="213"/>
    </row>
    <row r="1592" spans="1:186" ht="12.6" customHeight="1" x14ac:dyDescent="0.2">
      <c r="B1592" s="208" t="s">
        <v>786</v>
      </c>
      <c r="C1592" s="210"/>
      <c r="D1592" s="209"/>
      <c r="E1592" s="209"/>
      <c r="F1592" s="209"/>
      <c r="G1592" s="346"/>
      <c r="H1592" s="209"/>
      <c r="I1592" s="363">
        <v>46295</v>
      </c>
      <c r="J1592" s="546">
        <v>47209</v>
      </c>
      <c r="K1592" s="209">
        <f t="shared" si="1353"/>
        <v>2030</v>
      </c>
      <c r="L1592" s="215"/>
      <c r="M1592" s="215"/>
      <c r="N1592" s="212"/>
      <c r="O1592" s="212"/>
      <c r="P1592" s="209"/>
      <c r="Q1592" s="213">
        <f t="shared" si="1249"/>
        <v>0</v>
      </c>
      <c r="R1592" s="213">
        <f t="shared" si="1250"/>
        <v>0</v>
      </c>
      <c r="S1592" s="213">
        <f t="shared" si="1250"/>
        <v>0</v>
      </c>
      <c r="T1592" s="213">
        <f t="shared" si="1250"/>
        <v>0</v>
      </c>
      <c r="U1592" s="213">
        <f t="shared" si="1250"/>
        <v>0</v>
      </c>
      <c r="V1592" s="213">
        <f t="shared" si="1250"/>
        <v>0</v>
      </c>
      <c r="W1592" s="213">
        <f t="shared" si="1250"/>
        <v>0</v>
      </c>
      <c r="X1592" s="213">
        <f t="shared" si="1250"/>
        <v>0</v>
      </c>
      <c r="Y1592" s="213">
        <f t="shared" si="1250"/>
        <v>364</v>
      </c>
      <c r="Z1592" s="213">
        <f t="shared" si="1250"/>
        <v>365</v>
      </c>
      <c r="AA1592" s="213">
        <f t="shared" si="1249"/>
        <v>365</v>
      </c>
      <c r="AB1592" s="214"/>
      <c r="AC1592" s="213">
        <f t="shared" si="1354"/>
        <v>0</v>
      </c>
      <c r="AD1592" s="213">
        <f t="shared" si="1252"/>
        <v>0</v>
      </c>
      <c r="AE1592" s="213">
        <f t="shared" si="1253"/>
        <v>0</v>
      </c>
      <c r="AF1592" s="213">
        <f t="shared" si="1254"/>
        <v>0</v>
      </c>
      <c r="AG1592" s="213">
        <f t="shared" si="1255"/>
        <v>0</v>
      </c>
      <c r="AH1592" s="213">
        <f t="shared" si="1256"/>
        <v>0</v>
      </c>
      <c r="AI1592" s="213">
        <f t="shared" si="1257"/>
        <v>0</v>
      </c>
      <c r="AJ1592" s="213">
        <f t="shared" si="1258"/>
        <v>0</v>
      </c>
      <c r="AK1592" s="213">
        <f t="shared" si="1259"/>
        <v>1</v>
      </c>
      <c r="AL1592" s="213">
        <f t="shared" si="1260"/>
        <v>2</v>
      </c>
      <c r="AM1592" s="213">
        <f t="shared" si="1261"/>
        <v>3</v>
      </c>
      <c r="AO1592" s="213">
        <f t="shared" si="1335"/>
        <v>0</v>
      </c>
      <c r="AP1592" s="213">
        <f t="shared" si="1262"/>
        <v>0</v>
      </c>
      <c r="AQ1592" s="213">
        <f t="shared" si="1263"/>
        <v>0</v>
      </c>
      <c r="AR1592" s="213">
        <f t="shared" si="1264"/>
        <v>0</v>
      </c>
      <c r="AS1592" s="213">
        <f t="shared" si="1265"/>
        <v>0</v>
      </c>
      <c r="AT1592" s="213">
        <f t="shared" si="1266"/>
        <v>0</v>
      </c>
      <c r="AU1592" s="213">
        <f t="shared" si="1267"/>
        <v>0</v>
      </c>
      <c r="AV1592" s="213">
        <f t="shared" si="1268"/>
        <v>0</v>
      </c>
      <c r="AW1592" s="213">
        <f t="shared" si="1269"/>
        <v>0</v>
      </c>
      <c r="AX1592" s="213">
        <f t="shared" si="1270"/>
        <v>0</v>
      </c>
      <c r="AY1592" s="213">
        <f t="shared" si="1271"/>
        <v>0</v>
      </c>
      <c r="BA1592" s="551">
        <v>0.3</v>
      </c>
      <c r="BB1592" s="551">
        <v>4.4999999999999998E-2</v>
      </c>
      <c r="BC1592" s="315"/>
      <c r="BD1592" s="213">
        <f t="shared" si="1272"/>
        <v>0</v>
      </c>
      <c r="BE1592" s="213">
        <f t="shared" si="1273"/>
        <v>0</v>
      </c>
      <c r="BF1592" s="213">
        <f t="shared" si="1274"/>
        <v>0</v>
      </c>
      <c r="BG1592" s="213">
        <f t="shared" si="1275"/>
        <v>0</v>
      </c>
      <c r="BH1592" s="213">
        <f t="shared" si="1276"/>
        <v>0</v>
      </c>
      <c r="BI1592" s="213">
        <f t="shared" si="1277"/>
        <v>0</v>
      </c>
      <c r="BJ1592" s="213">
        <f t="shared" si="1278"/>
        <v>0</v>
      </c>
      <c r="BK1592" s="213">
        <f t="shared" si="1279"/>
        <v>0</v>
      </c>
      <c r="BL1592" s="213">
        <f t="shared" si="1280"/>
        <v>0</v>
      </c>
      <c r="BM1592" s="213"/>
      <c r="BN1592" s="213"/>
      <c r="BP1592" s="216">
        <f t="shared" ref="BP1592:BX1592" si="1375">IF(AND($J1592&gt;BO$1575,$J1592&lt;=BP$1575),IF($I1592&gt;BO$1575,$J1592-$I1592,$J1592-BO$1575),IF($J1592&lt;=BO$1575,0,IF(AND($I1592&gt;BO$1575,$I1592&lt;=BP$1575),BP$1575-$I1592,IF($I1592&gt;BP$1575,0,BP$1575-BO$1575))))</f>
        <v>0</v>
      </c>
      <c r="BQ1592" s="216">
        <f t="shared" si="1375"/>
        <v>0</v>
      </c>
      <c r="BR1592" s="216">
        <f t="shared" si="1375"/>
        <v>0</v>
      </c>
      <c r="BS1592" s="216">
        <f t="shared" si="1375"/>
        <v>0</v>
      </c>
      <c r="BT1592" s="216">
        <f t="shared" si="1375"/>
        <v>0</v>
      </c>
      <c r="BU1592" s="216">
        <f t="shared" si="1375"/>
        <v>182</v>
      </c>
      <c r="BV1592" s="216">
        <f t="shared" si="1375"/>
        <v>366</v>
      </c>
      <c r="BW1592" s="216">
        <f t="shared" si="1375"/>
        <v>365</v>
      </c>
      <c r="BX1592" s="216">
        <f t="shared" si="1375"/>
        <v>1</v>
      </c>
      <c r="BY1592" s="216"/>
      <c r="BZ1592" s="216"/>
      <c r="CB1592" s="316"/>
      <c r="CC1592" s="354">
        <f t="shared" si="1367"/>
        <v>0</v>
      </c>
      <c r="CD1592" s="354">
        <f t="shared" si="1367"/>
        <v>0</v>
      </c>
      <c r="CE1592" s="354">
        <f>BS1592/($J1592-$I1592)</f>
        <v>0</v>
      </c>
      <c r="CF1592" s="354">
        <f>BT1592/($J1592-$I1592)</f>
        <v>0</v>
      </c>
      <c r="CG1592" s="354">
        <f>BU1592/($J1592-$I1592)</f>
        <v>0.19912472647702406</v>
      </c>
      <c r="CH1592" s="354">
        <f>BV1592/($J1592-$I1592)-20%</f>
        <v>0.20043763676148796</v>
      </c>
      <c r="CI1592" s="354">
        <f>BW1592/($J1592-$I1592)-20%+20%-20%</f>
        <v>0.19934354485776806</v>
      </c>
      <c r="CJ1592" s="354">
        <f>BX1592/($J1592-$I1592)+20%+20%</f>
        <v>0.40109409190371992</v>
      </c>
      <c r="CK1592" s="316"/>
      <c r="CL1592" s="316"/>
      <c r="CM1592" s="539">
        <f t="shared" si="1337"/>
        <v>1</v>
      </c>
      <c r="CN1592" s="213">
        <f t="shared" si="1283"/>
        <v>0</v>
      </c>
      <c r="CO1592" s="213">
        <f t="shared" si="1284"/>
        <v>0</v>
      </c>
      <c r="CP1592" s="213">
        <f t="shared" si="1285"/>
        <v>0</v>
      </c>
      <c r="CQ1592" s="213">
        <f t="shared" si="1286"/>
        <v>0</v>
      </c>
      <c r="CR1592" s="213">
        <f t="shared" si="1287"/>
        <v>0</v>
      </c>
      <c r="CS1592" s="213">
        <f t="shared" si="1288"/>
        <v>0</v>
      </c>
      <c r="CT1592" s="213">
        <f t="shared" si="1289"/>
        <v>0</v>
      </c>
      <c r="CU1592" s="213">
        <f t="shared" si="1290"/>
        <v>0</v>
      </c>
      <c r="CV1592" s="213">
        <f t="shared" si="1291"/>
        <v>0</v>
      </c>
      <c r="CW1592" s="213"/>
      <c r="CX1592" s="213"/>
      <c r="CZ1592" s="213">
        <f t="shared" si="1292"/>
        <v>0</v>
      </c>
      <c r="DA1592" s="213">
        <f t="shared" si="1293"/>
        <v>0</v>
      </c>
      <c r="DB1592" s="213">
        <f t="shared" si="1294"/>
        <v>0</v>
      </c>
      <c r="DC1592" s="213">
        <f t="shared" si="1295"/>
        <v>0</v>
      </c>
      <c r="DD1592" s="213">
        <f t="shared" si="1296"/>
        <v>0</v>
      </c>
      <c r="DE1592" s="213">
        <f t="shared" si="1297"/>
        <v>0</v>
      </c>
      <c r="DF1592" s="213">
        <f t="shared" si="1298"/>
        <v>0</v>
      </c>
      <c r="DG1592" s="213">
        <f t="shared" si="1299"/>
        <v>0</v>
      </c>
      <c r="DH1592" s="213">
        <f t="shared" si="1300"/>
        <v>0</v>
      </c>
      <c r="DI1592" s="213"/>
      <c r="DJ1592" s="213"/>
      <c r="DL1592" s="213">
        <f t="shared" si="1356"/>
        <v>0</v>
      </c>
      <c r="DM1592" s="213">
        <f t="shared" si="1357"/>
        <v>0</v>
      </c>
      <c r="DN1592" s="213">
        <f t="shared" si="1358"/>
        <v>0</v>
      </c>
      <c r="DO1592" s="213">
        <f t="shared" si="1359"/>
        <v>0</v>
      </c>
      <c r="DP1592" s="213">
        <f t="shared" si="1360"/>
        <v>0</v>
      </c>
      <c r="DQ1592" s="213">
        <f t="shared" si="1361"/>
        <v>0</v>
      </c>
      <c r="DR1592" s="213">
        <f t="shared" si="1362"/>
        <v>0</v>
      </c>
      <c r="DS1592" s="213">
        <f t="shared" si="1363"/>
        <v>0</v>
      </c>
      <c r="DT1592" s="213">
        <f t="shared" si="1364"/>
        <v>0</v>
      </c>
      <c r="DU1592" s="213"/>
      <c r="DV1592" s="213"/>
      <c r="DX1592" s="213">
        <f t="shared" si="1302"/>
        <v>0</v>
      </c>
      <c r="DY1592" s="213">
        <f t="shared" si="1303"/>
        <v>0</v>
      </c>
      <c r="DZ1592" s="213">
        <f t="shared" si="1304"/>
        <v>0</v>
      </c>
      <c r="EA1592" s="213">
        <f t="shared" si="1305"/>
        <v>0</v>
      </c>
      <c r="EB1592" s="213">
        <f t="shared" si="1306"/>
        <v>0</v>
      </c>
      <c r="EC1592" s="213">
        <f t="shared" si="1307"/>
        <v>0</v>
      </c>
      <c r="ED1592" s="213">
        <f t="shared" si="1308"/>
        <v>0</v>
      </c>
      <c r="EE1592" s="213">
        <f t="shared" si="1309"/>
        <v>0</v>
      </c>
      <c r="EF1592" s="213">
        <f t="shared" si="1310"/>
        <v>0</v>
      </c>
      <c r="EG1592" s="213"/>
      <c r="EH1592" s="213"/>
      <c r="EJ1592" s="213">
        <f>+IF(AC1592&gt;0,$M1592*(1-$BA1592)-SUM($DX1592:DX1592),DL1592)</f>
        <v>0</v>
      </c>
      <c r="EK1592" s="213">
        <f>+IF(AD1592&gt;0,$M1592*(1-$BA1592)-SUM($DX1592:DY1592),DM1592)</f>
        <v>0</v>
      </c>
      <c r="EL1592" s="213">
        <f>+IF(AE1592&gt;0,$M1592*(1-$BA1592)-SUM($DX1592:DZ1592),DN1592)</f>
        <v>0</v>
      </c>
      <c r="EM1592" s="213">
        <f>+IF(AF1592&gt;0,$M1592*(1-$BA1592)-SUM($DX1592:EA1592),DO1592)</f>
        <v>0</v>
      </c>
      <c r="EN1592" s="213">
        <f>+IF(AG1592&gt;0,$M1592*(1-$BA1592)-SUM($DX1592:EB1592),DP1592)</f>
        <v>0</v>
      </c>
      <c r="EO1592" s="213">
        <f>+IF(AH1592&gt;0,$M1592*(1-$BA1592)-SUM($DX1592:EC1592),DQ1592)</f>
        <v>0</v>
      </c>
      <c r="EP1592" s="213">
        <f>+IF(AI1592&gt;0,$M1592*(1-$BA1592)-SUM($DX1592:ED1592),DR1592)</f>
        <v>0</v>
      </c>
      <c r="EQ1592" s="213">
        <f>+IF(AJ1592&gt;0,$M1592*(1-$BA1592)-SUM($DX1592:EE1592),DS1592)</f>
        <v>0</v>
      </c>
      <c r="ER1592" s="213">
        <f>+IF(AK1592&gt;0,$M1592*(1-$BA1592)-SUM($DX1592:EF1592),DT1592)</f>
        <v>0</v>
      </c>
      <c r="ES1592" s="213"/>
      <c r="ET1592" s="213"/>
      <c r="EV1592" s="213"/>
      <c r="EW1592" s="213">
        <f t="shared" si="1311"/>
        <v>0</v>
      </c>
      <c r="EX1592" s="213">
        <f t="shared" si="1312"/>
        <v>0</v>
      </c>
      <c r="EY1592" s="213">
        <f t="shared" si="1313"/>
        <v>0</v>
      </c>
      <c r="EZ1592" s="213">
        <f t="shared" si="1314"/>
        <v>0</v>
      </c>
      <c r="FA1592" s="213">
        <f t="shared" si="1315"/>
        <v>0</v>
      </c>
      <c r="FB1592" s="213">
        <f t="shared" si="1316"/>
        <v>0</v>
      </c>
      <c r="FC1592" s="213">
        <f t="shared" si="1317"/>
        <v>0</v>
      </c>
      <c r="FD1592" s="213">
        <f t="shared" si="1318"/>
        <v>0</v>
      </c>
      <c r="FE1592" s="213"/>
      <c r="FF1592" s="213"/>
      <c r="FH1592" s="213">
        <f t="shared" si="1319"/>
        <v>0</v>
      </c>
      <c r="FI1592" s="213">
        <f t="shared" si="1320"/>
        <v>0</v>
      </c>
      <c r="FJ1592" s="213">
        <f>IF(AE1592=1,$M1592*'[4]Assumptions_Subs &amp; JV'!JL$503,)</f>
        <v>0</v>
      </c>
      <c r="FK1592" s="213">
        <f>IF(AF1592=1,$M1592*'[4]Assumptions_Subs &amp; JV'!JM$503,)</f>
        <v>0</v>
      </c>
      <c r="FL1592" s="213">
        <f t="shared" si="1321"/>
        <v>0</v>
      </c>
      <c r="FM1592" s="213">
        <f t="shared" si="1322"/>
        <v>0</v>
      </c>
      <c r="FN1592" s="213">
        <f t="shared" si="1323"/>
        <v>0</v>
      </c>
      <c r="FO1592" s="213">
        <f t="shared" si="1324"/>
        <v>0</v>
      </c>
      <c r="FP1592" s="213">
        <f t="shared" si="1325"/>
        <v>0</v>
      </c>
      <c r="FQ1592" s="213"/>
      <c r="FR1592" s="213"/>
      <c r="FT1592" s="213">
        <f t="shared" si="1326"/>
        <v>0</v>
      </c>
      <c r="FU1592" s="213">
        <f t="shared" si="1327"/>
        <v>0</v>
      </c>
      <c r="FV1592" s="213">
        <f t="shared" si="1328"/>
        <v>0</v>
      </c>
      <c r="FW1592" s="213">
        <f t="shared" si="1329"/>
        <v>0</v>
      </c>
      <c r="FX1592" s="213">
        <f t="shared" si="1330"/>
        <v>0</v>
      </c>
      <c r="FY1592" s="213">
        <f t="shared" si="1331"/>
        <v>0</v>
      </c>
      <c r="FZ1592" s="213">
        <f t="shared" si="1332"/>
        <v>0</v>
      </c>
      <c r="GA1592" s="213">
        <f t="shared" si="1333"/>
        <v>0</v>
      </c>
      <c r="GB1592" s="213">
        <f t="shared" si="1334"/>
        <v>0</v>
      </c>
      <c r="GC1592" s="213"/>
      <c r="GD1592" s="213"/>
    </row>
    <row r="1593" spans="1:186" ht="12.6" customHeight="1" x14ac:dyDescent="0.2">
      <c r="J1593" s="39" t="s">
        <v>1505</v>
      </c>
      <c r="AO1593" s="38">
        <f>SUM(AO1578:AO1592)</f>
        <v>0</v>
      </c>
      <c r="AP1593" s="38">
        <f t="shared" ref="AP1593:AY1593" si="1376">SUM(AP1578:AP1592)</f>
        <v>0</v>
      </c>
      <c r="AQ1593" s="38">
        <f t="shared" si="1376"/>
        <v>0</v>
      </c>
      <c r="AR1593" s="38">
        <f t="shared" si="1376"/>
        <v>0</v>
      </c>
      <c r="AS1593" s="38">
        <f t="shared" si="1376"/>
        <v>4.5</v>
      </c>
      <c r="AT1593" s="38">
        <f t="shared" si="1376"/>
        <v>14.82</v>
      </c>
      <c r="AU1593" s="38">
        <f t="shared" si="1376"/>
        <v>102.3</v>
      </c>
      <c r="AV1593" s="38">
        <f t="shared" si="1376"/>
        <v>42</v>
      </c>
      <c r="AW1593" s="38">
        <f t="shared" si="1376"/>
        <v>60</v>
      </c>
      <c r="AX1593" s="38">
        <f t="shared" si="1376"/>
        <v>0</v>
      </c>
      <c r="AY1593" s="38">
        <f t="shared" si="1376"/>
        <v>0</v>
      </c>
      <c r="CQ1593" s="38">
        <f>SUM(CQ1578:CQ1592)</f>
        <v>8218.5894356670979</v>
      </c>
      <c r="CR1593" s="38">
        <f t="shared" ref="CR1593:CV1593" si="1377">SUM(CR1578:CR1592)</f>
        <v>22921.86746530416</v>
      </c>
      <c r="CS1593" s="38">
        <f t="shared" si="1377"/>
        <v>46696.273185835431</v>
      </c>
      <c r="CT1593" s="38">
        <f t="shared" si="1377"/>
        <v>28716.12485598015</v>
      </c>
      <c r="CU1593" s="38">
        <f t="shared" si="1377"/>
        <v>46287.634428177342</v>
      </c>
      <c r="CV1593" s="38">
        <f t="shared" si="1377"/>
        <v>15100.954129035821</v>
      </c>
      <c r="EX1593" s="37" t="s">
        <v>1643</v>
      </c>
      <c r="EY1593" s="362">
        <f t="shared" ref="EY1593:FD1593" si="1378">SUM(EY1578:EY1592)</f>
        <v>0</v>
      </c>
      <c r="EZ1593" s="362">
        <f t="shared" si="1378"/>
        <v>30.608219178082194</v>
      </c>
      <c r="FA1593" s="362">
        <f>SUM(FA1578:FA1592)</f>
        <v>506.95645134246581</v>
      </c>
      <c r="FB1593" s="362">
        <f t="shared" si="1378"/>
        <v>4785.2383248657525</v>
      </c>
      <c r="FC1593" s="362">
        <f t="shared" si="1378"/>
        <v>6203.2175552794524</v>
      </c>
      <c r="FD1593" s="362">
        <f t="shared" si="1378"/>
        <v>11718.810230898629</v>
      </c>
    </row>
    <row r="1594" spans="1:186" ht="12.6" customHeight="1" x14ac:dyDescent="0.2">
      <c r="B1594" s="50" t="s">
        <v>641</v>
      </c>
      <c r="C1594" s="50"/>
      <c r="D1594" s="163"/>
      <c r="E1594" s="163"/>
      <c r="F1594" s="163"/>
      <c r="G1594" s="51"/>
      <c r="H1594" s="51"/>
      <c r="I1594" s="51" t="s">
        <v>27</v>
      </c>
      <c r="J1594" s="51" t="s">
        <v>273</v>
      </c>
      <c r="K1594" s="51" t="s">
        <v>347</v>
      </c>
      <c r="L1594" s="1290" t="s">
        <v>177</v>
      </c>
      <c r="M1594" s="54" t="s">
        <v>178</v>
      </c>
      <c r="N1594" s="54" t="s">
        <v>179</v>
      </c>
      <c r="O1594" s="54" t="s">
        <v>231</v>
      </c>
      <c r="P1594" s="54" t="s">
        <v>232</v>
      </c>
      <c r="Q1594" s="319" t="s">
        <v>639</v>
      </c>
      <c r="S1594" s="545" t="str">
        <f t="shared" ref="S1594:S1604" si="1379">IF(ISERROR((J1594/D1594)^(1/6)-1)," ",(J1594/D1594)^(1/6)-1)</f>
        <v xml:space="preserve"> </v>
      </c>
      <c r="T1594" s="545" t="str">
        <f t="shared" ref="T1594:T1604" si="1380">IF(ISERROR((P1594/J1594)^(1/6)-1)," ",(P1594/J1594)^(1/6)-1)</f>
        <v xml:space="preserve"> </v>
      </c>
      <c r="V1594" s="38" t="s">
        <v>1640</v>
      </c>
      <c r="W1594" s="37" t="s">
        <v>1641</v>
      </c>
      <c r="CR1594" s="37">
        <v>15000</v>
      </c>
      <c r="DL1594" s="38"/>
      <c r="EJ1594" s="38" t="s">
        <v>1642</v>
      </c>
      <c r="EX1594" s="37" t="s">
        <v>1644</v>
      </c>
      <c r="EY1594" s="362">
        <f>EY$1576*Consol!$N$74-Consol!N256</f>
        <v>1490.981</v>
      </c>
      <c r="EZ1594" s="362">
        <f>EZ$1576*(Consol!$N$74-Consol!$N$76)-Consol!O256</f>
        <v>1594.8476499999999</v>
      </c>
      <c r="FA1594" s="362">
        <f>FA$1576*(Consol!$N$74-5000)-Consol!P256</f>
        <v>1228.1843164999998</v>
      </c>
      <c r="FB1594" s="362">
        <f>FB$1576*(Consol!$N$74-10000)-Consol!Q256</f>
        <v>678.41284966499938</v>
      </c>
      <c r="FC1594" s="362">
        <f>FC$1576*(Consol!$N$74-10000)-Consol!R256</f>
        <v>661.41458316164903</v>
      </c>
      <c r="FD1594" s="362">
        <f>FC1594</f>
        <v>661.41458316164903</v>
      </c>
    </row>
    <row r="1595" spans="1:186" ht="12.6" customHeight="1" x14ac:dyDescent="0.2">
      <c r="B1595" s="791" t="s">
        <v>634</v>
      </c>
      <c r="C1595" s="61"/>
      <c r="D1595" s="57"/>
      <c r="E1595" s="57"/>
      <c r="F1595" s="57"/>
      <c r="G1595" s="57"/>
      <c r="H1595" s="57"/>
      <c r="I1595" s="69">
        <v>12</v>
      </c>
      <c r="J1595" s="69">
        <v>12</v>
      </c>
      <c r="K1595" s="69">
        <v>17.5</v>
      </c>
      <c r="L1595" s="1049">
        <v>17.5</v>
      </c>
      <c r="M1595" s="823">
        <v>19.5</v>
      </c>
      <c r="N1595" s="823">
        <v>19.5</v>
      </c>
      <c r="O1595" s="823">
        <v>19.5</v>
      </c>
      <c r="P1595" s="823">
        <v>19.5</v>
      </c>
      <c r="Q1595" s="1073">
        <f>P1595-L1595</f>
        <v>2</v>
      </c>
      <c r="R1595" s="37" t="s">
        <v>648</v>
      </c>
      <c r="S1595" s="545" t="str">
        <f t="shared" si="1379"/>
        <v xml:space="preserve"> </v>
      </c>
      <c r="T1595" s="545">
        <f t="shared" si="1380"/>
        <v>8.4281948508033944E-2</v>
      </c>
      <c r="V1595" s="208" t="s">
        <v>592</v>
      </c>
      <c r="DL1595" s="935"/>
      <c r="DM1595" s="213"/>
      <c r="DN1595" s="213"/>
      <c r="DO1595" s="213"/>
      <c r="DP1595" s="213"/>
      <c r="DQ1595" s="213"/>
      <c r="DR1595" s="213"/>
      <c r="DS1595" s="213"/>
      <c r="DT1595" s="213"/>
      <c r="EJ1595" s="935" t="s">
        <v>592</v>
      </c>
      <c r="EK1595" s="213"/>
      <c r="EL1595" s="213"/>
      <c r="EM1595" s="213"/>
      <c r="EN1595" s="213"/>
      <c r="EO1595" s="213"/>
      <c r="EP1595" s="213"/>
      <c r="EQ1595" s="213"/>
      <c r="ER1595" s="213"/>
      <c r="EX1595" s="38"/>
      <c r="EY1595" s="936">
        <f t="shared" ref="EY1595:FD1595" si="1381">SUM(EY1593:EY1594)</f>
        <v>1490.981</v>
      </c>
      <c r="EZ1595" s="936">
        <f t="shared" si="1381"/>
        <v>1625.4558691780821</v>
      </c>
      <c r="FA1595" s="936">
        <f>SUM(FA1593:FA1594)</f>
        <v>1735.1407678424657</v>
      </c>
      <c r="FB1595" s="936">
        <f t="shared" si="1381"/>
        <v>5463.6511745307516</v>
      </c>
      <c r="FC1595" s="936">
        <f t="shared" si="1381"/>
        <v>6864.6321384411012</v>
      </c>
      <c r="FD1595" s="936">
        <f t="shared" si="1381"/>
        <v>12380.224814060279</v>
      </c>
    </row>
    <row r="1596" spans="1:186" ht="12.6" customHeight="1" x14ac:dyDescent="0.2">
      <c r="B1596" s="791" t="s">
        <v>635</v>
      </c>
      <c r="C1596" s="61"/>
      <c r="D1596" s="57"/>
      <c r="E1596" s="57"/>
      <c r="F1596" s="57"/>
      <c r="G1596" s="57"/>
      <c r="H1596" s="57"/>
      <c r="I1596" s="69">
        <v>10</v>
      </c>
      <c r="J1596" s="69">
        <v>10</v>
      </c>
      <c r="K1596" s="69">
        <v>10</v>
      </c>
      <c r="L1596" s="1049">
        <v>10</v>
      </c>
      <c r="M1596" s="823">
        <v>10</v>
      </c>
      <c r="N1596" s="823">
        <v>15</v>
      </c>
      <c r="O1596" s="823">
        <v>15</v>
      </c>
      <c r="P1596" s="823">
        <v>15</v>
      </c>
      <c r="Q1596" s="1073">
        <f t="shared" ref="Q1596:Q1602" si="1382">P1596-L1596</f>
        <v>5</v>
      </c>
      <c r="R1596" s="37" t="s">
        <v>647</v>
      </c>
      <c r="S1596" s="545" t="str">
        <f t="shared" si="1379"/>
        <v xml:space="preserve"> </v>
      </c>
      <c r="T1596" s="545">
        <f t="shared" si="1380"/>
        <v>6.991319393366302E-2</v>
      </c>
      <c r="V1596" s="208" t="s">
        <v>560</v>
      </c>
      <c r="DL1596" s="935"/>
      <c r="DM1596" s="213"/>
      <c r="DN1596" s="213"/>
      <c r="DO1596" s="213"/>
      <c r="DP1596" s="213"/>
      <c r="DQ1596" s="213"/>
      <c r="DR1596" s="213"/>
      <c r="DS1596" s="213"/>
      <c r="DT1596" s="213"/>
      <c r="EJ1596" s="935" t="s">
        <v>560</v>
      </c>
      <c r="EK1596" s="213"/>
      <c r="EL1596" s="213"/>
      <c r="EM1596" s="213"/>
      <c r="EN1596" s="213"/>
      <c r="EO1596" s="213"/>
      <c r="EP1596" s="213"/>
      <c r="EQ1596" s="213"/>
      <c r="ER1596" s="213"/>
    </row>
    <row r="1597" spans="1:186" ht="12.6" customHeight="1" x14ac:dyDescent="0.2">
      <c r="B1597" s="56" t="s">
        <v>636</v>
      </c>
      <c r="C1597" s="61"/>
      <c r="D1597" s="57"/>
      <c r="E1597" s="57"/>
      <c r="F1597" s="57"/>
      <c r="G1597" s="57"/>
      <c r="H1597" s="57"/>
      <c r="I1597" s="69">
        <v>1</v>
      </c>
      <c r="J1597" s="69">
        <v>1</v>
      </c>
      <c r="K1597" s="69">
        <v>1.5</v>
      </c>
      <c r="L1597" s="1049">
        <v>1.5</v>
      </c>
      <c r="M1597" s="823">
        <v>1.5</v>
      </c>
      <c r="N1597" s="823">
        <v>1.5</v>
      </c>
      <c r="O1597" s="823">
        <v>1.5</v>
      </c>
      <c r="P1597" s="823">
        <v>1.5</v>
      </c>
      <c r="Q1597" s="1073">
        <f t="shared" si="1382"/>
        <v>0</v>
      </c>
      <c r="S1597" s="545" t="str">
        <f t="shared" si="1379"/>
        <v xml:space="preserve"> </v>
      </c>
      <c r="T1597" s="545">
        <f t="shared" si="1380"/>
        <v>6.991319393366302E-2</v>
      </c>
      <c r="V1597" s="208" t="s">
        <v>561</v>
      </c>
      <c r="DL1597" s="935"/>
      <c r="DM1597" s="213"/>
      <c r="DN1597" s="213"/>
      <c r="DO1597" s="213"/>
      <c r="DP1597" s="213"/>
      <c r="DQ1597" s="213"/>
      <c r="DR1597" s="213"/>
      <c r="DS1597" s="213"/>
      <c r="DT1597" s="213"/>
      <c r="EJ1597" s="935" t="s">
        <v>561</v>
      </c>
      <c r="EK1597" s="213"/>
      <c r="EL1597" s="213"/>
      <c r="EM1597" s="213"/>
      <c r="EN1597" s="213"/>
      <c r="EO1597" s="213"/>
      <c r="EP1597" s="213"/>
      <c r="EQ1597" s="213"/>
      <c r="ER1597" s="213"/>
    </row>
    <row r="1598" spans="1:186" ht="12.6" customHeight="1" x14ac:dyDescent="0.2">
      <c r="B1598" s="56" t="s">
        <v>637</v>
      </c>
      <c r="C1598" s="61"/>
      <c r="D1598" s="57"/>
      <c r="E1598" s="57"/>
      <c r="F1598" s="57"/>
      <c r="G1598" s="57"/>
      <c r="H1598" s="57"/>
      <c r="I1598" s="69">
        <v>2</v>
      </c>
      <c r="J1598" s="69">
        <v>2</v>
      </c>
      <c r="K1598" s="69">
        <v>1.5</v>
      </c>
      <c r="L1598" s="1049">
        <v>1.5</v>
      </c>
      <c r="M1598" s="823">
        <v>1.5</v>
      </c>
      <c r="N1598" s="823">
        <v>1.5</v>
      </c>
      <c r="O1598" s="823">
        <v>1.5</v>
      </c>
      <c r="P1598" s="823">
        <v>1.5</v>
      </c>
      <c r="Q1598" s="1073">
        <f t="shared" si="1382"/>
        <v>0</v>
      </c>
      <c r="S1598" s="545" t="str">
        <f t="shared" si="1379"/>
        <v xml:space="preserve"> </v>
      </c>
      <c r="T1598" s="545">
        <f t="shared" si="1380"/>
        <v>-4.6815707003063367E-2</v>
      </c>
      <c r="V1598" s="208" t="s">
        <v>593</v>
      </c>
      <c r="DL1598" s="935"/>
      <c r="DM1598" s="213"/>
      <c r="DN1598" s="213"/>
      <c r="DO1598" s="213"/>
      <c r="DP1598" s="213"/>
      <c r="DQ1598" s="213"/>
      <c r="DR1598" s="213"/>
      <c r="DS1598" s="213"/>
      <c r="DT1598" s="213"/>
      <c r="EJ1598" s="935" t="s">
        <v>593</v>
      </c>
      <c r="EK1598" s="213"/>
      <c r="EL1598" s="213"/>
      <c r="EM1598" s="213"/>
      <c r="EN1598" s="213"/>
      <c r="EO1598" s="213"/>
      <c r="EP1598" s="213"/>
      <c r="EQ1598" s="213"/>
      <c r="ER1598" s="213"/>
    </row>
    <row r="1599" spans="1:186" ht="12.6" customHeight="1" x14ac:dyDescent="0.2">
      <c r="B1599" s="791" t="s">
        <v>260</v>
      </c>
      <c r="C1599" s="61"/>
      <c r="D1599" s="57"/>
      <c r="E1599" s="57"/>
      <c r="F1599" s="57"/>
      <c r="G1599" s="57"/>
      <c r="H1599" s="57"/>
      <c r="I1599" s="69">
        <v>0</v>
      </c>
      <c r="J1599" s="69">
        <v>0</v>
      </c>
      <c r="K1599" s="69">
        <v>0</v>
      </c>
      <c r="L1599" s="1049">
        <v>0</v>
      </c>
      <c r="M1599" s="823">
        <v>0</v>
      </c>
      <c r="N1599" s="823">
        <v>0</v>
      </c>
      <c r="O1599" s="823">
        <v>0</v>
      </c>
      <c r="P1599" s="823">
        <v>5</v>
      </c>
      <c r="Q1599" s="1073">
        <f t="shared" si="1382"/>
        <v>5</v>
      </c>
      <c r="R1599" s="37" t="s">
        <v>649</v>
      </c>
      <c r="S1599" s="545" t="str">
        <f t="shared" si="1379"/>
        <v xml:space="preserve"> </v>
      </c>
      <c r="T1599" s="545" t="str">
        <f t="shared" si="1380"/>
        <v xml:space="preserve"> </v>
      </c>
      <c r="V1599" s="208" t="s">
        <v>216</v>
      </c>
      <c r="DL1599" s="935"/>
      <c r="DM1599" s="213"/>
      <c r="DN1599" s="213"/>
      <c r="DO1599" s="213"/>
      <c r="DP1599" s="213"/>
      <c r="DQ1599" s="213"/>
      <c r="DR1599" s="213"/>
      <c r="DS1599" s="213"/>
      <c r="DT1599" s="213"/>
      <c r="EJ1599" s="935" t="s">
        <v>216</v>
      </c>
      <c r="EK1599" s="213"/>
      <c r="EL1599" s="213"/>
      <c r="EM1599" s="213"/>
      <c r="EN1599" s="213"/>
      <c r="EO1599" s="213"/>
      <c r="EP1599" s="213"/>
      <c r="EQ1599" s="213"/>
      <c r="ER1599" s="213"/>
    </row>
    <row r="1600" spans="1:186" ht="12.6" customHeight="1" x14ac:dyDescent="0.2">
      <c r="B1600" s="56" t="s">
        <v>638</v>
      </c>
      <c r="C1600" s="61"/>
      <c r="D1600" s="57"/>
      <c r="E1600" s="57"/>
      <c r="F1600" s="57"/>
      <c r="G1600" s="57"/>
      <c r="H1600" s="57"/>
      <c r="I1600" s="69">
        <v>0</v>
      </c>
      <c r="J1600" s="69">
        <v>0</v>
      </c>
      <c r="K1600" s="69">
        <v>0</v>
      </c>
      <c r="L1600" s="1049">
        <v>0</v>
      </c>
      <c r="M1600" s="823">
        <v>0</v>
      </c>
      <c r="N1600" s="823">
        <v>2</v>
      </c>
      <c r="O1600" s="823">
        <v>2</v>
      </c>
      <c r="P1600" s="823">
        <v>4</v>
      </c>
      <c r="Q1600" s="1073">
        <f t="shared" si="1382"/>
        <v>4</v>
      </c>
      <c r="S1600" s="545" t="str">
        <f t="shared" si="1379"/>
        <v xml:space="preserve"> </v>
      </c>
      <c r="T1600" s="545" t="str">
        <f t="shared" si="1380"/>
        <v xml:space="preserve"> </v>
      </c>
      <c r="V1600" s="208" t="s">
        <v>553</v>
      </c>
      <c r="DL1600" s="935"/>
      <c r="DM1600" s="213"/>
      <c r="DN1600" s="213"/>
      <c r="DO1600" s="213"/>
      <c r="DP1600" s="213"/>
      <c r="DQ1600" s="213"/>
      <c r="DR1600" s="213"/>
      <c r="DS1600" s="213"/>
      <c r="DT1600" s="213"/>
      <c r="EJ1600" s="935" t="s">
        <v>553</v>
      </c>
      <c r="EK1600" s="213"/>
      <c r="EL1600" s="213"/>
      <c r="EM1600" s="213"/>
      <c r="EN1600" s="213"/>
      <c r="EO1600" s="213"/>
      <c r="EP1600" s="213"/>
      <c r="EQ1600" s="213"/>
      <c r="ER1600" s="213"/>
    </row>
    <row r="1601" spans="2:148" ht="12.6" customHeight="1" x14ac:dyDescent="0.2">
      <c r="B1601" s="56" t="s">
        <v>640</v>
      </c>
      <c r="C1601" s="61"/>
      <c r="D1601" s="57"/>
      <c r="E1601" s="57"/>
      <c r="F1601" s="57"/>
      <c r="G1601" s="57"/>
      <c r="H1601" s="57"/>
      <c r="I1601" s="69">
        <v>4</v>
      </c>
      <c r="J1601" s="69">
        <v>5</v>
      </c>
      <c r="K1601" s="69">
        <v>5</v>
      </c>
      <c r="L1601" s="1049">
        <v>5</v>
      </c>
      <c r="M1601" s="823">
        <v>5</v>
      </c>
      <c r="N1601" s="823">
        <v>5</v>
      </c>
      <c r="O1601" s="823">
        <v>5</v>
      </c>
      <c r="P1601" s="823">
        <v>5</v>
      </c>
      <c r="Q1601" s="1073">
        <f t="shared" si="1382"/>
        <v>0</v>
      </c>
      <c r="S1601" s="545" t="str">
        <f t="shared" si="1379"/>
        <v xml:space="preserve"> </v>
      </c>
      <c r="T1601" s="545">
        <f t="shared" si="1380"/>
        <v>0</v>
      </c>
      <c r="V1601" s="208" t="s">
        <v>554</v>
      </c>
      <c r="DL1601" s="935"/>
      <c r="DM1601" s="213"/>
      <c r="DN1601" s="213"/>
      <c r="DO1601" s="213"/>
      <c r="DP1601" s="213"/>
      <c r="DQ1601" s="213"/>
      <c r="DR1601" s="213"/>
      <c r="DS1601" s="213"/>
      <c r="DT1601" s="213"/>
      <c r="EJ1601" s="935" t="s">
        <v>554</v>
      </c>
      <c r="EK1601" s="213"/>
      <c r="EL1601" s="213"/>
      <c r="EM1601" s="213"/>
      <c r="EN1601" s="213"/>
      <c r="EO1601" s="213"/>
      <c r="EP1601" s="213"/>
      <c r="EQ1601" s="213"/>
      <c r="ER1601" s="213"/>
    </row>
    <row r="1602" spans="2:148" ht="12.6" customHeight="1" x14ac:dyDescent="0.2">
      <c r="B1602" s="72" t="s">
        <v>164</v>
      </c>
      <c r="C1602" s="61"/>
      <c r="D1602" s="57"/>
      <c r="E1602" s="57"/>
      <c r="F1602" s="57"/>
      <c r="G1602" s="57"/>
      <c r="H1602" s="57"/>
      <c r="I1602" s="1074">
        <f t="shared" ref="I1602:P1602" si="1383">SUM(I1595:I1601)</f>
        <v>29</v>
      </c>
      <c r="J1602" s="1074">
        <f t="shared" si="1383"/>
        <v>30</v>
      </c>
      <c r="K1602" s="1074">
        <f t="shared" si="1383"/>
        <v>35.5</v>
      </c>
      <c r="L1602" s="1291">
        <f t="shared" si="1383"/>
        <v>35.5</v>
      </c>
      <c r="M1602" s="1075">
        <f t="shared" si="1383"/>
        <v>37.5</v>
      </c>
      <c r="N1602" s="1075">
        <f t="shared" si="1383"/>
        <v>44.5</v>
      </c>
      <c r="O1602" s="1075">
        <f t="shared" si="1383"/>
        <v>44.5</v>
      </c>
      <c r="P1602" s="1075">
        <f t="shared" si="1383"/>
        <v>51.5</v>
      </c>
      <c r="Q1602" s="1076">
        <f t="shared" si="1382"/>
        <v>16</v>
      </c>
      <c r="S1602" s="545" t="str">
        <f t="shared" si="1379"/>
        <v xml:space="preserve"> </v>
      </c>
      <c r="T1602" s="367">
        <f t="shared" si="1380"/>
        <v>9.4244390793007504E-2</v>
      </c>
      <c r="V1602" s="208" t="s">
        <v>15</v>
      </c>
      <c r="DL1602" s="935"/>
      <c r="DM1602" s="213"/>
      <c r="DN1602" s="213"/>
      <c r="DO1602" s="213"/>
      <c r="DP1602" s="213"/>
      <c r="DQ1602" s="213"/>
      <c r="DR1602" s="213"/>
      <c r="DS1602" s="213"/>
      <c r="DT1602" s="213"/>
      <c r="EJ1602" s="935" t="s">
        <v>15</v>
      </c>
      <c r="EK1602" s="213"/>
      <c r="EL1602" s="213"/>
      <c r="EM1602" s="213"/>
      <c r="EN1602" s="213"/>
      <c r="EO1602" s="213"/>
      <c r="EP1602" s="213"/>
      <c r="EQ1602" s="213"/>
      <c r="ER1602" s="213"/>
    </row>
    <row r="1603" spans="2:148" ht="12.6" customHeight="1" x14ac:dyDescent="0.2">
      <c r="B1603" s="59"/>
      <c r="C1603" s="61"/>
      <c r="D1603" s="57"/>
      <c r="E1603" s="57"/>
      <c r="F1603" s="57"/>
      <c r="G1603" s="57"/>
      <c r="H1603" s="57"/>
      <c r="I1603" s="1074"/>
      <c r="J1603" s="1074"/>
      <c r="K1603" s="1074"/>
      <c r="L1603" s="1291"/>
      <c r="M1603" s="1075"/>
      <c r="N1603" s="1075"/>
      <c r="O1603" s="1075"/>
      <c r="P1603" s="1075"/>
      <c r="Q1603" s="1076"/>
      <c r="S1603" s="545" t="str">
        <f t="shared" si="1379"/>
        <v xml:space="preserve"> </v>
      </c>
      <c r="T1603" s="545" t="str">
        <f t="shared" si="1380"/>
        <v xml:space="preserve"> </v>
      </c>
      <c r="V1603" s="208" t="s">
        <v>573</v>
      </c>
      <c r="DL1603" s="935"/>
      <c r="DM1603" s="213"/>
      <c r="DN1603" s="213"/>
      <c r="DO1603" s="213"/>
      <c r="DP1603" s="213"/>
      <c r="DQ1603" s="213"/>
      <c r="DR1603" s="213"/>
      <c r="DS1603" s="213"/>
      <c r="DT1603" s="213"/>
      <c r="EJ1603" s="935" t="s">
        <v>573</v>
      </c>
      <c r="EK1603" s="213"/>
      <c r="EL1603" s="213"/>
      <c r="EM1603" s="213"/>
      <c r="EN1603" s="213"/>
      <c r="EO1603" s="213"/>
      <c r="EP1603" s="213"/>
      <c r="EQ1603" s="213"/>
      <c r="ER1603" s="213"/>
    </row>
    <row r="1604" spans="2:148" ht="12.6" customHeight="1" x14ac:dyDescent="0.2">
      <c r="B1604" s="72" t="s">
        <v>643</v>
      </c>
      <c r="C1604" s="61"/>
      <c r="D1604" s="57"/>
      <c r="E1604" s="57"/>
      <c r="F1604" s="57"/>
      <c r="G1604" s="57"/>
      <c r="H1604" s="57"/>
      <c r="I1604" s="1074">
        <v>24.2</v>
      </c>
      <c r="J1604" s="1074">
        <v>26.1</v>
      </c>
      <c r="K1604" s="1074">
        <f>+K1607+K1608</f>
        <v>25</v>
      </c>
      <c r="L1604" s="1291">
        <f>+L1607+L1608</f>
        <v>29.700000000000003</v>
      </c>
      <c r="M1604" s="1075">
        <f>+M1607+M1608</f>
        <v>31.799999999999997</v>
      </c>
      <c r="N1604" s="1075">
        <f t="shared" ref="N1604:P1604" si="1384">+N1607+N1608</f>
        <v>31.9</v>
      </c>
      <c r="O1604" s="1075">
        <f t="shared" si="1384"/>
        <v>33.799999999999997</v>
      </c>
      <c r="P1604" s="1075">
        <f t="shared" si="1384"/>
        <v>35.6</v>
      </c>
      <c r="Q1604" s="1076"/>
      <c r="S1604" s="545" t="str">
        <f t="shared" si="1379"/>
        <v xml:space="preserve"> </v>
      </c>
      <c r="T1604" s="367">
        <f t="shared" si="1380"/>
        <v>5.309669170959852E-2</v>
      </c>
      <c r="V1604" s="208" t="s">
        <v>760</v>
      </c>
      <c r="DL1604" s="935"/>
      <c r="DM1604" s="213"/>
      <c r="DN1604" s="213"/>
      <c r="DO1604" s="213"/>
      <c r="DP1604" s="213"/>
      <c r="DQ1604" s="213"/>
      <c r="DR1604" s="213"/>
      <c r="DS1604" s="213"/>
      <c r="DT1604" s="213"/>
      <c r="EJ1604" s="935" t="s">
        <v>760</v>
      </c>
      <c r="EK1604" s="213"/>
      <c r="EL1604" s="213"/>
      <c r="EM1604" s="213"/>
      <c r="EN1604" s="213"/>
      <c r="EO1604" s="213"/>
      <c r="EP1604" s="213"/>
      <c r="EQ1604" s="213"/>
      <c r="ER1604" s="213"/>
    </row>
    <row r="1605" spans="2:148" ht="12.6" customHeight="1" x14ac:dyDescent="0.2">
      <c r="B1605" s="369" t="s">
        <v>911</v>
      </c>
      <c r="C1605" s="61"/>
      <c r="D1605" s="57"/>
      <c r="E1605" s="57"/>
      <c r="F1605" s="57"/>
      <c r="G1605" s="57"/>
      <c r="H1605" s="57"/>
      <c r="I1605" s="1074"/>
      <c r="J1605" s="1077">
        <f>+J1604/I1604-1</f>
        <v>7.8512396694214948E-2</v>
      </c>
      <c r="K1605" s="1077">
        <f>+K1604/J1604-1</f>
        <v>-4.2145593869731823E-2</v>
      </c>
      <c r="L1605" s="1292">
        <f>+L1604/K1604-1</f>
        <v>0.18800000000000017</v>
      </c>
      <c r="M1605" s="1078">
        <f>+M1604/L1604-1</f>
        <v>7.0707070707070496E-2</v>
      </c>
      <c r="N1605" s="1078"/>
      <c r="O1605" s="1078"/>
      <c r="P1605" s="1078"/>
      <c r="Q1605" s="1076"/>
      <c r="S1605" s="545"/>
      <c r="T1605" s="367"/>
      <c r="V1605" s="208" t="s">
        <v>761</v>
      </c>
      <c r="DL1605" s="935"/>
      <c r="DM1605" s="213"/>
      <c r="DN1605" s="213"/>
      <c r="DO1605" s="213"/>
      <c r="DP1605" s="213"/>
      <c r="DQ1605" s="213"/>
      <c r="DR1605" s="213"/>
      <c r="DS1605" s="213"/>
      <c r="DT1605" s="213"/>
      <c r="EJ1605" s="935" t="s">
        <v>761</v>
      </c>
      <c r="EK1605" s="213"/>
      <c r="EL1605" s="213"/>
      <c r="EM1605" s="213"/>
      <c r="EN1605" s="213"/>
      <c r="EO1605" s="213"/>
      <c r="EP1605" s="213"/>
      <c r="EQ1605" s="213"/>
      <c r="ER1605" s="213"/>
    </row>
    <row r="1606" spans="2:148" s="352" customFormat="1" ht="12.6" customHeight="1" x14ac:dyDescent="0.2">
      <c r="B1606" s="369" t="s">
        <v>642</v>
      </c>
      <c r="C1606" s="326"/>
      <c r="D1606" s="58"/>
      <c r="E1606" s="58"/>
      <c r="F1606" s="58"/>
      <c r="G1606" s="58"/>
      <c r="H1606" s="58"/>
      <c r="I1606" s="1077">
        <f>I1604/I1602</f>
        <v>0.83448275862068966</v>
      </c>
      <c r="J1606" s="1077">
        <f>J1604/J1602</f>
        <v>0.87</v>
      </c>
      <c r="K1606" s="1077">
        <f>K1604/K1602</f>
        <v>0.70422535211267601</v>
      </c>
      <c r="L1606" s="1293">
        <f>L1604/L1602</f>
        <v>0.83661971830985926</v>
      </c>
      <c r="M1606" s="1079">
        <f>M1604/M1602</f>
        <v>0.84799999999999998</v>
      </c>
      <c r="N1606" s="1079">
        <f t="shared" ref="N1606:P1606" si="1385">N1604/N1602</f>
        <v>0.71685393258426966</v>
      </c>
      <c r="O1606" s="1079">
        <f t="shared" si="1385"/>
        <v>0.75955056179775271</v>
      </c>
      <c r="P1606" s="1079">
        <f t="shared" si="1385"/>
        <v>0.6912621359223301</v>
      </c>
      <c r="Q1606" s="1076"/>
      <c r="V1606" s="208" t="s">
        <v>766</v>
      </c>
      <c r="DL1606" s="935"/>
      <c r="DM1606" s="213"/>
      <c r="DN1606" s="213"/>
      <c r="DO1606" s="213"/>
      <c r="DP1606" s="213"/>
      <c r="DQ1606" s="213"/>
      <c r="DR1606" s="213"/>
      <c r="DS1606" s="213"/>
      <c r="DT1606" s="213"/>
      <c r="EJ1606" s="935" t="s">
        <v>766</v>
      </c>
      <c r="EK1606" s="213"/>
      <c r="EL1606" s="213"/>
      <c r="EM1606" s="213"/>
      <c r="EN1606" s="213"/>
      <c r="EO1606" s="213"/>
      <c r="EP1606" s="213"/>
      <c r="EQ1606" s="213"/>
      <c r="ER1606" s="213"/>
    </row>
    <row r="1607" spans="2:148" ht="12.6" customHeight="1" x14ac:dyDescent="0.2">
      <c r="B1607" s="56" t="s">
        <v>909</v>
      </c>
      <c r="C1607" s="61"/>
      <c r="D1607" s="57"/>
      <c r="E1607" s="57"/>
      <c r="F1607" s="57"/>
      <c r="G1607" s="57"/>
      <c r="H1607" s="57"/>
      <c r="I1607" s="69"/>
      <c r="J1607" s="69"/>
      <c r="K1607" s="69">
        <v>21.7</v>
      </c>
      <c r="L1607" s="1049">
        <v>22.1</v>
      </c>
      <c r="M1607" s="823">
        <v>23.2</v>
      </c>
      <c r="N1607" s="823">
        <v>23.3</v>
      </c>
      <c r="O1607" s="823">
        <v>25.2</v>
      </c>
      <c r="P1607" s="823">
        <v>27</v>
      </c>
      <c r="Q1607" s="1073"/>
      <c r="V1607" s="208" t="s">
        <v>1866</v>
      </c>
      <c r="DL1607" s="935"/>
      <c r="DM1607" s="213"/>
      <c r="DN1607" s="213"/>
      <c r="DO1607" s="213"/>
      <c r="DP1607" s="213"/>
      <c r="DQ1607" s="213"/>
      <c r="DR1607" s="213"/>
      <c r="DS1607" s="213"/>
      <c r="DT1607" s="213"/>
      <c r="EJ1607" s="935" t="s">
        <v>1866</v>
      </c>
      <c r="EK1607" s="213"/>
      <c r="EL1607" s="213"/>
      <c r="EM1607" s="213"/>
      <c r="EN1607" s="213"/>
      <c r="EO1607" s="213"/>
      <c r="EP1607" s="213"/>
      <c r="EQ1607" s="213"/>
      <c r="ER1607" s="213"/>
    </row>
    <row r="1608" spans="2:148" ht="12.6" customHeight="1" x14ac:dyDescent="0.2">
      <c r="B1608" s="56" t="s">
        <v>910</v>
      </c>
      <c r="C1608" s="61"/>
      <c r="D1608" s="57"/>
      <c r="E1608" s="57"/>
      <c r="F1608" s="57"/>
      <c r="G1608" s="57"/>
      <c r="H1608" s="57"/>
      <c r="I1608" s="69"/>
      <c r="J1608" s="69"/>
      <c r="K1608" s="69">
        <v>3.3</v>
      </c>
      <c r="L1608" s="1049">
        <f>3.5+4.1</f>
        <v>7.6</v>
      </c>
      <c r="M1608" s="823">
        <f>4+4.6</f>
        <v>8.6</v>
      </c>
      <c r="N1608" s="823">
        <f t="shared" ref="N1608:P1608" si="1386">4+4.6</f>
        <v>8.6</v>
      </c>
      <c r="O1608" s="823">
        <f t="shared" si="1386"/>
        <v>8.6</v>
      </c>
      <c r="P1608" s="823">
        <f t="shared" si="1386"/>
        <v>8.6</v>
      </c>
      <c r="Q1608" s="1073"/>
    </row>
    <row r="1609" spans="2:148" ht="12.6" customHeight="1" x14ac:dyDescent="0.2">
      <c r="B1609" s="72" t="s">
        <v>646</v>
      </c>
      <c r="C1609" s="61"/>
      <c r="D1609" s="57"/>
      <c r="E1609" s="57"/>
      <c r="F1609" s="57"/>
      <c r="G1609" s="57"/>
      <c r="H1609" s="57"/>
      <c r="I1609" s="57"/>
      <c r="J1609" s="57"/>
      <c r="K1609" s="57"/>
      <c r="L1609" s="68"/>
      <c r="M1609" s="68"/>
      <c r="N1609" s="68"/>
      <c r="O1609" s="68"/>
      <c r="P1609" s="68"/>
      <c r="Q1609" s="320"/>
      <c r="R1609" s="37" t="s">
        <v>1501</v>
      </c>
      <c r="T1609" s="37" t="s">
        <v>1502</v>
      </c>
    </row>
    <row r="1610" spans="2:148" ht="12.6" customHeight="1" x14ac:dyDescent="0.2">
      <c r="B1610" s="56" t="s">
        <v>279</v>
      </c>
      <c r="C1610" s="65">
        <v>1.6</v>
      </c>
      <c r="D1610" s="57"/>
      <c r="E1610" s="57"/>
      <c r="F1610" s="57"/>
      <c r="G1610" s="57"/>
      <c r="H1610" s="57"/>
      <c r="I1610" s="57">
        <f>I$1604*$C1610</f>
        <v>38.72</v>
      </c>
      <c r="J1610" s="57">
        <f t="shared" ref="J1610:P1612" si="1387">J$1604*$C1610</f>
        <v>41.760000000000005</v>
      </c>
      <c r="K1610" s="57">
        <f t="shared" si="1387"/>
        <v>40</v>
      </c>
      <c r="L1610" s="68">
        <f t="shared" si="1387"/>
        <v>47.52000000000001</v>
      </c>
      <c r="M1610" s="68">
        <f t="shared" si="1387"/>
        <v>50.879999999999995</v>
      </c>
      <c r="N1610" s="68">
        <f t="shared" si="1387"/>
        <v>51.04</v>
      </c>
      <c r="O1610" s="68">
        <f t="shared" si="1387"/>
        <v>54.08</v>
      </c>
      <c r="P1610" s="68">
        <f t="shared" si="1387"/>
        <v>56.960000000000008</v>
      </c>
      <c r="Q1610" s="320"/>
      <c r="R1610" s="37" t="s">
        <v>111</v>
      </c>
    </row>
    <row r="1611" spans="2:148" ht="12.6" customHeight="1" x14ac:dyDescent="0.2">
      <c r="B1611" s="56" t="s">
        <v>615</v>
      </c>
      <c r="C1611" s="65">
        <v>0.6</v>
      </c>
      <c r="D1611" s="57"/>
      <c r="E1611" s="57"/>
      <c r="F1611" s="57"/>
      <c r="G1611" s="57"/>
      <c r="H1611" s="57"/>
      <c r="I1611" s="57">
        <f>I$1604*$C1611</f>
        <v>14.52</v>
      </c>
      <c r="J1611" s="57">
        <f t="shared" si="1387"/>
        <v>15.66</v>
      </c>
      <c r="K1611" s="57">
        <f t="shared" si="1387"/>
        <v>15</v>
      </c>
      <c r="L1611" s="68">
        <f t="shared" si="1387"/>
        <v>17.82</v>
      </c>
      <c r="M1611" s="68">
        <f t="shared" si="1387"/>
        <v>19.079999999999998</v>
      </c>
      <c r="N1611" s="68">
        <f t="shared" si="1387"/>
        <v>19.139999999999997</v>
      </c>
      <c r="O1611" s="68">
        <f t="shared" si="1387"/>
        <v>20.279999999999998</v>
      </c>
      <c r="P1611" s="68">
        <f t="shared" si="1387"/>
        <v>21.36</v>
      </c>
      <c r="Q1611" s="320"/>
      <c r="R1611" s="37" t="s">
        <v>1503</v>
      </c>
    </row>
    <row r="1612" spans="2:148" ht="12.6" customHeight="1" x14ac:dyDescent="0.2">
      <c r="B1612" s="56" t="s">
        <v>280</v>
      </c>
      <c r="C1612" s="65">
        <v>0.8</v>
      </c>
      <c r="D1612" s="57"/>
      <c r="E1612" s="57"/>
      <c r="F1612" s="57"/>
      <c r="G1612" s="57"/>
      <c r="H1612" s="57"/>
      <c r="I1612" s="57">
        <f>I$1604*$C1612</f>
        <v>19.36</v>
      </c>
      <c r="J1612" s="57">
        <f t="shared" si="1387"/>
        <v>20.880000000000003</v>
      </c>
      <c r="K1612" s="57">
        <f t="shared" si="1387"/>
        <v>20</v>
      </c>
      <c r="L1612" s="68">
        <f t="shared" si="1387"/>
        <v>23.760000000000005</v>
      </c>
      <c r="M1612" s="68">
        <f t="shared" si="1387"/>
        <v>25.439999999999998</v>
      </c>
      <c r="N1612" s="68">
        <f t="shared" si="1387"/>
        <v>25.52</v>
      </c>
      <c r="O1612" s="68">
        <f t="shared" si="1387"/>
        <v>27.04</v>
      </c>
      <c r="P1612" s="68">
        <f>P$1604*$C1612</f>
        <v>28.480000000000004</v>
      </c>
      <c r="Q1612" s="320"/>
    </row>
    <row r="1613" spans="2:148" ht="12.6" customHeight="1" x14ac:dyDescent="0.2">
      <c r="B1613" s="56" t="s">
        <v>660</v>
      </c>
      <c r="C1613" s="65">
        <v>1</v>
      </c>
      <c r="D1613" s="57"/>
      <c r="E1613" s="57"/>
      <c r="F1613" s="57"/>
      <c r="G1613" s="57"/>
      <c r="H1613" s="57"/>
      <c r="I1613" s="57"/>
      <c r="J1613" s="57"/>
      <c r="K1613" s="57"/>
      <c r="L1613" s="68"/>
      <c r="M1613" s="68"/>
      <c r="N1613" s="68"/>
      <c r="O1613" s="68"/>
      <c r="P1613" s="68"/>
      <c r="Q1613" s="320"/>
    </row>
    <row r="1614" spans="2:148" ht="12.6" customHeight="1" x14ac:dyDescent="0.2">
      <c r="B1614" s="56"/>
      <c r="C1614" s="65"/>
      <c r="D1614" s="57"/>
      <c r="E1614" s="57"/>
      <c r="F1614" s="57"/>
      <c r="G1614" s="57"/>
      <c r="H1614" s="57"/>
      <c r="I1614" s="57"/>
      <c r="J1614" s="57"/>
      <c r="K1614" s="57"/>
      <c r="L1614" s="68"/>
      <c r="M1614" s="68"/>
      <c r="N1614" s="68"/>
      <c r="O1614" s="68"/>
      <c r="P1614" s="68"/>
      <c r="Q1614" s="320"/>
    </row>
    <row r="1615" spans="2:148" ht="12.6" customHeight="1" x14ac:dyDescent="0.2">
      <c r="B1615" s="72" t="s">
        <v>646</v>
      </c>
      <c r="C1615" s="65"/>
      <c r="D1615" s="57"/>
      <c r="E1615" s="57"/>
      <c r="F1615" s="57"/>
      <c r="G1615" s="57"/>
      <c r="H1615" s="57"/>
      <c r="I1615" s="57"/>
      <c r="J1615" s="57"/>
      <c r="K1615" s="57"/>
      <c r="L1615" s="68"/>
      <c r="M1615" s="68"/>
      <c r="N1615" s="68"/>
      <c r="O1615" s="68"/>
      <c r="P1615" s="68"/>
      <c r="Q1615" s="320"/>
    </row>
    <row r="1616" spans="2:148" ht="12.6" customHeight="1" x14ac:dyDescent="0.2">
      <c r="B1616" s="56" t="s">
        <v>279</v>
      </c>
      <c r="C1616" s="65">
        <v>2</v>
      </c>
      <c r="D1616" s="57"/>
      <c r="E1616" s="57"/>
      <c r="F1616" s="57"/>
      <c r="G1616" s="57"/>
      <c r="H1616" s="57"/>
      <c r="I1616" s="57">
        <f t="shared" ref="I1616:P1618" si="1388">I$1604*$C1616</f>
        <v>48.4</v>
      </c>
      <c r="J1616" s="57">
        <f t="shared" si="1388"/>
        <v>52.2</v>
      </c>
      <c r="K1616" s="57">
        <f t="shared" si="1388"/>
        <v>50</v>
      </c>
      <c r="L1616" s="68">
        <f t="shared" si="1388"/>
        <v>59.400000000000006</v>
      </c>
      <c r="M1616" s="68">
        <f t="shared" si="1388"/>
        <v>63.599999999999994</v>
      </c>
      <c r="N1616" s="68">
        <f t="shared" si="1388"/>
        <v>63.8</v>
      </c>
      <c r="O1616" s="68">
        <f t="shared" si="1388"/>
        <v>67.599999999999994</v>
      </c>
      <c r="P1616" s="68">
        <f t="shared" si="1388"/>
        <v>71.2</v>
      </c>
      <c r="Q1616" s="320"/>
    </row>
    <row r="1617" spans="2:20" ht="12.6" customHeight="1" x14ac:dyDescent="0.2">
      <c r="B1617" s="56" t="s">
        <v>615</v>
      </c>
      <c r="C1617" s="65">
        <v>0.7</v>
      </c>
      <c r="D1617" s="57"/>
      <c r="E1617" s="57"/>
      <c r="F1617" s="57"/>
      <c r="G1617" s="57"/>
      <c r="H1617" s="57"/>
      <c r="I1617" s="57">
        <f t="shared" si="1388"/>
        <v>16.939999999999998</v>
      </c>
      <c r="J1617" s="57">
        <f t="shared" si="1388"/>
        <v>18.27</v>
      </c>
      <c r="K1617" s="57">
        <f t="shared" si="1388"/>
        <v>17.5</v>
      </c>
      <c r="L1617" s="68">
        <f t="shared" si="1388"/>
        <v>20.79</v>
      </c>
      <c r="M1617" s="68">
        <f t="shared" si="1388"/>
        <v>22.259999999999998</v>
      </c>
      <c r="N1617" s="68">
        <f t="shared" si="1388"/>
        <v>22.33</v>
      </c>
      <c r="O1617" s="68">
        <f t="shared" si="1388"/>
        <v>23.659999999999997</v>
      </c>
      <c r="P1617" s="68">
        <f t="shared" si="1388"/>
        <v>24.919999999999998</v>
      </c>
      <c r="Q1617" s="320"/>
    </row>
    <row r="1618" spans="2:20" ht="12.6" customHeight="1" x14ac:dyDescent="0.2">
      <c r="B1618" s="56" t="s">
        <v>280</v>
      </c>
      <c r="C1618" s="65">
        <v>0.8</v>
      </c>
      <c r="D1618" s="57"/>
      <c r="E1618" s="57"/>
      <c r="F1618" s="57"/>
      <c r="G1618" s="57"/>
      <c r="H1618" s="57"/>
      <c r="I1618" s="57">
        <f t="shared" si="1388"/>
        <v>19.36</v>
      </c>
      <c r="J1618" s="57">
        <f t="shared" si="1388"/>
        <v>20.880000000000003</v>
      </c>
      <c r="K1618" s="57">
        <f t="shared" si="1388"/>
        <v>20</v>
      </c>
      <c r="L1618" s="68">
        <f t="shared" si="1388"/>
        <v>23.760000000000005</v>
      </c>
      <c r="M1618" s="68">
        <f t="shared" si="1388"/>
        <v>25.439999999999998</v>
      </c>
      <c r="N1618" s="68">
        <f t="shared" si="1388"/>
        <v>25.52</v>
      </c>
      <c r="O1618" s="68">
        <f t="shared" si="1388"/>
        <v>27.04</v>
      </c>
      <c r="P1618" s="68">
        <f t="shared" si="1388"/>
        <v>28.480000000000004</v>
      </c>
      <c r="Q1618" s="320"/>
    </row>
    <row r="1619" spans="2:20" ht="12.6" customHeight="1" x14ac:dyDescent="0.2">
      <c r="B1619" s="56"/>
      <c r="C1619" s="61"/>
      <c r="D1619" s="57"/>
      <c r="E1619" s="57"/>
      <c r="F1619" s="57"/>
      <c r="G1619" s="57"/>
      <c r="H1619" s="57"/>
      <c r="I1619" s="57"/>
      <c r="J1619" s="57"/>
      <c r="K1619" s="57"/>
      <c r="L1619" s="68"/>
      <c r="M1619" s="68"/>
      <c r="N1619" s="68"/>
      <c r="O1619" s="68"/>
      <c r="P1619" s="68"/>
      <c r="Q1619" s="320"/>
    </row>
    <row r="1620" spans="2:20" ht="12.6" customHeight="1" x14ac:dyDescent="0.2">
      <c r="B1620" s="56"/>
      <c r="C1620" s="61"/>
      <c r="D1620" s="57"/>
      <c r="E1620" s="57"/>
      <c r="F1620" s="57"/>
      <c r="G1620" s="57"/>
      <c r="H1620" s="57"/>
      <c r="I1620" s="57"/>
      <c r="J1620" s="57"/>
      <c r="K1620" s="57"/>
      <c r="L1620" s="68"/>
      <c r="M1620" s="68"/>
      <c r="N1620" s="68"/>
      <c r="O1620" s="68"/>
      <c r="P1620" s="68"/>
      <c r="Q1620" s="320"/>
    </row>
    <row r="1621" spans="2:20" ht="12.6" customHeight="1" x14ac:dyDescent="0.2">
      <c r="B1621" s="56"/>
      <c r="C1621" s="61"/>
      <c r="D1621" s="57"/>
      <c r="E1621" s="57"/>
      <c r="F1621" s="57"/>
      <c r="G1621" s="57"/>
      <c r="H1621" s="57"/>
      <c r="I1621" s="57"/>
      <c r="J1621" s="57"/>
      <c r="K1621" s="57"/>
      <c r="L1621" s="68"/>
      <c r="M1621" s="68"/>
      <c r="N1621" s="68"/>
      <c r="O1621" s="68"/>
      <c r="P1621" s="68"/>
      <c r="Q1621" s="320"/>
    </row>
    <row r="1622" spans="2:20" ht="12.6" customHeight="1" x14ac:dyDescent="0.2">
      <c r="B1622" s="56"/>
      <c r="C1622" s="61"/>
      <c r="D1622" s="57"/>
      <c r="E1622" s="57"/>
      <c r="F1622" s="57"/>
      <c r="G1622" s="57"/>
      <c r="H1622" s="57"/>
      <c r="I1622" s="57"/>
      <c r="J1622" s="57"/>
      <c r="K1622" s="57"/>
      <c r="L1622" s="68"/>
      <c r="M1622" s="68"/>
      <c r="N1622" s="68"/>
      <c r="O1622" s="68"/>
      <c r="P1622" s="68"/>
      <c r="Q1622" s="320"/>
      <c r="S1622" s="505" t="s">
        <v>879</v>
      </c>
      <c r="T1622" s="504"/>
    </row>
    <row r="1623" spans="2:20" ht="12.6" customHeight="1" x14ac:dyDescent="0.2">
      <c r="B1623" s="72" t="s">
        <v>661</v>
      </c>
      <c r="C1623" s="61"/>
      <c r="D1623" s="57"/>
      <c r="E1623" s="349" t="s">
        <v>635</v>
      </c>
      <c r="F1623" s="350"/>
      <c r="G1623" s="349" t="s">
        <v>634</v>
      </c>
      <c r="H1623" s="350"/>
      <c r="I1623" s="349" t="s">
        <v>260</v>
      </c>
      <c r="J1623" s="351"/>
      <c r="K1623" s="351" t="s">
        <v>551</v>
      </c>
      <c r="L1623" s="68"/>
      <c r="M1623" s="68"/>
      <c r="N1623" s="68"/>
      <c r="O1623" s="68"/>
      <c r="P1623" s="68"/>
      <c r="Q1623" s="320"/>
      <c r="S1623" s="506" t="s">
        <v>876</v>
      </c>
      <c r="T1623" s="502" t="s">
        <v>279</v>
      </c>
    </row>
    <row r="1624" spans="2:20" ht="12.6" customHeight="1" x14ac:dyDescent="0.2">
      <c r="B1624" s="56" t="s">
        <v>279</v>
      </c>
      <c r="C1624" s="61"/>
      <c r="D1624" s="57"/>
      <c r="E1624" s="57">
        <f>($J$1596*$C1616*F1624)*0.75</f>
        <v>15</v>
      </c>
      <c r="F1624" s="330">
        <v>1</v>
      </c>
      <c r="G1624" s="57">
        <f>($J$1595*$C1616*H1624)*0.75</f>
        <v>3.6000000000000005</v>
      </c>
      <c r="H1624" s="294">
        <v>0.2</v>
      </c>
      <c r="I1624" s="57"/>
      <c r="J1624" s="294">
        <v>1</v>
      </c>
      <c r="K1624" s="294">
        <f>SUM(E1624+G1624+I1624)</f>
        <v>18.600000000000001</v>
      </c>
      <c r="L1624" s="68"/>
      <c r="M1624" s="68"/>
      <c r="N1624" s="68"/>
      <c r="O1624" s="68"/>
      <c r="P1624" s="68"/>
      <c r="Q1624" s="320"/>
      <c r="S1624" s="507" t="s">
        <v>877</v>
      </c>
      <c r="T1624" s="503" t="s">
        <v>615</v>
      </c>
    </row>
    <row r="1625" spans="2:20" ht="12.6" customHeight="1" x14ac:dyDescent="0.2">
      <c r="B1625" s="56" t="s">
        <v>615</v>
      </c>
      <c r="C1625" s="61"/>
      <c r="D1625" s="57"/>
      <c r="E1625" s="57">
        <f>($J$1596*$C1617*F1625)*0.75</f>
        <v>5.25</v>
      </c>
      <c r="F1625" s="330">
        <v>1</v>
      </c>
      <c r="G1625" s="57">
        <f>($J$1595*$C1617*H1625)*0.75</f>
        <v>6.2999999999999989</v>
      </c>
      <c r="H1625" s="294">
        <v>1</v>
      </c>
      <c r="I1625" s="57"/>
      <c r="J1625" s="294">
        <v>1</v>
      </c>
      <c r="K1625" s="294">
        <f>SUM(E1625+G1625+I1625)</f>
        <v>11.549999999999999</v>
      </c>
      <c r="L1625" s="68"/>
      <c r="M1625" s="68"/>
      <c r="N1625" s="68"/>
      <c r="O1625" s="68"/>
      <c r="P1625" s="68"/>
      <c r="Q1625" s="320"/>
      <c r="S1625" s="507" t="s">
        <v>878</v>
      </c>
      <c r="T1625" s="503" t="s">
        <v>616</v>
      </c>
    </row>
    <row r="1626" spans="2:20" ht="12.6" customHeight="1" x14ac:dyDescent="0.2">
      <c r="B1626" s="56" t="s">
        <v>280</v>
      </c>
      <c r="C1626" s="61"/>
      <c r="D1626" s="57"/>
      <c r="E1626" s="57">
        <f>($J$1596*$C1618*F1626)*0.75</f>
        <v>6</v>
      </c>
      <c r="F1626" s="330">
        <v>1</v>
      </c>
      <c r="G1626" s="57">
        <f>($J$1595*$C1618*H1626)*0.75</f>
        <v>1.4400000000000004</v>
      </c>
      <c r="H1626" s="294">
        <v>0.2</v>
      </c>
      <c r="I1626" s="57"/>
      <c r="J1626" s="294">
        <v>0.2</v>
      </c>
      <c r="K1626" s="294">
        <f>SUM(E1626+G1626+I1626)</f>
        <v>7.44</v>
      </c>
      <c r="L1626" s="68"/>
      <c r="M1626" s="68"/>
      <c r="N1626" s="68"/>
      <c r="O1626" s="68"/>
      <c r="P1626" s="68"/>
      <c r="Q1626" s="320"/>
      <c r="S1626" s="508">
        <v>3</v>
      </c>
      <c r="T1626" s="503" t="s">
        <v>551</v>
      </c>
    </row>
    <row r="1627" spans="2:20" ht="12.6" customHeight="1" x14ac:dyDescent="0.2">
      <c r="B1627" s="56" t="s">
        <v>645</v>
      </c>
      <c r="C1627" s="61"/>
      <c r="D1627" s="57"/>
      <c r="E1627" s="57">
        <v>3.75</v>
      </c>
      <c r="F1627" s="294"/>
      <c r="G1627" s="57">
        <f>$J$1595*$C1613*H1627</f>
        <v>3</v>
      </c>
      <c r="H1627" s="294">
        <v>0.25</v>
      </c>
      <c r="I1627" s="57"/>
      <c r="J1627" s="294">
        <v>0.5</v>
      </c>
      <c r="K1627" s="294">
        <f>SUM(E1627+G1627+I1627)</f>
        <v>6.75</v>
      </c>
      <c r="L1627" s="68"/>
      <c r="M1627" s="68"/>
      <c r="N1627" s="68"/>
      <c r="O1627" s="68"/>
      <c r="P1627" s="68"/>
      <c r="Q1627" s="320"/>
    </row>
    <row r="1628" spans="2:20" ht="12.6" customHeight="1" x14ac:dyDescent="0.2">
      <c r="B1628" s="56"/>
      <c r="C1628" s="61"/>
      <c r="D1628" s="57"/>
      <c r="E1628" s="307">
        <f>SUM(E1624:E1627)</f>
        <v>30</v>
      </c>
      <c r="F1628" s="57"/>
      <c r="G1628" s="307">
        <f>SUM(G1624:G1627)</f>
        <v>14.34</v>
      </c>
      <c r="H1628" s="57"/>
      <c r="I1628" s="307">
        <f>SUM(I1624:I1627)</f>
        <v>0</v>
      </c>
      <c r="J1628" s="57"/>
      <c r="K1628" s="57">
        <f>SUM(E1628+G1628+I1628)</f>
        <v>44.34</v>
      </c>
      <c r="L1628" s="68"/>
      <c r="M1628" s="68"/>
      <c r="N1628" s="68"/>
      <c r="O1628" s="68"/>
      <c r="P1628" s="68"/>
      <c r="Q1628" s="320"/>
    </row>
    <row r="1629" spans="2:20" ht="12.6" customHeight="1" x14ac:dyDescent="0.2">
      <c r="B1629" s="56"/>
      <c r="C1629" s="61"/>
      <c r="D1629" s="57"/>
      <c r="E1629" s="57"/>
      <c r="F1629" s="57"/>
      <c r="G1629" s="57"/>
      <c r="H1629" s="57"/>
      <c r="I1629" s="57"/>
      <c r="J1629" s="57"/>
      <c r="K1629" s="57"/>
      <c r="L1629" s="68"/>
      <c r="M1629" s="68"/>
      <c r="N1629" s="68"/>
      <c r="O1629" s="68"/>
      <c r="P1629" s="68"/>
      <c r="Q1629" s="320"/>
    </row>
    <row r="1630" spans="2:20" ht="12.6" customHeight="1" x14ac:dyDescent="0.2">
      <c r="B1630" s="72" t="s">
        <v>662</v>
      </c>
      <c r="C1630" s="61"/>
      <c r="D1630" s="57"/>
      <c r="E1630" s="349" t="s">
        <v>635</v>
      </c>
      <c r="F1630" s="350"/>
      <c r="G1630" s="349" t="s">
        <v>634</v>
      </c>
      <c r="H1630" s="350"/>
      <c r="I1630" s="349" t="s">
        <v>260</v>
      </c>
      <c r="J1630" s="351"/>
      <c r="K1630" s="351" t="s">
        <v>551</v>
      </c>
      <c r="L1630" s="68"/>
      <c r="M1630" s="68"/>
      <c r="N1630" s="68"/>
      <c r="O1630" s="68"/>
      <c r="P1630" s="68"/>
      <c r="Q1630" s="320"/>
    </row>
    <row r="1631" spans="2:20" ht="12.6" customHeight="1" x14ac:dyDescent="0.2">
      <c r="B1631" s="56" t="s">
        <v>279</v>
      </c>
      <c r="C1631" s="61"/>
      <c r="D1631" s="57"/>
      <c r="E1631" s="57">
        <f>($P$1596*$C1616*F1631)*0.75</f>
        <v>22.5</v>
      </c>
      <c r="F1631" s="294">
        <v>1</v>
      </c>
      <c r="G1631" s="57">
        <f>($P$1595*$C1616*H1631)*0.75</f>
        <v>5.8500000000000005</v>
      </c>
      <c r="H1631" s="294">
        <v>0.2</v>
      </c>
      <c r="I1631" s="57">
        <f>(16*$C1616)*0.75</f>
        <v>24</v>
      </c>
      <c r="J1631" s="294">
        <v>1</v>
      </c>
      <c r="K1631" s="294">
        <f>SUM(E1631+G1631+I1631)</f>
        <v>52.35</v>
      </c>
      <c r="L1631" s="68"/>
      <c r="M1631" s="68"/>
      <c r="N1631" s="68"/>
      <c r="O1631" s="68"/>
      <c r="P1631" s="68"/>
      <c r="Q1631" s="320"/>
    </row>
    <row r="1632" spans="2:20" ht="12.6" customHeight="1" x14ac:dyDescent="0.2">
      <c r="B1632" s="56" t="s">
        <v>615</v>
      </c>
      <c r="C1632" s="61"/>
      <c r="D1632" s="57"/>
      <c r="E1632" s="57">
        <f>($P$1596*$C1617*F1632)*0.75</f>
        <v>7.875</v>
      </c>
      <c r="F1632" s="294">
        <v>1</v>
      </c>
      <c r="G1632" s="57">
        <f>($P$1595*$C1617*H1632)*0.75</f>
        <v>10.237499999999999</v>
      </c>
      <c r="H1632" s="294">
        <v>1</v>
      </c>
      <c r="I1632" s="57"/>
      <c r="J1632" s="294">
        <v>1</v>
      </c>
      <c r="K1632" s="294">
        <f>SUM(E1632+G1632+I1632)</f>
        <v>18.112499999999997</v>
      </c>
      <c r="L1632" s="68"/>
      <c r="M1632" s="68"/>
      <c r="N1632" s="68"/>
      <c r="O1632" s="68"/>
      <c r="P1632" s="68"/>
      <c r="Q1632" s="320"/>
    </row>
    <row r="1633" spans="2:27" ht="12.6" customHeight="1" x14ac:dyDescent="0.2">
      <c r="B1633" s="56" t="s">
        <v>280</v>
      </c>
      <c r="C1633" s="61"/>
      <c r="D1633" s="57"/>
      <c r="E1633" s="57">
        <f>($P$1596*$C1618*F1633)*0.75</f>
        <v>9</v>
      </c>
      <c r="F1633" s="294">
        <v>1</v>
      </c>
      <c r="G1633" s="57">
        <f>($P$1595*$C1618*H1633)*0.75</f>
        <v>2.3400000000000003</v>
      </c>
      <c r="H1633" s="294">
        <v>0.2</v>
      </c>
      <c r="I1633" s="57"/>
      <c r="J1633" s="294">
        <v>0</v>
      </c>
      <c r="K1633" s="294">
        <f>SUM(E1633+G1633+I1633)</f>
        <v>11.34</v>
      </c>
      <c r="L1633" s="68"/>
      <c r="M1633" s="68"/>
      <c r="N1633" s="68"/>
      <c r="O1633" s="68"/>
      <c r="P1633" s="68"/>
      <c r="Q1633" s="320"/>
    </row>
    <row r="1634" spans="2:27" ht="12.6" customHeight="1" x14ac:dyDescent="0.2">
      <c r="B1634" s="56" t="s">
        <v>645</v>
      </c>
      <c r="C1634" s="61"/>
      <c r="D1634" s="57"/>
      <c r="E1634" s="57">
        <v>3.75</v>
      </c>
      <c r="F1634" s="294"/>
      <c r="G1634" s="57">
        <f>$P$1595*$C1613*H1634</f>
        <v>4.875</v>
      </c>
      <c r="H1634" s="294">
        <v>0.25</v>
      </c>
      <c r="I1634" s="57">
        <f>16*$C1613*J1634</f>
        <v>8</v>
      </c>
      <c r="J1634" s="294">
        <v>0.5</v>
      </c>
      <c r="K1634" s="294">
        <f>SUM(E1634+G1634+I1634)</f>
        <v>16.625</v>
      </c>
      <c r="L1634" s="68"/>
      <c r="M1634" s="68"/>
      <c r="N1634" s="68"/>
      <c r="O1634" s="68"/>
      <c r="P1634" s="68"/>
      <c r="Q1634" s="320"/>
    </row>
    <row r="1635" spans="2:27" ht="12.6" customHeight="1" x14ac:dyDescent="0.2">
      <c r="B1635" s="56"/>
      <c r="C1635" s="61"/>
      <c r="D1635" s="57"/>
      <c r="E1635" s="307">
        <f>SUM(E1631:E1634)</f>
        <v>43.125</v>
      </c>
      <c r="F1635" s="57"/>
      <c r="G1635" s="307">
        <f>SUM(G1631:G1634)</f>
        <v>23.302499999999998</v>
      </c>
      <c r="H1635" s="57"/>
      <c r="I1635" s="307">
        <f>SUM(I1631:I1634)</f>
        <v>32</v>
      </c>
      <c r="J1635" s="57"/>
      <c r="K1635" s="57">
        <f>SUM(E1635+G1635+I1635)</f>
        <v>98.427499999999995</v>
      </c>
      <c r="L1635" s="68"/>
      <c r="M1635" s="68"/>
      <c r="N1635" s="68"/>
      <c r="O1635" s="68"/>
      <c r="P1635" s="68"/>
      <c r="Q1635" s="320"/>
    </row>
    <row r="1636" spans="2:27" ht="12.6" customHeight="1" x14ac:dyDescent="0.2">
      <c r="B1636" s="56"/>
      <c r="C1636" s="61"/>
      <c r="D1636" s="57"/>
      <c r="E1636" s="57"/>
      <c r="F1636" s="57"/>
      <c r="G1636" s="57"/>
      <c r="H1636" s="57"/>
      <c r="I1636" s="57"/>
      <c r="J1636" s="57"/>
      <c r="K1636" s="57"/>
      <c r="L1636" s="68"/>
      <c r="M1636" s="68"/>
      <c r="N1636" s="68"/>
      <c r="O1636" s="68"/>
      <c r="P1636" s="68">
        <f>P1355+P1306+P1257</f>
        <v>33.75</v>
      </c>
      <c r="Q1636" s="320"/>
    </row>
    <row r="1637" spans="2:27" ht="12.6" customHeight="1" x14ac:dyDescent="0.2">
      <c r="B1637" s="56"/>
      <c r="C1637" s="61"/>
      <c r="D1637" s="57"/>
      <c r="E1637" s="57"/>
      <c r="F1637" s="57"/>
      <c r="G1637" s="57"/>
      <c r="H1637" s="57"/>
      <c r="I1637" s="57"/>
      <c r="J1637" s="57"/>
      <c r="K1637" s="57"/>
      <c r="L1637" s="68"/>
      <c r="M1637" s="68"/>
      <c r="N1637" s="68"/>
      <c r="O1637" s="68"/>
      <c r="P1637" s="68"/>
      <c r="Q1637" s="320"/>
    </row>
    <row r="1638" spans="2:27" ht="12.6" customHeight="1" x14ac:dyDescent="0.2">
      <c r="B1638" s="56"/>
      <c r="C1638" s="61"/>
      <c r="D1638" s="57"/>
      <c r="E1638" s="57"/>
      <c r="F1638" s="57"/>
      <c r="G1638" s="57"/>
      <c r="H1638" s="57"/>
      <c r="I1638" s="57"/>
      <c r="J1638" s="57"/>
      <c r="K1638" s="57"/>
      <c r="L1638" s="68"/>
      <c r="M1638" s="68"/>
      <c r="N1638" s="68"/>
      <c r="O1638" s="68"/>
      <c r="P1638" s="68"/>
      <c r="Q1638" s="320"/>
    </row>
    <row r="1640" spans="2:27" ht="12.6" customHeight="1" x14ac:dyDescent="0.2">
      <c r="B1640" s="56" t="s">
        <v>241</v>
      </c>
      <c r="C1640" s="61"/>
      <c r="D1640" s="57"/>
      <c r="E1640" s="57"/>
      <c r="F1640" s="57"/>
      <c r="G1640" s="57"/>
      <c r="H1640" s="57"/>
      <c r="I1640" s="57"/>
      <c r="J1640" s="57"/>
      <c r="K1640" s="57"/>
      <c r="L1640" s="68"/>
      <c r="M1640" s="68"/>
      <c r="N1640" s="68"/>
      <c r="O1640" s="68"/>
      <c r="P1640" s="68"/>
      <c r="Q1640" s="320"/>
    </row>
    <row r="1641" spans="2:27" ht="12.6" customHeight="1" x14ac:dyDescent="0.2">
      <c r="B1641" s="56" t="s">
        <v>604</v>
      </c>
      <c r="C1641" s="61"/>
      <c r="D1641" s="57"/>
      <c r="E1641" s="57"/>
      <c r="F1641" s="57"/>
      <c r="G1641" s="57"/>
      <c r="H1641" s="57"/>
      <c r="I1641" s="57">
        <f>+I1595+I1596+I1599</f>
        <v>22</v>
      </c>
      <c r="J1641" s="57">
        <f t="shared" ref="J1641:P1641" si="1389">+J1595+J1596+J1599</f>
        <v>22</v>
      </c>
      <c r="K1641" s="57">
        <f t="shared" si="1389"/>
        <v>27.5</v>
      </c>
      <c r="L1641" s="68">
        <f t="shared" si="1389"/>
        <v>27.5</v>
      </c>
      <c r="M1641" s="68">
        <f t="shared" si="1389"/>
        <v>29.5</v>
      </c>
      <c r="N1641" s="68">
        <f t="shared" si="1389"/>
        <v>34.5</v>
      </c>
      <c r="O1641" s="68">
        <f t="shared" si="1389"/>
        <v>34.5</v>
      </c>
      <c r="P1641" s="68">
        <f t="shared" si="1389"/>
        <v>39.5</v>
      </c>
      <c r="Q1641" s="320">
        <f>+P1641-J1641</f>
        <v>17.5</v>
      </c>
      <c r="S1641" s="545" t="str">
        <f>IF(ISERROR((J1641/D1641)^(1/6)-1)," ",(J1641/D1641)^(1/6)-1)</f>
        <v xml:space="preserve"> </v>
      </c>
      <c r="T1641" s="545">
        <f>IF(ISERROR((P1641/J1641)^(1/6)-1)," ",(P1641/J1641)^(1/6)-1)</f>
        <v>0.10245888643134382</v>
      </c>
    </row>
    <row r="1642" spans="2:27" ht="12.6" customHeight="1" x14ac:dyDescent="0.2">
      <c r="B1642" s="56" t="s">
        <v>1506</v>
      </c>
      <c r="C1642" s="61"/>
      <c r="D1642" s="57"/>
      <c r="E1642" s="57"/>
      <c r="F1642" s="57"/>
      <c r="G1642" s="57"/>
      <c r="H1642" s="57"/>
      <c r="I1642" s="57">
        <f>+I1645-I1644</f>
        <v>18.200000000000003</v>
      </c>
      <c r="J1642" s="57">
        <f>+J1645-J1644</f>
        <v>19.565999999999999</v>
      </c>
      <c r="K1642" s="57">
        <f>++K1596*0.9+(K1595-7)*0.9+7*0.25</f>
        <v>20.200000000000003</v>
      </c>
      <c r="L1642" s="68">
        <f>++L1596*0.9+(L1595)*0.9</f>
        <v>24.75</v>
      </c>
      <c r="M1642" s="68">
        <f>++M1596*0.9+(M1595)*0.9</f>
        <v>26.55</v>
      </c>
      <c r="N1642" s="68">
        <f>+N1596*0.85+(N1595-5)*0.85+N1599*0.25+5*0.25</f>
        <v>26.324999999999999</v>
      </c>
      <c r="O1642" s="68">
        <f>+(O1595+O1596+O1599)*0.85</f>
        <v>29.324999999999999</v>
      </c>
      <c r="P1642" s="68">
        <f>+(P1595+P1596+P1599)*0.85</f>
        <v>33.574999999999996</v>
      </c>
      <c r="Q1642" s="320"/>
      <c r="S1642" s="545" t="str">
        <f>IF(ISERROR((J1642/D1642)^(1/6)-1)," ",(J1642/D1642)^(1/6)-1)</f>
        <v xml:space="preserve"> </v>
      </c>
      <c r="T1642" s="545">
        <f>IF(ISERROR((P1642/J1642)^(1/6)-1)," ",(P1642/J1642)^(1/6)-1)</f>
        <v>9.417216399516648E-2</v>
      </c>
    </row>
    <row r="1643" spans="2:27" ht="12.6" customHeight="1" x14ac:dyDescent="0.2">
      <c r="B1643" s="56" t="s">
        <v>1507</v>
      </c>
      <c r="C1643" s="61"/>
      <c r="D1643" s="57"/>
      <c r="E1643" s="57"/>
      <c r="F1643" s="57"/>
      <c r="G1643" s="57"/>
      <c r="H1643" s="57"/>
      <c r="I1643" s="57"/>
      <c r="J1643" s="57"/>
      <c r="K1643" s="57">
        <f t="shared" ref="K1643:P1643" si="1390">+K1642/K1641</f>
        <v>0.73454545454545461</v>
      </c>
      <c r="L1643" s="357">
        <f t="shared" si="1390"/>
        <v>0.9</v>
      </c>
      <c r="M1643" s="357">
        <f t="shared" si="1390"/>
        <v>0.9</v>
      </c>
      <c r="N1643" s="357">
        <f t="shared" si="1390"/>
        <v>0.76304347826086949</v>
      </c>
      <c r="O1643" s="357">
        <f t="shared" si="1390"/>
        <v>0.85</v>
      </c>
      <c r="P1643" s="357">
        <f t="shared" si="1390"/>
        <v>0.84999999999999987</v>
      </c>
      <c r="Q1643" s="320"/>
    </row>
    <row r="1644" spans="2:27" ht="12.6" customHeight="1" x14ac:dyDescent="0.2">
      <c r="B1644" s="56" t="s">
        <v>111</v>
      </c>
      <c r="C1644" s="61"/>
      <c r="D1644" s="57"/>
      <c r="E1644" s="57"/>
      <c r="F1644" s="57"/>
      <c r="G1644" s="57"/>
      <c r="H1644" s="57"/>
      <c r="I1644" s="57">
        <f>2.5+3*0.89</f>
        <v>5.17</v>
      </c>
      <c r="J1644" s="57">
        <f>3+3*0.9</f>
        <v>5.7</v>
      </c>
      <c r="K1644" s="57">
        <f>+K1645-K1642</f>
        <v>7.264999999999997</v>
      </c>
      <c r="L1644" s="68">
        <f>+L1645-L1642</f>
        <v>8.7370000000000019</v>
      </c>
      <c r="M1644" s="68">
        <f>+SUM(M1597:M1598)*0.8+M1601*0.85+M1600*0.5</f>
        <v>6.65</v>
      </c>
      <c r="N1644" s="68">
        <f>+SUM(N1597:N1598)*0.8+N1601*0.85+N1600*0.5</f>
        <v>7.65</v>
      </c>
      <c r="O1644" s="68">
        <f>+SUM(O1597:O1598)*0.8+O1601*0.85+O1600*0.5</f>
        <v>7.65</v>
      </c>
      <c r="P1644" s="68">
        <f>+SUM(P1597:P1598)*0.8+(P1601-5)*0.85+P1600*0.5+5*0.5</f>
        <v>6.9</v>
      </c>
      <c r="Q1644" s="320">
        <f>+P1644-J1644</f>
        <v>1.2000000000000002</v>
      </c>
      <c r="S1644" s="545" t="str">
        <f>IF(ISERROR((J1644/D1644)^(1/6)-1)," ",(J1644/D1644)^(1/6)-1)</f>
        <v xml:space="preserve"> </v>
      </c>
      <c r="T1644" s="545">
        <f>IF(ISERROR((P1644/J1644)^(1/6)-1)," ",(P1644/J1644)^(1/6)-1)</f>
        <v>3.2354937340995482E-2</v>
      </c>
    </row>
    <row r="1645" spans="2:27" ht="12.6" customHeight="1" x14ac:dyDescent="0.2">
      <c r="B1645" s="56" t="s">
        <v>1508</v>
      </c>
      <c r="C1645" s="95"/>
      <c r="D1645" s="63"/>
      <c r="E1645" s="63"/>
      <c r="F1645" s="63"/>
      <c r="G1645" s="63"/>
      <c r="H1645" s="63"/>
      <c r="I1645" s="63">
        <v>23.37</v>
      </c>
      <c r="J1645" s="63">
        <v>25.265999999999998</v>
      </c>
      <c r="K1645" s="63">
        <v>27.465</v>
      </c>
      <c r="L1645" s="64">
        <v>33.487000000000002</v>
      </c>
      <c r="M1645" s="64">
        <f>+M1642+M1644</f>
        <v>33.200000000000003</v>
      </c>
      <c r="N1645" s="64">
        <f>+N1642+N1644</f>
        <v>33.975000000000001</v>
      </c>
      <c r="O1645" s="64">
        <f>+O1642+O1644</f>
        <v>36.975000000000001</v>
      </c>
      <c r="P1645" s="64">
        <f>+P1642+P1644</f>
        <v>40.474999999999994</v>
      </c>
      <c r="Q1645" s="321">
        <f>+P1645-J1645</f>
        <v>15.208999999999996</v>
      </c>
      <c r="S1645" s="545" t="str">
        <f>IF(ISERROR((J1645/D1645)^(1/6)-1)," ",(J1645/D1645)^(1/6)-1)</f>
        <v xml:space="preserve"> </v>
      </c>
      <c r="T1645" s="545">
        <f>IF(ISERROR((P1645/J1645)^(1/6)-1)," ",(P1645/J1645)^(1/6)-1)</f>
        <v>8.1703896872953097E-2</v>
      </c>
    </row>
    <row r="1646" spans="2:27" ht="12.6" customHeight="1" x14ac:dyDescent="0.2">
      <c r="B1646" s="56" t="s">
        <v>1507</v>
      </c>
      <c r="C1646" s="61"/>
      <c r="D1646" s="57"/>
      <c r="E1646" s="57"/>
      <c r="F1646" s="57"/>
      <c r="G1646" s="57"/>
      <c r="H1646" s="57"/>
      <c r="I1646" s="57"/>
      <c r="J1646" s="57"/>
      <c r="K1646" s="57">
        <f t="shared" ref="K1646:P1646" si="1391">+K1645/K1602</f>
        <v>0.77366197183098595</v>
      </c>
      <c r="L1646" s="357">
        <f t="shared" si="1391"/>
        <v>0.94329577464788739</v>
      </c>
      <c r="M1646" s="357">
        <f t="shared" si="1391"/>
        <v>0.88533333333333342</v>
      </c>
      <c r="N1646" s="357">
        <f t="shared" si="1391"/>
        <v>0.76348314606741574</v>
      </c>
      <c r="O1646" s="357">
        <f t="shared" si="1391"/>
        <v>0.83089887640449445</v>
      </c>
      <c r="P1646" s="357">
        <f t="shared" si="1391"/>
        <v>0.78592233009708723</v>
      </c>
      <c r="Q1646" s="320"/>
    </row>
    <row r="1647" spans="2:27" ht="12.6" customHeight="1" x14ac:dyDescent="0.2">
      <c r="S1647" s="512"/>
      <c r="T1647" s="516" t="s">
        <v>635</v>
      </c>
      <c r="U1647" s="516"/>
      <c r="V1647" s="522" t="s">
        <v>634</v>
      </c>
      <c r="W1647" s="517"/>
      <c r="X1647" s="516" t="s">
        <v>260</v>
      </c>
      <c r="Y1647" s="516"/>
      <c r="Z1647" s="522" t="s">
        <v>551</v>
      </c>
      <c r="AA1647" s="517"/>
    </row>
    <row r="1648" spans="2:27" ht="12.6" customHeight="1" x14ac:dyDescent="0.2">
      <c r="B1648" s="72" t="s">
        <v>643</v>
      </c>
      <c r="C1648" s="65"/>
      <c r="D1648" s="57"/>
      <c r="E1648" s="57"/>
      <c r="F1648" s="57"/>
      <c r="G1648" s="57"/>
      <c r="H1648" s="57"/>
      <c r="I1648" s="57"/>
      <c r="J1648" s="57"/>
      <c r="K1648" s="57"/>
      <c r="L1648" s="68"/>
      <c r="M1648" s="68"/>
      <c r="N1648" s="68"/>
      <c r="O1648" s="68"/>
      <c r="P1648" s="68"/>
      <c r="Q1648" s="320"/>
      <c r="S1648" s="512" t="s">
        <v>885</v>
      </c>
      <c r="T1648" s="515" t="s">
        <v>273</v>
      </c>
      <c r="U1648" s="515" t="s">
        <v>874</v>
      </c>
      <c r="V1648" s="523" t="s">
        <v>273</v>
      </c>
      <c r="W1648" s="518" t="s">
        <v>874</v>
      </c>
      <c r="X1648" s="515" t="s">
        <v>273</v>
      </c>
      <c r="Y1648" s="515" t="s">
        <v>874</v>
      </c>
      <c r="Z1648" s="523" t="s">
        <v>273</v>
      </c>
      <c r="AA1648" s="518" t="s">
        <v>874</v>
      </c>
    </row>
    <row r="1649" spans="2:28" ht="12.6" customHeight="1" x14ac:dyDescent="0.2">
      <c r="B1649" s="56" t="s">
        <v>634</v>
      </c>
      <c r="C1649" s="65"/>
      <c r="D1649" s="57"/>
      <c r="E1649" s="57"/>
      <c r="F1649" s="57"/>
      <c r="G1649" s="57"/>
      <c r="H1649" s="57"/>
      <c r="I1649" s="57"/>
      <c r="J1649" s="57">
        <f t="shared" ref="J1649:P1650" si="1392">J1656*J1595</f>
        <v>10.8</v>
      </c>
      <c r="K1649" s="57">
        <f t="shared" si="1392"/>
        <v>11.55</v>
      </c>
      <c r="L1649" s="68">
        <f t="shared" si="1392"/>
        <v>15.75</v>
      </c>
      <c r="M1649" s="68">
        <f t="shared" si="1392"/>
        <v>17.55</v>
      </c>
      <c r="N1649" s="68">
        <f t="shared" si="1392"/>
        <v>12.870000000000001</v>
      </c>
      <c r="O1649" s="68">
        <f t="shared" si="1392"/>
        <v>16.574999999999999</v>
      </c>
      <c r="P1649" s="68">
        <f t="shared" si="1392"/>
        <v>16.574999999999999</v>
      </c>
      <c r="Q1649" s="320"/>
      <c r="S1649" s="513" t="s">
        <v>883</v>
      </c>
      <c r="T1649" s="509"/>
      <c r="U1649" s="509"/>
      <c r="V1649" s="524"/>
      <c r="W1649" s="519"/>
      <c r="X1649" s="509"/>
      <c r="Y1649" s="509"/>
      <c r="Z1649" s="524"/>
      <c r="AA1649" s="519"/>
    </row>
    <row r="1650" spans="2:28" ht="12.6" customHeight="1" x14ac:dyDescent="0.2">
      <c r="B1650" s="56" t="s">
        <v>635</v>
      </c>
      <c r="C1650" s="65"/>
      <c r="D1650" s="57"/>
      <c r="E1650" s="57"/>
      <c r="F1650" s="57"/>
      <c r="G1650" s="57"/>
      <c r="H1650" s="57"/>
      <c r="I1650" s="57"/>
      <c r="J1650" s="57">
        <f t="shared" si="1392"/>
        <v>9</v>
      </c>
      <c r="K1650" s="57">
        <f t="shared" si="1392"/>
        <v>9</v>
      </c>
      <c r="L1650" s="68">
        <f t="shared" si="1392"/>
        <v>9</v>
      </c>
      <c r="M1650" s="68">
        <f t="shared" si="1392"/>
        <v>9</v>
      </c>
      <c r="N1650" s="68">
        <f t="shared" si="1392"/>
        <v>12.75</v>
      </c>
      <c r="O1650" s="68">
        <f t="shared" si="1392"/>
        <v>12.75</v>
      </c>
      <c r="P1650" s="68">
        <f t="shared" si="1392"/>
        <v>12.75</v>
      </c>
      <c r="Q1650" s="320"/>
      <c r="S1650" s="527" t="s">
        <v>279</v>
      </c>
      <c r="T1650" s="509">
        <f>$J$1650*C1616</f>
        <v>18</v>
      </c>
      <c r="U1650" s="509">
        <f>$P$1650*C1616</f>
        <v>25.5</v>
      </c>
      <c r="V1650" s="524">
        <f>$J$1649*C1616</f>
        <v>21.6</v>
      </c>
      <c r="W1650" s="519">
        <f>$P$1649*C1616</f>
        <v>33.15</v>
      </c>
      <c r="X1650" s="509">
        <f>$J$1651*C1616</f>
        <v>0</v>
      </c>
      <c r="Y1650" s="509">
        <f>$P$1651*C1616</f>
        <v>8.5</v>
      </c>
      <c r="Z1650" s="524">
        <f t="shared" ref="Z1650:Z1652" si="1393">T1650+V1650+X1650</f>
        <v>39.6</v>
      </c>
      <c r="AA1650" s="519">
        <f>U1650+W1650+Y1650</f>
        <v>67.150000000000006</v>
      </c>
    </row>
    <row r="1651" spans="2:28" ht="12.6" customHeight="1" x14ac:dyDescent="0.2">
      <c r="B1651" s="56" t="s">
        <v>260</v>
      </c>
      <c r="C1651" s="65"/>
      <c r="D1651" s="57"/>
      <c r="E1651" s="57"/>
      <c r="F1651" s="57"/>
      <c r="G1651" s="57"/>
      <c r="H1651" s="57"/>
      <c r="I1651" s="57"/>
      <c r="J1651" s="57">
        <v>0</v>
      </c>
      <c r="K1651" s="57">
        <f t="shared" ref="K1651:P1651" si="1394">K1658*K1599</f>
        <v>0</v>
      </c>
      <c r="L1651" s="68">
        <f t="shared" si="1394"/>
        <v>0</v>
      </c>
      <c r="M1651" s="68">
        <f t="shared" si="1394"/>
        <v>0</v>
      </c>
      <c r="N1651" s="68">
        <f t="shared" si="1394"/>
        <v>0</v>
      </c>
      <c r="O1651" s="68">
        <f t="shared" si="1394"/>
        <v>0</v>
      </c>
      <c r="P1651" s="68">
        <f t="shared" si="1394"/>
        <v>4.25</v>
      </c>
      <c r="Q1651" s="320"/>
      <c r="S1651" s="528" t="s">
        <v>615</v>
      </c>
      <c r="T1651" s="511">
        <f>$J$1650*C1617</f>
        <v>6.3</v>
      </c>
      <c r="U1651" s="509">
        <f>$P$1650*C1617</f>
        <v>8.9249999999999989</v>
      </c>
      <c r="V1651" s="525">
        <f>$J$1649*C1617</f>
        <v>7.56</v>
      </c>
      <c r="W1651" s="520">
        <f>$P$1649*C1617</f>
        <v>11.602499999999999</v>
      </c>
      <c r="X1651" s="511">
        <f>$J$1651*C1617</f>
        <v>0</v>
      </c>
      <c r="Y1651" s="511">
        <f>$P$1651*C1617</f>
        <v>2.9749999999999996</v>
      </c>
      <c r="Z1651" s="525">
        <f t="shared" si="1393"/>
        <v>13.86</v>
      </c>
      <c r="AA1651" s="520">
        <f>U1651+W1651+Y1651</f>
        <v>23.502499999999998</v>
      </c>
    </row>
    <row r="1652" spans="2:28" ht="12.6" customHeight="1" x14ac:dyDescent="0.2">
      <c r="B1652" s="72" t="s">
        <v>551</v>
      </c>
      <c r="C1652" s="65"/>
      <c r="D1652" s="57"/>
      <c r="E1652" s="57"/>
      <c r="F1652" s="57"/>
      <c r="G1652" s="57"/>
      <c r="H1652" s="57"/>
      <c r="I1652" s="57"/>
      <c r="J1652" s="57">
        <f>J1642</f>
        <v>19.565999999999999</v>
      </c>
      <c r="K1652" s="57">
        <f t="shared" ref="K1652:P1652" si="1395">SUM(K1649:K1651)</f>
        <v>20.55</v>
      </c>
      <c r="L1652" s="64">
        <f t="shared" si="1395"/>
        <v>24.75</v>
      </c>
      <c r="M1652" s="64">
        <f t="shared" si="1395"/>
        <v>26.55</v>
      </c>
      <c r="N1652" s="64">
        <f t="shared" si="1395"/>
        <v>25.62</v>
      </c>
      <c r="O1652" s="64">
        <f t="shared" si="1395"/>
        <v>29.324999999999999</v>
      </c>
      <c r="P1652" s="64">
        <f t="shared" si="1395"/>
        <v>33.575000000000003</v>
      </c>
      <c r="Q1652" s="320"/>
      <c r="S1652" s="528" t="s">
        <v>280</v>
      </c>
      <c r="T1652" s="511">
        <f>$J$1650*C1618</f>
        <v>7.2</v>
      </c>
      <c r="U1652" s="509">
        <f>$P$1650*C1618</f>
        <v>10.200000000000001</v>
      </c>
      <c r="V1652" s="525">
        <f>$J$1649*C1618</f>
        <v>8.64</v>
      </c>
      <c r="W1652" s="520">
        <f>$P$1649*C1618</f>
        <v>13.26</v>
      </c>
      <c r="X1652" s="511">
        <f>$J$1651*C1618</f>
        <v>0</v>
      </c>
      <c r="Y1652" s="511">
        <f>$P$1651*C1618</f>
        <v>3.4000000000000004</v>
      </c>
      <c r="Z1652" s="525">
        <f t="shared" si="1393"/>
        <v>15.84</v>
      </c>
      <c r="AA1652" s="520">
        <f>U1652+W1652+Y1652</f>
        <v>26.86</v>
      </c>
    </row>
    <row r="1653" spans="2:28" ht="12.6" customHeight="1" x14ac:dyDescent="0.2">
      <c r="S1653" s="514"/>
      <c r="T1653" s="510">
        <f>SUM(T1650:T1652)</f>
        <v>31.5</v>
      </c>
      <c r="U1653" s="510">
        <f t="shared" ref="U1653:AA1653" si="1396">SUM(U1650:U1652)</f>
        <v>44.625</v>
      </c>
      <c r="V1653" s="510">
        <f t="shared" si="1396"/>
        <v>37.799999999999997</v>
      </c>
      <c r="W1653" s="510">
        <f t="shared" si="1396"/>
        <v>58.012499999999996</v>
      </c>
      <c r="X1653" s="510">
        <f t="shared" si="1396"/>
        <v>0</v>
      </c>
      <c r="Y1653" s="510">
        <f t="shared" si="1396"/>
        <v>14.875</v>
      </c>
      <c r="Z1653" s="510">
        <f t="shared" si="1396"/>
        <v>69.3</v>
      </c>
      <c r="AA1653" s="510">
        <f t="shared" si="1396"/>
        <v>117.5125</v>
      </c>
    </row>
    <row r="1654" spans="2:28" ht="12.6" customHeight="1" x14ac:dyDescent="0.2">
      <c r="S1654" s="514"/>
      <c r="T1654" s="511"/>
      <c r="U1654" s="511"/>
      <c r="V1654" s="525"/>
      <c r="W1654" s="520"/>
      <c r="X1654" s="511"/>
      <c r="Y1654" s="511"/>
      <c r="Z1654" s="525"/>
      <c r="AA1654" s="520"/>
    </row>
    <row r="1655" spans="2:28" ht="12.6" customHeight="1" x14ac:dyDescent="0.2">
      <c r="B1655" s="72" t="s">
        <v>1510</v>
      </c>
      <c r="C1655" s="65"/>
      <c r="D1655" s="57"/>
      <c r="E1655" s="57"/>
      <c r="F1655" s="57"/>
      <c r="G1655" s="57"/>
      <c r="H1655" s="57"/>
      <c r="I1655" s="57"/>
      <c r="J1655" s="57"/>
      <c r="K1655" s="57"/>
      <c r="L1655" s="68"/>
      <c r="M1655" s="68"/>
      <c r="N1655" s="68"/>
      <c r="O1655" s="68"/>
      <c r="P1655" s="68"/>
      <c r="Q1655" s="320"/>
      <c r="S1655" s="514" t="s">
        <v>884</v>
      </c>
      <c r="T1655" s="511"/>
      <c r="U1655" s="511"/>
      <c r="V1655" s="525"/>
      <c r="W1655" s="520"/>
      <c r="X1655" s="511"/>
      <c r="Y1655" s="511"/>
      <c r="Z1655" s="525"/>
      <c r="AA1655" s="520"/>
    </row>
    <row r="1656" spans="2:28" ht="12.6" customHeight="1" x14ac:dyDescent="0.2">
      <c r="B1656" s="56" t="s">
        <v>634</v>
      </c>
      <c r="C1656" s="65"/>
      <c r="D1656" s="57"/>
      <c r="E1656" s="57"/>
      <c r="F1656" s="57"/>
      <c r="G1656" s="57"/>
      <c r="H1656" s="57"/>
      <c r="I1656" s="57"/>
      <c r="J1656" s="361">
        <v>0.9</v>
      </c>
      <c r="K1656" s="361">
        <v>0.66</v>
      </c>
      <c r="L1656" s="792">
        <v>0.9</v>
      </c>
      <c r="M1656" s="792">
        <v>0.9</v>
      </c>
      <c r="N1656" s="792">
        <v>0.66</v>
      </c>
      <c r="O1656" s="792">
        <v>0.85</v>
      </c>
      <c r="P1656" s="792">
        <v>0.85</v>
      </c>
      <c r="Q1656" s="320"/>
      <c r="S1656" s="528" t="s">
        <v>279</v>
      </c>
      <c r="T1656" s="511">
        <f>T1650*F1624</f>
        <v>18</v>
      </c>
      <c r="U1656" s="511">
        <f>U1650*F1631</f>
        <v>25.5</v>
      </c>
      <c r="V1656" s="525">
        <f>V1650*H1624</f>
        <v>4.32</v>
      </c>
      <c r="W1656" s="520">
        <f>G1631</f>
        <v>5.8500000000000005</v>
      </c>
      <c r="X1656" s="511">
        <v>0</v>
      </c>
      <c r="Y1656" s="511">
        <f>Y1650*J1631</f>
        <v>8.5</v>
      </c>
      <c r="Z1656" s="525">
        <f t="shared" ref="Z1656:Z1660" si="1397">T1656+V1656+X1656</f>
        <v>22.32</v>
      </c>
      <c r="AA1656" s="520">
        <f>U1656+W1656+Y1656</f>
        <v>39.85</v>
      </c>
    </row>
    <row r="1657" spans="2:28" ht="12.6" customHeight="1" x14ac:dyDescent="0.2">
      <c r="B1657" s="56" t="s">
        <v>635</v>
      </c>
      <c r="C1657" s="65"/>
      <c r="D1657" s="57"/>
      <c r="E1657" s="57"/>
      <c r="F1657" s="57"/>
      <c r="G1657" s="57"/>
      <c r="H1657" s="57"/>
      <c r="I1657" s="57"/>
      <c r="J1657" s="361">
        <v>0.9</v>
      </c>
      <c r="K1657" s="361">
        <v>0.9</v>
      </c>
      <c r="L1657" s="792">
        <v>0.9</v>
      </c>
      <c r="M1657" s="792">
        <v>0.9</v>
      </c>
      <c r="N1657" s="792">
        <v>0.85</v>
      </c>
      <c r="O1657" s="792">
        <v>0.85</v>
      </c>
      <c r="P1657" s="792">
        <v>0.85</v>
      </c>
      <c r="Q1657" s="320"/>
      <c r="S1657" s="528" t="s">
        <v>615</v>
      </c>
      <c r="T1657" s="511">
        <f>T1651*F1625</f>
        <v>6.3</v>
      </c>
      <c r="U1657" s="511">
        <f>U1651*F1632</f>
        <v>8.9249999999999989</v>
      </c>
      <c r="V1657" s="525">
        <f>V1651*H1625</f>
        <v>7.56</v>
      </c>
      <c r="W1657" s="520">
        <f>G1632</f>
        <v>10.237499999999999</v>
      </c>
      <c r="X1657" s="511">
        <v>0</v>
      </c>
      <c r="Y1657" s="511">
        <f>Y1651*J1632</f>
        <v>2.9749999999999996</v>
      </c>
      <c r="Z1657" s="525">
        <f t="shared" si="1397"/>
        <v>13.86</v>
      </c>
      <c r="AA1657" s="520">
        <f>U1657+W1657+Y1657</f>
        <v>22.137499999999996</v>
      </c>
    </row>
    <row r="1658" spans="2:28" ht="12.6" customHeight="1" x14ac:dyDescent="0.2">
      <c r="B1658" s="56" t="s">
        <v>260</v>
      </c>
      <c r="C1658" s="65"/>
      <c r="D1658" s="57"/>
      <c r="E1658" s="57"/>
      <c r="F1658" s="57"/>
      <c r="G1658" s="57"/>
      <c r="H1658" s="57"/>
      <c r="I1658" s="57"/>
      <c r="J1658" s="57"/>
      <c r="K1658" s="57">
        <v>0</v>
      </c>
      <c r="L1658" s="792">
        <v>0</v>
      </c>
      <c r="M1658" s="792">
        <v>0</v>
      </c>
      <c r="N1658" s="792">
        <v>0.25</v>
      </c>
      <c r="O1658" s="792">
        <v>0.85</v>
      </c>
      <c r="P1658" s="792">
        <v>0.85</v>
      </c>
      <c r="Q1658" s="320"/>
      <c r="S1658" s="528" t="s">
        <v>280</v>
      </c>
      <c r="T1658" s="511">
        <f>T1652*F1626</f>
        <v>7.2</v>
      </c>
      <c r="U1658" s="511">
        <f>U1652*F1633</f>
        <v>10.200000000000001</v>
      </c>
      <c r="V1658" s="525">
        <f>V1652*H1626</f>
        <v>1.7280000000000002</v>
      </c>
      <c r="W1658" s="520">
        <f>G1633</f>
        <v>2.3400000000000003</v>
      </c>
      <c r="X1658" s="511">
        <v>0</v>
      </c>
      <c r="Y1658" s="511">
        <f>Y1652*J1633</f>
        <v>0</v>
      </c>
      <c r="Z1658" s="525">
        <f t="shared" si="1397"/>
        <v>8.9280000000000008</v>
      </c>
      <c r="AA1658" s="520">
        <f>U1658+W1658+Y1658</f>
        <v>12.540000000000001</v>
      </c>
    </row>
    <row r="1659" spans="2:28" ht="12.6" customHeight="1" x14ac:dyDescent="0.2">
      <c r="S1659" s="528" t="s">
        <v>645</v>
      </c>
      <c r="T1659" s="511">
        <f>E1627</f>
        <v>3.75</v>
      </c>
      <c r="U1659" s="511">
        <f>E1634</f>
        <v>3.75</v>
      </c>
      <c r="V1659" s="525">
        <f>L1652*H1627</f>
        <v>6.1875</v>
      </c>
      <c r="W1659" s="520">
        <f>P1652*H1627</f>
        <v>8.3937500000000007</v>
      </c>
      <c r="X1659" s="511">
        <v>0</v>
      </c>
      <c r="Y1659" s="511">
        <f>P1651*J1634</f>
        <v>2.125</v>
      </c>
      <c r="Z1659" s="525">
        <f t="shared" si="1397"/>
        <v>9.9375</v>
      </c>
      <c r="AA1659" s="520">
        <f>U1659+W1659+Y1659</f>
        <v>14.268750000000001</v>
      </c>
    </row>
    <row r="1660" spans="2:28" ht="12.6" customHeight="1" x14ac:dyDescent="0.2">
      <c r="S1660" s="514" t="s">
        <v>882</v>
      </c>
      <c r="T1660" s="510">
        <f t="shared" ref="T1660:Y1660" si="1398">SUM(T1656:T1659)</f>
        <v>35.25</v>
      </c>
      <c r="U1660" s="510">
        <f t="shared" si="1398"/>
        <v>48.375</v>
      </c>
      <c r="V1660" s="526">
        <f t="shared" si="1398"/>
        <v>19.795499999999997</v>
      </c>
      <c r="W1660" s="521">
        <f t="shared" si="1398"/>
        <v>26.821249999999999</v>
      </c>
      <c r="X1660" s="510">
        <f t="shared" si="1398"/>
        <v>0</v>
      </c>
      <c r="Y1660" s="510">
        <f t="shared" si="1398"/>
        <v>13.6</v>
      </c>
      <c r="Z1660" s="526">
        <f t="shared" si="1397"/>
        <v>55.045499999999997</v>
      </c>
      <c r="AA1660" s="521">
        <f>U1660+W1660+Y1660</f>
        <v>88.796249999999986</v>
      </c>
      <c r="AB1660" s="37">
        <f>AA1660-Z1660</f>
        <v>33.750749999999989</v>
      </c>
    </row>
    <row r="1661" spans="2:28" ht="12.6" customHeight="1" x14ac:dyDescent="0.2">
      <c r="B1661" s="72" t="s">
        <v>1509</v>
      </c>
      <c r="C1661" s="65"/>
      <c r="D1661" s="57"/>
      <c r="E1661" s="57"/>
      <c r="F1661" s="57"/>
      <c r="G1661" s="57"/>
      <c r="H1661" s="57"/>
      <c r="I1661" s="57"/>
      <c r="J1661" s="57"/>
      <c r="K1661" s="57"/>
      <c r="L1661" s="68"/>
      <c r="M1661" s="68"/>
      <c r="N1661" s="68"/>
      <c r="O1661" s="68"/>
      <c r="P1661" s="68"/>
      <c r="Q1661" s="320"/>
      <c r="Z1661" s="539">
        <f>Z1660/106</f>
        <v>0.51929716981132068</v>
      </c>
      <c r="AA1661" s="539">
        <f>AA1660/262</f>
        <v>0.33891698473282439</v>
      </c>
    </row>
    <row r="1662" spans="2:28" ht="12.6" customHeight="1" x14ac:dyDescent="0.2">
      <c r="B1662" s="56" t="s">
        <v>279</v>
      </c>
      <c r="C1662" s="65">
        <v>2</v>
      </c>
      <c r="D1662" s="57"/>
      <c r="E1662" s="57"/>
      <c r="F1662" s="57"/>
      <c r="G1662" s="57"/>
      <c r="H1662" s="57"/>
      <c r="I1662" s="57"/>
      <c r="J1662" s="57"/>
      <c r="K1662" s="57"/>
      <c r="L1662" s="68"/>
      <c r="M1662" s="68"/>
      <c r="N1662" s="68"/>
      <c r="O1662" s="68"/>
      <c r="P1662" s="68"/>
      <c r="Q1662" s="320"/>
    </row>
    <row r="1663" spans="2:28" ht="12.6" customHeight="1" x14ac:dyDescent="0.2">
      <c r="B1663" s="56" t="s">
        <v>615</v>
      </c>
      <c r="C1663" s="65">
        <v>0.7</v>
      </c>
      <c r="D1663" s="57"/>
      <c r="E1663" s="57"/>
      <c r="F1663" s="57"/>
      <c r="G1663" s="57"/>
      <c r="H1663" s="57"/>
      <c r="I1663" s="57"/>
      <c r="J1663" s="57"/>
      <c r="K1663" s="57"/>
      <c r="L1663" s="68"/>
      <c r="M1663" s="68"/>
      <c r="N1663" s="68"/>
      <c r="O1663" s="68"/>
      <c r="P1663" s="68"/>
      <c r="Q1663" s="320"/>
    </row>
    <row r="1664" spans="2:28" ht="12.6" customHeight="1" x14ac:dyDescent="0.2">
      <c r="B1664" s="56" t="s">
        <v>280</v>
      </c>
      <c r="C1664" s="65">
        <v>0.8</v>
      </c>
      <c r="D1664" s="57"/>
      <c r="E1664" s="57"/>
      <c r="F1664" s="57"/>
      <c r="G1664" s="57"/>
      <c r="H1664" s="57"/>
      <c r="I1664" s="57"/>
      <c r="J1664" s="57"/>
      <c r="K1664" s="57"/>
      <c r="L1664" s="68"/>
      <c r="M1664" s="68"/>
      <c r="N1664" s="68"/>
      <c r="O1664" s="68"/>
      <c r="P1664" s="68"/>
      <c r="Q1664" s="320"/>
    </row>
    <row r="1669" spans="1:6" ht="12.6" customHeight="1" x14ac:dyDescent="0.2">
      <c r="B1669" s="38" t="s">
        <v>650</v>
      </c>
    </row>
    <row r="1670" spans="1:6" ht="12.6" customHeight="1" x14ac:dyDescent="0.2">
      <c r="A1670" s="37">
        <v>1</v>
      </c>
      <c r="B1670" s="37" t="s">
        <v>651</v>
      </c>
      <c r="F1670" s="39" t="s">
        <v>1499</v>
      </c>
    </row>
    <row r="1671" spans="1:6" ht="12.6" customHeight="1" x14ac:dyDescent="0.2">
      <c r="A1671" s="37">
        <v>2</v>
      </c>
      <c r="B1671" s="37" t="s">
        <v>926</v>
      </c>
    </row>
    <row r="1672" spans="1:6" ht="12.6" customHeight="1" x14ac:dyDescent="0.2">
      <c r="A1672" s="37">
        <v>3</v>
      </c>
      <c r="B1672" s="37" t="s">
        <v>652</v>
      </c>
    </row>
    <row r="1673" spans="1:6" ht="12.6" customHeight="1" x14ac:dyDescent="0.2">
      <c r="A1673" s="37">
        <v>4</v>
      </c>
      <c r="B1673" s="37" t="s">
        <v>653</v>
      </c>
    </row>
    <row r="1674" spans="1:6" ht="12.6" customHeight="1" x14ac:dyDescent="0.2">
      <c r="A1674" s="37">
        <v>5</v>
      </c>
      <c r="B1674" s="37" t="s">
        <v>654</v>
      </c>
    </row>
    <row r="1675" spans="1:6" ht="12.6" customHeight="1" x14ac:dyDescent="0.2">
      <c r="A1675" s="37">
        <v>6</v>
      </c>
      <c r="B1675" s="37" t="s">
        <v>655</v>
      </c>
    </row>
    <row r="1676" spans="1:6" ht="12.6" customHeight="1" x14ac:dyDescent="0.2">
      <c r="A1676" s="37">
        <v>7</v>
      </c>
      <c r="B1676" s="37" t="s">
        <v>656</v>
      </c>
    </row>
    <row r="1678" spans="1:6" ht="12.6" customHeight="1" x14ac:dyDescent="0.2">
      <c r="B1678" s="37" t="s">
        <v>658</v>
      </c>
    </row>
    <row r="1679" spans="1:6" ht="12.6" customHeight="1" x14ac:dyDescent="0.2">
      <c r="B1679" s="37" t="s">
        <v>657</v>
      </c>
    </row>
  </sheetData>
  <phoneticPr fontId="24" type="noConversion"/>
  <pageMargins left="0.17" right="0.18" top="0.75" bottom="0.75" header="0.3" footer="0.3"/>
  <pageSetup orientation="portrait" r:id="rId1"/>
  <ignoredErrors>
    <ignoredError sqref="K1136 K1382:P1382 U1656:U1658 K747 K845 K943 K991 K1041 K1139 R265:R289 M1136:P1136" formula="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131B-568B-4A59-8D24-AA84AF9D5F9F}">
  <dimension ref="B1:AQ295"/>
  <sheetViews>
    <sheetView showGridLines="0" zoomScaleNormal="115" workbookViewId="0">
      <pane xSplit="6" ySplit="2" topLeftCell="L3" activePane="bottomRight" state="frozen"/>
      <selection pane="topRight" activeCell="G1" sqref="G1"/>
      <selection pane="bottomLeft" activeCell="A3" sqref="A3"/>
      <selection pane="bottomRight" activeCell="AA16" sqref="AA16"/>
    </sheetView>
  </sheetViews>
  <sheetFormatPr defaultColWidth="8.28515625" defaultRowHeight="12" customHeight="1" x14ac:dyDescent="0.25"/>
  <cols>
    <col min="1" max="1" width="3.5703125" style="2" customWidth="1"/>
    <col min="2" max="2" width="37.7109375" style="2" customWidth="1"/>
    <col min="3" max="6" width="8.28515625" style="2" hidden="1" customWidth="1"/>
    <col min="7" max="7" width="9" style="2" customWidth="1"/>
    <col min="8" max="10" width="8.28515625" style="2" customWidth="1"/>
    <col min="11" max="12" width="10" style="2" bestFit="1" customWidth="1"/>
    <col min="13" max="19" width="8.7109375" style="2" customWidth="1"/>
    <col min="20" max="20" width="2.7109375" style="2" customWidth="1"/>
    <col min="21" max="23" width="8.7109375" style="2" customWidth="1"/>
    <col min="24" max="24" width="9" style="2" bestFit="1" customWidth="1"/>
    <col min="25" max="26" width="10.28515625" style="2" bestFit="1" customWidth="1"/>
    <col min="27" max="31" width="9" style="2" customWidth="1"/>
    <col min="32" max="33" width="8.28515625" style="2"/>
    <col min="34" max="34" width="14.28515625" style="2" bestFit="1" customWidth="1"/>
    <col min="35" max="35" width="8.5703125" style="2" bestFit="1" customWidth="1"/>
    <col min="36" max="16384" width="8.28515625" style="2"/>
  </cols>
  <sheetData>
    <row r="1" spans="2:40" ht="12" customHeight="1" x14ac:dyDescent="0.25">
      <c r="B1" s="1" t="s">
        <v>16</v>
      </c>
      <c r="U1" s="1027" t="s">
        <v>599</v>
      </c>
      <c r="V1" s="1027"/>
      <c r="W1" s="1027"/>
      <c r="Y1" s="18" t="s">
        <v>1656</v>
      </c>
      <c r="Z1" s="18"/>
    </row>
    <row r="2" spans="2:40" ht="12" customHeight="1" x14ac:dyDescent="0.25">
      <c r="B2" s="3" t="s">
        <v>17</v>
      </c>
      <c r="C2" s="4" t="s">
        <v>18</v>
      </c>
      <c r="D2" s="4" t="s">
        <v>19</v>
      </c>
      <c r="E2" s="4" t="s">
        <v>20</v>
      </c>
      <c r="F2" s="4" t="s">
        <v>21</v>
      </c>
      <c r="G2" s="4" t="s">
        <v>22</v>
      </c>
      <c r="H2" s="4" t="s">
        <v>23</v>
      </c>
      <c r="I2" s="4" t="s">
        <v>24</v>
      </c>
      <c r="J2" s="4" t="s">
        <v>25</v>
      </c>
      <c r="K2" s="4" t="s">
        <v>26</v>
      </c>
      <c r="L2" s="4" t="s">
        <v>27</v>
      </c>
      <c r="M2" s="4" t="s">
        <v>273</v>
      </c>
      <c r="N2" s="4" t="s">
        <v>347</v>
      </c>
      <c r="O2" s="4" t="s">
        <v>348</v>
      </c>
      <c r="P2" s="5" t="s">
        <v>178</v>
      </c>
      <c r="Q2" s="5" t="s">
        <v>179</v>
      </c>
      <c r="R2" s="5" t="s">
        <v>231</v>
      </c>
      <c r="S2" s="5" t="s">
        <v>232</v>
      </c>
      <c r="U2" s="1028" t="s">
        <v>1969</v>
      </c>
      <c r="V2" s="1028" t="s">
        <v>1970</v>
      </c>
      <c r="W2" s="1028" t="s">
        <v>1922</v>
      </c>
      <c r="Y2" s="4" t="s">
        <v>347</v>
      </c>
      <c r="Z2" s="4" t="s">
        <v>348</v>
      </c>
      <c r="AA2" s="5" t="s">
        <v>178</v>
      </c>
      <c r="AB2" s="5" t="s">
        <v>179</v>
      </c>
      <c r="AC2" s="5" t="s">
        <v>231</v>
      </c>
      <c r="AD2" s="5" t="s">
        <v>232</v>
      </c>
    </row>
    <row r="3" spans="2:40" ht="12" customHeight="1" x14ac:dyDescent="0.25">
      <c r="B3" s="6"/>
      <c r="C3" s="7"/>
      <c r="D3" s="7"/>
      <c r="E3" s="7"/>
      <c r="F3" s="7"/>
      <c r="G3" s="373">
        <f t="shared" ref="G3:N3" si="0">SUM(G4:G6)/G16</f>
        <v>0.17794192849247811</v>
      </c>
      <c r="H3" s="373">
        <f t="shared" si="0"/>
        <v>0.17005477013778716</v>
      </c>
      <c r="I3" s="373">
        <f t="shared" si="0"/>
        <v>0.15583880719275145</v>
      </c>
      <c r="J3" s="373">
        <f t="shared" si="0"/>
        <v>0.13264100331104869</v>
      </c>
      <c r="K3" s="373">
        <f t="shared" si="0"/>
        <v>0.150636402366714</v>
      </c>
      <c r="L3" s="373">
        <f t="shared" si="0"/>
        <v>0.15246338074001398</v>
      </c>
      <c r="M3" s="373">
        <f t="shared" si="0"/>
        <v>0.13645363005562217</v>
      </c>
      <c r="N3" s="373">
        <f t="shared" si="0"/>
        <v>0.12655100153257048</v>
      </c>
      <c r="O3" s="373">
        <f t="shared" ref="O3" si="1">SUM(O4:O6)/O16</f>
        <v>0</v>
      </c>
      <c r="P3" s="8"/>
      <c r="Q3" s="8"/>
      <c r="R3" s="8"/>
      <c r="S3" s="8"/>
      <c r="U3" s="184"/>
      <c r="V3" s="184"/>
      <c r="W3" s="184"/>
      <c r="Y3" s="373"/>
      <c r="Z3" s="373"/>
      <c r="AA3" s="8"/>
      <c r="AB3" s="8"/>
      <c r="AC3" s="8"/>
      <c r="AD3" s="8"/>
    </row>
    <row r="4" spans="2:40" ht="12" customHeight="1" x14ac:dyDescent="0.25">
      <c r="B4" s="6" t="s">
        <v>478</v>
      </c>
      <c r="C4" s="160"/>
      <c r="D4" s="7"/>
      <c r="E4" s="7"/>
      <c r="F4" s="7"/>
      <c r="G4" s="7">
        <v>182.72900000000001</v>
      </c>
      <c r="H4" s="7">
        <v>207.28899999999999</v>
      </c>
      <c r="I4" s="7">
        <v>191.24700000000001</v>
      </c>
      <c r="J4" s="7">
        <v>189.898</v>
      </c>
      <c r="K4" s="7">
        <v>301.63400000000001</v>
      </c>
      <c r="L4" s="7">
        <v>421.82799999999997</v>
      </c>
      <c r="M4" s="7"/>
      <c r="N4" s="7"/>
      <c r="O4" s="7"/>
      <c r="P4" s="207"/>
      <c r="Q4" s="207"/>
      <c r="R4" s="207"/>
      <c r="S4" s="207"/>
      <c r="U4" s="184"/>
      <c r="V4" s="184"/>
      <c r="W4" s="184"/>
      <c r="Y4" s="7"/>
      <c r="Z4" s="7"/>
      <c r="AA4" s="207"/>
      <c r="AB4" s="207"/>
      <c r="AC4" s="207"/>
      <c r="AD4" s="207"/>
      <c r="AF4" s="552"/>
    </row>
    <row r="5" spans="2:40" ht="12" customHeight="1" x14ac:dyDescent="0.25">
      <c r="B5" s="6" t="s">
        <v>479</v>
      </c>
      <c r="C5" s="160"/>
      <c r="D5" s="7"/>
      <c r="E5" s="7"/>
      <c r="F5" s="7"/>
      <c r="G5" s="7">
        <v>267.27600000000001</v>
      </c>
      <c r="H5" s="7">
        <v>306.05399999999997</v>
      </c>
      <c r="I5" s="7">
        <v>269.99400000000003</v>
      </c>
      <c r="J5" s="7">
        <v>286.25400000000002</v>
      </c>
      <c r="K5" s="7">
        <v>568.995</v>
      </c>
      <c r="L5" s="7">
        <v>863.7059999999999</v>
      </c>
      <c r="M5" s="7"/>
      <c r="N5" s="7"/>
      <c r="O5" s="7"/>
      <c r="P5" s="207"/>
      <c r="Q5" s="207"/>
      <c r="R5" s="207"/>
      <c r="S5" s="207"/>
      <c r="U5" s="184"/>
      <c r="V5" s="184"/>
      <c r="W5" s="184"/>
      <c r="Y5" s="7"/>
      <c r="Z5" s="7"/>
      <c r="AA5" s="207"/>
      <c r="AB5" s="207"/>
      <c r="AC5" s="207"/>
      <c r="AD5" s="207"/>
      <c r="AF5" s="552"/>
    </row>
    <row r="6" spans="2:40" ht="12" customHeight="1" x14ac:dyDescent="0.25">
      <c r="B6" s="6" t="s">
        <v>480</v>
      </c>
      <c r="C6" s="160"/>
      <c r="D6" s="7"/>
      <c r="E6" s="7"/>
      <c r="F6" s="7"/>
      <c r="G6" s="7">
        <v>1326.0219999999999</v>
      </c>
      <c r="H6" s="7">
        <v>1323.691</v>
      </c>
      <c r="I6" s="7">
        <v>1320.223</v>
      </c>
      <c r="J6" s="7">
        <v>1650.8400000000001</v>
      </c>
      <c r="K6" s="7">
        <v>2553.4250000000002</v>
      </c>
      <c r="L6" s="7">
        <v>3585.2739999999999</v>
      </c>
      <c r="M6" s="7">
        <v>5134.6000000000004</v>
      </c>
      <c r="N6" s="7">
        <v>5664.6</v>
      </c>
      <c r="O6" s="7"/>
      <c r="P6" s="207"/>
      <c r="Q6" s="207"/>
      <c r="R6" s="207"/>
      <c r="S6" s="207"/>
      <c r="U6" s="184"/>
      <c r="V6" s="184"/>
      <c r="W6" s="184"/>
      <c r="Y6" s="7"/>
      <c r="Z6" s="7"/>
      <c r="AA6" s="207"/>
      <c r="AB6" s="207"/>
      <c r="AC6" s="207"/>
      <c r="AD6" s="207"/>
      <c r="AF6" s="552"/>
    </row>
    <row r="7" spans="2:40" ht="12" customHeight="1" x14ac:dyDescent="0.25">
      <c r="B7" s="6" t="s">
        <v>481</v>
      </c>
      <c r="C7" s="160"/>
      <c r="D7" s="7"/>
      <c r="E7" s="7"/>
      <c r="F7" s="7"/>
      <c r="G7" s="7">
        <v>5867.1090000000004</v>
      </c>
      <c r="H7" s="7">
        <v>7005.1639999999998</v>
      </c>
      <c r="I7" s="7">
        <v>7605.7559999999994</v>
      </c>
      <c r="J7" s="7">
        <v>11256.103999999999</v>
      </c>
      <c r="K7" s="7">
        <v>15247.285999999998</v>
      </c>
      <c r="L7" s="7">
        <v>22285.075000000001</v>
      </c>
      <c r="M7" s="7">
        <v>28357.1</v>
      </c>
      <c r="N7" s="7">
        <v>29919</v>
      </c>
      <c r="O7" s="7"/>
      <c r="P7" s="207"/>
      <c r="Q7" s="207"/>
      <c r="R7" s="207"/>
      <c r="S7" s="207"/>
      <c r="U7" s="184"/>
      <c r="V7" s="184"/>
      <c r="W7" s="184"/>
      <c r="Y7" s="7"/>
      <c r="Z7" s="7"/>
      <c r="AA7" s="207"/>
      <c r="AB7" s="207"/>
      <c r="AC7" s="207"/>
      <c r="AD7" s="207"/>
      <c r="AF7" s="552"/>
    </row>
    <row r="8" spans="2:40" ht="12" customHeight="1" x14ac:dyDescent="0.25">
      <c r="B8" s="6" t="s">
        <v>483</v>
      </c>
      <c r="C8" s="160"/>
      <c r="D8" s="7"/>
      <c r="E8" s="7"/>
      <c r="F8" s="7"/>
      <c r="G8" s="7">
        <v>309.91399999999999</v>
      </c>
      <c r="H8" s="7">
        <v>427.00699999999995</v>
      </c>
      <c r="I8" s="7">
        <v>303.90700000000004</v>
      </c>
      <c r="J8" s="7">
        <v>217.60999999999999</v>
      </c>
      <c r="K8" s="7">
        <v>838.43899999999996</v>
      </c>
      <c r="L8" s="7">
        <v>1206.4690000000001</v>
      </c>
      <c r="M8" s="7"/>
      <c r="N8" s="7"/>
      <c r="O8" s="7"/>
      <c r="P8" s="207"/>
      <c r="Q8" s="207"/>
      <c r="R8" s="207"/>
      <c r="S8" s="207"/>
      <c r="U8" s="184"/>
      <c r="V8" s="184"/>
      <c r="W8" s="184"/>
      <c r="Y8" s="7"/>
      <c r="Z8" s="7"/>
      <c r="AA8" s="207"/>
      <c r="AB8" s="207"/>
      <c r="AC8" s="207"/>
      <c r="AD8" s="207"/>
      <c r="AF8" s="552"/>
    </row>
    <row r="9" spans="2:40" ht="12" customHeight="1" x14ac:dyDescent="0.25">
      <c r="B9" s="6" t="s">
        <v>482</v>
      </c>
      <c r="C9" s="160"/>
      <c r="D9" s="7"/>
      <c r="E9" s="7"/>
      <c r="F9" s="7"/>
      <c r="G9" s="7">
        <v>292.94400000000002</v>
      </c>
      <c r="H9" s="7">
        <v>455.608</v>
      </c>
      <c r="I9" s="7">
        <v>329.88400000000001</v>
      </c>
      <c r="J9" s="7">
        <v>559.56099999999992</v>
      </c>
      <c r="K9" s="7">
        <v>1280.4360000000001</v>
      </c>
      <c r="L9" s="7">
        <v>1103.1089999999999</v>
      </c>
      <c r="M9" s="7">
        <v>2182.4</v>
      </c>
      <c r="N9" s="7">
        <v>4854.7</v>
      </c>
      <c r="O9" s="7"/>
      <c r="P9" s="207"/>
      <c r="Q9" s="207"/>
      <c r="R9" s="207"/>
      <c r="S9" s="207"/>
      <c r="U9" s="184"/>
      <c r="V9" s="184"/>
      <c r="W9" s="184"/>
      <c r="Y9" s="7"/>
      <c r="Z9" s="7"/>
      <c r="AA9" s="207"/>
      <c r="AB9" s="207"/>
      <c r="AC9" s="207"/>
      <c r="AD9" s="207"/>
      <c r="AF9" s="552"/>
    </row>
    <row r="10" spans="2:40" ht="12" customHeight="1" x14ac:dyDescent="0.25">
      <c r="B10" s="6" t="s">
        <v>484</v>
      </c>
      <c r="C10" s="160"/>
      <c r="D10" s="7"/>
      <c r="E10" s="7"/>
      <c r="F10" s="7"/>
      <c r="G10" s="7">
        <v>674.36199999999997</v>
      </c>
      <c r="H10" s="7">
        <v>555.90699999999993</v>
      </c>
      <c r="I10" s="7">
        <v>505.27100000000002</v>
      </c>
      <c r="J10" s="7">
        <v>499.226</v>
      </c>
      <c r="K10" s="7">
        <v>583.07100000000003</v>
      </c>
      <c r="L10" s="7">
        <v>933.96499999999992</v>
      </c>
      <c r="M10" s="7"/>
      <c r="N10" s="7"/>
      <c r="O10" s="7"/>
      <c r="P10" s="207"/>
      <c r="Q10" s="207"/>
      <c r="R10" s="207"/>
      <c r="S10" s="207"/>
      <c r="U10" s="184"/>
      <c r="V10" s="184"/>
      <c r="W10" s="184"/>
      <c r="Y10" s="7"/>
      <c r="Z10" s="7"/>
      <c r="AA10" s="207"/>
      <c r="AB10" s="207"/>
      <c r="AC10" s="207"/>
      <c r="AD10" s="207"/>
    </row>
    <row r="11" spans="2:40" ht="12" customHeight="1" x14ac:dyDescent="0.25">
      <c r="B11" s="6" t="s">
        <v>485</v>
      </c>
      <c r="C11" s="160"/>
      <c r="D11" s="7"/>
      <c r="E11" s="7"/>
      <c r="F11" s="7"/>
      <c r="G11" s="7">
        <v>3.4630000000000001</v>
      </c>
      <c r="H11" s="7">
        <v>4.0810000000000004</v>
      </c>
      <c r="I11" s="7">
        <v>2.4850000000000003</v>
      </c>
      <c r="J11" s="7">
        <v>1.9300000000000002</v>
      </c>
      <c r="K11" s="7">
        <v>4.415</v>
      </c>
      <c r="L11" s="7">
        <v>8.3610000000000007</v>
      </c>
      <c r="M11" s="7"/>
      <c r="N11" s="7"/>
      <c r="O11" s="7"/>
      <c r="P11" s="207"/>
      <c r="Q11" s="207"/>
      <c r="R11" s="207"/>
      <c r="S11" s="207"/>
      <c r="U11" s="184"/>
      <c r="V11" s="184"/>
      <c r="W11" s="184"/>
      <c r="Y11" s="7"/>
      <c r="Z11" s="7"/>
      <c r="AA11" s="207"/>
      <c r="AB11" s="207"/>
      <c r="AC11" s="207"/>
      <c r="AD11" s="207"/>
    </row>
    <row r="12" spans="2:40" ht="12" customHeight="1" x14ac:dyDescent="0.25">
      <c r="B12" s="6" t="s">
        <v>486</v>
      </c>
      <c r="C12" s="160"/>
      <c r="D12" s="7"/>
      <c r="E12" s="7"/>
      <c r="F12" s="7"/>
      <c r="G12" s="7">
        <v>30.951000000000001</v>
      </c>
      <c r="H12" s="7">
        <v>12.156000000000001</v>
      </c>
      <c r="I12" s="7">
        <v>32.036999999999999</v>
      </c>
      <c r="J12" s="7">
        <v>915.36299999999994</v>
      </c>
      <c r="K12" s="7">
        <v>967.71299999999997</v>
      </c>
      <c r="L12" s="7">
        <v>1015.1180000000001</v>
      </c>
      <c r="M12" s="7">
        <v>1564.7</v>
      </c>
      <c r="N12" s="7">
        <v>1825.8</v>
      </c>
      <c r="O12" s="7"/>
      <c r="P12" s="207"/>
      <c r="Q12" s="207"/>
      <c r="R12" s="207"/>
      <c r="S12" s="207"/>
      <c r="U12" s="184"/>
      <c r="V12" s="184"/>
      <c r="W12" s="184"/>
      <c r="Y12" s="7"/>
      <c r="Z12" s="7"/>
      <c r="AA12" s="207"/>
      <c r="AB12" s="207"/>
      <c r="AC12" s="207"/>
      <c r="AD12" s="207"/>
    </row>
    <row r="13" spans="2:40" ht="12" customHeight="1" x14ac:dyDescent="0.25">
      <c r="B13" s="6" t="s">
        <v>487</v>
      </c>
      <c r="C13" s="160"/>
      <c r="D13" s="7"/>
      <c r="E13" s="7"/>
      <c r="F13" s="7"/>
      <c r="G13" s="7"/>
      <c r="H13" s="7" t="s">
        <v>108</v>
      </c>
      <c r="I13" s="7">
        <v>301.45500000000004</v>
      </c>
      <c r="J13" s="7">
        <v>206.46999999999997</v>
      </c>
      <c r="K13" s="7">
        <v>127.59200000000001</v>
      </c>
      <c r="L13" s="7">
        <v>129.45699999999999</v>
      </c>
      <c r="M13" s="7"/>
      <c r="N13" s="7"/>
      <c r="O13" s="7"/>
      <c r="P13" s="207"/>
      <c r="Q13" s="207"/>
      <c r="R13" s="207"/>
      <c r="S13" s="207"/>
      <c r="U13" s="184"/>
      <c r="V13" s="184"/>
      <c r="W13" s="184"/>
      <c r="Y13" s="7"/>
      <c r="Z13" s="7"/>
      <c r="AA13" s="207"/>
      <c r="AB13" s="207"/>
      <c r="AC13" s="207"/>
      <c r="AD13" s="207"/>
    </row>
    <row r="14" spans="2:40" ht="12" customHeight="1" x14ac:dyDescent="0.25">
      <c r="B14" s="6" t="s">
        <v>488</v>
      </c>
      <c r="C14" s="160"/>
      <c r="D14" s="7"/>
      <c r="E14" s="7"/>
      <c r="F14" s="7"/>
      <c r="G14" s="7">
        <f>22.1+750+254.066</f>
        <v>1026.1659999999999</v>
      </c>
      <c r="H14" s="7">
        <f>(4836.78+219.67)/10</f>
        <v>505.64499999999998</v>
      </c>
      <c r="I14" s="7">
        <f>(5551.3+140.64)/10</f>
        <v>569.19400000000007</v>
      </c>
      <c r="J14" s="7">
        <f>(2524.49)/10</f>
        <v>252.44899999999998</v>
      </c>
      <c r="K14" s="7">
        <v>257.58199999999999</v>
      </c>
      <c r="L14" s="7">
        <v>395.03399999999999</v>
      </c>
      <c r="M14" s="7">
        <v>390.1</v>
      </c>
      <c r="N14" s="7"/>
      <c r="O14" s="7"/>
      <c r="P14" s="207"/>
      <c r="Q14" s="207"/>
      <c r="R14" s="207"/>
      <c r="S14" s="207"/>
      <c r="U14" s="184"/>
      <c r="V14" s="184"/>
      <c r="W14" s="184"/>
      <c r="Y14" s="7"/>
      <c r="Z14" s="7"/>
      <c r="AA14" s="207"/>
      <c r="AB14" s="207"/>
      <c r="AC14" s="207"/>
      <c r="AD14" s="207"/>
    </row>
    <row r="15" spans="2:40" ht="12" customHeight="1" x14ac:dyDescent="0.25">
      <c r="B15" s="6" t="s">
        <v>1761</v>
      </c>
      <c r="C15" s="7"/>
      <c r="D15" s="7"/>
      <c r="E15" s="7"/>
      <c r="F15" s="7"/>
      <c r="G15" s="7"/>
      <c r="H15" s="7"/>
      <c r="I15" s="7"/>
      <c r="J15" s="7"/>
      <c r="K15" s="7"/>
      <c r="L15" s="7"/>
      <c r="M15" s="7"/>
      <c r="N15" s="7">
        <f>1600.7+848.4+48.2</f>
        <v>2497.2999999999997</v>
      </c>
      <c r="O15" s="7"/>
      <c r="P15" s="8"/>
      <c r="Q15" s="8"/>
      <c r="R15" s="8"/>
      <c r="S15" s="8"/>
      <c r="U15" s="184"/>
      <c r="V15" s="1029"/>
      <c r="W15" s="1029"/>
      <c r="Y15" s="7"/>
      <c r="Z15" s="7"/>
      <c r="AA15" s="8"/>
      <c r="AB15" s="8"/>
      <c r="AC15" s="8"/>
      <c r="AD15" s="8"/>
      <c r="AH15" s="1159" t="s">
        <v>891</v>
      </c>
      <c r="AI15" s="5" t="s">
        <v>347</v>
      </c>
      <c r="AJ15" s="5" t="s">
        <v>177</v>
      </c>
      <c r="AK15" s="5" t="s">
        <v>178</v>
      </c>
      <c r="AL15" s="5" t="s">
        <v>179</v>
      </c>
      <c r="AM15" s="5" t="s">
        <v>231</v>
      </c>
      <c r="AN15" s="5" t="s">
        <v>232</v>
      </c>
    </row>
    <row r="16" spans="2:40" ht="12" customHeight="1" x14ac:dyDescent="0.25">
      <c r="B16" s="9" t="s">
        <v>29</v>
      </c>
      <c r="C16" s="10"/>
      <c r="D16" s="10"/>
      <c r="E16" s="10"/>
      <c r="F16" s="10"/>
      <c r="G16" s="10">
        <f>SUM(G4:G15)</f>
        <v>9980.9359999999979</v>
      </c>
      <c r="H16" s="10">
        <f t="shared" ref="H16:N16" si="2">SUM(H4:H15)</f>
        <v>10802.602000000001</v>
      </c>
      <c r="I16" s="10">
        <f t="shared" si="2"/>
        <v>11431.453</v>
      </c>
      <c r="J16" s="10">
        <f t="shared" si="2"/>
        <v>16035.705</v>
      </c>
      <c r="K16" s="10">
        <f t="shared" si="2"/>
        <v>22730.587999999996</v>
      </c>
      <c r="L16" s="10">
        <f t="shared" si="2"/>
        <v>31947.396000000001</v>
      </c>
      <c r="M16" s="10">
        <f t="shared" si="2"/>
        <v>37628.899999999994</v>
      </c>
      <c r="N16" s="10">
        <f t="shared" si="2"/>
        <v>44761.4</v>
      </c>
      <c r="O16" s="10">
        <v>53614.400000000001</v>
      </c>
      <c r="P16" s="5">
        <f ca="1">Assumptions!M233+AA16</f>
        <v>72935.367693299719</v>
      </c>
      <c r="Q16" s="5">
        <f ca="1">Assumptions!N233+AB16</f>
        <v>108672.59111019592</v>
      </c>
      <c r="R16" s="5">
        <f ca="1">Assumptions!O233+AC16</f>
        <v>144351.18628049517</v>
      </c>
      <c r="S16" s="5">
        <f ca="1">Assumptions!P233+AD16</f>
        <v>188550.73544122337</v>
      </c>
      <c r="T16" s="14"/>
      <c r="U16" s="1026">
        <f>(O16/M16)^(1/2)-1</f>
        <v>0.19365813904261953</v>
      </c>
      <c r="V16" s="1026">
        <f ca="1">(Q16/O16)^(1/2)-1</f>
        <v>0.42370262576429507</v>
      </c>
      <c r="W16" s="1026">
        <f ca="1">(S16/O16)^(1/4)-1</f>
        <v>0.36942009084633298</v>
      </c>
      <c r="X16" s="14">
        <f ca="1">(Q16/O16)^(1/2)-1</f>
        <v>0.42370262576429507</v>
      </c>
      <c r="Y16" s="10">
        <f>Logistics!C16</f>
        <v>2497.3000000000002</v>
      </c>
      <c r="Z16" s="10">
        <f>Logistics!D16</f>
        <v>7145.2999999999993</v>
      </c>
      <c r="AA16" s="5">
        <f>Logistics!E16</f>
        <v>16156.991336833333</v>
      </c>
      <c r="AB16" s="5">
        <f>Logistics!F16</f>
        <v>28029.626076938333</v>
      </c>
      <c r="AC16" s="5">
        <f>Logistics!G16</f>
        <v>53305.665192579821</v>
      </c>
      <c r="AD16" s="5">
        <f>Logistics!H16</f>
        <v>76214.874383401126</v>
      </c>
      <c r="AH16" s="161" t="s">
        <v>1001</v>
      </c>
      <c r="AI16" s="8">
        <f>+AI18-AI17</f>
        <v>42.264099999999999</v>
      </c>
      <c r="AJ16" s="8">
        <f ca="1">(Assumptions!L233)/1000</f>
        <v>51.577908914184519</v>
      </c>
      <c r="AK16" s="8">
        <f ca="1">(Assumptions!M233)/1000</f>
        <v>56.778376356466389</v>
      </c>
      <c r="AL16" s="8">
        <f ca="1">(Assumptions!N233)/1000</f>
        <v>80.642965033257582</v>
      </c>
      <c r="AM16" s="8">
        <f ca="1">(Assumptions!O233)/1000</f>
        <v>91.045521087915347</v>
      </c>
      <c r="AN16" s="8">
        <f ca="1">(Assumptions!P233)/1000</f>
        <v>112.33586105782224</v>
      </c>
    </row>
    <row r="17" spans="2:40" s="14" customFormat="1" ht="12" customHeight="1" x14ac:dyDescent="0.25">
      <c r="B17" s="11" t="s">
        <v>30</v>
      </c>
      <c r="C17" s="12" t="str">
        <f>IF(ISERROR(C16/#REF!-1)," ",C16/#REF!-1)</f>
        <v xml:space="preserve"> </v>
      </c>
      <c r="D17" s="12" t="str">
        <f>IF(ISERROR(D16/#REF!-1)," ",D16/#REF!-1)</f>
        <v xml:space="preserve"> </v>
      </c>
      <c r="E17" s="12" t="str">
        <f>IF(ISERROR(E16/#REF!-1)," ",E16/#REF!-1)</f>
        <v xml:space="preserve"> </v>
      </c>
      <c r="F17" s="12" t="str">
        <f>IF(ISERROR(F16/#REF!-1)," ",F16/#REF!-1)</f>
        <v xml:space="preserve"> </v>
      </c>
      <c r="G17" s="12" t="str">
        <f t="shared" ref="G17:O17" si="3">IF(ISERROR(G16/F16-1)," ",G16/F16-1)</f>
        <v xml:space="preserve"> </v>
      </c>
      <c r="H17" s="12">
        <f t="shared" si="3"/>
        <v>8.2323541599705896E-2</v>
      </c>
      <c r="I17" s="12">
        <f t="shared" si="3"/>
        <v>5.8212919442926614E-2</v>
      </c>
      <c r="J17" s="12">
        <f t="shared" si="3"/>
        <v>0.40277049645395047</v>
      </c>
      <c r="K17" s="12">
        <f t="shared" si="3"/>
        <v>0.41749851347352651</v>
      </c>
      <c r="L17" s="12">
        <f t="shared" si="3"/>
        <v>0.40548040376254257</v>
      </c>
      <c r="M17" s="12">
        <f t="shared" si="3"/>
        <v>0.17783934565433723</v>
      </c>
      <c r="N17" s="12">
        <f t="shared" si="3"/>
        <v>0.1895484587644074</v>
      </c>
      <c r="O17" s="12">
        <f t="shared" si="3"/>
        <v>0.19778201754189983</v>
      </c>
      <c r="P17" s="13">
        <f t="shared" ref="P17:S17" ca="1" si="4">IF(ISERROR(P16/O16-1)," ",P16/O16-1)</f>
        <v>0.36036899962136504</v>
      </c>
      <c r="Q17" s="13">
        <f t="shared" ca="1" si="4"/>
        <v>0.48998482556740774</v>
      </c>
      <c r="R17" s="13">
        <f t="shared" ca="1" si="4"/>
        <v>0.3283127309821896</v>
      </c>
      <c r="S17" s="13">
        <f t="shared" ca="1" si="4"/>
        <v>0.30619456825828983</v>
      </c>
      <c r="U17" s="1026"/>
      <c r="V17" s="1026"/>
      <c r="W17" s="1026"/>
      <c r="Y17" s="12" t="str">
        <f>IF(ISERROR(Y16/#REF!-1)," ",Y16/#REF!-1)</f>
        <v xml:space="preserve"> </v>
      </c>
      <c r="Z17" s="12">
        <f t="shared" ref="Z17:AD17" si="5">IF(ISERROR(Z16/Y16-1)," ",Z16/Y16-1)</f>
        <v>1.8612101069154683</v>
      </c>
      <c r="AA17" s="13">
        <f t="shared" si="5"/>
        <v>1.261205454891094</v>
      </c>
      <c r="AB17" s="13">
        <f t="shared" si="5"/>
        <v>0.73482955412860673</v>
      </c>
      <c r="AC17" s="13">
        <f t="shared" si="5"/>
        <v>0.90176155208997288</v>
      </c>
      <c r="AD17" s="13">
        <f t="shared" si="5"/>
        <v>0.42977062771951458</v>
      </c>
      <c r="AH17" s="161" t="s">
        <v>1656</v>
      </c>
      <c r="AI17" s="8">
        <f t="shared" ref="AI17:AN17" si="6">(+Y16)/1000</f>
        <v>2.4973000000000001</v>
      </c>
      <c r="AJ17" s="8">
        <f t="shared" si="6"/>
        <v>7.1452999999999989</v>
      </c>
      <c r="AK17" s="8">
        <f t="shared" si="6"/>
        <v>16.156991336833332</v>
      </c>
      <c r="AL17" s="8">
        <f t="shared" si="6"/>
        <v>28.029626076938335</v>
      </c>
      <c r="AM17" s="8">
        <f t="shared" si="6"/>
        <v>53.305665192579823</v>
      </c>
      <c r="AN17" s="8">
        <f t="shared" si="6"/>
        <v>76.214874383401124</v>
      </c>
    </row>
    <row r="18" spans="2:40" ht="12" customHeight="1" x14ac:dyDescent="0.25">
      <c r="B18" s="6"/>
      <c r="C18" s="7"/>
      <c r="D18" s="7"/>
      <c r="E18" s="7"/>
      <c r="F18" s="7"/>
      <c r="G18" s="7"/>
      <c r="H18" s="7"/>
      <c r="I18" s="7"/>
      <c r="J18" s="7"/>
      <c r="K18" s="7"/>
      <c r="L18" s="7"/>
      <c r="M18" s="7"/>
      <c r="N18" s="7"/>
      <c r="O18" s="7"/>
      <c r="P18" s="8"/>
      <c r="Q18" s="8"/>
      <c r="R18" s="8"/>
      <c r="S18" s="8"/>
      <c r="U18" s="184"/>
      <c r="V18" s="184"/>
      <c r="W18" s="184"/>
      <c r="Y18" s="7"/>
      <c r="Z18" s="7"/>
      <c r="AA18" s="8"/>
      <c r="AB18" s="8"/>
      <c r="AC18" s="8"/>
      <c r="AD18" s="8"/>
      <c r="AH18" s="161" t="s">
        <v>164</v>
      </c>
      <c r="AI18" s="8">
        <f>(+N16)/1000</f>
        <v>44.761400000000002</v>
      </c>
      <c r="AJ18" s="8">
        <f ca="1">SUM(AJ16:AJ17)</f>
        <v>58.723208914184518</v>
      </c>
      <c r="AK18" s="8">
        <f t="shared" ref="AK18:AN18" ca="1" si="7">SUM(AK16:AK17)</f>
        <v>72.935367693299725</v>
      </c>
      <c r="AL18" s="8">
        <f t="shared" ca="1" si="7"/>
        <v>108.67259111019592</v>
      </c>
      <c r="AM18" s="8">
        <f t="shared" ca="1" si="7"/>
        <v>144.35118628049517</v>
      </c>
      <c r="AN18" s="8">
        <f t="shared" ca="1" si="7"/>
        <v>188.55073544122337</v>
      </c>
    </row>
    <row r="19" spans="2:40" ht="12" customHeight="1" x14ac:dyDescent="0.25">
      <c r="B19" s="6" t="s">
        <v>31</v>
      </c>
      <c r="C19" s="7"/>
      <c r="D19" s="7"/>
      <c r="E19" s="7"/>
      <c r="F19" s="7"/>
      <c r="G19" s="7">
        <v>2210.3809999999999</v>
      </c>
      <c r="H19" s="7">
        <v>3379.5520000000001</v>
      </c>
      <c r="I19" s="7">
        <v>3454.4029999999998</v>
      </c>
      <c r="J19" s="7">
        <v>5746.02</v>
      </c>
      <c r="K19" s="7">
        <v>8581.91</v>
      </c>
      <c r="L19" s="7">
        <v>12065.7</v>
      </c>
      <c r="M19" s="7">
        <v>13587.3</v>
      </c>
      <c r="N19" s="7">
        <v>17434.7</v>
      </c>
      <c r="O19" s="7">
        <v>22855.200000000001</v>
      </c>
      <c r="P19" s="8">
        <f t="shared" ref="P19:S19" ca="1" si="8">O19/O$22*P22</f>
        <v>35972.539871904766</v>
      </c>
      <c r="Q19" s="8">
        <f t="shared" ca="1" si="8"/>
        <v>50748.496031825052</v>
      </c>
      <c r="R19" s="8">
        <f t="shared" ca="1" si="8"/>
        <v>71593.493630694953</v>
      </c>
      <c r="S19" s="8">
        <f t="shared" ca="1" si="8"/>
        <v>93687.930589015217</v>
      </c>
      <c r="U19" s="184"/>
      <c r="V19" s="184"/>
      <c r="W19" s="184"/>
      <c r="Y19" s="7"/>
      <c r="Z19" s="7"/>
      <c r="AA19" s="8"/>
      <c r="AB19" s="8"/>
      <c r="AC19" s="8"/>
      <c r="AD19" s="8"/>
    </row>
    <row r="20" spans="2:40" ht="12" customHeight="1" x14ac:dyDescent="0.25">
      <c r="B20" s="6" t="s">
        <v>32</v>
      </c>
      <c r="C20" s="7"/>
      <c r="D20" s="7"/>
      <c r="E20" s="7"/>
      <c r="F20" s="7"/>
      <c r="G20" s="7">
        <v>569.57899999999995</v>
      </c>
      <c r="H20" s="7">
        <v>596.22299999999996</v>
      </c>
      <c r="I20" s="7">
        <v>746.65800000000002</v>
      </c>
      <c r="J20" s="7">
        <v>1113.5</v>
      </c>
      <c r="K20" s="7">
        <v>1496.51</v>
      </c>
      <c r="L20" s="7">
        <v>2299.58</v>
      </c>
      <c r="M20" s="7">
        <v>2846.4</v>
      </c>
      <c r="N20" s="7">
        <v>2406.5</v>
      </c>
      <c r="O20" s="7">
        <v>2386.9</v>
      </c>
      <c r="P20" s="8">
        <f t="shared" ref="P20:S20" ca="1" si="9">O20/O$22*P22</f>
        <v>3756.8192542725283</v>
      </c>
      <c r="Q20" s="8">
        <f t="shared" ca="1" si="9"/>
        <v>5299.9573479279652</v>
      </c>
      <c r="R20" s="8">
        <f t="shared" ca="1" si="9"/>
        <v>7476.9203484154941</v>
      </c>
      <c r="S20" s="8">
        <f t="shared" ca="1" si="9"/>
        <v>9784.3694880342518</v>
      </c>
      <c r="U20" s="184"/>
      <c r="V20" s="184"/>
      <c r="W20" s="184"/>
      <c r="Y20" s="7"/>
      <c r="Z20" s="7"/>
      <c r="AA20" s="8"/>
      <c r="AB20" s="8"/>
      <c r="AC20" s="8"/>
      <c r="AD20" s="8"/>
      <c r="AH20" s="14">
        <f>(O16/M16)^(1/2)-1</f>
        <v>0.19365813904261953</v>
      </c>
      <c r="AI20" s="14">
        <f ca="1">(S16/O16)^(1/4)-1</f>
        <v>0.36942009084633298</v>
      </c>
    </row>
    <row r="21" spans="2:40" ht="12" customHeight="1" x14ac:dyDescent="0.25">
      <c r="B21" s="6" t="s">
        <v>33</v>
      </c>
      <c r="C21" s="7"/>
      <c r="D21" s="7"/>
      <c r="E21" s="7"/>
      <c r="F21" s="7"/>
      <c r="G21" s="7">
        <f>722.865+599.755</f>
        <v>1322.62</v>
      </c>
      <c r="H21" s="7">
        <v>705.42</v>
      </c>
      <c r="I21" s="7">
        <v>1038.43</v>
      </c>
      <c r="J21" s="7">
        <v>1011.79</v>
      </c>
      <c r="K21" s="7">
        <v>1557.86</v>
      </c>
      <c r="L21" s="7">
        <v>1380.22</v>
      </c>
      <c r="M21" s="7">
        <v>1549.6</v>
      </c>
      <c r="N21" s="7">
        <v>2298.4</v>
      </c>
      <c r="O21" s="7">
        <v>2335</v>
      </c>
      <c r="P21" s="8">
        <f t="shared" ref="P21:S21" ca="1" si="10">O21/O$22*P22</f>
        <v>3675.1321625230858</v>
      </c>
      <c r="Q21" s="8">
        <f t="shared" ca="1" si="10"/>
        <v>5184.7167486747658</v>
      </c>
      <c r="R21" s="8">
        <f t="shared" ca="1" si="10"/>
        <v>7314.3445529976871</v>
      </c>
      <c r="S21" s="8">
        <f t="shared" ca="1" si="10"/>
        <v>9571.6212470400842</v>
      </c>
      <c r="U21" s="184"/>
      <c r="V21" s="184"/>
      <c r="W21" s="225"/>
      <c r="Y21" s="7"/>
      <c r="Z21" s="7"/>
      <c r="AA21" s="8"/>
      <c r="AB21" s="8"/>
      <c r="AC21" s="8"/>
      <c r="AD21" s="8"/>
    </row>
    <row r="22" spans="2:40" ht="12" customHeight="1" x14ac:dyDescent="0.25">
      <c r="B22" s="9" t="s">
        <v>205</v>
      </c>
      <c r="C22" s="7"/>
      <c r="D22" s="7"/>
      <c r="E22" s="7"/>
      <c r="F22" s="7"/>
      <c r="G22" s="10">
        <f t="shared" ref="G22:M22" si="11">SUM(G19:G21)</f>
        <v>4102.58</v>
      </c>
      <c r="H22" s="10">
        <f t="shared" si="11"/>
        <v>4681.1949999999997</v>
      </c>
      <c r="I22" s="10">
        <f t="shared" si="11"/>
        <v>5239.491</v>
      </c>
      <c r="J22" s="10">
        <f t="shared" si="11"/>
        <v>7871.31</v>
      </c>
      <c r="K22" s="10">
        <f t="shared" si="11"/>
        <v>11636.28</v>
      </c>
      <c r="L22" s="10">
        <f t="shared" si="11"/>
        <v>15745.5</v>
      </c>
      <c r="M22" s="10">
        <f t="shared" si="11"/>
        <v>17983.3</v>
      </c>
      <c r="N22" s="10">
        <f>SUM(N19:N21)</f>
        <v>22139.600000000002</v>
      </c>
      <c r="O22" s="10">
        <f>SUM(O19:O21)</f>
        <v>27577.100000000002</v>
      </c>
      <c r="P22" s="5">
        <f t="shared" ref="P22:S22" ca="1" si="12">P16-P23</f>
        <v>43404.491288700381</v>
      </c>
      <c r="Q22" s="5">
        <f t="shared" ca="1" si="12"/>
        <v>61233.170128427788</v>
      </c>
      <c r="R22" s="5">
        <f t="shared" ca="1" si="12"/>
        <v>86384.758532108142</v>
      </c>
      <c r="S22" s="5">
        <f t="shared" ca="1" si="12"/>
        <v>113043.92132408956</v>
      </c>
      <c r="U22" s="184"/>
      <c r="V22" s="1029"/>
      <c r="W22" s="1029"/>
      <c r="Y22" s="7"/>
      <c r="Z22" s="7"/>
      <c r="AA22" s="8"/>
      <c r="AB22" s="8"/>
      <c r="AC22" s="8"/>
      <c r="AD22" s="8"/>
    </row>
    <row r="23" spans="2:40" ht="12" customHeight="1" x14ac:dyDescent="0.25">
      <c r="B23" s="9" t="s">
        <v>34</v>
      </c>
      <c r="C23" s="10">
        <f>C16-SUM(C19:C21)</f>
        <v>0</v>
      </c>
      <c r="D23" s="10">
        <f>D16-SUM(D19:D21)</f>
        <v>0</v>
      </c>
      <c r="E23" s="10">
        <f>E16-SUM(E19:E21)</f>
        <v>0</v>
      </c>
      <c r="F23" s="10">
        <f>F16-SUM(F19:F21)</f>
        <v>0</v>
      </c>
      <c r="G23" s="10">
        <f t="shared" ref="G23:N23" si="13">G16-SUM(G19:G21)</f>
        <v>5878.3559999999979</v>
      </c>
      <c r="H23" s="10">
        <f t="shared" si="13"/>
        <v>6121.4070000000011</v>
      </c>
      <c r="I23" s="10">
        <f t="shared" si="13"/>
        <v>6191.9619999999995</v>
      </c>
      <c r="J23" s="10">
        <f t="shared" si="13"/>
        <v>8164.3949999999995</v>
      </c>
      <c r="K23" s="10">
        <f t="shared" si="13"/>
        <v>11094.307999999995</v>
      </c>
      <c r="L23" s="10">
        <f t="shared" si="13"/>
        <v>16201.896000000001</v>
      </c>
      <c r="M23" s="10">
        <f t="shared" si="13"/>
        <v>19645.599999999995</v>
      </c>
      <c r="N23" s="10">
        <f t="shared" si="13"/>
        <v>22621.8</v>
      </c>
      <c r="O23" s="10">
        <f t="shared" ref="O23" si="14">O16-SUM(O19:O21)</f>
        <v>26037.3</v>
      </c>
      <c r="P23" s="5">
        <f ca="1">Assumptions!M289+AA23</f>
        <v>29530.876404599338</v>
      </c>
      <c r="Q23" s="5">
        <f ca="1">Assumptions!N289+AB23</f>
        <v>47439.420981768133</v>
      </c>
      <c r="R23" s="5">
        <f ca="1">Assumptions!O289+AC23</f>
        <v>57966.427748387025</v>
      </c>
      <c r="S23" s="5">
        <f ca="1">Assumptions!P289+AD23</f>
        <v>75506.814117133807</v>
      </c>
      <c r="U23" s="1026">
        <f>(O23/M23)^(1/2)-1</f>
        <v>0.15123855288294275</v>
      </c>
      <c r="V23" s="1026">
        <f ca="1">(Q23/O23)^(1/2)-1</f>
        <v>0.34980712517928247</v>
      </c>
      <c r="W23" s="1026">
        <f ca="1">(S23/O23)^(1/4)-1</f>
        <v>0.30496105186515643</v>
      </c>
      <c r="X23" s="14">
        <f ca="1">(Q23/O23)^(1/2)-1</f>
        <v>0.34980712517928247</v>
      </c>
      <c r="Y23" s="10">
        <f>Logistics!C23</f>
        <v>311</v>
      </c>
      <c r="Z23" s="10">
        <f>Logistics!D23</f>
        <v>1417.5</v>
      </c>
      <c r="AA23" s="5">
        <f>Logistics!E23</f>
        <v>3934.1363984650006</v>
      </c>
      <c r="AB23" s="5">
        <f>Logistics!F23</f>
        <v>6554.6445967271002</v>
      </c>
      <c r="AC23" s="5">
        <f>Logistics!G23</f>
        <v>11414.798698093844</v>
      </c>
      <c r="AD23" s="5">
        <f>Logistics!H23</f>
        <v>16310.648394551272</v>
      </c>
      <c r="AE23" s="14">
        <f>(AD23/Z23)^(1/4)-1</f>
        <v>0.84177697599552781</v>
      </c>
    </row>
    <row r="24" spans="2:40" ht="12" customHeight="1" x14ac:dyDescent="0.25">
      <c r="B24" s="15" t="s">
        <v>35</v>
      </c>
      <c r="C24" s="16" t="str">
        <f t="shared" ref="C24:L24" si="15">IF(ISERROR(C23/C16)," ",C23/C16)</f>
        <v xml:space="preserve"> </v>
      </c>
      <c r="D24" s="16" t="str">
        <f t="shared" si="15"/>
        <v xml:space="preserve"> </v>
      </c>
      <c r="E24" s="16" t="str">
        <f t="shared" si="15"/>
        <v xml:space="preserve"> </v>
      </c>
      <c r="F24" s="16" t="str">
        <f t="shared" si="15"/>
        <v xml:space="preserve"> </v>
      </c>
      <c r="G24" s="16">
        <f t="shared" si="15"/>
        <v>0.58895839027522057</v>
      </c>
      <c r="H24" s="16">
        <f t="shared" si="15"/>
        <v>0.56666042125776739</v>
      </c>
      <c r="I24" s="16">
        <f t="shared" si="15"/>
        <v>0.54166010217598759</v>
      </c>
      <c r="J24" s="16">
        <f t="shared" si="15"/>
        <v>0.50913851308688951</v>
      </c>
      <c r="K24" s="16">
        <f t="shared" si="15"/>
        <v>0.48807835503419433</v>
      </c>
      <c r="L24" s="16">
        <f t="shared" si="15"/>
        <v>0.50714292958336882</v>
      </c>
      <c r="M24" s="16">
        <f>IF(ISERROR(M23/M16)," ",M23/M16)</f>
        <v>0.52208807592036965</v>
      </c>
      <c r="N24" s="16">
        <f t="shared" ref="N24:O24" si="16">IF(ISERROR(N23/N16)," ",N23/N16)</f>
        <v>0.50538633733529337</v>
      </c>
      <c r="O24" s="16">
        <f t="shared" si="16"/>
        <v>0.48564005192634813</v>
      </c>
      <c r="P24" s="13">
        <f t="shared" ref="P24:S24" ca="1" si="17">IF(ISERROR(P23/P16)," ",P23/P16)</f>
        <v>0.40489103350763284</v>
      </c>
      <c r="Q24" s="13">
        <f t="shared" ca="1" si="17"/>
        <v>0.43653528913894879</v>
      </c>
      <c r="R24" s="13">
        <f t="shared" ca="1" si="17"/>
        <v>0.40156530224663273</v>
      </c>
      <c r="S24" s="13">
        <f t="shared" ca="1" si="17"/>
        <v>0.40045886822155319</v>
      </c>
      <c r="U24" s="184"/>
      <c r="V24" s="184"/>
      <c r="W24" s="184"/>
      <c r="Y24" s="16">
        <f t="shared" ref="Y24:AD24" si="18">IF(ISERROR(Y23/Y16)," ",Y23/Y16)</f>
        <v>0.12453449725703759</v>
      </c>
      <c r="Z24" s="16">
        <f t="shared" si="18"/>
        <v>0.1983821533035702</v>
      </c>
      <c r="AA24" s="13">
        <f t="shared" si="18"/>
        <v>0.243494368255078</v>
      </c>
      <c r="AB24" s="13">
        <f t="shared" si="18"/>
        <v>0.23384702238750171</v>
      </c>
      <c r="AC24" s="13">
        <f t="shared" si="18"/>
        <v>0.21413856588891775</v>
      </c>
      <c r="AD24" s="13">
        <f t="shared" si="18"/>
        <v>0.2140087289588655</v>
      </c>
    </row>
    <row r="25" spans="2:40"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t="str">
        <f>IF(ISERROR(F23/#REF!-1)," ",F23/#REF!-1)</f>
        <v xml:space="preserve"> </v>
      </c>
      <c r="G25" s="12"/>
      <c r="H25" s="12">
        <f t="shared" ref="H25:O25" si="19">IF(ISERROR(H23/G23-1)," ",H23/G23-1)</f>
        <v>4.1346764299406757E-2</v>
      </c>
      <c r="I25" s="12">
        <f t="shared" si="19"/>
        <v>1.1525944933901355E-2</v>
      </c>
      <c r="J25" s="12">
        <f t="shared" si="19"/>
        <v>0.31854733604631291</v>
      </c>
      <c r="K25" s="12">
        <f t="shared" si="19"/>
        <v>0.35886468011408024</v>
      </c>
      <c r="L25" s="12">
        <f t="shared" si="19"/>
        <v>0.46037914216912013</v>
      </c>
      <c r="M25" s="12">
        <f t="shared" si="19"/>
        <v>0.21254944483040705</v>
      </c>
      <c r="N25" s="12">
        <f t="shared" si="19"/>
        <v>0.1514944822250277</v>
      </c>
      <c r="O25" s="12">
        <f t="shared" si="19"/>
        <v>0.15098268042330854</v>
      </c>
      <c r="P25" s="13">
        <f t="shared" ref="P25:S25" ca="1" si="20">IF(ISERROR(P23/O23-1)," ",P23/O23-1)</f>
        <v>0.13417583254021492</v>
      </c>
      <c r="Q25" s="13">
        <f t="shared" ca="1" si="20"/>
        <v>0.60643457822943581</v>
      </c>
      <c r="R25" s="13">
        <f t="shared" ca="1" si="20"/>
        <v>0.22190420010953793</v>
      </c>
      <c r="S25" s="13">
        <f t="shared" ca="1" si="20"/>
        <v>0.30259560663085483</v>
      </c>
      <c r="U25" s="1026"/>
      <c r="V25" s="1026"/>
      <c r="W25" s="1026"/>
      <c r="Y25" s="12" t="str">
        <f>IF(ISERROR(Y23/#REF!-1)," ",Y23/#REF!-1)</f>
        <v xml:space="preserve"> </v>
      </c>
      <c r="Z25" s="12">
        <f t="shared" ref="Z25:AD25" si="21">IF(ISERROR(Z23/Y23-1)," ",Z23/Y23-1)</f>
        <v>3.557877813504823</v>
      </c>
      <c r="AA25" s="13">
        <f t="shared" si="21"/>
        <v>1.7754048666419759</v>
      </c>
      <c r="AB25" s="13">
        <f t="shared" si="21"/>
        <v>0.66609490186577025</v>
      </c>
      <c r="AC25" s="13">
        <f t="shared" si="21"/>
        <v>0.74148247546381718</v>
      </c>
      <c r="AD25" s="13">
        <f t="shared" si="21"/>
        <v>0.42890372628953899</v>
      </c>
    </row>
    <row r="26" spans="2:40" ht="12" customHeight="1" x14ac:dyDescent="0.25">
      <c r="B26" s="15"/>
      <c r="C26" s="16"/>
      <c r="D26" s="16"/>
      <c r="E26" s="16"/>
      <c r="F26" s="16"/>
      <c r="G26" s="16"/>
      <c r="H26" s="16"/>
      <c r="I26" s="16"/>
      <c r="J26" s="16"/>
      <c r="K26" s="16"/>
      <c r="L26" s="16"/>
      <c r="M26" s="16"/>
      <c r="N26" s="16"/>
      <c r="O26" s="16"/>
      <c r="P26" s="17"/>
      <c r="Q26" s="17"/>
      <c r="R26" s="17"/>
      <c r="S26" s="17"/>
      <c r="U26" s="184"/>
      <c r="V26" s="184"/>
      <c r="W26" s="184"/>
      <c r="Y26" s="16"/>
      <c r="Z26" s="16"/>
      <c r="AA26" s="17"/>
      <c r="AB26" s="17"/>
      <c r="AC26" s="17"/>
      <c r="AD26" s="17"/>
    </row>
    <row r="27" spans="2:40" ht="12" customHeight="1" x14ac:dyDescent="0.25">
      <c r="B27" s="6" t="s">
        <v>36</v>
      </c>
      <c r="C27" s="7"/>
      <c r="D27" s="7"/>
      <c r="E27" s="7"/>
      <c r="F27" s="7"/>
      <c r="G27" s="7">
        <v>766.755</v>
      </c>
      <c r="H27" s="7">
        <v>1013.331</v>
      </c>
      <c r="I27" s="7">
        <v>942.20699999999999</v>
      </c>
      <c r="J27" s="7">
        <v>746.93</v>
      </c>
      <c r="K27" s="7">
        <v>1056.79</v>
      </c>
      <c r="L27" s="7">
        <v>1781.13</v>
      </c>
      <c r="M27" s="7">
        <v>2694.1</v>
      </c>
      <c r="N27" s="7">
        <v>3529.5</v>
      </c>
      <c r="O27" s="7">
        <v>3459.5</v>
      </c>
      <c r="P27" s="8">
        <f ca="1">P244+AA27</f>
        <v>3758.2464024573082</v>
      </c>
      <c r="Q27" s="8">
        <f ca="1">Q244+AB27</f>
        <v>4332.5419641836579</v>
      </c>
      <c r="R27" s="8">
        <f ca="1">R244+AC27</f>
        <v>2879.4491632562163</v>
      </c>
      <c r="S27" s="8">
        <f ca="1">S244+AD27</f>
        <v>1594.2852642714658</v>
      </c>
      <c r="U27" s="184"/>
      <c r="V27" s="184"/>
      <c r="W27" s="184"/>
      <c r="Y27" s="7"/>
      <c r="Z27" s="7"/>
      <c r="AA27" s="8"/>
      <c r="AB27" s="8"/>
      <c r="AC27" s="8"/>
      <c r="AD27" s="8"/>
      <c r="AH27" s="14">
        <f>(O23/M23)^(1/2)-1</f>
        <v>0.15123855288294275</v>
      </c>
      <c r="AI27" s="14">
        <f ca="1">(S23/O23)^(1/4)-1</f>
        <v>0.30496105186515643</v>
      </c>
    </row>
    <row r="28" spans="2:40" ht="12" customHeight="1" x14ac:dyDescent="0.25">
      <c r="B28" s="6" t="s">
        <v>37</v>
      </c>
      <c r="C28" s="7"/>
      <c r="D28" s="7"/>
      <c r="E28" s="7"/>
      <c r="F28" s="7"/>
      <c r="G28" s="7">
        <v>1571.402</v>
      </c>
      <c r="H28" s="7">
        <f>1705.884+819.067</f>
        <v>2524.951</v>
      </c>
      <c r="I28" s="7">
        <v>2018.5730000000001</v>
      </c>
      <c r="J28" s="7">
        <v>2706.55</v>
      </c>
      <c r="K28" s="7">
        <v>3695.05</v>
      </c>
      <c r="L28" s="7">
        <v>3912.23</v>
      </c>
      <c r="M28" s="7">
        <v>4364.8</v>
      </c>
      <c r="N28" s="7">
        <v>5465.5</v>
      </c>
      <c r="O28" s="7">
        <v>6141.2</v>
      </c>
      <c r="P28" s="8">
        <f t="shared" ref="P28:S28" si="22">P29*AVERAGE(O87:P87)</f>
        <v>7453.8824749999994</v>
      </c>
      <c r="Q28" s="8">
        <f t="shared" si="22"/>
        <v>12460.683949999999</v>
      </c>
      <c r="R28" s="8">
        <f t="shared" si="22"/>
        <v>18408.265199999998</v>
      </c>
      <c r="S28" s="8">
        <f t="shared" si="22"/>
        <v>24495.596449999997</v>
      </c>
      <c r="U28" s="184"/>
      <c r="V28" s="184"/>
      <c r="W28" s="184"/>
      <c r="Y28" s="7"/>
      <c r="Z28" s="7"/>
      <c r="AA28" s="8"/>
      <c r="AB28" s="8"/>
      <c r="AC28" s="8"/>
      <c r="AD28" s="8"/>
      <c r="AH28" s="14"/>
      <c r="AI28" s="14"/>
    </row>
    <row r="29" spans="2:40" ht="12" customHeight="1" x14ac:dyDescent="0.25">
      <c r="B29" s="6"/>
      <c r="C29" s="7"/>
      <c r="D29" s="7"/>
      <c r="E29" s="7"/>
      <c r="F29" s="7"/>
      <c r="G29" s="7"/>
      <c r="H29" s="7"/>
      <c r="I29" s="7"/>
      <c r="J29" s="7"/>
      <c r="K29" s="7"/>
      <c r="L29" s="7"/>
      <c r="M29" s="7"/>
      <c r="N29" s="12">
        <f>N28/AVERAGE(M87:N87)</f>
        <v>7.3281167457288965E-2</v>
      </c>
      <c r="O29" s="12">
        <f>O28/AVERAGE(N87:O87)</f>
        <v>6.7550072431646416E-2</v>
      </c>
      <c r="P29" s="200">
        <v>6.5000000000000002E-2</v>
      </c>
      <c r="Q29" s="200">
        <v>6.5000000000000002E-2</v>
      </c>
      <c r="R29" s="200">
        <v>6.5000000000000002E-2</v>
      </c>
      <c r="S29" s="200">
        <v>6.5000000000000002E-2</v>
      </c>
      <c r="U29" s="184"/>
      <c r="V29" s="184"/>
      <c r="W29" s="184"/>
      <c r="Y29" s="7"/>
      <c r="Z29" s="7"/>
      <c r="AA29" s="8"/>
      <c r="AB29" s="8"/>
      <c r="AC29" s="8"/>
      <c r="AD29" s="8"/>
    </row>
    <row r="30" spans="2:40" ht="12" customHeight="1" x14ac:dyDescent="0.25">
      <c r="B30" s="9" t="s">
        <v>38</v>
      </c>
      <c r="C30" s="10">
        <f t="shared" ref="C30:S30" si="23">C23+C27-C28</f>
        <v>0</v>
      </c>
      <c r="D30" s="10">
        <f t="shared" si="23"/>
        <v>0</v>
      </c>
      <c r="E30" s="10">
        <f t="shared" si="23"/>
        <v>0</v>
      </c>
      <c r="F30" s="10">
        <f t="shared" si="23"/>
        <v>0</v>
      </c>
      <c r="G30" s="10">
        <f t="shared" si="23"/>
        <v>5073.708999999998</v>
      </c>
      <c r="H30" s="10">
        <f t="shared" si="23"/>
        <v>4609.7870000000012</v>
      </c>
      <c r="I30" s="10">
        <f t="shared" si="23"/>
        <v>5115.5959999999995</v>
      </c>
      <c r="J30" s="10">
        <f t="shared" si="23"/>
        <v>6204.7749999999987</v>
      </c>
      <c r="K30" s="10">
        <f t="shared" si="23"/>
        <v>8456.0479999999952</v>
      </c>
      <c r="L30" s="10">
        <f t="shared" si="23"/>
        <v>14070.796000000002</v>
      </c>
      <c r="M30" s="10">
        <f t="shared" si="23"/>
        <v>17974.899999999994</v>
      </c>
      <c r="N30" s="10">
        <f t="shared" si="23"/>
        <v>20685.8</v>
      </c>
      <c r="O30" s="10">
        <f t="shared" ref="O30" si="24">O23+O27-O28</f>
        <v>23355.599999999999</v>
      </c>
      <c r="P30" s="5">
        <f t="shared" ca="1" si="23"/>
        <v>25835.240332056645</v>
      </c>
      <c r="Q30" s="5">
        <f t="shared" ca="1" si="23"/>
        <v>39311.27899595179</v>
      </c>
      <c r="R30" s="5">
        <f t="shared" ca="1" si="23"/>
        <v>42437.611711643243</v>
      </c>
      <c r="S30" s="5">
        <f t="shared" ca="1" si="23"/>
        <v>52605.502931405281</v>
      </c>
      <c r="U30" s="1026">
        <f>(O30/M30)^(1/2)-1</f>
        <v>0.13988823927003335</v>
      </c>
      <c r="V30" s="1026">
        <f ca="1">(Q30/O30)^(1/2)-1</f>
        <v>0.29736767399756103</v>
      </c>
      <c r="W30" s="1026">
        <f ca="1">(S30/O30)^(1/4)-1</f>
        <v>0.22506755225131747</v>
      </c>
      <c r="Y30" s="10"/>
      <c r="Z30" s="10"/>
      <c r="AA30" s="5"/>
      <c r="AB30" s="5"/>
      <c r="AC30" s="5"/>
      <c r="AD30" s="5"/>
    </row>
    <row r="31" spans="2:40" ht="12" customHeight="1" x14ac:dyDescent="0.25">
      <c r="B31" s="6"/>
      <c r="C31" s="7"/>
      <c r="D31" s="7"/>
      <c r="E31" s="7"/>
      <c r="F31" s="7"/>
      <c r="G31" s="7"/>
      <c r="H31" s="7"/>
      <c r="I31" s="7"/>
      <c r="J31" s="7"/>
      <c r="K31" s="7"/>
      <c r="L31" s="7"/>
      <c r="M31" s="7"/>
      <c r="N31" s="12">
        <f>N32/AVERAGE(M78:N78)</f>
        <v>5.8795222307403826E-2</v>
      </c>
      <c r="O31" s="12">
        <f>O32/AVERAGE(N78:O78)</f>
        <v>6.9202470393940382E-2</v>
      </c>
      <c r="P31" s="200">
        <f t="shared" ref="P31:S31" si="25">P32/AVERAGE(O78:P78)</f>
        <v>5.7159901885870064E-2</v>
      </c>
      <c r="Q31" s="200">
        <f t="shared" si="25"/>
        <v>7.2401674579217895E-2</v>
      </c>
      <c r="R31" s="200">
        <f t="shared" si="25"/>
        <v>8.090668774546253E-2</v>
      </c>
      <c r="S31" s="200">
        <f t="shared" si="25"/>
        <v>0.10694542929626967</v>
      </c>
      <c r="U31" s="184"/>
      <c r="V31" s="184"/>
      <c r="W31" s="184"/>
      <c r="Y31" s="7"/>
      <c r="Z31" s="7">
        <v>0.08</v>
      </c>
      <c r="AA31" s="200">
        <v>7.0000000000000007E-2</v>
      </c>
      <c r="AB31" s="200">
        <v>0.06</v>
      </c>
      <c r="AC31" s="200">
        <v>0.06</v>
      </c>
      <c r="AD31" s="200">
        <v>0.06</v>
      </c>
      <c r="AH31" s="14"/>
      <c r="AI31" s="14"/>
    </row>
    <row r="32" spans="2:40" ht="12" customHeight="1" x14ac:dyDescent="0.25">
      <c r="B32" s="6" t="s">
        <v>39</v>
      </c>
      <c r="C32" s="7"/>
      <c r="D32" s="7"/>
      <c r="E32" s="7"/>
      <c r="F32" s="7"/>
      <c r="G32" s="7">
        <v>1298.942</v>
      </c>
      <c r="H32" s="7">
        <v>1771.365</v>
      </c>
      <c r="I32" s="7">
        <v>2774.5830000000001</v>
      </c>
      <c r="J32" s="7">
        <v>2278.5700000000002</v>
      </c>
      <c r="K32" s="7">
        <v>4196.22</v>
      </c>
      <c r="L32" s="7">
        <v>5960.8</v>
      </c>
      <c r="M32" s="7">
        <f>2891.6+433</f>
        <v>3324.6</v>
      </c>
      <c r="N32" s="7">
        <f>3401-743.6</f>
        <v>2657.4</v>
      </c>
      <c r="O32" s="7">
        <f>3565.6+264.3</f>
        <v>3829.9</v>
      </c>
      <c r="P32" s="8">
        <f t="shared" ref="P32:R32" si="26">P261+AA32</f>
        <v>4783.0374513424667</v>
      </c>
      <c r="Q32" s="8">
        <f t="shared" si="26"/>
        <v>8558.4778248657531</v>
      </c>
      <c r="R32" s="8">
        <f t="shared" si="26"/>
        <v>10931.457055279452</v>
      </c>
      <c r="S32" s="8">
        <f>S261+AD32</f>
        <v>15540.224814060279</v>
      </c>
      <c r="U32" s="1026"/>
      <c r="V32" s="1026"/>
      <c r="W32" s="1026"/>
      <c r="Y32" s="7"/>
      <c r="Z32" s="7"/>
      <c r="AA32" s="8">
        <f>AVERAGE(Y78:Z78)*AA31</f>
        <v>1050</v>
      </c>
      <c r="AB32" s="8">
        <f t="shared" ref="AB32:AD32" si="27">AVERAGE(Z78:AA78)*AB31</f>
        <v>1395</v>
      </c>
      <c r="AC32" s="8">
        <f t="shared" si="27"/>
        <v>2350</v>
      </c>
      <c r="AD32" s="8">
        <f t="shared" si="27"/>
        <v>3160</v>
      </c>
    </row>
    <row r="33" spans="2:30" ht="12" customHeight="1" x14ac:dyDescent="0.25">
      <c r="B33" s="6" t="s">
        <v>307</v>
      </c>
      <c r="C33" s="7"/>
      <c r="D33" s="7"/>
      <c r="E33" s="7"/>
      <c r="F33" s="7"/>
      <c r="G33" s="7"/>
      <c r="H33" s="7"/>
      <c r="I33" s="7"/>
      <c r="J33" s="7"/>
      <c r="K33" s="7"/>
      <c r="L33" s="7"/>
      <c r="M33" s="7"/>
      <c r="N33" s="7"/>
      <c r="O33" s="7">
        <v>797.3</v>
      </c>
      <c r="P33" s="8"/>
      <c r="Q33" s="8"/>
      <c r="R33" s="8"/>
      <c r="S33" s="8"/>
      <c r="U33" s="184"/>
      <c r="V33" s="184"/>
      <c r="W33" s="184"/>
      <c r="Y33" s="7"/>
      <c r="Z33" s="7"/>
      <c r="AA33" s="8"/>
      <c r="AB33" s="8"/>
      <c r="AC33" s="8"/>
      <c r="AD33" s="8"/>
    </row>
    <row r="34" spans="2:30" ht="12" customHeight="1" x14ac:dyDescent="0.25">
      <c r="B34" s="6"/>
      <c r="C34" s="7"/>
      <c r="D34" s="7"/>
      <c r="E34" s="7"/>
      <c r="F34" s="7"/>
      <c r="G34" s="7"/>
      <c r="H34" s="7"/>
      <c r="I34" s="7"/>
      <c r="J34" s="7"/>
      <c r="K34" s="7"/>
      <c r="L34" s="7"/>
      <c r="M34" s="7"/>
      <c r="N34" s="7"/>
      <c r="O34" s="7"/>
      <c r="P34" s="8"/>
      <c r="Q34" s="8"/>
      <c r="R34" s="8"/>
      <c r="S34" s="8"/>
      <c r="U34" s="184"/>
      <c r="V34" s="184"/>
      <c r="W34" s="184"/>
      <c r="Y34" s="7"/>
      <c r="Z34" s="7"/>
      <c r="AA34" s="8"/>
      <c r="AB34" s="8"/>
      <c r="AC34" s="8"/>
      <c r="AD34" s="8"/>
    </row>
    <row r="35" spans="2:30" ht="12" customHeight="1" x14ac:dyDescent="0.25">
      <c r="B35" s="9" t="s">
        <v>40</v>
      </c>
      <c r="C35" s="10">
        <f t="shared" ref="C35:S35" si="28">C30-C32-C33</f>
        <v>0</v>
      </c>
      <c r="D35" s="10">
        <f t="shared" si="28"/>
        <v>0</v>
      </c>
      <c r="E35" s="10">
        <f t="shared" si="28"/>
        <v>0</v>
      </c>
      <c r="F35" s="10">
        <f t="shared" si="28"/>
        <v>0</v>
      </c>
      <c r="G35" s="10">
        <f t="shared" si="28"/>
        <v>3774.766999999998</v>
      </c>
      <c r="H35" s="10">
        <f t="shared" si="28"/>
        <v>2838.4220000000014</v>
      </c>
      <c r="I35" s="10">
        <f t="shared" si="28"/>
        <v>2341.0129999999995</v>
      </c>
      <c r="J35" s="10">
        <f t="shared" si="28"/>
        <v>3926.2049999999986</v>
      </c>
      <c r="K35" s="10">
        <f t="shared" si="28"/>
        <v>4259.827999999995</v>
      </c>
      <c r="L35" s="10">
        <f t="shared" si="28"/>
        <v>8109.9960000000019</v>
      </c>
      <c r="M35" s="10">
        <f t="shared" si="28"/>
        <v>14650.299999999994</v>
      </c>
      <c r="N35" s="10">
        <f t="shared" si="28"/>
        <v>18028.399999999998</v>
      </c>
      <c r="O35" s="10">
        <f t="shared" ref="O35" si="29">O30-O32-O33</f>
        <v>18728.399999999998</v>
      </c>
      <c r="P35" s="5">
        <f t="shared" ca="1" si="28"/>
        <v>21052.202880714176</v>
      </c>
      <c r="Q35" s="5">
        <f ca="1">Q30-Q32-Q33</f>
        <v>30752.801171086037</v>
      </c>
      <c r="R35" s="5">
        <f t="shared" ca="1" si="28"/>
        <v>31506.154656363789</v>
      </c>
      <c r="S35" s="5">
        <f t="shared" ca="1" si="28"/>
        <v>37065.278117345006</v>
      </c>
      <c r="U35" s="1026">
        <f>(O35/M35)^(1/2)-1</f>
        <v>0.13064711577858001</v>
      </c>
      <c r="V35" s="1026">
        <f ca="1">(Q35/O35)^(1/2)-1</f>
        <v>0.28142148688650526</v>
      </c>
      <c r="W35" s="1026">
        <f ca="1">(S35/O35)^(1/4)-1</f>
        <v>0.18608727529596081</v>
      </c>
      <c r="Y35" s="10"/>
      <c r="Z35" s="10"/>
      <c r="AA35" s="5"/>
      <c r="AB35" s="5"/>
      <c r="AC35" s="5"/>
      <c r="AD35" s="5"/>
    </row>
    <row r="36" spans="2:30" ht="12" customHeight="1" x14ac:dyDescent="0.25">
      <c r="B36" s="6"/>
      <c r="C36" s="7"/>
      <c r="D36" s="7"/>
      <c r="E36" s="7"/>
      <c r="F36" s="7"/>
      <c r="G36" s="7"/>
      <c r="H36" s="7"/>
      <c r="I36" s="7"/>
      <c r="J36" s="7"/>
      <c r="K36" s="7"/>
      <c r="L36" s="7"/>
      <c r="M36" s="7"/>
      <c r="N36" s="7"/>
      <c r="O36" s="7"/>
      <c r="P36" s="8"/>
      <c r="Q36" s="8"/>
      <c r="R36" s="8"/>
      <c r="S36" s="8"/>
      <c r="U36" s="184"/>
      <c r="V36" s="184"/>
      <c r="W36" s="184"/>
      <c r="Y36" s="7"/>
      <c r="Z36" s="7"/>
      <c r="AA36" s="8"/>
      <c r="AB36" s="8"/>
      <c r="AC36" s="8"/>
      <c r="AD36" s="8"/>
    </row>
    <row r="37" spans="2:30" ht="12" customHeight="1" x14ac:dyDescent="0.25">
      <c r="B37" s="6" t="s">
        <v>41</v>
      </c>
      <c r="C37" s="7"/>
      <c r="D37" s="7"/>
      <c r="E37" s="7"/>
      <c r="F37" s="7"/>
      <c r="G37" s="7"/>
      <c r="H37" s="7"/>
      <c r="I37" s="7"/>
      <c r="J37" s="7"/>
      <c r="K37" s="7"/>
      <c r="L37" s="7"/>
      <c r="M37" s="7"/>
      <c r="N37" s="7"/>
      <c r="O37" s="7"/>
      <c r="P37" s="8"/>
      <c r="Q37" s="8"/>
      <c r="R37" s="8"/>
      <c r="S37" s="8"/>
      <c r="U37" s="184"/>
      <c r="V37" s="184"/>
      <c r="W37" s="184"/>
      <c r="Y37" s="7"/>
      <c r="Z37" s="7"/>
      <c r="AA37" s="8"/>
      <c r="AB37" s="8"/>
      <c r="AC37" s="8"/>
      <c r="AD37" s="8"/>
    </row>
    <row r="38" spans="2:30" ht="12" customHeight="1" x14ac:dyDescent="0.25">
      <c r="B38" s="6" t="s">
        <v>42</v>
      </c>
      <c r="C38" s="7"/>
      <c r="D38" s="7"/>
      <c r="E38" s="7"/>
      <c r="F38" s="7"/>
      <c r="G38" s="7">
        <v>626.202</v>
      </c>
      <c r="H38" s="7">
        <v>538.60799999999995</v>
      </c>
      <c r="I38" s="7">
        <v>308.06299999999999</v>
      </c>
      <c r="J38" s="7">
        <v>761.25</v>
      </c>
      <c r="K38" s="7">
        <v>1175.58</v>
      </c>
      <c r="L38" s="7">
        <v>1610.83</v>
      </c>
      <c r="M38" s="7">
        <v>2637.9</v>
      </c>
      <c r="N38" s="7">
        <v>3030.4</v>
      </c>
      <c r="O38" s="7">
        <v>3134</v>
      </c>
      <c r="P38" s="8">
        <f t="shared" ref="P38:S38" ca="1" si="30">P41</f>
        <v>4631.4846337571189</v>
      </c>
      <c r="Q38" s="8">
        <f t="shared" ca="1" si="30"/>
        <v>6765.6162576389279</v>
      </c>
      <c r="R38" s="8">
        <f t="shared" ca="1" si="30"/>
        <v>6301.2309312727584</v>
      </c>
      <c r="S38" s="8">
        <f t="shared" ca="1" si="30"/>
        <v>8154.3611858159011</v>
      </c>
      <c r="U38" s="184"/>
      <c r="V38" s="184"/>
      <c r="W38" s="184"/>
      <c r="Y38" s="7"/>
      <c r="Z38" s="7"/>
      <c r="AA38" s="8"/>
      <c r="AB38" s="8"/>
      <c r="AC38" s="8"/>
      <c r="AD38" s="8"/>
    </row>
    <row r="39" spans="2:30" ht="12" customHeight="1" x14ac:dyDescent="0.25">
      <c r="B39" s="6" t="s">
        <v>43</v>
      </c>
      <c r="C39" s="7"/>
      <c r="D39" s="7"/>
      <c r="E39" s="7"/>
      <c r="F39" s="7"/>
      <c r="G39" s="7">
        <v>340.428</v>
      </c>
      <c r="H39" s="7">
        <v>-419.83499999999998</v>
      </c>
      <c r="I39" s="7">
        <v>67.653000000000006</v>
      </c>
      <c r="J39" s="7">
        <v>318.7</v>
      </c>
      <c r="K39" s="7">
        <v>-220.12</v>
      </c>
      <c r="L39" s="7">
        <v>-1081.3399999999999</v>
      </c>
      <c r="M39" s="7">
        <v>401.4</v>
      </c>
      <c r="N39" s="7">
        <v>111.3</v>
      </c>
      <c r="O39" s="7">
        <v>131.69999999999999</v>
      </c>
      <c r="P39" s="8"/>
      <c r="Q39" s="8"/>
      <c r="R39" s="8"/>
      <c r="S39" s="8"/>
      <c r="U39" s="184"/>
      <c r="V39" s="184"/>
      <c r="W39" s="184"/>
      <c r="Y39" s="7"/>
      <c r="Z39" s="7"/>
      <c r="AA39" s="8"/>
      <c r="AB39" s="8"/>
      <c r="AC39" s="8"/>
      <c r="AD39" s="8"/>
    </row>
    <row r="40" spans="2:30" ht="12" customHeight="1" x14ac:dyDescent="0.25">
      <c r="B40" s="6" t="s">
        <v>44</v>
      </c>
      <c r="C40" s="7"/>
      <c r="D40" s="7"/>
      <c r="E40" s="7"/>
      <c r="F40" s="7"/>
      <c r="G40" s="7"/>
      <c r="H40" s="7"/>
      <c r="I40" s="7"/>
      <c r="J40" s="7"/>
      <c r="K40" s="7"/>
      <c r="L40" s="7">
        <v>85.3</v>
      </c>
      <c r="M40" s="7">
        <v>4.0999999999999996</v>
      </c>
      <c r="N40" s="7">
        <v>-328.1</v>
      </c>
      <c r="O40" s="7">
        <v>-6.3</v>
      </c>
      <c r="P40" s="8"/>
      <c r="Q40" s="8"/>
      <c r="R40" s="8"/>
      <c r="S40" s="8"/>
      <c r="U40" s="184"/>
      <c r="V40" s="184"/>
      <c r="W40" s="184"/>
      <c r="Y40" s="7"/>
      <c r="Z40" s="7"/>
      <c r="AA40" s="8"/>
      <c r="AB40" s="8"/>
      <c r="AC40" s="8"/>
      <c r="AD40" s="8"/>
    </row>
    <row r="41" spans="2:30" s="18" customFormat="1" ht="12" customHeight="1" x14ac:dyDescent="0.25">
      <c r="B41" s="9" t="s">
        <v>45</v>
      </c>
      <c r="C41" s="10">
        <f t="shared" ref="C41:L41" si="31">SUM(C38:C40)</f>
        <v>0</v>
      </c>
      <c r="D41" s="10">
        <f t="shared" si="31"/>
        <v>0</v>
      </c>
      <c r="E41" s="10">
        <f t="shared" si="31"/>
        <v>0</v>
      </c>
      <c r="F41" s="10">
        <f t="shared" si="31"/>
        <v>0</v>
      </c>
      <c r="G41" s="10">
        <f>SUM(G38:G40)</f>
        <v>966.63</v>
      </c>
      <c r="H41" s="10">
        <f>SUM(H38:H40)</f>
        <v>118.77299999999997</v>
      </c>
      <c r="I41" s="10">
        <f t="shared" si="31"/>
        <v>375.71600000000001</v>
      </c>
      <c r="J41" s="10">
        <f t="shared" si="31"/>
        <v>1079.95</v>
      </c>
      <c r="K41" s="10">
        <f t="shared" si="31"/>
        <v>955.45999999999992</v>
      </c>
      <c r="L41" s="10">
        <f t="shared" si="31"/>
        <v>614.79</v>
      </c>
      <c r="M41" s="10">
        <f>SUM(M38:M40)</f>
        <v>3043.4</v>
      </c>
      <c r="N41" s="10">
        <f>SUM(N38:N40)</f>
        <v>2813.6000000000004</v>
      </c>
      <c r="O41" s="10">
        <f>SUM(O38:O40)</f>
        <v>3259.3999999999996</v>
      </c>
      <c r="P41" s="5">
        <f t="shared" ref="P41:S41" ca="1" si="32">P35*P42</f>
        <v>4631.4846337571189</v>
      </c>
      <c r="Q41" s="5">
        <f t="shared" ca="1" si="32"/>
        <v>6765.6162576389279</v>
      </c>
      <c r="R41" s="5">
        <f t="shared" ca="1" si="32"/>
        <v>6301.2309312727584</v>
      </c>
      <c r="S41" s="5">
        <f t="shared" ca="1" si="32"/>
        <v>8154.3611858159011</v>
      </c>
      <c r="U41" s="1027"/>
      <c r="V41" s="1027"/>
      <c r="W41" s="1027"/>
      <c r="Y41" s="10"/>
      <c r="Z41" s="10"/>
      <c r="AA41" s="5"/>
      <c r="AB41" s="5"/>
      <c r="AC41" s="5"/>
      <c r="AD41" s="5"/>
    </row>
    <row r="42" spans="2:30" ht="12" customHeight="1" x14ac:dyDescent="0.25">
      <c r="B42" s="19" t="s">
        <v>46</v>
      </c>
      <c r="C42" s="12" t="str">
        <f t="shared" ref="C42:L42" si="33">IF(ISERROR(C41/C35)," ",C41/C35)</f>
        <v xml:space="preserve"> </v>
      </c>
      <c r="D42" s="12" t="str">
        <f t="shared" si="33"/>
        <v xml:space="preserve"> </v>
      </c>
      <c r="E42" s="12" t="str">
        <f t="shared" si="33"/>
        <v xml:space="preserve"> </v>
      </c>
      <c r="F42" s="12" t="str">
        <f t="shared" si="33"/>
        <v xml:space="preserve"> </v>
      </c>
      <c r="G42" s="12">
        <f t="shared" si="33"/>
        <v>0.25607673268310349</v>
      </c>
      <c r="H42" s="12">
        <f t="shared" si="33"/>
        <v>4.1844729219263348E-2</v>
      </c>
      <c r="I42" s="12">
        <f t="shared" si="33"/>
        <v>0.16049291481935388</v>
      </c>
      <c r="J42" s="12">
        <f t="shared" si="33"/>
        <v>0.27506205101363795</v>
      </c>
      <c r="K42" s="12">
        <f t="shared" si="33"/>
        <v>0.22429544103658669</v>
      </c>
      <c r="L42" s="12">
        <f t="shared" si="33"/>
        <v>7.5806449226362108E-2</v>
      </c>
      <c r="M42" s="12">
        <f>IF(ISERROR(M41/M35)," ",M41/M35)</f>
        <v>0.20773636034756976</v>
      </c>
      <c r="N42" s="12">
        <f>IF(ISERROR(N41/N35)," ",N41/N35)</f>
        <v>0.15606487541878375</v>
      </c>
      <c r="O42" s="12">
        <f>IF(ISERROR(O41/O35)," ",O41/O35)</f>
        <v>0.17403515516541723</v>
      </c>
      <c r="P42" s="200">
        <v>0.22</v>
      </c>
      <c r="Q42" s="200">
        <v>0.22</v>
      </c>
      <c r="R42" s="200">
        <v>0.2</v>
      </c>
      <c r="S42" s="200">
        <v>0.22</v>
      </c>
      <c r="U42" s="184"/>
      <c r="V42" s="184"/>
      <c r="W42" s="184"/>
      <c r="Y42" s="12"/>
      <c r="Z42" s="12"/>
      <c r="AA42" s="200"/>
      <c r="AB42" s="200"/>
      <c r="AC42" s="200"/>
      <c r="AD42" s="200"/>
    </row>
    <row r="43" spans="2:30" ht="12" customHeight="1" x14ac:dyDescent="0.25">
      <c r="B43" s="19"/>
      <c r="C43" s="12"/>
      <c r="D43" s="12"/>
      <c r="E43" s="12"/>
      <c r="F43" s="12"/>
      <c r="G43" s="12"/>
      <c r="H43" s="12"/>
      <c r="I43" s="12"/>
      <c r="J43" s="12"/>
      <c r="K43" s="12"/>
      <c r="L43" s="12"/>
      <c r="M43" s="12"/>
      <c r="N43" s="12"/>
      <c r="O43" s="12"/>
      <c r="P43" s="13"/>
      <c r="Q43" s="13"/>
      <c r="R43" s="13"/>
      <c r="S43" s="13"/>
      <c r="U43" s="184"/>
      <c r="V43" s="184"/>
      <c r="W43" s="184"/>
      <c r="Y43" s="12"/>
      <c r="Z43" s="12"/>
      <c r="AA43" s="13"/>
      <c r="AB43" s="13"/>
      <c r="AC43" s="13"/>
      <c r="AD43" s="13"/>
    </row>
    <row r="44" spans="2:30" ht="12" customHeight="1" x14ac:dyDescent="0.25">
      <c r="B44" s="9" t="s">
        <v>47</v>
      </c>
      <c r="C44" s="10">
        <f t="shared" ref="C44:S44" si="34">C35-C36-C41</f>
        <v>0</v>
      </c>
      <c r="D44" s="10">
        <f t="shared" si="34"/>
        <v>0</v>
      </c>
      <c r="E44" s="10">
        <f t="shared" si="34"/>
        <v>0</v>
      </c>
      <c r="F44" s="10">
        <f t="shared" si="34"/>
        <v>0</v>
      </c>
      <c r="G44" s="10">
        <f t="shared" si="34"/>
        <v>2808.1369999999979</v>
      </c>
      <c r="H44" s="10">
        <f t="shared" si="34"/>
        <v>2719.6490000000013</v>
      </c>
      <c r="I44" s="10">
        <f t="shared" si="34"/>
        <v>1965.2969999999996</v>
      </c>
      <c r="J44" s="10">
        <f t="shared" si="34"/>
        <v>2846.2549999999983</v>
      </c>
      <c r="K44" s="10">
        <f t="shared" si="34"/>
        <v>3304.3679999999949</v>
      </c>
      <c r="L44" s="10">
        <f t="shared" si="34"/>
        <v>7495.2060000000019</v>
      </c>
      <c r="M44" s="10">
        <f t="shared" si="34"/>
        <v>11606.899999999994</v>
      </c>
      <c r="N44" s="10">
        <f t="shared" si="34"/>
        <v>15214.799999999997</v>
      </c>
      <c r="O44" s="10">
        <f t="shared" ref="O44" si="35">O35-O36-O41</f>
        <v>15468.999999999998</v>
      </c>
      <c r="P44" s="5">
        <f t="shared" ca="1" si="34"/>
        <v>16420.718246957058</v>
      </c>
      <c r="Q44" s="5">
        <f t="shared" ca="1" si="34"/>
        <v>23987.184913447109</v>
      </c>
      <c r="R44" s="5">
        <f t="shared" ca="1" si="34"/>
        <v>25204.92372509103</v>
      </c>
      <c r="S44" s="5">
        <f t="shared" ca="1" si="34"/>
        <v>28910.916931529104</v>
      </c>
      <c r="U44" s="1026">
        <f>(O44/M44)^(1/2)-1</f>
        <v>0.15444433872387608</v>
      </c>
      <c r="V44" s="1026">
        <f ca="1">(Q44/O44)^(1/2)-1</f>
        <v>0.24525565257787219</v>
      </c>
      <c r="W44" s="1026">
        <f ca="1">(S44/O44)^(1/4)-1</f>
        <v>0.16922988338325995</v>
      </c>
      <c r="Y44" s="10"/>
      <c r="Z44" s="10"/>
      <c r="AA44" s="5"/>
      <c r="AB44" s="5"/>
      <c r="AC44" s="5"/>
      <c r="AD44" s="5"/>
    </row>
    <row r="45" spans="2:30" ht="12" customHeight="1" x14ac:dyDescent="0.25">
      <c r="B45" s="6"/>
      <c r="C45" s="7"/>
      <c r="D45" s="7"/>
      <c r="E45" s="7"/>
      <c r="F45" s="7"/>
      <c r="G45" s="7"/>
      <c r="H45" s="7"/>
      <c r="I45" s="7"/>
      <c r="J45" s="7"/>
      <c r="K45" s="7"/>
      <c r="L45" s="7"/>
      <c r="M45" s="7"/>
      <c r="N45" s="7"/>
      <c r="O45" s="7"/>
      <c r="P45" s="8"/>
      <c r="Q45" s="8"/>
      <c r="R45" s="8"/>
      <c r="S45" s="8"/>
      <c r="U45" s="184"/>
      <c r="V45" s="184"/>
      <c r="W45" s="184"/>
      <c r="Y45" s="7"/>
      <c r="Z45" s="7"/>
      <c r="AA45" s="8"/>
      <c r="AB45" s="8"/>
      <c r="AC45" s="8"/>
      <c r="AD45" s="8"/>
    </row>
    <row r="46" spans="2:30" ht="12" customHeight="1" x14ac:dyDescent="0.25">
      <c r="B46" s="6" t="s">
        <v>48</v>
      </c>
      <c r="C46" s="7"/>
      <c r="D46" s="7"/>
      <c r="E46" s="7"/>
      <c r="F46" s="7"/>
      <c r="G46" s="7"/>
      <c r="H46" s="7">
        <v>52.405000000000001</v>
      </c>
      <c r="I46" s="7">
        <v>61.055999999999997</v>
      </c>
      <c r="J46" s="7">
        <v>-67.599999999999994</v>
      </c>
      <c r="K46" s="7">
        <v>24.91</v>
      </c>
      <c r="L46" s="7">
        <v>96.83</v>
      </c>
      <c r="M46" s="7">
        <v>47.8</v>
      </c>
      <c r="N46" s="7">
        <v>184</v>
      </c>
      <c r="O46" s="7">
        <v>235.9</v>
      </c>
      <c r="P46" s="8">
        <f ca="1">(Assumptions!M977*0.2)*0.5+(Logistics!O53*(1-Logistics!$K$1))</f>
        <v>462.40862586672972</v>
      </c>
      <c r="Q46" s="8">
        <f ca="1">(Assumptions!N977*0.2)*0.5+(Logistics!P53*(1-Logistics!$K$1))</f>
        <v>598.62168119657849</v>
      </c>
      <c r="R46" s="8">
        <f ca="1">(Assumptions!O977*0.2)*0.5+(Logistics!Q53*(1-Logistics!$K$1))</f>
        <v>759.49835057634846</v>
      </c>
      <c r="S46" s="8">
        <f ca="1">(Assumptions!P977*0.2)*0.5+(Logistics!R53*(1-Logistics!$K$1))</f>
        <v>962.34259139450467</v>
      </c>
      <c r="U46" s="184"/>
      <c r="V46" s="184"/>
      <c r="W46" s="184"/>
      <c r="Y46" s="7"/>
      <c r="Z46" s="7"/>
      <c r="AA46" s="8"/>
      <c r="AB46" s="8"/>
      <c r="AC46" s="8"/>
      <c r="AD46" s="8"/>
    </row>
    <row r="47" spans="2:30" ht="12" customHeight="1" x14ac:dyDescent="0.25">
      <c r="B47" s="6" t="s">
        <v>49</v>
      </c>
      <c r="C47" s="7"/>
      <c r="D47" s="7"/>
      <c r="E47" s="7"/>
      <c r="F47" s="7"/>
      <c r="G47" s="7"/>
      <c r="H47" s="7"/>
      <c r="I47" s="7"/>
      <c r="J47" s="7"/>
      <c r="K47" s="7"/>
      <c r="L47" s="7"/>
      <c r="M47" s="7"/>
      <c r="N47" s="7"/>
      <c r="O47" s="7"/>
      <c r="P47" s="8"/>
      <c r="Q47" s="8"/>
      <c r="R47" s="8"/>
      <c r="S47" s="8"/>
      <c r="U47" s="184"/>
      <c r="V47" s="184"/>
      <c r="W47" s="184"/>
      <c r="Y47" s="7"/>
      <c r="Z47" s="7"/>
      <c r="AA47" s="8"/>
      <c r="AB47" s="8"/>
      <c r="AC47" s="8"/>
      <c r="AD47" s="8"/>
    </row>
    <row r="48" spans="2:30" ht="12" customHeight="1" x14ac:dyDescent="0.25">
      <c r="B48" s="6"/>
      <c r="C48" s="7"/>
      <c r="D48" s="7"/>
      <c r="E48" s="7"/>
      <c r="F48" s="7"/>
      <c r="G48" s="7"/>
      <c r="H48" s="7"/>
      <c r="I48" s="7"/>
      <c r="J48" s="7"/>
      <c r="K48" s="7"/>
      <c r="L48" s="7"/>
      <c r="M48" s="7"/>
      <c r="N48" s="7"/>
      <c r="O48" s="7"/>
      <c r="P48" s="8"/>
      <c r="Q48" s="8"/>
      <c r="R48" s="8"/>
      <c r="S48" s="8"/>
      <c r="U48" s="184"/>
      <c r="V48" s="1029"/>
      <c r="W48" s="1029"/>
      <c r="Y48" s="7"/>
      <c r="Z48" s="7"/>
      <c r="AA48" s="8"/>
      <c r="AB48" s="8"/>
      <c r="AC48" s="8"/>
      <c r="AD48" s="8"/>
    </row>
    <row r="49" spans="2:30" ht="12" customHeight="1" x14ac:dyDescent="0.25">
      <c r="B49" s="9" t="s">
        <v>50</v>
      </c>
      <c r="C49" s="10">
        <f t="shared" ref="C49:L49" si="36">C44-C46+C47</f>
        <v>0</v>
      </c>
      <c r="D49" s="10">
        <f t="shared" si="36"/>
        <v>0</v>
      </c>
      <c r="E49" s="10">
        <f t="shared" si="36"/>
        <v>0</v>
      </c>
      <c r="F49" s="10">
        <f t="shared" si="36"/>
        <v>0</v>
      </c>
      <c r="G49" s="10">
        <f t="shared" si="36"/>
        <v>2808.1369999999979</v>
      </c>
      <c r="H49" s="10">
        <f t="shared" si="36"/>
        <v>2667.2440000000011</v>
      </c>
      <c r="I49" s="10">
        <f t="shared" si="36"/>
        <v>1904.2409999999995</v>
      </c>
      <c r="J49" s="10">
        <f t="shared" si="36"/>
        <v>2913.8549999999982</v>
      </c>
      <c r="K49" s="10">
        <f t="shared" si="36"/>
        <v>3279.4579999999951</v>
      </c>
      <c r="L49" s="10">
        <f t="shared" si="36"/>
        <v>7398.376000000002</v>
      </c>
      <c r="M49" s="10">
        <f>M44-M46+M47</f>
        <v>11559.099999999995</v>
      </c>
      <c r="N49" s="10">
        <f t="shared" ref="N49:O49" si="37">N44-N46+N47</f>
        <v>15030.799999999997</v>
      </c>
      <c r="O49" s="10">
        <f t="shared" si="37"/>
        <v>15233.099999999999</v>
      </c>
      <c r="P49" s="5">
        <f ca="1">P44-P46+P47</f>
        <v>15958.309621090328</v>
      </c>
      <c r="Q49" s="5">
        <f t="shared" ref="Q49:S49" ca="1" si="38">Q44-Q46+Q47</f>
        <v>23388.56323225053</v>
      </c>
      <c r="R49" s="5">
        <f t="shared" ca="1" si="38"/>
        <v>24445.425374514682</v>
      </c>
      <c r="S49" s="5">
        <f t="shared" ca="1" si="38"/>
        <v>27948.574340134601</v>
      </c>
      <c r="U49" s="1026">
        <f>(O49/M49)^(1/2)-1</f>
        <v>0.14797422223137735</v>
      </c>
      <c r="V49" s="1026">
        <f ca="1">(Q49/O49)^(1/2)-1</f>
        <v>0.23910361880850761</v>
      </c>
      <c r="W49" s="1026">
        <f ca="1">(S49/O49)^(1/4)-1</f>
        <v>0.16383882676186912</v>
      </c>
      <c r="X49" s="14">
        <f ca="1">(Q49/O49)^(1/2)-1</f>
        <v>0.23910361880850761</v>
      </c>
      <c r="Y49" s="10"/>
      <c r="Z49" s="10"/>
      <c r="AA49" s="5"/>
      <c r="AB49" s="5"/>
      <c r="AC49" s="5"/>
      <c r="AD49" s="5"/>
    </row>
    <row r="50" spans="2:30" ht="12" customHeight="1" x14ac:dyDescent="0.25">
      <c r="B50" s="15" t="s">
        <v>35</v>
      </c>
      <c r="C50" s="16" t="str">
        <f t="shared" ref="C50:L50" si="39">IF(ISERROR(C49/C16)," ",C49/C16)</f>
        <v xml:space="preserve"> </v>
      </c>
      <c r="D50" s="16" t="str">
        <f t="shared" si="39"/>
        <v xml:space="preserve"> </v>
      </c>
      <c r="E50" s="16" t="str">
        <f t="shared" si="39"/>
        <v xml:space="preserve"> </v>
      </c>
      <c r="F50" s="16" t="str">
        <f t="shared" si="39"/>
        <v xml:space="preserve"> </v>
      </c>
      <c r="G50" s="12">
        <f t="shared" si="39"/>
        <v>0.28135006576537497</v>
      </c>
      <c r="H50" s="12">
        <f t="shared" si="39"/>
        <v>0.24690755060678907</v>
      </c>
      <c r="I50" s="12">
        <f t="shared" si="39"/>
        <v>0.16657908666553584</v>
      </c>
      <c r="J50" s="12">
        <f t="shared" si="39"/>
        <v>0.18171043929780439</v>
      </c>
      <c r="K50" s="12">
        <f t="shared" si="39"/>
        <v>0.14427510630169338</v>
      </c>
      <c r="L50" s="12">
        <f t="shared" si="39"/>
        <v>0.23157993847135466</v>
      </c>
      <c r="M50" s="12">
        <f>IF(ISERROR(M49/M16)," ",M49/M16)</f>
        <v>0.30718676336539191</v>
      </c>
      <c r="N50" s="12">
        <f t="shared" ref="N50:O50" si="40">IF(ISERROR(N49/N16)," ",N49/N16)</f>
        <v>0.33579825474627684</v>
      </c>
      <c r="O50" s="12">
        <f t="shared" si="40"/>
        <v>0.28412329523411617</v>
      </c>
      <c r="P50" s="13">
        <f ca="1">IF(ISERROR(P49/P16)," ",P49/P16)</f>
        <v>0.21880070157727269</v>
      </c>
      <c r="Q50" s="13">
        <f t="shared" ref="Q50:R50" ca="1" si="41">IF(ISERROR(Q49/Q16)," ",Q49/Q16)</f>
        <v>0.21522044329037959</v>
      </c>
      <c r="R50" s="13">
        <f t="shared" ca="1" si="41"/>
        <v>0.16934689630477781</v>
      </c>
      <c r="S50" s="13">
        <f ca="1">IF(ISERROR(S49/S16)," ",S49/S16)</f>
        <v>0.14822840268818238</v>
      </c>
      <c r="U50" s="184"/>
      <c r="V50" s="184"/>
      <c r="W50" s="184"/>
      <c r="Y50" s="16"/>
      <c r="Z50" s="16"/>
      <c r="AA50" s="17"/>
      <c r="AB50" s="17"/>
      <c r="AC50" s="17"/>
      <c r="AD50" s="17"/>
    </row>
    <row r="51" spans="2:30" s="14" customFormat="1" ht="12" customHeight="1" x14ac:dyDescent="0.25">
      <c r="B51" s="11" t="s">
        <v>30</v>
      </c>
      <c r="C51" s="12" t="str">
        <f t="shared" ref="C51:K51" si="42">IF(ISERROR(C49/B49-1)," ",C49/B49-1)</f>
        <v xml:space="preserve"> </v>
      </c>
      <c r="D51" s="12" t="str">
        <f t="shared" si="42"/>
        <v xml:space="preserve"> </v>
      </c>
      <c r="E51" s="12" t="str">
        <f t="shared" si="42"/>
        <v xml:space="preserve"> </v>
      </c>
      <c r="F51" s="12" t="str">
        <f t="shared" si="42"/>
        <v xml:space="preserve"> </v>
      </c>
      <c r="G51" s="12" t="str">
        <f t="shared" si="42"/>
        <v xml:space="preserve"> </v>
      </c>
      <c r="H51" s="12">
        <f t="shared" si="42"/>
        <v>-5.0173121895405015E-2</v>
      </c>
      <c r="I51" s="12">
        <f t="shared" si="42"/>
        <v>-0.2860641921024103</v>
      </c>
      <c r="J51" s="12">
        <f t="shared" si="42"/>
        <v>0.53019234435137097</v>
      </c>
      <c r="K51" s="12">
        <f t="shared" si="42"/>
        <v>0.12547055361368264</v>
      </c>
      <c r="L51" s="12">
        <f>IF(ISERROR(L49/K49-1)," ",L49/K49-1)</f>
        <v>1.2559752251744078</v>
      </c>
      <c r="M51" s="12">
        <f>IF(ISERROR(M49/L49-1)," ",M49/L49-1)</f>
        <v>0.5623834203614404</v>
      </c>
      <c r="N51" s="12">
        <f t="shared" ref="N51:O51" si="43">IF(ISERROR(N49/M49-1)," ",N49/M49-1)</f>
        <v>0.300343452344906</v>
      </c>
      <c r="O51" s="12">
        <f t="shared" si="43"/>
        <v>1.3459030790111015E-2</v>
      </c>
      <c r="P51" s="13">
        <f ca="1">IF(ISERROR(P49/O49-1)," ",P49/O49-1)</f>
        <v>4.7607487713619001E-2</v>
      </c>
      <c r="Q51" s="13">
        <f ca="1">IF(ISERROR(Q49/P49-1)," ",Q49/P49-1)</f>
        <v>0.46560405127999638</v>
      </c>
      <c r="R51" s="13">
        <f ca="1">IF(ISERROR(R49/Q49-1)," ",R49/Q49-1)</f>
        <v>4.518713406075503E-2</v>
      </c>
      <c r="S51" s="13">
        <f ca="1">IF(ISERROR(S49/R49-1)," ",S49/R49-1)</f>
        <v>0.14330488882685133</v>
      </c>
      <c r="U51" s="1026"/>
      <c r="V51" s="1026"/>
      <c r="W51" s="1026"/>
      <c r="Y51" s="12"/>
      <c r="Z51" s="12"/>
      <c r="AA51" s="13"/>
      <c r="AB51" s="13"/>
      <c r="AC51" s="13"/>
      <c r="AD51" s="13"/>
    </row>
    <row r="52" spans="2:30" ht="12" customHeight="1" x14ac:dyDescent="0.25">
      <c r="B52" s="15"/>
      <c r="C52" s="16"/>
      <c r="D52" s="16"/>
      <c r="E52" s="16"/>
      <c r="F52" s="16"/>
      <c r="G52" s="16"/>
      <c r="H52" s="16"/>
      <c r="I52" s="16"/>
      <c r="J52" s="16"/>
      <c r="K52" s="16"/>
      <c r="L52" s="16"/>
      <c r="M52" s="16"/>
      <c r="N52" s="16"/>
      <c r="O52" s="16"/>
      <c r="P52" s="17"/>
      <c r="Q52" s="17"/>
      <c r="R52" s="17"/>
      <c r="S52" s="17"/>
      <c r="U52" s="184"/>
      <c r="V52" s="184"/>
      <c r="W52" s="184"/>
      <c r="Y52" s="16"/>
      <c r="Z52" s="16"/>
      <c r="AA52" s="17"/>
      <c r="AB52" s="17"/>
      <c r="AC52" s="17"/>
      <c r="AD52" s="17"/>
    </row>
    <row r="53" spans="2:30" ht="12" customHeight="1" x14ac:dyDescent="0.25">
      <c r="B53" s="9" t="s">
        <v>51</v>
      </c>
      <c r="C53" s="10"/>
      <c r="D53" s="10"/>
      <c r="E53" s="10"/>
      <c r="F53" s="10"/>
      <c r="G53" s="10">
        <v>2100</v>
      </c>
      <c r="H53" s="10">
        <v>2100</v>
      </c>
      <c r="I53" s="10">
        <v>2100</v>
      </c>
      <c r="J53" s="10">
        <v>2100</v>
      </c>
      <c r="K53" s="10">
        <v>2100</v>
      </c>
      <c r="L53" s="10">
        <v>2100</v>
      </c>
      <c r="M53" s="10">
        <v>2100</v>
      </c>
      <c r="N53" s="10">
        <f t="shared" ref="N53:O53" si="44">M53</f>
        <v>2100</v>
      </c>
      <c r="O53" s="10">
        <f t="shared" si="44"/>
        <v>2100</v>
      </c>
      <c r="P53" s="5">
        <f>O53+Valuation!C69</f>
        <v>2330</v>
      </c>
      <c r="Q53" s="5">
        <f t="shared" ref="Q53:S53" si="45">P53</f>
        <v>2330</v>
      </c>
      <c r="R53" s="5">
        <f t="shared" si="45"/>
        <v>2330</v>
      </c>
      <c r="S53" s="5">
        <f t="shared" si="45"/>
        <v>2330</v>
      </c>
      <c r="U53" s="184"/>
      <c r="V53" s="184"/>
      <c r="W53" s="184"/>
      <c r="Y53" s="10"/>
      <c r="Z53" s="10"/>
      <c r="AA53" s="5"/>
      <c r="AB53" s="5"/>
      <c r="AC53" s="5"/>
      <c r="AD53" s="5"/>
    </row>
    <row r="54" spans="2:30" ht="12" customHeight="1" x14ac:dyDescent="0.25">
      <c r="B54" s="9" t="s">
        <v>52</v>
      </c>
      <c r="C54" s="20"/>
      <c r="D54" s="20"/>
      <c r="E54" s="20"/>
      <c r="F54" s="20"/>
      <c r="G54" s="20">
        <f>G49/G53</f>
        <v>1.3372080952380943</v>
      </c>
      <c r="H54" s="20">
        <f t="shared" ref="H54:S54" si="46">H49/H53</f>
        <v>1.2701161904761911</v>
      </c>
      <c r="I54" s="20">
        <f t="shared" si="46"/>
        <v>0.90678142857142829</v>
      </c>
      <c r="J54" s="20">
        <f t="shared" si="46"/>
        <v>1.3875499999999992</v>
      </c>
      <c r="K54" s="20">
        <f t="shared" si="46"/>
        <v>1.5616466666666644</v>
      </c>
      <c r="L54" s="20">
        <f t="shared" si="46"/>
        <v>3.5230361904761915</v>
      </c>
      <c r="M54" s="20">
        <f t="shared" si="46"/>
        <v>5.5043333333333306</v>
      </c>
      <c r="N54" s="20">
        <f t="shared" si="46"/>
        <v>7.1575238095238083</v>
      </c>
      <c r="O54" s="20">
        <f t="shared" ref="O54" si="47">O49/O53</f>
        <v>7.2538571428571421</v>
      </c>
      <c r="P54" s="21">
        <f t="shared" ca="1" si="46"/>
        <v>6.8490599232147327</v>
      </c>
      <c r="Q54" s="21">
        <f t="shared" ca="1" si="46"/>
        <v>10.038009970922975</v>
      </c>
      <c r="R54" s="21">
        <f t="shared" ca="1" si="46"/>
        <v>10.491598873182268</v>
      </c>
      <c r="S54" s="21">
        <f t="shared" ca="1" si="46"/>
        <v>11.995096283319571</v>
      </c>
      <c r="U54" s="184"/>
      <c r="V54" s="184"/>
      <c r="W54" s="184"/>
      <c r="Y54" s="20"/>
      <c r="Z54" s="20"/>
      <c r="AA54" s="21"/>
      <c r="AB54" s="21"/>
      <c r="AC54" s="21"/>
      <c r="AD54" s="21"/>
    </row>
    <row r="55" spans="2:30" ht="12" customHeight="1" x14ac:dyDescent="0.25">
      <c r="B55" s="9" t="s">
        <v>53</v>
      </c>
      <c r="C55" s="20"/>
      <c r="D55" s="20"/>
      <c r="E55" s="20"/>
      <c r="F55" s="20"/>
      <c r="G55" s="20">
        <f ca="1">NewFinSumm!C77</f>
        <v>260.58023522356655</v>
      </c>
      <c r="H55" s="20">
        <f ca="1">NewFinSumm!D77</f>
        <v>274.34497931197882</v>
      </c>
      <c r="I55" s="20">
        <f ca="1">NewFinSumm!E77</f>
        <v>384.27121357013118</v>
      </c>
      <c r="J55" s="20">
        <f ca="1">NewFinSumm!F77</f>
        <v>251.12608554646692</v>
      </c>
      <c r="K55" s="20">
        <f ca="1">NewFinSumm!G77</f>
        <v>223.12985865347292</v>
      </c>
      <c r="L55" s="20">
        <f ca="1">NewFinSumm!H77</f>
        <v>98.906165353045012</v>
      </c>
      <c r="M55" s="20">
        <f ca="1">NewFinSumm!I77</f>
        <v>63.304669048628384</v>
      </c>
      <c r="N55" s="20">
        <f ca="1">NewFinSumm!J77</f>
        <v>48.683037496340852</v>
      </c>
      <c r="O55" s="20">
        <f ca="1">NewFinSumm!K77</f>
        <v>45.647332568120575</v>
      </c>
      <c r="P55" s="21">
        <f ca="1">NewFinSumm!L77</f>
        <v>50.875595177512849</v>
      </c>
      <c r="Q55" s="21">
        <f ca="1">NewFinSumm!M77</f>
        <v>34.713055775930926</v>
      </c>
      <c r="R55" s="21">
        <f ca="1">NewFinSumm!N77</f>
        <v>33.212287680067355</v>
      </c>
      <c r="S55" s="21">
        <f ca="1">NewFinSumm!O77</f>
        <v>29.049370823688673</v>
      </c>
      <c r="U55" s="184"/>
      <c r="V55" s="184"/>
      <c r="W55" s="184"/>
      <c r="Y55" s="20"/>
      <c r="Z55" s="20"/>
      <c r="AA55" s="21"/>
      <c r="AB55" s="21"/>
      <c r="AC55" s="21"/>
      <c r="AD55" s="21"/>
    </row>
    <row r="56" spans="2:30" ht="12" customHeight="1" x14ac:dyDescent="0.25">
      <c r="B56" s="9" t="s">
        <v>54</v>
      </c>
      <c r="C56" s="20"/>
      <c r="D56" s="20"/>
      <c r="E56" s="20"/>
      <c r="F56" s="20"/>
      <c r="G56" s="20">
        <f t="shared" ref="G56:S56" si="48">SUM(G65:G66)/G53</f>
        <v>12.443198571428571</v>
      </c>
      <c r="H56" s="20">
        <f t="shared" si="48"/>
        <v>13.750785238095236</v>
      </c>
      <c r="I56" s="20">
        <f t="shared" si="48"/>
        <v>12.134361428571429</v>
      </c>
      <c r="J56" s="20">
        <f t="shared" si="48"/>
        <v>13.767466666666667</v>
      </c>
      <c r="K56" s="20">
        <f t="shared" si="48"/>
        <v>15.581514285714286</v>
      </c>
      <c r="L56" s="20">
        <f t="shared" si="48"/>
        <v>19.022023809523809</v>
      </c>
      <c r="M56" s="20">
        <f t="shared" si="48"/>
        <v>38.220761904761908</v>
      </c>
      <c r="N56" s="20">
        <f t="shared" si="48"/>
        <v>46.175714285714285</v>
      </c>
      <c r="O56" s="20">
        <f t="shared" ref="O56" si="49">SUM(O65:O66)/O53</f>
        <v>51.797619047619051</v>
      </c>
      <c r="P56" s="21">
        <f t="shared" ca="1" si="48"/>
        <v>81.372880886935405</v>
      </c>
      <c r="Q56" s="21">
        <f t="shared" ca="1" si="48"/>
        <v>90.206329661347638</v>
      </c>
      <c r="R56" s="21">
        <f t="shared" ca="1" si="48"/>
        <v>99.438936669748031</v>
      </c>
      <c r="S56" s="21">
        <f t="shared" ca="1" si="48"/>
        <v>109.99462139906925</v>
      </c>
      <c r="U56" s="184"/>
      <c r="V56" s="184"/>
      <c r="W56" s="184"/>
      <c r="Y56" s="20"/>
      <c r="Z56" s="20"/>
      <c r="AA56" s="21"/>
      <c r="AB56" s="21"/>
      <c r="AC56" s="21"/>
      <c r="AD56" s="21"/>
    </row>
    <row r="57" spans="2:30" ht="12" customHeight="1" x14ac:dyDescent="0.25">
      <c r="B57" s="9" t="s">
        <v>55</v>
      </c>
      <c r="C57" s="20"/>
      <c r="D57" s="20"/>
      <c r="E57" s="20"/>
      <c r="F57" s="20"/>
      <c r="G57" s="20">
        <f ca="1">NewFinSumm!C83</f>
        <v>26.088123735024851</v>
      </c>
      <c r="H57" s="20">
        <f ca="1">NewFinSumm!D83</f>
        <v>23.721615033696921</v>
      </c>
      <c r="I57" s="20">
        <f ca="1">NewFinSumm!E83</f>
        <v>26.59617870907827</v>
      </c>
      <c r="J57" s="20">
        <f ca="1">NewFinSumm!F83</f>
        <v>23.693098534498585</v>
      </c>
      <c r="K57" s="20">
        <f ca="1">NewFinSumm!G83</f>
        <v>21.076351495171057</v>
      </c>
      <c r="L57" s="20">
        <f ca="1">NewFinSumm!H83</f>
        <v>17.896007041549101</v>
      </c>
      <c r="M57" s="20">
        <f ca="1">NewFinSumm!I83</f>
        <v>8.8900889561682508</v>
      </c>
      <c r="N57" s="20">
        <f ca="1">NewFinSumm!J83</f>
        <v>6.9765080515221145</v>
      </c>
      <c r="O57" s="20">
        <f ca="1">NewFinSumm!K83</f>
        <v>6.2581140092057126</v>
      </c>
      <c r="P57" s="21">
        <f ca="1">NewFinSumm!L83</f>
        <v>3.6916988649270994</v>
      </c>
      <c r="Q57" s="21">
        <f ca="1">NewFinSumm!M83</f>
        <v>3.335298161858399</v>
      </c>
      <c r="R57" s="21">
        <f ca="1">NewFinSumm!N83</f>
        <v>3.0279230692275818</v>
      </c>
      <c r="S57" s="21">
        <f ca="1">NewFinSumm!O83</f>
        <v>2.738333580593566</v>
      </c>
      <c r="U57" s="184"/>
      <c r="V57" s="184"/>
      <c r="W57" s="184"/>
      <c r="Y57" s="20"/>
      <c r="Z57" s="20"/>
      <c r="AA57" s="21"/>
      <c r="AB57" s="21"/>
      <c r="AC57" s="21"/>
      <c r="AD57" s="21"/>
    </row>
    <row r="58" spans="2:30" ht="12" customHeight="1" x14ac:dyDescent="0.25">
      <c r="B58" s="9" t="s">
        <v>56</v>
      </c>
      <c r="C58" s="20"/>
      <c r="D58" s="20"/>
      <c r="E58" s="20"/>
      <c r="F58" s="20"/>
      <c r="G58" s="20"/>
      <c r="H58" s="20"/>
      <c r="I58" s="20"/>
      <c r="J58" s="20"/>
      <c r="K58" s="20"/>
      <c r="L58" s="20"/>
      <c r="M58" s="20">
        <v>0.55000000000000004</v>
      </c>
      <c r="N58" s="20">
        <v>0.8</v>
      </c>
      <c r="O58" s="20">
        <v>0.9</v>
      </c>
      <c r="P58" s="228">
        <f t="shared" ref="P58:S58" ca="1" si="50">P54*P59</f>
        <v>0.82188719078576788</v>
      </c>
      <c r="Q58" s="228">
        <f t="shared" ca="1" si="50"/>
        <v>1.204561196510757</v>
      </c>
      <c r="R58" s="228">
        <f t="shared" ca="1" si="50"/>
        <v>1.2589918647818721</v>
      </c>
      <c r="S58" s="228">
        <f t="shared" ca="1" si="50"/>
        <v>1.4394115539983485</v>
      </c>
      <c r="U58" s="184"/>
      <c r="V58" s="184"/>
      <c r="W58" s="184"/>
      <c r="Y58" s="20"/>
      <c r="Z58" s="20"/>
      <c r="AA58" s="228"/>
      <c r="AB58" s="228"/>
      <c r="AC58" s="228"/>
      <c r="AD58" s="228"/>
    </row>
    <row r="59" spans="2:30" ht="12" customHeight="1" x14ac:dyDescent="0.25">
      <c r="B59" s="9" t="s">
        <v>57</v>
      </c>
      <c r="C59" s="22"/>
      <c r="D59" s="22"/>
      <c r="E59" s="22"/>
      <c r="F59" s="22"/>
      <c r="G59" s="20"/>
      <c r="H59" s="20"/>
      <c r="I59" s="20"/>
      <c r="J59" s="20"/>
      <c r="K59" s="20"/>
      <c r="L59" s="20"/>
      <c r="M59" s="12">
        <f>M58/M54</f>
        <v>9.9921274147641306E-2</v>
      </c>
      <c r="N59" s="12">
        <f>N58/N54</f>
        <v>0.1117704979109562</v>
      </c>
      <c r="O59" s="12">
        <f>O58/O54</f>
        <v>0.12407192232703784</v>
      </c>
      <c r="P59" s="787">
        <v>0.12</v>
      </c>
      <c r="Q59" s="787">
        <v>0.12</v>
      </c>
      <c r="R59" s="787">
        <v>0.12</v>
      </c>
      <c r="S59" s="787">
        <v>0.12</v>
      </c>
      <c r="U59" s="184"/>
      <c r="V59" s="184"/>
      <c r="W59" s="184"/>
      <c r="Y59" s="12"/>
      <c r="Z59" s="12"/>
      <c r="AA59" s="787"/>
      <c r="AB59" s="787"/>
      <c r="AC59" s="787"/>
      <c r="AD59" s="787"/>
    </row>
    <row r="60" spans="2:30" ht="12" customHeight="1" x14ac:dyDescent="0.25">
      <c r="B60" s="9" t="s">
        <v>58</v>
      </c>
      <c r="C60" s="10"/>
      <c r="D60" s="10"/>
      <c r="E60" s="10"/>
      <c r="F60" s="10"/>
      <c r="G60" s="10"/>
      <c r="H60" s="10"/>
      <c r="I60" s="10"/>
      <c r="J60" s="10"/>
      <c r="K60" s="10"/>
      <c r="L60" s="10"/>
      <c r="M60" s="10">
        <f>M58*M53</f>
        <v>1155</v>
      </c>
      <c r="N60" s="10">
        <f t="shared" ref="N60:O60" si="51">N53*N58</f>
        <v>1680</v>
      </c>
      <c r="O60" s="10">
        <f t="shared" si="51"/>
        <v>1890</v>
      </c>
      <c r="P60" s="5">
        <f t="shared" ref="P60:S60" ca="1" si="52">P53*P58</f>
        <v>1914.9971545308392</v>
      </c>
      <c r="Q60" s="5">
        <f t="shared" ca="1" si="52"/>
        <v>2806.627587870064</v>
      </c>
      <c r="R60" s="5">
        <f t="shared" ca="1" si="52"/>
        <v>2933.4510449417621</v>
      </c>
      <c r="S60" s="5">
        <f t="shared" ca="1" si="52"/>
        <v>3353.8289208161523</v>
      </c>
      <c r="U60" s="184"/>
      <c r="V60" s="184"/>
      <c r="W60" s="184"/>
      <c r="Y60" s="10"/>
      <c r="Z60" s="10"/>
      <c r="AA60" s="5"/>
      <c r="AB60" s="5"/>
      <c r="AC60" s="5"/>
      <c r="AD60" s="5"/>
    </row>
    <row r="61" spans="2:30" ht="12" customHeight="1" x14ac:dyDescent="0.25">
      <c r="B61" s="9"/>
      <c r="C61" s="10"/>
      <c r="D61" s="10"/>
      <c r="E61" s="10"/>
      <c r="F61" s="10"/>
      <c r="G61" s="10"/>
      <c r="H61" s="10"/>
      <c r="I61" s="10"/>
      <c r="J61" s="10"/>
      <c r="K61" s="10"/>
      <c r="L61" s="10"/>
      <c r="M61" s="10"/>
      <c r="N61" s="10"/>
      <c r="O61" s="10"/>
      <c r="P61" s="5"/>
      <c r="Q61" s="5"/>
      <c r="R61" s="5"/>
      <c r="S61" s="5"/>
      <c r="U61" s="184"/>
      <c r="V61" s="184"/>
      <c r="W61" s="184"/>
      <c r="Y61" s="10"/>
      <c r="Z61" s="10"/>
      <c r="AA61" s="5"/>
      <c r="AB61" s="5"/>
      <c r="AC61" s="5"/>
      <c r="AD61" s="5"/>
    </row>
    <row r="62" spans="2:30" s="26" customFormat="1" ht="12" customHeight="1" x14ac:dyDescent="0.25">
      <c r="B62" s="24"/>
      <c r="C62" s="25"/>
      <c r="D62" s="25"/>
      <c r="E62" s="25"/>
      <c r="F62" s="25"/>
      <c r="G62" s="25"/>
      <c r="H62" s="25"/>
      <c r="I62" s="25"/>
      <c r="J62" s="25"/>
      <c r="K62" s="25"/>
      <c r="L62" s="25"/>
      <c r="M62" s="25"/>
      <c r="N62" s="25"/>
      <c r="O62" s="25"/>
      <c r="P62" s="25"/>
      <c r="Q62" s="25"/>
      <c r="R62" s="25"/>
      <c r="S62" s="25"/>
      <c r="Y62" s="25"/>
      <c r="Z62" s="25"/>
      <c r="AA62" s="25"/>
      <c r="AB62" s="25"/>
      <c r="AC62" s="25"/>
      <c r="AD62" s="25"/>
    </row>
    <row r="63" spans="2:30" ht="12" customHeight="1" x14ac:dyDescent="0.25">
      <c r="B63" s="3" t="s">
        <v>59</v>
      </c>
      <c r="C63" s="4"/>
      <c r="D63" s="4"/>
      <c r="E63" s="4"/>
      <c r="F63" s="4"/>
      <c r="G63" s="4"/>
      <c r="H63" s="4"/>
      <c r="I63" s="4"/>
      <c r="J63" s="4"/>
      <c r="K63" s="4"/>
      <c r="L63" s="4"/>
      <c r="M63" s="4"/>
      <c r="N63" s="4"/>
      <c r="O63" s="4"/>
      <c r="P63" s="227"/>
      <c r="Q63" s="227"/>
      <c r="R63" s="227"/>
      <c r="S63" s="227"/>
      <c r="Y63" s="4"/>
      <c r="Z63" s="4"/>
      <c r="AA63" s="227"/>
      <c r="AB63" s="227"/>
      <c r="AC63" s="227"/>
      <c r="AD63" s="227"/>
    </row>
    <row r="64" spans="2:30" ht="12" customHeight="1" x14ac:dyDescent="0.25">
      <c r="B64" s="6" t="s">
        <v>376</v>
      </c>
      <c r="C64" s="7"/>
      <c r="D64" s="7"/>
      <c r="E64" s="7"/>
      <c r="F64" s="7"/>
      <c r="G64" s="7"/>
      <c r="H64" s="7"/>
      <c r="I64" s="7"/>
      <c r="J64" s="7"/>
      <c r="K64" s="7"/>
      <c r="L64" s="7"/>
      <c r="M64" s="7"/>
      <c r="N64" s="7"/>
      <c r="O64" s="7"/>
      <c r="P64" s="8"/>
      <c r="Q64" s="8"/>
      <c r="R64" s="8"/>
      <c r="S64" s="8"/>
      <c r="Y64" s="7"/>
      <c r="Z64" s="7"/>
      <c r="AA64" s="8"/>
      <c r="AB64" s="8"/>
      <c r="AC64" s="8"/>
      <c r="AD64" s="8"/>
    </row>
    <row r="65" spans="2:30" ht="12" customHeight="1" x14ac:dyDescent="0.25">
      <c r="B65" s="6" t="s">
        <v>60</v>
      </c>
      <c r="C65" s="7"/>
      <c r="D65" s="7"/>
      <c r="E65" s="7"/>
      <c r="F65" s="7"/>
      <c r="G65" s="193">
        <v>601.798</v>
      </c>
      <c r="H65" s="7">
        <v>601.798</v>
      </c>
      <c r="I65" s="7">
        <v>599.29</v>
      </c>
      <c r="J65" s="7">
        <v>599.29</v>
      </c>
      <c r="K65" s="7">
        <v>599.29</v>
      </c>
      <c r="L65" s="7">
        <v>3595.75</v>
      </c>
      <c r="M65" s="7">
        <v>4103</v>
      </c>
      <c r="N65" s="7">
        <v>4147</v>
      </c>
      <c r="O65" s="7">
        <v>4170.3999999999996</v>
      </c>
      <c r="P65" s="193">
        <f>O65+Valuation!C72</f>
        <v>4630.3999999999996</v>
      </c>
      <c r="Q65" s="8">
        <f>P65</f>
        <v>4630.3999999999996</v>
      </c>
      <c r="R65" s="8">
        <f>Q65</f>
        <v>4630.3999999999996</v>
      </c>
      <c r="S65" s="8">
        <f>R65</f>
        <v>4630.3999999999996</v>
      </c>
      <c r="Y65" s="7"/>
      <c r="Z65" s="7"/>
      <c r="AA65" s="8"/>
      <c r="AB65" s="8"/>
      <c r="AC65" s="8"/>
      <c r="AD65" s="8"/>
    </row>
    <row r="66" spans="2:30" ht="12" customHeight="1" x14ac:dyDescent="0.25">
      <c r="B66" s="6" t="s">
        <v>61</v>
      </c>
      <c r="C66" s="7"/>
      <c r="D66" s="7"/>
      <c r="E66" s="7"/>
      <c r="F66" s="7"/>
      <c r="G66" s="193">
        <v>25528.919000000002</v>
      </c>
      <c r="H66" s="7">
        <v>28274.850999999999</v>
      </c>
      <c r="I66" s="7">
        <v>24882.868999999999</v>
      </c>
      <c r="J66" s="7">
        <v>28312.39</v>
      </c>
      <c r="K66" s="7">
        <v>32121.89</v>
      </c>
      <c r="L66" s="7">
        <v>36350.5</v>
      </c>
      <c r="M66" s="7">
        <v>76160.600000000006</v>
      </c>
      <c r="N66" s="7">
        <v>92822</v>
      </c>
      <c r="O66" s="7">
        <v>104604.6</v>
      </c>
      <c r="P66" s="193">
        <f ca="1">O66+P49-P60+Valuation!C73</f>
        <v>184968.4124665595</v>
      </c>
      <c r="Q66" s="8">
        <f ca="1">P66+Q49-Q60</f>
        <v>205550.34811093999</v>
      </c>
      <c r="R66" s="8">
        <f ca="1">Q66+R49-R60</f>
        <v>227062.32244051291</v>
      </c>
      <c r="S66" s="8">
        <f ca="1">R66+S49-S60</f>
        <v>251657.06785983135</v>
      </c>
      <c r="Y66" s="7"/>
      <c r="Z66" s="7"/>
      <c r="AA66" s="8"/>
      <c r="AB66" s="8"/>
      <c r="AC66" s="8"/>
      <c r="AD66" s="8"/>
    </row>
    <row r="67" spans="2:30" ht="12" customHeight="1" x14ac:dyDescent="0.25">
      <c r="B67" s="6" t="s">
        <v>62</v>
      </c>
      <c r="C67" s="7"/>
      <c r="D67" s="7"/>
      <c r="E67" s="7"/>
      <c r="F67" s="7"/>
      <c r="G67" s="193"/>
      <c r="H67" s="7"/>
      <c r="I67" s="7"/>
      <c r="J67" s="7"/>
      <c r="K67" s="7"/>
      <c r="L67" s="7"/>
      <c r="M67" s="7"/>
      <c r="N67" s="7"/>
      <c r="O67" s="7"/>
      <c r="P67" s="8"/>
      <c r="Q67" s="8"/>
      <c r="R67" s="8"/>
      <c r="S67" s="8"/>
      <c r="Y67" s="7"/>
      <c r="Z67" s="7"/>
      <c r="AA67" s="8"/>
      <c r="AB67" s="8"/>
      <c r="AC67" s="8"/>
      <c r="AD67" s="8"/>
    </row>
    <row r="68" spans="2:30" ht="12" customHeight="1" x14ac:dyDescent="0.25">
      <c r="B68" s="6"/>
      <c r="C68" s="7"/>
      <c r="D68" s="7"/>
      <c r="E68" s="7"/>
      <c r="F68" s="7"/>
      <c r="G68" s="193"/>
      <c r="H68" s="7"/>
      <c r="I68" s="7"/>
      <c r="J68" s="7"/>
      <c r="K68" s="7"/>
      <c r="L68" s="7"/>
      <c r="M68" s="7"/>
      <c r="N68" s="7"/>
      <c r="O68" s="7"/>
      <c r="P68" s="8"/>
      <c r="Q68" s="8"/>
      <c r="R68" s="8"/>
      <c r="S68" s="8"/>
      <c r="Y68" s="7"/>
      <c r="Z68" s="7"/>
      <c r="AA68" s="8"/>
      <c r="AB68" s="8"/>
      <c r="AC68" s="8"/>
      <c r="AD68" s="8"/>
    </row>
    <row r="69" spans="2:30" ht="12" customHeight="1" x14ac:dyDescent="0.25">
      <c r="B69" s="6" t="s">
        <v>63</v>
      </c>
      <c r="C69" s="7"/>
      <c r="D69" s="7"/>
      <c r="E69" s="7"/>
      <c r="F69" s="7"/>
      <c r="G69" s="193">
        <v>1918.2529999999999</v>
      </c>
      <c r="H69" s="7">
        <v>1970.5340000000001</v>
      </c>
      <c r="I69" s="7">
        <v>2031.0039999999999</v>
      </c>
      <c r="J69" s="7">
        <v>1972.63</v>
      </c>
      <c r="K69" s="7">
        <v>1997.59</v>
      </c>
      <c r="L69" s="7">
        <v>942.48</v>
      </c>
      <c r="M69" s="7">
        <v>2046.6</v>
      </c>
      <c r="N69" s="7">
        <v>7918</v>
      </c>
      <c r="O69" s="7">
        <v>8152.4</v>
      </c>
      <c r="P69" s="8">
        <f t="shared" ref="P69:S69" ca="1" si="53">O69+P46</f>
        <v>8614.8086258667299</v>
      </c>
      <c r="Q69" s="8">
        <f t="shared" ca="1" si="53"/>
        <v>9213.4303070633086</v>
      </c>
      <c r="R69" s="8">
        <f t="shared" ca="1" si="53"/>
        <v>9972.9286576396571</v>
      </c>
      <c r="S69" s="8">
        <f t="shared" ca="1" si="53"/>
        <v>10935.271249034162</v>
      </c>
      <c r="Y69" s="7"/>
      <c r="Z69" s="7"/>
      <c r="AA69" s="8"/>
      <c r="AB69" s="8"/>
      <c r="AC69" s="8"/>
      <c r="AD69" s="8"/>
    </row>
    <row r="70" spans="2:30" ht="12" customHeight="1" x14ac:dyDescent="0.25">
      <c r="B70" s="6"/>
      <c r="C70" s="7"/>
      <c r="D70" s="7"/>
      <c r="E70" s="7"/>
      <c r="F70" s="7"/>
      <c r="G70" s="7"/>
      <c r="H70" s="7"/>
      <c r="I70" s="7"/>
      <c r="J70" s="7"/>
      <c r="K70" s="7"/>
      <c r="L70" s="7"/>
      <c r="M70" s="7"/>
      <c r="N70" s="7"/>
      <c r="O70" s="7"/>
      <c r="P70" s="8"/>
      <c r="Q70" s="8"/>
      <c r="R70" s="8"/>
      <c r="S70" s="8"/>
      <c r="Y70" s="7"/>
      <c r="Z70" s="7"/>
      <c r="AA70" s="8"/>
      <c r="AB70" s="8"/>
      <c r="AC70" s="8"/>
      <c r="AD70" s="8"/>
    </row>
    <row r="71" spans="2:30" ht="12" customHeight="1" x14ac:dyDescent="0.25">
      <c r="B71" s="6" t="s">
        <v>64</v>
      </c>
      <c r="C71" s="7"/>
      <c r="D71" s="7"/>
      <c r="E71" s="7"/>
      <c r="F71" s="7"/>
      <c r="G71" s="7">
        <v>13638.761</v>
      </c>
      <c r="H71" s="7">
        <f>20001.206</f>
        <v>20001.205999999998</v>
      </c>
      <c r="I71" s="7">
        <f>26112.07</f>
        <v>26112.07</v>
      </c>
      <c r="J71" s="7">
        <v>33904.54</v>
      </c>
      <c r="K71" s="7">
        <v>40946.82</v>
      </c>
      <c r="L71" s="7">
        <v>40954.400000000001</v>
      </c>
      <c r="M71" s="7">
        <v>42701.8</v>
      </c>
      <c r="N71" s="7">
        <v>44390.1</v>
      </c>
      <c r="O71" s="7">
        <v>59516.6</v>
      </c>
      <c r="P71" s="8">
        <f t="shared" ref="P71:S71" si="54">O71/O$77*P77</f>
        <v>95876.792891947014</v>
      </c>
      <c r="Q71" s="8">
        <f t="shared" si="54"/>
        <v>123640.20826511807</v>
      </c>
      <c r="R71" s="8">
        <f t="shared" si="54"/>
        <v>127267.42483703647</v>
      </c>
      <c r="S71" s="8">
        <f t="shared" si="54"/>
        <v>142578.1569031658</v>
      </c>
      <c r="Y71" s="7"/>
      <c r="Z71" s="7"/>
      <c r="AA71" s="8"/>
      <c r="AB71" s="8"/>
      <c r="AC71" s="8"/>
      <c r="AD71" s="8"/>
    </row>
    <row r="72" spans="2:30" ht="12" customHeight="1" x14ac:dyDescent="0.25">
      <c r="B72" s="6" t="s">
        <v>65</v>
      </c>
      <c r="C72" s="7"/>
      <c r="D72" s="7"/>
      <c r="E72" s="7"/>
      <c r="F72" s="7"/>
      <c r="G72" s="123">
        <v>3161.15</v>
      </c>
      <c r="H72" s="122">
        <v>0</v>
      </c>
      <c r="I72" s="7">
        <f>1055.09</f>
        <v>1055.0899999999999</v>
      </c>
      <c r="J72" s="7">
        <v>5553.64</v>
      </c>
      <c r="K72" s="7">
        <f>3140.12-K73</f>
        <v>2318.7069999999999</v>
      </c>
      <c r="L72" s="7">
        <f>1482.58-L73</f>
        <v>677.46199999999988</v>
      </c>
      <c r="M72" s="7">
        <v>1105</v>
      </c>
      <c r="N72" s="7">
        <v>2198.1999999999998</v>
      </c>
      <c r="O72" s="7">
        <v>4581.8999999999996</v>
      </c>
      <c r="P72" s="8">
        <f t="shared" ref="P72:S72" si="55">O72/O$77*P77</f>
        <v>7381.0983381377955</v>
      </c>
      <c r="Q72" s="8">
        <f t="shared" si="55"/>
        <v>9518.4716574862196</v>
      </c>
      <c r="R72" s="8">
        <f t="shared" si="55"/>
        <v>9797.7138119586343</v>
      </c>
      <c r="S72" s="8">
        <f t="shared" si="55"/>
        <v>10976.414262821048</v>
      </c>
      <c r="Y72" s="7"/>
      <c r="Z72" s="7"/>
      <c r="AA72" s="8"/>
      <c r="AB72" s="8"/>
      <c r="AC72" s="8"/>
      <c r="AD72" s="8"/>
    </row>
    <row r="73" spans="2:30" ht="12" customHeight="1" x14ac:dyDescent="0.25">
      <c r="B73" s="6" t="s">
        <v>66</v>
      </c>
      <c r="C73" s="7"/>
      <c r="D73" s="7"/>
      <c r="E73" s="7"/>
      <c r="F73" s="7"/>
      <c r="G73" s="122"/>
      <c r="H73" s="122">
        <v>0</v>
      </c>
      <c r="I73" s="122">
        <v>0</v>
      </c>
      <c r="J73" s="122">
        <v>0</v>
      </c>
      <c r="K73" s="7">
        <f>821.413</f>
        <v>821.41300000000001</v>
      </c>
      <c r="L73" s="7">
        <f>805.118</f>
        <v>805.11800000000005</v>
      </c>
      <c r="M73" s="7">
        <v>0</v>
      </c>
      <c r="N73" s="7"/>
      <c r="O73" s="7"/>
      <c r="P73" s="8"/>
      <c r="Q73" s="8"/>
      <c r="R73" s="8"/>
      <c r="S73" s="8"/>
      <c r="Y73" s="7"/>
      <c r="Z73" s="7"/>
      <c r="AA73" s="8"/>
      <c r="AB73" s="8"/>
      <c r="AC73" s="8"/>
      <c r="AD73" s="8"/>
    </row>
    <row r="74" spans="2:30" ht="12" customHeight="1" x14ac:dyDescent="0.25">
      <c r="B74" s="27" t="s">
        <v>67</v>
      </c>
      <c r="C74" s="28">
        <f t="shared" ref="C74:L74" si="56">C71+C72+C73</f>
        <v>0</v>
      </c>
      <c r="D74" s="28">
        <f t="shared" si="56"/>
        <v>0</v>
      </c>
      <c r="E74" s="28">
        <f t="shared" si="56"/>
        <v>0</v>
      </c>
      <c r="F74" s="28">
        <f t="shared" si="56"/>
        <v>0</v>
      </c>
      <c r="G74" s="28">
        <f t="shared" si="56"/>
        <v>16799.911</v>
      </c>
      <c r="H74" s="28">
        <f t="shared" si="56"/>
        <v>20001.205999999998</v>
      </c>
      <c r="I74" s="28">
        <f t="shared" si="56"/>
        <v>27167.16</v>
      </c>
      <c r="J74" s="28">
        <f t="shared" si="56"/>
        <v>39458.18</v>
      </c>
      <c r="K74" s="28">
        <f t="shared" si="56"/>
        <v>44086.94</v>
      </c>
      <c r="L74" s="28">
        <f t="shared" si="56"/>
        <v>42436.98</v>
      </c>
      <c r="M74" s="28">
        <f>M71+M72+M73</f>
        <v>43806.8</v>
      </c>
      <c r="N74" s="28">
        <f>N71+N72+N73</f>
        <v>46588.299999999996</v>
      </c>
      <c r="O74" s="28">
        <f>O71+O72+O73</f>
        <v>64098.5</v>
      </c>
      <c r="P74" s="221">
        <f t="shared" ref="P74:S74" si="57">O78</f>
        <v>64098.5</v>
      </c>
      <c r="Q74" s="221">
        <f t="shared" si="57"/>
        <v>103257.8912300848</v>
      </c>
      <c r="R74" s="221">
        <f t="shared" si="57"/>
        <v>133158.67992260426</v>
      </c>
      <c r="S74" s="221">
        <f t="shared" si="57"/>
        <v>137065.13864899508</v>
      </c>
      <c r="Y74" s="28"/>
      <c r="Z74" s="28"/>
      <c r="AA74" s="221">
        <f>Z78</f>
        <v>15000</v>
      </c>
      <c r="AB74" s="221">
        <f t="shared" ref="AB74:AD74" si="58">AA78</f>
        <v>31500</v>
      </c>
      <c r="AC74" s="221">
        <f t="shared" si="58"/>
        <v>46833.333333333336</v>
      </c>
      <c r="AD74" s="221">
        <f t="shared" si="58"/>
        <v>58500</v>
      </c>
    </row>
    <row r="75" spans="2:30" ht="12" customHeight="1" x14ac:dyDescent="0.25">
      <c r="B75" s="6" t="s">
        <v>68</v>
      </c>
      <c r="C75" s="7"/>
      <c r="D75" s="7"/>
      <c r="E75" s="7"/>
      <c r="F75" s="7"/>
      <c r="G75" s="7"/>
      <c r="H75" s="7"/>
      <c r="I75" s="7"/>
      <c r="J75" s="7"/>
      <c r="K75" s="7"/>
      <c r="L75" s="7"/>
      <c r="M75" s="7"/>
      <c r="N75" s="7"/>
      <c r="O75" s="7"/>
      <c r="P75" s="222">
        <f>SUM(Assumptions!DQ1578:DQ1592)+AA75</f>
        <v>50187.391230084802</v>
      </c>
      <c r="Q75" s="222">
        <f>SUM(Assumptions!DR1578:DR1592)+AB75</f>
        <v>37601.287399186112</v>
      </c>
      <c r="R75" s="222">
        <f>SUM(Assumptions!DS1578:DS1592)+AC75</f>
        <v>47401.344099724141</v>
      </c>
      <c r="S75" s="222">
        <f>SUM(Assumptions!DT1578:DT1592)+AD75</f>
        <v>25570.667890325076</v>
      </c>
      <c r="Y75" s="7"/>
      <c r="Z75" s="7">
        <f>Logistics!D79</f>
        <v>15000</v>
      </c>
      <c r="AA75" s="222">
        <f>Logistics!E79</f>
        <v>17500</v>
      </c>
      <c r="AB75" s="222">
        <f>Logistics!F79</f>
        <v>17500</v>
      </c>
      <c r="AC75" s="222">
        <f>Logistics!G79</f>
        <v>15000</v>
      </c>
      <c r="AD75" s="222">
        <f>Logistics!H79</f>
        <v>15000</v>
      </c>
    </row>
    <row r="76" spans="2:30" ht="12" customHeight="1" x14ac:dyDescent="0.25">
      <c r="B76" s="6" t="s">
        <v>69</v>
      </c>
      <c r="C76" s="7"/>
      <c r="D76" s="7"/>
      <c r="E76" s="7"/>
      <c r="F76" s="7"/>
      <c r="G76" s="7"/>
      <c r="H76" s="7"/>
      <c r="I76" s="7"/>
      <c r="J76" s="7"/>
      <c r="K76" s="7"/>
      <c r="L76" s="7"/>
      <c r="M76" s="7"/>
      <c r="N76" s="7"/>
      <c r="O76" s="7"/>
      <c r="P76" s="222">
        <f>SUM(Assumptions!EC1578:EC1592)+AA76+10000</f>
        <v>11028</v>
      </c>
      <c r="Q76" s="222">
        <f>SUM(Assumptions!ED1578:ED1592)+AB76+5000</f>
        <v>7700.4987066666672</v>
      </c>
      <c r="R76" s="193">
        <f>SUM(Assumptions!EE1578:EE1592)+AC76+400*92</f>
        <v>43494.885373333331</v>
      </c>
      <c r="S76" s="222">
        <f>SUM(Assumptions!EF1578:EF1592)+AD76</f>
        <v>9081.235373333333</v>
      </c>
      <c r="Y76" s="7"/>
      <c r="Z76" s="7">
        <f>Logistics!D80</f>
        <v>0</v>
      </c>
      <c r="AA76" s="222">
        <f>Logistics!E80</f>
        <v>1000</v>
      </c>
      <c r="AB76" s="222">
        <f>Logistics!F80</f>
        <v>2166.666666666667</v>
      </c>
      <c r="AC76" s="222">
        <f>Logistics!G80</f>
        <v>3333.3333333333339</v>
      </c>
      <c r="AD76" s="222">
        <f>Logistics!H80</f>
        <v>4333.3333333333339</v>
      </c>
    </row>
    <row r="77" spans="2:30" ht="12" customHeight="1" x14ac:dyDescent="0.25">
      <c r="B77" s="29" t="s">
        <v>70</v>
      </c>
      <c r="C77" s="30">
        <f t="shared" ref="C77:L77" si="59">C74+C75-C76</f>
        <v>0</v>
      </c>
      <c r="D77" s="30">
        <f t="shared" si="59"/>
        <v>0</v>
      </c>
      <c r="E77" s="30">
        <f t="shared" si="59"/>
        <v>0</v>
      </c>
      <c r="F77" s="30">
        <f t="shared" si="59"/>
        <v>0</v>
      </c>
      <c r="G77" s="30">
        <f t="shared" si="59"/>
        <v>16799.911</v>
      </c>
      <c r="H77" s="30">
        <f t="shared" si="59"/>
        <v>20001.205999999998</v>
      </c>
      <c r="I77" s="30">
        <f t="shared" si="59"/>
        <v>27167.16</v>
      </c>
      <c r="J77" s="30">
        <f t="shared" si="59"/>
        <v>39458.18</v>
      </c>
      <c r="K77" s="30">
        <f t="shared" si="59"/>
        <v>44086.94</v>
      </c>
      <c r="L77" s="30">
        <f t="shared" si="59"/>
        <v>42436.98</v>
      </c>
      <c r="M77" s="30">
        <f t="shared" ref="M77:S77" si="60">M74+M75-M76</f>
        <v>43806.8</v>
      </c>
      <c r="N77" s="30">
        <f t="shared" si="60"/>
        <v>46588.299999999996</v>
      </c>
      <c r="O77" s="30">
        <f t="shared" ref="O77" si="61">O74+O75-O76</f>
        <v>64098.5</v>
      </c>
      <c r="P77" s="223">
        <f t="shared" si="60"/>
        <v>103257.8912300848</v>
      </c>
      <c r="Q77" s="223">
        <f t="shared" si="60"/>
        <v>133158.67992260426</v>
      </c>
      <c r="R77" s="223">
        <f t="shared" si="60"/>
        <v>137065.13864899508</v>
      </c>
      <c r="S77" s="223">
        <f t="shared" si="60"/>
        <v>153554.57116598682</v>
      </c>
      <c r="Y77" s="30"/>
      <c r="Z77" s="30"/>
      <c r="AA77" s="223"/>
      <c r="AB77" s="223"/>
      <c r="AC77" s="223"/>
      <c r="AD77" s="223"/>
    </row>
    <row r="78" spans="2:30" ht="12" customHeight="1" x14ac:dyDescent="0.25">
      <c r="B78" s="6" t="s">
        <v>71</v>
      </c>
      <c r="C78" s="7">
        <f t="shared" ref="C78:L78" si="62">C77</f>
        <v>0</v>
      </c>
      <c r="D78" s="7">
        <f t="shared" si="62"/>
        <v>0</v>
      </c>
      <c r="E78" s="7">
        <f t="shared" si="62"/>
        <v>0</v>
      </c>
      <c r="F78" s="7">
        <f t="shared" si="62"/>
        <v>0</v>
      </c>
      <c r="G78" s="193">
        <f t="shared" si="62"/>
        <v>16799.911</v>
      </c>
      <c r="H78" s="7">
        <f t="shared" si="62"/>
        <v>20001.205999999998</v>
      </c>
      <c r="I78" s="7">
        <f t="shared" si="62"/>
        <v>27167.16</v>
      </c>
      <c r="J78" s="7">
        <f t="shared" si="62"/>
        <v>39458.18</v>
      </c>
      <c r="K78" s="7">
        <f t="shared" si="62"/>
        <v>44086.94</v>
      </c>
      <c r="L78" s="7">
        <f t="shared" si="62"/>
        <v>42436.98</v>
      </c>
      <c r="M78" s="7">
        <f t="shared" ref="M78:S78" si="63">M77</f>
        <v>43806.8</v>
      </c>
      <c r="N78" s="7">
        <f t="shared" si="63"/>
        <v>46588.299999999996</v>
      </c>
      <c r="O78" s="7">
        <f t="shared" ref="O78" si="64">O77</f>
        <v>64098.5</v>
      </c>
      <c r="P78" s="8">
        <f t="shared" si="63"/>
        <v>103257.8912300848</v>
      </c>
      <c r="Q78" s="8">
        <f t="shared" si="63"/>
        <v>133158.67992260426</v>
      </c>
      <c r="R78" s="8">
        <f t="shared" si="63"/>
        <v>137065.13864899508</v>
      </c>
      <c r="S78" s="8">
        <f t="shared" si="63"/>
        <v>153554.57116598682</v>
      </c>
      <c r="Y78" s="7"/>
      <c r="Z78" s="7">
        <f>Z74+Z75-Z76</f>
        <v>15000</v>
      </c>
      <c r="AA78" s="8">
        <f t="shared" ref="AA78:AD78" si="65">AA74+AA75-AA76</f>
        <v>31500</v>
      </c>
      <c r="AB78" s="8">
        <f t="shared" si="65"/>
        <v>46833.333333333336</v>
      </c>
      <c r="AC78" s="8">
        <f t="shared" si="65"/>
        <v>58500</v>
      </c>
      <c r="AD78" s="8">
        <f t="shared" si="65"/>
        <v>69166.666666666672</v>
      </c>
    </row>
    <row r="79" spans="2:30" ht="12" customHeight="1" x14ac:dyDescent="0.25">
      <c r="B79" s="6" t="s">
        <v>72</v>
      </c>
      <c r="C79" s="7"/>
      <c r="D79" s="7"/>
      <c r="E79" s="7"/>
      <c r="F79" s="7"/>
      <c r="G79" s="193">
        <v>735.37300000000005</v>
      </c>
      <c r="H79" s="7">
        <v>462.31700000000001</v>
      </c>
      <c r="I79" s="7">
        <v>1242.0509999999999</v>
      </c>
      <c r="J79" s="7">
        <v>1708.18</v>
      </c>
      <c r="K79" s="7">
        <v>2519.9899999999998</v>
      </c>
      <c r="L79" s="7">
        <v>1385.05</v>
      </c>
      <c r="M79" s="7">
        <v>1339.7</v>
      </c>
      <c r="N79" s="7">
        <v>1214.2</v>
      </c>
      <c r="O79" s="7">
        <v>1433.4</v>
      </c>
      <c r="P79" s="8">
        <f t="shared" ref="P79:S79" si="66">O79</f>
        <v>1433.4</v>
      </c>
      <c r="Q79" s="8">
        <f t="shared" si="66"/>
        <v>1433.4</v>
      </c>
      <c r="R79" s="8">
        <f t="shared" si="66"/>
        <v>1433.4</v>
      </c>
      <c r="S79" s="8">
        <f t="shared" si="66"/>
        <v>1433.4</v>
      </c>
      <c r="U79" s="33"/>
      <c r="V79" s="33"/>
      <c r="Y79" s="7"/>
      <c r="Z79" s="7"/>
      <c r="AA79" s="8"/>
      <c r="AB79" s="8"/>
      <c r="AC79" s="8"/>
      <c r="AD79" s="8"/>
    </row>
    <row r="80" spans="2:30" ht="12" customHeight="1" x14ac:dyDescent="0.25">
      <c r="B80" s="6" t="s">
        <v>73</v>
      </c>
      <c r="C80" s="7"/>
      <c r="D80" s="7"/>
      <c r="E80" s="7"/>
      <c r="F80" s="7"/>
      <c r="G80" s="193">
        <f>570.842+1094.818</f>
        <v>1665.6599999999999</v>
      </c>
      <c r="H80" s="7">
        <f>733.346+1016.536</f>
        <v>1749.8820000000001</v>
      </c>
      <c r="I80" s="7">
        <f>1838.177+2962.561</f>
        <v>4800.7380000000003</v>
      </c>
      <c r="J80" s="7">
        <f>2377.7+980.16+2892.4</f>
        <v>6250.26</v>
      </c>
      <c r="K80" s="7">
        <f>3219.24+889.68+2863.07</f>
        <v>6971.99</v>
      </c>
      <c r="L80" s="7">
        <f>3091.62+238.18+774.98</f>
        <v>4104.78</v>
      </c>
      <c r="M80" s="7">
        <f>3634.9+240.7+692.6</f>
        <v>4568.2</v>
      </c>
      <c r="N80" s="7">
        <f>3623.1+840.6+418.6</f>
        <v>4882.3</v>
      </c>
      <c r="O80" s="7">
        <f>921.4+4579.8+381.1</f>
        <v>5882.3</v>
      </c>
      <c r="P80" s="8">
        <f t="shared" ref="P80:S81" si="67">O80</f>
        <v>5882.3</v>
      </c>
      <c r="Q80" s="8">
        <f t="shared" si="67"/>
        <v>5882.3</v>
      </c>
      <c r="R80" s="8">
        <f t="shared" si="67"/>
        <v>5882.3</v>
      </c>
      <c r="S80" s="8">
        <f t="shared" si="67"/>
        <v>5882.3</v>
      </c>
      <c r="Y80" s="7"/>
      <c r="Z80" s="7"/>
      <c r="AA80" s="8"/>
      <c r="AB80" s="8"/>
      <c r="AC80" s="8"/>
      <c r="AD80" s="8"/>
    </row>
    <row r="81" spans="2:30" ht="12" customHeight="1" x14ac:dyDescent="0.25">
      <c r="B81" s="6" t="s">
        <v>74</v>
      </c>
      <c r="C81" s="7"/>
      <c r="D81" s="7"/>
      <c r="E81" s="7"/>
      <c r="F81" s="7"/>
      <c r="G81" s="193">
        <v>33.981000000000002</v>
      </c>
      <c r="H81" s="7">
        <f>37.117</f>
        <v>37.116999999999997</v>
      </c>
      <c r="I81" s="7">
        <f>48.229</f>
        <v>48.228999999999999</v>
      </c>
      <c r="J81" s="7">
        <v>66.33</v>
      </c>
      <c r="K81" s="7">
        <v>71.3</v>
      </c>
      <c r="L81" s="7">
        <v>32.71</v>
      </c>
      <c r="M81" s="7">
        <v>79</v>
      </c>
      <c r="N81" s="7">
        <v>189.5</v>
      </c>
      <c r="O81" s="7">
        <v>344.4</v>
      </c>
      <c r="P81" s="8">
        <f t="shared" si="67"/>
        <v>344.4</v>
      </c>
      <c r="Q81" s="8">
        <f t="shared" si="67"/>
        <v>344.4</v>
      </c>
      <c r="R81" s="8">
        <f t="shared" si="67"/>
        <v>344.4</v>
      </c>
      <c r="S81" s="8">
        <f t="shared" si="67"/>
        <v>344.4</v>
      </c>
      <c r="U81" s="1172"/>
      <c r="V81" s="33"/>
      <c r="W81" s="14"/>
      <c r="Y81" s="7"/>
      <c r="Z81" s="7"/>
      <c r="AA81" s="8"/>
      <c r="AB81" s="8"/>
      <c r="AC81" s="8"/>
      <c r="AD81" s="8"/>
    </row>
    <row r="82" spans="2:30" ht="12" customHeight="1" x14ac:dyDescent="0.25">
      <c r="B82" s="6"/>
      <c r="C82" s="7"/>
      <c r="D82" s="7"/>
      <c r="E82" s="7"/>
      <c r="F82" s="7"/>
      <c r="G82" s="7"/>
      <c r="H82" s="7"/>
      <c r="I82" s="7"/>
      <c r="J82" s="7"/>
      <c r="K82" s="7"/>
      <c r="L82" s="7"/>
      <c r="M82" s="7"/>
      <c r="N82" s="7"/>
      <c r="O82" s="7"/>
      <c r="P82" s="8"/>
      <c r="Q82" s="8"/>
      <c r="R82" s="8"/>
      <c r="S82" s="8"/>
      <c r="Y82" s="7"/>
      <c r="Z82" s="7"/>
      <c r="AA82" s="8"/>
      <c r="AB82" s="8"/>
      <c r="AC82" s="8"/>
      <c r="AD82" s="8"/>
    </row>
    <row r="83" spans="2:30" ht="12" customHeight="1" x14ac:dyDescent="0.25">
      <c r="B83" s="9" t="s">
        <v>75</v>
      </c>
      <c r="C83" s="10">
        <f>SUM(C65:C66)+C69+SUM(C78:C81)</f>
        <v>0</v>
      </c>
      <c r="D83" s="10">
        <f t="shared" ref="D83:S83" si="68">SUM(D65:D66)+D69+SUM(D78:D81)</f>
        <v>0</v>
      </c>
      <c r="E83" s="10">
        <f t="shared" si="68"/>
        <v>0</v>
      </c>
      <c r="F83" s="10">
        <f t="shared" si="68"/>
        <v>0</v>
      </c>
      <c r="G83" s="10">
        <f>SUM(G65:G66)+G69+SUM(G78:G81)</f>
        <v>47283.895000000004</v>
      </c>
      <c r="H83" s="10">
        <f t="shared" si="68"/>
        <v>53097.704999999994</v>
      </c>
      <c r="I83" s="10">
        <f t="shared" si="68"/>
        <v>60771.341</v>
      </c>
      <c r="J83" s="10">
        <f t="shared" si="68"/>
        <v>78367.260000000009</v>
      </c>
      <c r="K83" s="10">
        <f t="shared" si="68"/>
        <v>88368.989999999991</v>
      </c>
      <c r="L83" s="10">
        <f t="shared" si="68"/>
        <v>88848.25</v>
      </c>
      <c r="M83" s="10">
        <f t="shared" si="68"/>
        <v>132103.90000000002</v>
      </c>
      <c r="N83" s="10">
        <f t="shared" si="68"/>
        <v>157761.29999999999</v>
      </c>
      <c r="O83" s="10">
        <f t="shared" ref="O83" si="69">SUM(O65:O66)+O69+SUM(O78:O81)</f>
        <v>188686</v>
      </c>
      <c r="P83" s="5">
        <f t="shared" ca="1" si="68"/>
        <v>309131.61232251104</v>
      </c>
      <c r="Q83" s="5">
        <f t="shared" ca="1" si="68"/>
        <v>360212.95834060753</v>
      </c>
      <c r="R83" s="5">
        <f t="shared" ca="1" si="68"/>
        <v>386390.88974714762</v>
      </c>
      <c r="S83" s="5">
        <f t="shared" ca="1" si="68"/>
        <v>428437.4102748523</v>
      </c>
      <c r="Y83" s="10"/>
      <c r="Z83" s="10"/>
      <c r="AA83" s="5"/>
      <c r="AB83" s="5"/>
      <c r="AC83" s="5"/>
      <c r="AD83" s="5"/>
    </row>
    <row r="84" spans="2:30" ht="12" customHeight="1" x14ac:dyDescent="0.25">
      <c r="B84" s="6"/>
      <c r="C84" s="7"/>
      <c r="D84" s="7"/>
      <c r="E84" s="7"/>
      <c r="F84" s="7"/>
      <c r="G84" s="7"/>
      <c r="H84" s="7"/>
      <c r="I84" s="7"/>
      <c r="J84" s="7"/>
      <c r="K84" s="7"/>
      <c r="L84" s="7"/>
      <c r="M84" s="7"/>
      <c r="N84" s="7"/>
      <c r="O84" s="7"/>
      <c r="P84" s="8"/>
      <c r="Q84" s="8"/>
      <c r="R84" s="8"/>
      <c r="S84" s="8"/>
      <c r="Y84" s="7"/>
      <c r="Z84" s="7"/>
      <c r="AA84" s="8"/>
      <c r="AB84" s="8"/>
      <c r="AC84" s="8"/>
      <c r="AD84" s="8"/>
    </row>
    <row r="85" spans="2:30" ht="12" customHeight="1" x14ac:dyDescent="0.25">
      <c r="B85" s="6" t="s">
        <v>76</v>
      </c>
      <c r="C85" s="7"/>
      <c r="D85" s="7"/>
      <c r="E85" s="7"/>
      <c r="F85" s="7"/>
      <c r="G85" s="7"/>
      <c r="H85" s="7"/>
      <c r="I85" s="7"/>
      <c r="J85" s="7"/>
      <c r="K85" s="7"/>
      <c r="L85" s="7"/>
      <c r="M85" s="7"/>
      <c r="N85" s="7"/>
      <c r="O85" s="7"/>
      <c r="P85" s="8"/>
      <c r="Q85" s="8"/>
      <c r="R85" s="8"/>
      <c r="S85" s="8"/>
      <c r="Y85" s="7"/>
      <c r="Z85" s="7"/>
      <c r="AA85" s="8"/>
      <c r="AB85" s="8"/>
      <c r="AC85" s="8"/>
      <c r="AD85" s="8"/>
    </row>
    <row r="86" spans="2:30" ht="12" customHeight="1" x14ac:dyDescent="0.25">
      <c r="B86" s="6" t="s">
        <v>77</v>
      </c>
      <c r="C86" s="7"/>
      <c r="D86" s="7"/>
      <c r="E86" s="7"/>
      <c r="F86" s="7"/>
      <c r="G86" s="7"/>
      <c r="H86" s="7"/>
      <c r="I86" s="7"/>
      <c r="J86" s="7"/>
      <c r="K86" s="7"/>
      <c r="L86" s="7"/>
      <c r="M86" s="7"/>
      <c r="N86" s="7"/>
      <c r="O86" s="7"/>
      <c r="P86" s="8"/>
      <c r="Q86" s="8"/>
      <c r="R86" s="8"/>
      <c r="S86" s="8"/>
      <c r="Y86" s="7"/>
      <c r="Z86" s="7"/>
      <c r="AA86" s="8"/>
      <c r="AB86" s="8"/>
      <c r="AC86" s="8"/>
      <c r="AD86" s="8"/>
    </row>
    <row r="87" spans="2:30" ht="12" customHeight="1" x14ac:dyDescent="0.25">
      <c r="B87" s="6" t="s">
        <v>78</v>
      </c>
      <c r="C87" s="7"/>
      <c r="D87" s="7"/>
      <c r="E87" s="7"/>
      <c r="F87" s="7"/>
      <c r="G87" s="193">
        <v>29525.534</v>
      </c>
      <c r="H87" s="7">
        <f>32684.214</f>
        <v>32684.214</v>
      </c>
      <c r="I87" s="7">
        <f>40511.62+1067.937</f>
        <v>41579.557000000001</v>
      </c>
      <c r="J87" s="7">
        <f>J88+J89</f>
        <v>44786.870999999999</v>
      </c>
      <c r="K87" s="7">
        <f>42611.974+4793.027</f>
        <v>47405.001000000004</v>
      </c>
      <c r="L87" s="7">
        <f>43996.417+4890.081</f>
        <v>48886.498</v>
      </c>
      <c r="M87" s="7">
        <f>58757.8+5473.2</f>
        <v>64231</v>
      </c>
      <c r="N87" s="7">
        <f>79291.3+5642.9</f>
        <v>84934.2</v>
      </c>
      <c r="O87" s="7">
        <f>87663.9+6980.6</f>
        <v>94644.5</v>
      </c>
      <c r="P87" s="8">
        <f>O87+SUM(Assumptions!FM1578:FM1592)+AA87</f>
        <v>132457.82999999999</v>
      </c>
      <c r="Q87" s="8">
        <f>P87+SUM(Assumptions!FN1578:FN1592)+AB87</f>
        <v>250947.83</v>
      </c>
      <c r="R87" s="8">
        <f>Q87+SUM(Assumptions!FO1578:FO1592)+AC87</f>
        <v>315460.32999999996</v>
      </c>
      <c r="S87" s="8">
        <f>R87+SUM(Assumptions!FP1578:FP1592)+AD87</f>
        <v>438250.32999999996</v>
      </c>
      <c r="Y87" s="7"/>
      <c r="Z87" s="7">
        <f>Logistics!D190</f>
        <v>15000</v>
      </c>
      <c r="AA87" s="8">
        <f>Logistics!E190</f>
        <v>17500</v>
      </c>
      <c r="AB87" s="8">
        <f>Logistics!F190</f>
        <v>17500</v>
      </c>
      <c r="AC87" s="8">
        <f>Logistics!G190</f>
        <v>15000</v>
      </c>
      <c r="AD87" s="8">
        <f>Logistics!H190</f>
        <v>15000</v>
      </c>
    </row>
    <row r="88" spans="2:30" ht="12" customHeight="1" x14ac:dyDescent="0.25">
      <c r="B88" s="6" t="s">
        <v>79</v>
      </c>
      <c r="C88" s="7"/>
      <c r="D88" s="7"/>
      <c r="E88" s="7"/>
      <c r="F88" s="7"/>
      <c r="G88" s="7">
        <v>2157.2730000000001</v>
      </c>
      <c r="H88" s="7">
        <f>3503.885</f>
        <v>3503.8850000000002</v>
      </c>
      <c r="I88" s="7">
        <f>5060.267+81.824</f>
        <v>5142.0909999999994</v>
      </c>
      <c r="J88" s="7">
        <f>I88+J28</f>
        <v>7848.6409999999996</v>
      </c>
      <c r="K88" s="7">
        <f>8350.277+342.601</f>
        <v>8692.8780000000006</v>
      </c>
      <c r="L88" s="7">
        <f>9780.488+654.993</f>
        <v>10435.481</v>
      </c>
      <c r="M88" s="7">
        <f>12205.9+897</f>
        <v>13102.9</v>
      </c>
      <c r="N88" s="7">
        <f>1191+15611.5</f>
        <v>16802.5</v>
      </c>
      <c r="O88" s="7">
        <f>19121.2+1574.6</f>
        <v>20695.8</v>
      </c>
      <c r="P88" s="8">
        <f t="shared" ref="P88:S88" si="70">O88+P28</f>
        <v>30397.582474999999</v>
      </c>
      <c r="Q88" s="8">
        <f t="shared" si="70"/>
        <v>42858.266424999994</v>
      </c>
      <c r="R88" s="8">
        <f t="shared" si="70"/>
        <v>61266.531624999989</v>
      </c>
      <c r="S88" s="8">
        <f t="shared" si="70"/>
        <v>85762.128074999986</v>
      </c>
      <c r="Y88" s="7"/>
      <c r="Z88" s="7"/>
      <c r="AA88" s="8"/>
      <c r="AB88" s="8"/>
      <c r="AC88" s="8"/>
      <c r="AD88" s="8"/>
    </row>
    <row r="89" spans="2:30" ht="12" customHeight="1" x14ac:dyDescent="0.25">
      <c r="B89" s="6" t="s">
        <v>80</v>
      </c>
      <c r="C89" s="7"/>
      <c r="D89" s="7"/>
      <c r="E89" s="7"/>
      <c r="F89" s="7"/>
      <c r="G89" s="193">
        <f>G87-G88</f>
        <v>27368.260999999999</v>
      </c>
      <c r="H89" s="7">
        <f>H87-H88</f>
        <v>29180.328999999998</v>
      </c>
      <c r="I89" s="7">
        <f>I87-I88</f>
        <v>36437.466</v>
      </c>
      <c r="J89" s="7">
        <f>33189.18+3749.05</f>
        <v>36938.230000000003</v>
      </c>
      <c r="K89" s="7">
        <f>K87-K88</f>
        <v>38712.123000000007</v>
      </c>
      <c r="L89" s="7">
        <f>L87-L88</f>
        <v>38451.017</v>
      </c>
      <c r="M89" s="7">
        <f>M87-M88</f>
        <v>51128.1</v>
      </c>
      <c r="N89" s="7">
        <f>N87-N88</f>
        <v>68131.7</v>
      </c>
      <c r="O89" s="7">
        <f>O87-O88</f>
        <v>73948.7</v>
      </c>
      <c r="P89" s="8">
        <f t="shared" ref="P89:S89" si="71">P87-P88</f>
        <v>102060.24752499998</v>
      </c>
      <c r="Q89" s="8">
        <f t="shared" si="71"/>
        <v>208089.56357499998</v>
      </c>
      <c r="R89" s="8">
        <f t="shared" si="71"/>
        <v>254193.79837499995</v>
      </c>
      <c r="S89" s="8">
        <f t="shared" si="71"/>
        <v>352488.20192499994</v>
      </c>
      <c r="Y89" s="7"/>
      <c r="Z89" s="7"/>
      <c r="AA89" s="8"/>
      <c r="AB89" s="8"/>
      <c r="AC89" s="8"/>
      <c r="AD89" s="8"/>
    </row>
    <row r="90" spans="2:30" ht="12" customHeight="1" x14ac:dyDescent="0.25">
      <c r="B90" s="6" t="s">
        <v>81</v>
      </c>
      <c r="C90" s="7"/>
      <c r="D90" s="7"/>
      <c r="E90" s="7"/>
      <c r="F90" s="7"/>
      <c r="G90" s="193">
        <v>6222.8010000000004</v>
      </c>
      <c r="H90" s="7">
        <f>8594.167</f>
        <v>8594.1669999999995</v>
      </c>
      <c r="I90" s="7">
        <f>7502.798</f>
        <v>7502.7979999999998</v>
      </c>
      <c r="J90" s="7">
        <v>2921.06</v>
      </c>
      <c r="K90" s="7">
        <v>700.84</v>
      </c>
      <c r="L90" s="7">
        <v>450.32</v>
      </c>
      <c r="M90" s="7">
        <v>1088.5999999999999</v>
      </c>
      <c r="N90" s="7">
        <v>18586.400000000001</v>
      </c>
      <c r="O90" s="7">
        <v>31474.2</v>
      </c>
      <c r="P90" s="8">
        <f>SUM(Assumptions!FY1578:FY1592)</f>
        <v>68297.286586806673</v>
      </c>
      <c r="Q90" s="8">
        <f>SUM(Assumptions!FZ1578:FZ1592)</f>
        <v>38869.411442786834</v>
      </c>
      <c r="R90" s="8">
        <f>SUM(Assumptions!GA1578:GA1592)</f>
        <v>55523.545870964175</v>
      </c>
      <c r="S90" s="8">
        <f>SUM(Assumptions!GB1578:GB1592)</f>
        <v>0</v>
      </c>
      <c r="Y90" s="7"/>
      <c r="Z90" s="7"/>
      <c r="AA90" s="8"/>
      <c r="AB90" s="8"/>
      <c r="AC90" s="8"/>
      <c r="AD90" s="8"/>
    </row>
    <row r="91" spans="2:30" ht="12" customHeight="1" x14ac:dyDescent="0.25">
      <c r="B91" s="6"/>
      <c r="C91" s="7"/>
      <c r="D91" s="7"/>
      <c r="E91" s="7"/>
      <c r="F91" s="7"/>
      <c r="G91" s="7"/>
      <c r="H91" s="7"/>
      <c r="I91" s="7"/>
      <c r="J91" s="7"/>
      <c r="K91" s="7"/>
      <c r="L91" s="7"/>
      <c r="M91" s="7"/>
      <c r="N91" s="7"/>
      <c r="O91" s="7"/>
      <c r="P91" s="8"/>
      <c r="Q91" s="8"/>
      <c r="R91" s="8"/>
      <c r="S91" s="8"/>
      <c r="Y91" s="7"/>
      <c r="Z91" s="7"/>
      <c r="AA91" s="8"/>
      <c r="AB91" s="8"/>
      <c r="AC91" s="8"/>
      <c r="AD91" s="8"/>
    </row>
    <row r="92" spans="2:30" ht="12" customHeight="1" x14ac:dyDescent="0.25">
      <c r="B92" s="6" t="s">
        <v>82</v>
      </c>
      <c r="C92" s="7"/>
      <c r="D92" s="7"/>
      <c r="E92" s="7"/>
      <c r="F92" s="7"/>
      <c r="G92" s="7"/>
      <c r="H92" s="7"/>
      <c r="I92" s="7"/>
      <c r="J92" s="7"/>
      <c r="K92" s="7"/>
      <c r="L92" s="7"/>
      <c r="M92" s="7"/>
      <c r="N92" s="7"/>
      <c r="O92" s="7"/>
      <c r="P92" s="8"/>
      <c r="Q92" s="8"/>
      <c r="R92" s="8"/>
      <c r="S92" s="8"/>
      <c r="Y92" s="7"/>
      <c r="Z92" s="7"/>
      <c r="AA92" s="8"/>
      <c r="AB92" s="8"/>
      <c r="AC92" s="8"/>
      <c r="AD92" s="8"/>
    </row>
    <row r="93" spans="2:30" ht="12" customHeight="1" x14ac:dyDescent="0.25">
      <c r="B93" s="6" t="s">
        <v>83</v>
      </c>
      <c r="C93" s="7"/>
      <c r="D93" s="7"/>
      <c r="E93" s="7"/>
      <c r="F93" s="7"/>
      <c r="G93" s="193">
        <v>3671.5320000000002</v>
      </c>
      <c r="H93" s="7">
        <f>3384.563</f>
        <v>3384.5630000000001</v>
      </c>
      <c r="I93" s="7">
        <f>3042.448</f>
        <v>3042.4479999999999</v>
      </c>
      <c r="J93" s="7">
        <f>11939.27+362.44</f>
        <v>12301.710000000001</v>
      </c>
      <c r="K93" s="7">
        <f>22264.35+362.44</f>
        <v>22626.789999999997</v>
      </c>
      <c r="L93" s="7">
        <f>20932.11+362.44</f>
        <v>21294.55</v>
      </c>
      <c r="M93" s="7">
        <f>19476.7+6969.7</f>
        <v>26446.400000000001</v>
      </c>
      <c r="N93" s="7">
        <f>7126+18671.6</f>
        <v>25797.599999999999</v>
      </c>
      <c r="O93" s="7">
        <f>7678.9+22678.5</f>
        <v>30357.4</v>
      </c>
      <c r="P93" s="8">
        <f t="shared" ref="P93:S94" si="72">O93</f>
        <v>30357.4</v>
      </c>
      <c r="Q93" s="8">
        <f t="shared" si="72"/>
        <v>30357.4</v>
      </c>
      <c r="R93" s="8">
        <f t="shared" si="72"/>
        <v>30357.4</v>
      </c>
      <c r="S93" s="8">
        <f t="shared" si="72"/>
        <v>30357.4</v>
      </c>
      <c r="Y93" s="7"/>
      <c r="Z93" s="7"/>
      <c r="AA93" s="8"/>
      <c r="AB93" s="8"/>
      <c r="AC93" s="8"/>
      <c r="AD93" s="8"/>
    </row>
    <row r="94" spans="2:30" ht="12" customHeight="1" x14ac:dyDescent="0.25">
      <c r="B94" s="6" t="s">
        <v>84</v>
      </c>
      <c r="C94" s="7"/>
      <c r="D94" s="7"/>
      <c r="E94" s="7"/>
      <c r="F94" s="7"/>
      <c r="G94" s="193">
        <v>103.42700000000001</v>
      </c>
      <c r="H94" s="7">
        <f>25.742</f>
        <v>25.742000000000001</v>
      </c>
      <c r="I94" s="7">
        <f>12.953</f>
        <v>12.952999999999999</v>
      </c>
      <c r="J94" s="7">
        <v>8329.4</v>
      </c>
      <c r="K94" s="7">
        <v>95.97</v>
      </c>
      <c r="L94" s="7">
        <v>9.81</v>
      </c>
      <c r="M94" s="7">
        <v>231.8</v>
      </c>
      <c r="N94" s="7">
        <v>1616</v>
      </c>
      <c r="O94" s="7">
        <v>410.2</v>
      </c>
      <c r="P94" s="8">
        <f t="shared" si="72"/>
        <v>410.2</v>
      </c>
      <c r="Q94" s="8">
        <f t="shared" si="72"/>
        <v>410.2</v>
      </c>
      <c r="R94" s="8">
        <f t="shared" si="72"/>
        <v>410.2</v>
      </c>
      <c r="S94" s="8">
        <f t="shared" si="72"/>
        <v>410.2</v>
      </c>
      <c r="Y94" s="7"/>
      <c r="Z94" s="7"/>
      <c r="AA94" s="8"/>
      <c r="AB94" s="8"/>
      <c r="AC94" s="8"/>
      <c r="AD94" s="8"/>
    </row>
    <row r="95" spans="2:30" ht="12" customHeight="1" x14ac:dyDescent="0.25">
      <c r="B95" s="6"/>
      <c r="C95" s="7"/>
      <c r="D95" s="7"/>
      <c r="E95" s="7"/>
      <c r="F95" s="7"/>
      <c r="G95" s="7"/>
      <c r="H95" s="7"/>
      <c r="I95" s="7"/>
      <c r="J95" s="7"/>
      <c r="K95" s="7"/>
      <c r="L95" s="7"/>
      <c r="M95" s="7"/>
      <c r="N95" s="7"/>
      <c r="O95" s="7"/>
      <c r="P95" s="8"/>
      <c r="Q95" s="8"/>
      <c r="R95" s="8"/>
      <c r="S95" s="8"/>
      <c r="Y95" s="7"/>
      <c r="Z95" s="7"/>
      <c r="AA95" s="8"/>
      <c r="AB95" s="8"/>
      <c r="AC95" s="8"/>
      <c r="AD95" s="8"/>
    </row>
    <row r="96" spans="2:30" ht="12" customHeight="1" x14ac:dyDescent="0.25">
      <c r="B96" s="6" t="s">
        <v>85</v>
      </c>
      <c r="C96" s="7"/>
      <c r="D96" s="7"/>
      <c r="E96" s="7"/>
      <c r="F96" s="7"/>
      <c r="G96" s="193">
        <v>0</v>
      </c>
      <c r="H96" s="7">
        <v>0</v>
      </c>
      <c r="I96" s="7">
        <f>3090</f>
        <v>3090</v>
      </c>
      <c r="J96" s="7">
        <v>2955.08</v>
      </c>
      <c r="K96" s="7">
        <v>2830.08</v>
      </c>
      <c r="L96" s="7">
        <v>25.37</v>
      </c>
      <c r="M96" s="7">
        <v>246.5</v>
      </c>
      <c r="N96" s="7">
        <f>1300+229.8</f>
        <v>1529.8</v>
      </c>
      <c r="O96" s="7">
        <f>964.8+233.5</f>
        <v>1198.3</v>
      </c>
      <c r="P96" s="8">
        <f t="shared" ref="P96:S99" si="73">O96</f>
        <v>1198.3</v>
      </c>
      <c r="Q96" s="8">
        <f t="shared" si="73"/>
        <v>1198.3</v>
      </c>
      <c r="R96" s="8">
        <f t="shared" si="73"/>
        <v>1198.3</v>
      </c>
      <c r="S96" s="8">
        <f t="shared" si="73"/>
        <v>1198.3</v>
      </c>
      <c r="Y96" s="7"/>
      <c r="Z96" s="7"/>
      <c r="AA96" s="8"/>
      <c r="AB96" s="8"/>
      <c r="AC96" s="8"/>
      <c r="AD96" s="8"/>
    </row>
    <row r="97" spans="2:30" ht="12" customHeight="1" x14ac:dyDescent="0.25">
      <c r="B97" s="6" t="s">
        <v>86</v>
      </c>
      <c r="C97" s="7"/>
      <c r="D97" s="7"/>
      <c r="E97" s="7"/>
      <c r="F97" s="7"/>
      <c r="G97" s="193">
        <v>845.22199999999998</v>
      </c>
      <c r="H97" s="7">
        <f>1060.228</f>
        <v>1060.2280000000001</v>
      </c>
      <c r="I97" s="7">
        <v>1129.895</v>
      </c>
      <c r="J97" s="7">
        <v>2469.29</v>
      </c>
      <c r="K97" s="7">
        <v>3489.03</v>
      </c>
      <c r="L97" s="7">
        <v>3505.63</v>
      </c>
      <c r="M97" s="7">
        <v>3255.4</v>
      </c>
      <c r="N97" s="7">
        <v>4589.5</v>
      </c>
      <c r="O97" s="7">
        <v>5236.6000000000004</v>
      </c>
      <c r="P97" s="8">
        <f t="shared" si="73"/>
        <v>5236.6000000000004</v>
      </c>
      <c r="Q97" s="8">
        <f t="shared" si="73"/>
        <v>5236.6000000000004</v>
      </c>
      <c r="R97" s="8">
        <f t="shared" si="73"/>
        <v>5236.6000000000004</v>
      </c>
      <c r="S97" s="8">
        <f t="shared" si="73"/>
        <v>5236.6000000000004</v>
      </c>
      <c r="Y97" s="7"/>
      <c r="Z97" s="7"/>
      <c r="AA97" s="8"/>
      <c r="AB97" s="8"/>
      <c r="AC97" s="8"/>
      <c r="AD97" s="8"/>
    </row>
    <row r="98" spans="2:30" ht="12" customHeight="1" x14ac:dyDescent="0.25">
      <c r="B98" s="6" t="s">
        <v>87</v>
      </c>
      <c r="C98" s="7"/>
      <c r="D98" s="7"/>
      <c r="E98" s="7"/>
      <c r="F98" s="7"/>
      <c r="G98" s="193">
        <v>19</v>
      </c>
      <c r="H98" s="7">
        <f>15.2</f>
        <v>15.2</v>
      </c>
      <c r="I98" s="7">
        <f>15.2</f>
        <v>15.2</v>
      </c>
      <c r="J98" s="7">
        <v>249.77</v>
      </c>
      <c r="K98" s="7">
        <v>145</v>
      </c>
      <c r="L98" s="7">
        <v>0</v>
      </c>
      <c r="M98" s="7">
        <v>0</v>
      </c>
      <c r="N98" s="7"/>
      <c r="O98" s="7"/>
      <c r="P98" s="8">
        <f t="shared" si="73"/>
        <v>0</v>
      </c>
      <c r="Q98" s="8">
        <f t="shared" si="73"/>
        <v>0</v>
      </c>
      <c r="R98" s="8">
        <f t="shared" si="73"/>
        <v>0</v>
      </c>
      <c r="S98" s="8">
        <f t="shared" si="73"/>
        <v>0</v>
      </c>
      <c r="Y98" s="7"/>
      <c r="Z98" s="7"/>
      <c r="AA98" s="8"/>
      <c r="AB98" s="8"/>
      <c r="AC98" s="8"/>
      <c r="AD98" s="8"/>
    </row>
    <row r="99" spans="2:30" ht="12" customHeight="1" x14ac:dyDescent="0.25">
      <c r="B99" s="6" t="s">
        <v>88</v>
      </c>
      <c r="C99" s="7"/>
      <c r="D99" s="7"/>
      <c r="E99" s="7"/>
      <c r="F99" s="7"/>
      <c r="G99" s="193">
        <f>819.067+494.332+1758.587</f>
        <v>3071.9859999999999</v>
      </c>
      <c r="H99" s="7">
        <f>161.036+1992.46</f>
        <v>2153.4960000000001</v>
      </c>
      <c r="I99" s="7">
        <f>135.945+916.935</f>
        <v>1052.8799999999999</v>
      </c>
      <c r="J99" s="7">
        <f>1099.19+624.34+631.78</f>
        <v>2355.3100000000004</v>
      </c>
      <c r="K99" s="7">
        <f>1062.95+760.08+509.23</f>
        <v>2332.2600000000002</v>
      </c>
      <c r="L99" s="7">
        <f>1355.15+1004.47+508.16</f>
        <v>2867.7799999999997</v>
      </c>
      <c r="M99" s="7">
        <f>340+1036.1+620.8</f>
        <v>1996.8999999999999</v>
      </c>
      <c r="N99" s="7">
        <f>5062.5+986+1599.4</f>
        <v>7647.9</v>
      </c>
      <c r="O99" s="7">
        <f>9497.8+1447.6+5789.2</f>
        <v>16734.599999999999</v>
      </c>
      <c r="P99" s="8">
        <f t="shared" si="73"/>
        <v>16734.599999999999</v>
      </c>
      <c r="Q99" s="8">
        <f t="shared" si="73"/>
        <v>16734.599999999999</v>
      </c>
      <c r="R99" s="8">
        <f t="shared" si="73"/>
        <v>16734.599999999999</v>
      </c>
      <c r="S99" s="8">
        <f t="shared" si="73"/>
        <v>16734.599999999999</v>
      </c>
      <c r="Y99" s="7"/>
      <c r="Z99" s="7"/>
      <c r="AA99" s="8"/>
      <c r="AB99" s="8"/>
      <c r="AC99" s="8"/>
      <c r="AD99" s="8"/>
    </row>
    <row r="100" spans="2:30" ht="12" customHeight="1" x14ac:dyDescent="0.25">
      <c r="B100" s="6"/>
      <c r="C100" s="7"/>
      <c r="D100" s="7"/>
      <c r="E100" s="7"/>
      <c r="F100" s="7"/>
      <c r="G100" s="7"/>
      <c r="H100" s="7"/>
      <c r="I100" s="7"/>
      <c r="J100" s="7"/>
      <c r="K100" s="7"/>
      <c r="L100" s="7"/>
      <c r="M100" s="7"/>
      <c r="N100" s="7"/>
      <c r="O100" s="7"/>
      <c r="P100" s="8"/>
      <c r="Q100" s="8"/>
      <c r="R100" s="8"/>
      <c r="S100" s="8"/>
      <c r="Y100" s="7"/>
      <c r="Z100" s="7"/>
      <c r="AA100" s="8"/>
      <c r="AB100" s="8"/>
      <c r="AC100" s="8"/>
      <c r="AD100" s="8"/>
    </row>
    <row r="101" spans="2:30" s="18" customFormat="1" ht="12" customHeight="1" x14ac:dyDescent="0.25">
      <c r="B101" s="9" t="s">
        <v>377</v>
      </c>
      <c r="C101" s="10"/>
      <c r="D101" s="10"/>
      <c r="E101" s="10"/>
      <c r="F101" s="10"/>
      <c r="G101" s="10"/>
      <c r="H101" s="10"/>
      <c r="I101" s="10"/>
      <c r="J101" s="10"/>
      <c r="K101" s="10"/>
      <c r="L101" s="10"/>
      <c r="M101" s="10"/>
      <c r="N101" s="10"/>
      <c r="O101" s="10"/>
      <c r="P101" s="5"/>
      <c r="Q101" s="5"/>
      <c r="R101" s="5"/>
      <c r="S101" s="5"/>
      <c r="Y101" s="10"/>
      <c r="Z101" s="10"/>
      <c r="AA101" s="5"/>
      <c r="AB101" s="5"/>
      <c r="AC101" s="5"/>
      <c r="AD101" s="5"/>
    </row>
    <row r="102" spans="2:30" ht="12" customHeight="1" x14ac:dyDescent="0.25">
      <c r="B102" s="6" t="s">
        <v>89</v>
      </c>
      <c r="C102" s="7"/>
      <c r="D102" s="7"/>
      <c r="E102" s="7"/>
      <c r="F102" s="7"/>
      <c r="G102" s="193">
        <v>283.762</v>
      </c>
      <c r="H102" s="7">
        <v>2297.6239999999998</v>
      </c>
      <c r="I102" s="7">
        <v>674.40300000000002</v>
      </c>
      <c r="J102" s="7">
        <v>0</v>
      </c>
      <c r="K102" s="7">
        <v>0</v>
      </c>
      <c r="L102" s="7">
        <v>3044.91</v>
      </c>
      <c r="M102" s="7">
        <v>2198.4</v>
      </c>
      <c r="N102" s="7">
        <v>1597.8</v>
      </c>
      <c r="O102" s="7">
        <v>20.100000000000001</v>
      </c>
      <c r="P102" s="8">
        <f t="shared" ref="P102:S103" si="74">O102</f>
        <v>20.100000000000001</v>
      </c>
      <c r="Q102" s="8">
        <f t="shared" si="74"/>
        <v>20.100000000000001</v>
      </c>
      <c r="R102" s="8">
        <f t="shared" si="74"/>
        <v>20.100000000000001</v>
      </c>
      <c r="S102" s="8">
        <f t="shared" si="74"/>
        <v>20.100000000000001</v>
      </c>
      <c r="Y102" s="7"/>
      <c r="Z102" s="7"/>
      <c r="AA102" s="8"/>
      <c r="AB102" s="8"/>
      <c r="AC102" s="8"/>
      <c r="AD102" s="8"/>
    </row>
    <row r="103" spans="2:30" ht="12" customHeight="1" x14ac:dyDescent="0.25">
      <c r="B103" s="6" t="s">
        <v>90</v>
      </c>
      <c r="C103" s="7"/>
      <c r="D103" s="7"/>
      <c r="E103" s="7"/>
      <c r="F103" s="7"/>
      <c r="G103" s="193">
        <v>499.39400000000001</v>
      </c>
      <c r="H103" s="7">
        <f>758.528</f>
        <v>758.52800000000002</v>
      </c>
      <c r="I103" s="7">
        <f>1251.534</f>
        <v>1251.5340000000001</v>
      </c>
      <c r="J103" s="7">
        <v>991.48</v>
      </c>
      <c r="K103" s="7">
        <v>854.06</v>
      </c>
      <c r="L103" s="7">
        <v>1021.6</v>
      </c>
      <c r="M103" s="7">
        <v>1117.4000000000001</v>
      </c>
      <c r="N103" s="7">
        <v>1338</v>
      </c>
      <c r="O103" s="7">
        <v>1473.3</v>
      </c>
      <c r="P103" s="8">
        <f t="shared" si="74"/>
        <v>1473.3</v>
      </c>
      <c r="Q103" s="8">
        <f t="shared" si="74"/>
        <v>1473.3</v>
      </c>
      <c r="R103" s="8">
        <f t="shared" si="74"/>
        <v>1473.3</v>
      </c>
      <c r="S103" s="8">
        <f t="shared" si="74"/>
        <v>1473.3</v>
      </c>
      <c r="Y103" s="7"/>
      <c r="Z103" s="7"/>
      <c r="AA103" s="8"/>
      <c r="AB103" s="8"/>
      <c r="AC103" s="8"/>
      <c r="AD103" s="8"/>
    </row>
    <row r="104" spans="2:30" ht="12" customHeight="1" x14ac:dyDescent="0.25">
      <c r="B104" s="6" t="s">
        <v>91</v>
      </c>
      <c r="C104" s="7"/>
      <c r="D104" s="7"/>
      <c r="E104" s="7"/>
      <c r="F104" s="7"/>
      <c r="G104" s="193">
        <v>2942.7130000000002</v>
      </c>
      <c r="H104" s="7">
        <f>3904.977</f>
        <v>3904.9769999999999</v>
      </c>
      <c r="I104" s="7">
        <f>5021.875</f>
        <v>5021.875</v>
      </c>
      <c r="J104" s="7">
        <v>4817.96</v>
      </c>
      <c r="K104" s="7">
        <v>6013.45</v>
      </c>
      <c r="L104" s="7">
        <v>4023.72</v>
      </c>
      <c r="M104" s="7">
        <v>6767.9</v>
      </c>
      <c r="N104" s="7">
        <v>8090.2999999999993</v>
      </c>
      <c r="O104" s="7">
        <v>10579.9</v>
      </c>
      <c r="P104" s="8">
        <f t="shared" ref="P104:S104" ca="1" si="75">P16/365*P209</f>
        <v>14392.567979094079</v>
      </c>
      <c r="Q104" s="8">
        <f t="shared" ca="1" si="75"/>
        <v>21444.707889797552</v>
      </c>
      <c r="R104" s="8">
        <f t="shared" ca="1" si="75"/>
        <v>27298.830395797264</v>
      </c>
      <c r="S104" s="8">
        <f t="shared" ca="1" si="75"/>
        <v>34107.851910675046</v>
      </c>
      <c r="Y104" s="7"/>
      <c r="Z104" s="7"/>
      <c r="AA104" s="8"/>
      <c r="AB104" s="8"/>
      <c r="AC104" s="8"/>
      <c r="AD104" s="8"/>
    </row>
    <row r="105" spans="2:30" ht="12" customHeight="1" x14ac:dyDescent="0.25">
      <c r="B105" s="6" t="s">
        <v>92</v>
      </c>
      <c r="C105" s="7"/>
      <c r="D105" s="7"/>
      <c r="E105" s="7"/>
      <c r="F105" s="7"/>
      <c r="G105" s="193">
        <f>772.735+2511.761</f>
        <v>3284.4960000000001</v>
      </c>
      <c r="H105" s="7">
        <f>502.965+514.671</f>
        <v>1017.636</v>
      </c>
      <c r="I105" s="7">
        <f>1571.013+55.061</f>
        <v>1626.0739999999998</v>
      </c>
      <c r="J105" s="7">
        <f>1513.52+1134.88</f>
        <v>2648.4</v>
      </c>
      <c r="K105" s="7">
        <f>5288.15+5094.2</f>
        <v>10382.349999999999</v>
      </c>
      <c r="L105" s="7">
        <f>6186.9+10129.53</f>
        <v>16316.43</v>
      </c>
      <c r="M105" s="7">
        <f>7233.9+33668.3</f>
        <v>40902.200000000004</v>
      </c>
      <c r="N105" s="7">
        <f>6112.5+18708.2</f>
        <v>24820.7</v>
      </c>
      <c r="O105" s="7">
        <f>7977.5+15199.5</f>
        <v>23177</v>
      </c>
      <c r="P105" s="8">
        <f ca="1">P175</f>
        <v>76224.856098292337</v>
      </c>
      <c r="Q105" s="8">
        <f ca="1">Q175</f>
        <v>46148.822469053994</v>
      </c>
      <c r="R105" s="8">
        <f ca="1">R175</f>
        <v>7392.816306153225</v>
      </c>
      <c r="S105" s="8">
        <f ca="1">S175</f>
        <v>3310.0258362289778</v>
      </c>
      <c r="Y105" s="7"/>
      <c r="Z105" s="7"/>
      <c r="AA105" s="8"/>
      <c r="AB105" s="8"/>
      <c r="AC105" s="8"/>
      <c r="AD105" s="8"/>
    </row>
    <row r="106" spans="2:30" ht="12" customHeight="1" x14ac:dyDescent="0.25">
      <c r="B106" s="6" t="s">
        <v>93</v>
      </c>
      <c r="C106" s="7"/>
      <c r="D106" s="7"/>
      <c r="E106" s="7"/>
      <c r="F106" s="7"/>
      <c r="G106" s="193">
        <v>1495.037</v>
      </c>
      <c r="H106" s="7">
        <f>358.796</f>
        <v>358.79599999999999</v>
      </c>
      <c r="I106" s="7">
        <f>651.759</f>
        <v>651.75900000000001</v>
      </c>
      <c r="J106" s="7">
        <v>2458.91</v>
      </c>
      <c r="K106" s="7">
        <v>2333.33</v>
      </c>
      <c r="L106" s="7">
        <v>585.49</v>
      </c>
      <c r="M106" s="7">
        <v>73.599999999999994</v>
      </c>
      <c r="N106" s="7">
        <v>0</v>
      </c>
      <c r="O106" s="7"/>
      <c r="P106" s="8">
        <f t="shared" ref="P106:S107" si="76">O106</f>
        <v>0</v>
      </c>
      <c r="Q106" s="8">
        <f t="shared" si="76"/>
        <v>0</v>
      </c>
      <c r="R106" s="8">
        <f t="shared" si="76"/>
        <v>0</v>
      </c>
      <c r="S106" s="8">
        <f>R106</f>
        <v>0</v>
      </c>
      <c r="Y106" s="7"/>
      <c r="Z106" s="7"/>
      <c r="AA106" s="8"/>
      <c r="AB106" s="8"/>
      <c r="AC106" s="8"/>
      <c r="AD106" s="8"/>
    </row>
    <row r="107" spans="2:30" ht="12" customHeight="1" x14ac:dyDescent="0.25">
      <c r="B107" s="6" t="s">
        <v>94</v>
      </c>
      <c r="C107" s="7"/>
      <c r="D107" s="7"/>
      <c r="E107" s="7"/>
      <c r="F107" s="7"/>
      <c r="G107" s="193">
        <f>332.996+231.822+2216.294</f>
        <v>2781.1120000000001</v>
      </c>
      <c r="H107" s="7">
        <f>13862.88-SUM(H102:H106)</f>
        <v>5525.3189999999995</v>
      </c>
      <c r="I107" s="7">
        <f>16315.14-SUM(I102:I106)</f>
        <v>7089.494999999999</v>
      </c>
      <c r="J107" s="7">
        <f>502.96+2605.97</f>
        <v>3108.93</v>
      </c>
      <c r="K107" s="7">
        <f>458.15+3321.24</f>
        <v>3779.39</v>
      </c>
      <c r="L107" s="7">
        <f>142.79+2767.16</f>
        <v>2909.95</v>
      </c>
      <c r="M107" s="7">
        <f>818+2004.3</f>
        <v>2822.3</v>
      </c>
      <c r="N107" s="7">
        <f>1420.3+4118.9</f>
        <v>5539.2</v>
      </c>
      <c r="O107" s="7">
        <f>1731.9+7117.7+124.6</f>
        <v>8974.2000000000007</v>
      </c>
      <c r="P107" s="8">
        <f t="shared" si="76"/>
        <v>8974.2000000000007</v>
      </c>
      <c r="Q107" s="8">
        <f t="shared" si="76"/>
        <v>8974.2000000000007</v>
      </c>
      <c r="R107" s="8">
        <f t="shared" si="76"/>
        <v>8974.2000000000007</v>
      </c>
      <c r="S107" s="8">
        <f t="shared" si="76"/>
        <v>8974.2000000000007</v>
      </c>
      <c r="Y107" s="7"/>
      <c r="Z107" s="7"/>
      <c r="AA107" s="8"/>
      <c r="AB107" s="8"/>
      <c r="AC107" s="8"/>
      <c r="AD107" s="8"/>
    </row>
    <row r="108" spans="2:30" s="18" customFormat="1" ht="12" customHeight="1" x14ac:dyDescent="0.25">
      <c r="B108" s="9" t="s">
        <v>95</v>
      </c>
      <c r="C108" s="10">
        <f>SUM(C102:C107)</f>
        <v>0</v>
      </c>
      <c r="D108" s="10">
        <f>SUM(D102:D107)</f>
        <v>0</v>
      </c>
      <c r="E108" s="10">
        <f t="shared" ref="E108:N108" si="77">SUM(E102:E107)</f>
        <v>0</v>
      </c>
      <c r="F108" s="10">
        <f t="shared" si="77"/>
        <v>0</v>
      </c>
      <c r="G108" s="10">
        <f t="shared" si="77"/>
        <v>11286.513999999999</v>
      </c>
      <c r="H108" s="10">
        <f t="shared" si="77"/>
        <v>13862.88</v>
      </c>
      <c r="I108" s="10">
        <f t="shared" si="77"/>
        <v>16315.14</v>
      </c>
      <c r="J108" s="10">
        <f t="shared" si="77"/>
        <v>14025.68</v>
      </c>
      <c r="K108" s="10">
        <f t="shared" si="77"/>
        <v>23362.58</v>
      </c>
      <c r="L108" s="10">
        <f t="shared" si="77"/>
        <v>27902.100000000002</v>
      </c>
      <c r="M108" s="10">
        <f t="shared" si="77"/>
        <v>53881.80000000001</v>
      </c>
      <c r="N108" s="10">
        <f t="shared" si="77"/>
        <v>41386</v>
      </c>
      <c r="O108" s="10">
        <f t="shared" ref="O108" si="78">SUM(O102:O107)</f>
        <v>44224.5</v>
      </c>
      <c r="P108" s="5">
        <f ca="1">SUM(P102:P107)</f>
        <v>101085.02407738641</v>
      </c>
      <c r="Q108" s="5">
        <f ca="1">SUM(Q102:Q107)</f>
        <v>78061.130358851544</v>
      </c>
      <c r="R108" s="5">
        <f ca="1">SUM(R102:R107)</f>
        <v>45159.246701950484</v>
      </c>
      <c r="S108" s="5">
        <f ca="1">SUM(S102:S107)</f>
        <v>47885.477746904027</v>
      </c>
      <c r="Y108" s="10"/>
      <c r="Z108" s="10"/>
      <c r="AA108" s="5"/>
      <c r="AB108" s="5"/>
      <c r="AC108" s="5"/>
      <c r="AD108" s="5"/>
    </row>
    <row r="109" spans="2:30" ht="12" customHeight="1" x14ac:dyDescent="0.25">
      <c r="B109" s="6"/>
      <c r="C109" s="7"/>
      <c r="D109" s="7"/>
      <c r="E109" s="7"/>
      <c r="F109" s="7"/>
      <c r="G109" s="7"/>
      <c r="H109" s="7"/>
      <c r="I109" s="7"/>
      <c r="J109" s="7"/>
      <c r="K109" s="7"/>
      <c r="L109" s="7"/>
      <c r="M109" s="7"/>
      <c r="N109" s="7"/>
      <c r="O109" s="7"/>
      <c r="P109" s="8"/>
      <c r="Q109" s="8"/>
      <c r="R109" s="8"/>
      <c r="S109" s="8"/>
      <c r="Y109" s="7"/>
      <c r="Z109" s="7"/>
      <c r="AA109" s="8"/>
      <c r="AB109" s="8"/>
      <c r="AC109" s="8"/>
      <c r="AD109" s="8"/>
    </row>
    <row r="110" spans="2:30" ht="12" customHeight="1" x14ac:dyDescent="0.25">
      <c r="B110" s="6" t="s">
        <v>96</v>
      </c>
      <c r="C110" s="7"/>
      <c r="D110" s="7"/>
      <c r="E110" s="7"/>
      <c r="F110" s="7"/>
      <c r="G110" s="193">
        <f>2.557+1555.036</f>
        <v>1557.5930000000001</v>
      </c>
      <c r="H110" s="7">
        <f>67.321+4.971</f>
        <v>72.292000000000002</v>
      </c>
      <c r="I110" s="7">
        <f>5.102+793.571</f>
        <v>798.673</v>
      </c>
      <c r="J110" s="7">
        <f>108.95+2042.45</f>
        <v>2151.4</v>
      </c>
      <c r="K110" s="7">
        <f>99.54+2648.37</f>
        <v>2747.91</v>
      </c>
      <c r="L110" s="7">
        <f>219.36+2796.49</f>
        <v>3015.85</v>
      </c>
      <c r="M110" s="7">
        <f>350.2+3212</f>
        <v>3562.2</v>
      </c>
      <c r="N110" s="7">
        <f>425.9+3067.7</f>
        <v>3493.6</v>
      </c>
      <c r="O110" s="7">
        <f>746.2+2998.7</f>
        <v>3744.8999999999996</v>
      </c>
      <c r="P110" s="8">
        <f t="shared" ref="P110:S110" ca="1" si="79">(P16/365*P210)</f>
        <v>5094.4458666820492</v>
      </c>
      <c r="Q110" s="8">
        <f t="shared" ca="1" si="79"/>
        <v>7590.647036030854</v>
      </c>
      <c r="R110" s="8">
        <f t="shared" ca="1" si="79"/>
        <v>11269.201200767035</v>
      </c>
      <c r="S110" s="8">
        <f t="shared" ca="1" si="79"/>
        <v>14719.769397051699</v>
      </c>
      <c r="Y110" s="7"/>
      <c r="Z110" s="7"/>
      <c r="AA110" s="8"/>
      <c r="AB110" s="8"/>
      <c r="AC110" s="8"/>
      <c r="AD110" s="8"/>
    </row>
    <row r="111" spans="2:30" ht="12" customHeight="1" x14ac:dyDescent="0.25">
      <c r="B111" s="6" t="s">
        <v>97</v>
      </c>
      <c r="C111" s="7"/>
      <c r="D111" s="7"/>
      <c r="E111" s="7"/>
      <c r="F111" s="7"/>
      <c r="G111" s="7">
        <f>3565.338+162.246+13.964</f>
        <v>3741.5480000000002</v>
      </c>
      <c r="H111" s="7">
        <f>1196.901+3904.058</f>
        <v>5100.9589999999998</v>
      </c>
      <c r="I111" s="7">
        <f>6813.458+208.793</f>
        <v>7022.2509999999993</v>
      </c>
      <c r="J111" s="7">
        <f>101.99+1216.26+693.42</f>
        <v>2011.67</v>
      </c>
      <c r="K111" s="7">
        <f>95.52+1929.92+1082.22+52.44</f>
        <v>3160.1</v>
      </c>
      <c r="L111" s="7">
        <f>147.49+1620.55+828.22</f>
        <v>2596.2600000000002</v>
      </c>
      <c r="M111" s="7">
        <f>914.1+143.1+1499.4</f>
        <v>2556.6000000000004</v>
      </c>
      <c r="N111" s="7">
        <f>209.9+6682.3+985.4</f>
        <v>7877.5999999999995</v>
      </c>
      <c r="O111" s="7">
        <f>310.9+9430.8+1200</f>
        <v>10941.699999999999</v>
      </c>
      <c r="P111" s="8">
        <f t="shared" ref="P111:S112" si="80">O111</f>
        <v>10941.699999999999</v>
      </c>
      <c r="Q111" s="8">
        <f t="shared" si="80"/>
        <v>10941.699999999999</v>
      </c>
      <c r="R111" s="8">
        <f t="shared" si="80"/>
        <v>10941.699999999999</v>
      </c>
      <c r="S111" s="8">
        <f t="shared" si="80"/>
        <v>10941.699999999999</v>
      </c>
      <c r="Y111" s="7"/>
      <c r="Z111" s="7"/>
      <c r="AA111" s="8"/>
      <c r="AB111" s="8"/>
      <c r="AC111" s="8"/>
      <c r="AD111" s="8"/>
    </row>
    <row r="112" spans="2:30" ht="12" customHeight="1" x14ac:dyDescent="0.25">
      <c r="B112" s="6" t="s">
        <v>98</v>
      </c>
      <c r="C112" s="7"/>
      <c r="D112" s="7"/>
      <c r="E112" s="7"/>
      <c r="F112" s="7"/>
      <c r="G112" s="7">
        <v>5.7069999999999999</v>
      </c>
      <c r="H112" s="7">
        <v>5.6479999999999997</v>
      </c>
      <c r="I112" s="7">
        <f>6.513</f>
        <v>6.5129999999999999</v>
      </c>
      <c r="J112" s="7">
        <v>15.21</v>
      </c>
      <c r="K112" s="7">
        <v>17.62</v>
      </c>
      <c r="L112" s="7">
        <v>46.21</v>
      </c>
      <c r="M112" s="7">
        <v>52.9</v>
      </c>
      <c r="N112" s="7">
        <v>152.5</v>
      </c>
      <c r="O112" s="7">
        <v>211.9</v>
      </c>
      <c r="P112" s="8">
        <f t="shared" si="80"/>
        <v>211.9</v>
      </c>
      <c r="Q112" s="8">
        <f t="shared" si="80"/>
        <v>211.9</v>
      </c>
      <c r="R112" s="8">
        <f t="shared" si="80"/>
        <v>211.9</v>
      </c>
      <c r="S112" s="8">
        <f t="shared" si="80"/>
        <v>211.9</v>
      </c>
      <c r="Y112" s="7"/>
      <c r="Z112" s="7"/>
      <c r="AA112" s="8"/>
      <c r="AB112" s="8"/>
      <c r="AC112" s="8"/>
      <c r="AD112" s="8"/>
    </row>
    <row r="113" spans="2:30" s="18" customFormat="1" ht="12" customHeight="1" x14ac:dyDescent="0.25">
      <c r="B113" s="9" t="s">
        <v>99</v>
      </c>
      <c r="C113" s="10">
        <f t="shared" ref="C113:L113" si="81">SUM(C110:C112)</f>
        <v>0</v>
      </c>
      <c r="D113" s="10">
        <f t="shared" si="81"/>
        <v>0</v>
      </c>
      <c r="E113" s="10">
        <f t="shared" si="81"/>
        <v>0</v>
      </c>
      <c r="F113" s="10">
        <f t="shared" si="81"/>
        <v>0</v>
      </c>
      <c r="G113" s="10">
        <f>SUM(G110:G112)</f>
        <v>5304.8480000000009</v>
      </c>
      <c r="H113" s="10">
        <f t="shared" si="81"/>
        <v>5178.8990000000003</v>
      </c>
      <c r="I113" s="10">
        <f t="shared" si="81"/>
        <v>7827.436999999999</v>
      </c>
      <c r="J113" s="10">
        <f t="shared" si="81"/>
        <v>4178.28</v>
      </c>
      <c r="K113" s="10">
        <f t="shared" si="81"/>
        <v>5925.63</v>
      </c>
      <c r="L113" s="10">
        <f t="shared" si="81"/>
        <v>5658.3200000000006</v>
      </c>
      <c r="M113" s="10">
        <f>SUM(M110:M112)</f>
        <v>6171.7</v>
      </c>
      <c r="N113" s="10">
        <f>SUM(N110:N112)</f>
        <v>11523.699999999999</v>
      </c>
      <c r="O113" s="10">
        <f>SUM(O110:O112)</f>
        <v>14898.499999999998</v>
      </c>
      <c r="P113" s="5">
        <f t="shared" ref="P113:S113" ca="1" si="82">SUM(P110:P112)</f>
        <v>16248.045866682047</v>
      </c>
      <c r="Q113" s="5">
        <f t="shared" ca="1" si="82"/>
        <v>18744.247036030854</v>
      </c>
      <c r="R113" s="5">
        <f t="shared" ca="1" si="82"/>
        <v>22422.801200767033</v>
      </c>
      <c r="S113" s="5">
        <f t="shared" ca="1" si="82"/>
        <v>25873.369397051698</v>
      </c>
      <c r="Y113" s="10"/>
      <c r="Z113" s="10"/>
      <c r="AA113" s="5"/>
      <c r="AB113" s="5"/>
      <c r="AC113" s="5"/>
      <c r="AD113" s="5"/>
    </row>
    <row r="114" spans="2:30" ht="12" customHeight="1" x14ac:dyDescent="0.25">
      <c r="B114" s="6"/>
      <c r="C114" s="7"/>
      <c r="D114" s="7"/>
      <c r="E114" s="7"/>
      <c r="F114" s="7"/>
      <c r="G114" s="7"/>
      <c r="H114" s="7"/>
      <c r="I114" s="7"/>
      <c r="J114" s="7"/>
      <c r="K114" s="7"/>
      <c r="L114" s="7"/>
      <c r="M114" s="7"/>
      <c r="N114" s="7"/>
      <c r="O114" s="7"/>
      <c r="P114" s="8"/>
      <c r="Q114" s="8"/>
      <c r="R114" s="8"/>
      <c r="S114" s="8"/>
      <c r="Y114" s="7"/>
      <c r="Z114" s="7"/>
      <c r="AA114" s="8"/>
      <c r="AB114" s="8"/>
      <c r="AC114" s="8"/>
      <c r="AD114" s="8"/>
    </row>
    <row r="115" spans="2:30" ht="12" customHeight="1" x14ac:dyDescent="0.25">
      <c r="B115" s="6" t="s">
        <v>100</v>
      </c>
      <c r="C115" s="7">
        <f t="shared" ref="C115:L115" si="83">C108-C113</f>
        <v>0</v>
      </c>
      <c r="D115" s="7">
        <f t="shared" si="83"/>
        <v>0</v>
      </c>
      <c r="E115" s="7">
        <f t="shared" si="83"/>
        <v>0</v>
      </c>
      <c r="F115" s="7">
        <f t="shared" si="83"/>
        <v>0</v>
      </c>
      <c r="G115" s="7">
        <f t="shared" si="83"/>
        <v>5981.6659999999983</v>
      </c>
      <c r="H115" s="7">
        <f t="shared" si="83"/>
        <v>8683.9809999999998</v>
      </c>
      <c r="I115" s="7">
        <f t="shared" si="83"/>
        <v>8487.7030000000013</v>
      </c>
      <c r="J115" s="7">
        <f t="shared" si="83"/>
        <v>9847.4000000000015</v>
      </c>
      <c r="K115" s="7">
        <f t="shared" si="83"/>
        <v>17436.95</v>
      </c>
      <c r="L115" s="7">
        <f t="shared" si="83"/>
        <v>22243.780000000002</v>
      </c>
      <c r="M115" s="7">
        <f>M108-M113</f>
        <v>47710.100000000013</v>
      </c>
      <c r="N115" s="7">
        <f>N108-N113</f>
        <v>29862.300000000003</v>
      </c>
      <c r="O115" s="7">
        <f>O108-O113</f>
        <v>29326</v>
      </c>
      <c r="P115" s="8">
        <f t="shared" ref="P115:S115" ca="1" si="84">P108-P113</f>
        <v>84836.978210704357</v>
      </c>
      <c r="Q115" s="8">
        <f t="shared" ca="1" si="84"/>
        <v>59316.883322820693</v>
      </c>
      <c r="R115" s="8">
        <f t="shared" ca="1" si="84"/>
        <v>22736.445501183451</v>
      </c>
      <c r="S115" s="8">
        <f t="shared" ca="1" si="84"/>
        <v>22012.108349852329</v>
      </c>
      <c r="Y115" s="7"/>
      <c r="Z115" s="7"/>
      <c r="AA115" s="8"/>
      <c r="AB115" s="8"/>
      <c r="AC115" s="8"/>
      <c r="AD115" s="8"/>
    </row>
    <row r="116" spans="2:30" ht="12" customHeight="1" x14ac:dyDescent="0.25">
      <c r="B116" s="6"/>
      <c r="C116" s="7"/>
      <c r="D116" s="7"/>
      <c r="E116" s="7"/>
      <c r="F116" s="7"/>
      <c r="G116" s="7"/>
      <c r="H116" s="7"/>
      <c r="I116" s="7"/>
      <c r="J116" s="7"/>
      <c r="K116" s="7"/>
      <c r="L116" s="7"/>
      <c r="M116" s="7"/>
      <c r="N116" s="7"/>
      <c r="O116" s="7"/>
      <c r="P116" s="8"/>
      <c r="Q116" s="8"/>
      <c r="R116" s="8"/>
      <c r="S116" s="8"/>
      <c r="Y116" s="7"/>
      <c r="Z116" s="7"/>
      <c r="AA116" s="8"/>
      <c r="AB116" s="8"/>
      <c r="AC116" s="8"/>
      <c r="AD116" s="8"/>
    </row>
    <row r="117" spans="2:30" ht="12" customHeight="1" x14ac:dyDescent="0.25">
      <c r="B117" s="9" t="s">
        <v>101</v>
      </c>
      <c r="C117" s="10">
        <f t="shared" ref="C117:L117" si="85">SUM(C89:C94)+SUM(C96:C99)+C115</f>
        <v>0</v>
      </c>
      <c r="D117" s="10">
        <f t="shared" si="85"/>
        <v>0</v>
      </c>
      <c r="E117" s="10">
        <f t="shared" si="85"/>
        <v>0</v>
      </c>
      <c r="F117" s="10">
        <f t="shared" si="85"/>
        <v>0</v>
      </c>
      <c r="G117" s="10">
        <f>SUM(G89:G94)+SUM(G96:G99)+G115</f>
        <v>47283.894999999997</v>
      </c>
      <c r="H117" s="10">
        <f t="shared" si="85"/>
        <v>53097.705999999998</v>
      </c>
      <c r="I117" s="10">
        <f t="shared" si="85"/>
        <v>60771.343000000001</v>
      </c>
      <c r="J117" s="10">
        <f t="shared" si="85"/>
        <v>78367.25</v>
      </c>
      <c r="K117" s="10">
        <f t="shared" si="85"/>
        <v>88369.042999999991</v>
      </c>
      <c r="L117" s="10">
        <f t="shared" si="85"/>
        <v>88848.256999999998</v>
      </c>
      <c r="M117" s="10">
        <f>SUM(M89:M94)+SUM(M96:M99)+M115</f>
        <v>132103.80000000002</v>
      </c>
      <c r="N117" s="10">
        <f>SUM(N89:N94)+SUM(N96:N99)+N115</f>
        <v>157761.20000000001</v>
      </c>
      <c r="O117" s="10">
        <f>SUM(O89:O94)+SUM(O96:O99)+O115</f>
        <v>188686</v>
      </c>
      <c r="P117" s="5">
        <f t="shared" ref="P117:S117" ca="1" si="86">SUM(P89:P94)+SUM(P96:P99)+P115</f>
        <v>309131.61232251104</v>
      </c>
      <c r="Q117" s="5">
        <f t="shared" ca="1" si="86"/>
        <v>360212.95834060753</v>
      </c>
      <c r="R117" s="5">
        <f t="shared" ca="1" si="86"/>
        <v>386390.88974714762</v>
      </c>
      <c r="S117" s="5">
        <f t="shared" ca="1" si="86"/>
        <v>428437.4102748523</v>
      </c>
      <c r="Y117" s="10"/>
      <c r="Z117" s="10"/>
      <c r="AA117" s="5"/>
      <c r="AB117" s="5"/>
      <c r="AC117" s="5"/>
      <c r="AD117" s="5"/>
    </row>
    <row r="118" spans="2:30" s="32" customFormat="1" ht="12" customHeight="1" x14ac:dyDescent="0.25">
      <c r="B118" s="31"/>
      <c r="C118" s="162">
        <f t="shared" ref="C118:L118" si="87">C83-C117</f>
        <v>0</v>
      </c>
      <c r="D118" s="162">
        <f t="shared" si="87"/>
        <v>0</v>
      </c>
      <c r="E118" s="162">
        <f t="shared" si="87"/>
        <v>0</v>
      </c>
      <c r="F118" s="162">
        <f t="shared" si="87"/>
        <v>0</v>
      </c>
      <c r="G118" s="162">
        <f t="shared" si="87"/>
        <v>0</v>
      </c>
      <c r="H118" s="162">
        <f t="shared" si="87"/>
        <v>-1.0000000038417056E-3</v>
      </c>
      <c r="I118" s="162">
        <f t="shared" si="87"/>
        <v>-2.0000000004074536E-3</v>
      </c>
      <c r="J118" s="162">
        <f t="shared" si="87"/>
        <v>1.0000000009313226E-2</v>
      </c>
      <c r="K118" s="162">
        <f t="shared" si="87"/>
        <v>-5.2999999999883585E-2</v>
      </c>
      <c r="L118" s="162">
        <f t="shared" si="87"/>
        <v>-6.9999999977881089E-3</v>
      </c>
      <c r="M118" s="162">
        <f>M83-M117</f>
        <v>0.10000000000582077</v>
      </c>
      <c r="N118" s="162">
        <f>N83-N117</f>
        <v>9.9999999976716936E-2</v>
      </c>
      <c r="O118" s="162">
        <f>O83-O117</f>
        <v>0</v>
      </c>
      <c r="P118" s="126">
        <f t="shared" ref="P118:S118" ca="1" si="88">P83-P117</f>
        <v>0</v>
      </c>
      <c r="Q118" s="126">
        <f t="shared" ca="1" si="88"/>
        <v>0</v>
      </c>
      <c r="R118" s="126">
        <f t="shared" ca="1" si="88"/>
        <v>0</v>
      </c>
      <c r="S118" s="126">
        <f t="shared" ca="1" si="88"/>
        <v>0</v>
      </c>
      <c r="Y118" s="162"/>
      <c r="Z118" s="162"/>
      <c r="AA118" s="126"/>
      <c r="AB118" s="126"/>
      <c r="AC118" s="126"/>
      <c r="AD118" s="126"/>
    </row>
    <row r="119" spans="2:30" ht="12" customHeight="1" x14ac:dyDescent="0.25">
      <c r="B119" s="33"/>
      <c r="C119" s="34"/>
      <c r="D119" s="34"/>
      <c r="E119" s="34"/>
      <c r="F119" s="34"/>
      <c r="G119" s="34"/>
      <c r="H119" s="34"/>
      <c r="I119" s="34"/>
      <c r="J119" s="34"/>
      <c r="K119" s="34"/>
      <c r="L119" s="34"/>
      <c r="M119" s="34"/>
      <c r="N119" s="34"/>
      <c r="O119" s="34"/>
      <c r="P119" s="34"/>
      <c r="Q119" s="34"/>
      <c r="R119" s="34"/>
      <c r="S119" s="34"/>
      <c r="Y119" s="34"/>
      <c r="Z119" s="34"/>
      <c r="AA119" s="34"/>
      <c r="AB119" s="34"/>
      <c r="AC119" s="34"/>
      <c r="AD119" s="34"/>
    </row>
    <row r="120" spans="2:30" ht="12" customHeight="1" x14ac:dyDescent="0.25">
      <c r="B120" s="3" t="s">
        <v>102</v>
      </c>
      <c r="C120" s="4" t="str">
        <f>C2</f>
        <v>FY14</v>
      </c>
      <c r="D120" s="4" t="str">
        <f>D2</f>
        <v>FY15</v>
      </c>
      <c r="E120" s="4" t="str">
        <f>E2</f>
        <v>FY16</v>
      </c>
      <c r="F120" s="4" t="str">
        <f>F2</f>
        <v>FY17</v>
      </c>
      <c r="G120" s="4"/>
      <c r="H120" s="4"/>
      <c r="I120" s="4"/>
      <c r="J120" s="4"/>
      <c r="K120" s="4"/>
      <c r="L120" s="4"/>
      <c r="M120" s="4"/>
      <c r="N120" s="4"/>
      <c r="O120" s="4"/>
      <c r="P120" s="227"/>
      <c r="Q120" s="227"/>
      <c r="R120" s="227"/>
      <c r="S120" s="227"/>
      <c r="Y120" s="4"/>
      <c r="Z120" s="4"/>
      <c r="AA120" s="227"/>
      <c r="AB120" s="227"/>
      <c r="AC120" s="227"/>
      <c r="AD120" s="227"/>
    </row>
    <row r="121" spans="2:30" ht="12" customHeight="1" x14ac:dyDescent="0.25">
      <c r="B121" s="6" t="s">
        <v>40</v>
      </c>
      <c r="C121" s="7"/>
      <c r="D121" s="7"/>
      <c r="E121" s="7"/>
      <c r="F121" s="7"/>
      <c r="G121" s="7">
        <v>3774.7669999999998</v>
      </c>
      <c r="H121" s="7">
        <v>2838.422</v>
      </c>
      <c r="I121" s="7">
        <v>2341.0129999999999</v>
      </c>
      <c r="J121" s="7">
        <v>3926.2</v>
      </c>
      <c r="K121" s="7">
        <v>4259.83</v>
      </c>
      <c r="L121" s="7">
        <v>8109.92</v>
      </c>
      <c r="M121" s="7">
        <v>14650.3</v>
      </c>
      <c r="N121" s="7">
        <v>18028.399999999998</v>
      </c>
      <c r="O121" s="7">
        <v>18728.400000000001</v>
      </c>
      <c r="P121" s="8">
        <f t="shared" ref="P121:S121" ca="1" si="89">P35</f>
        <v>21052.202880714176</v>
      </c>
      <c r="Q121" s="8">
        <f t="shared" ca="1" si="89"/>
        <v>30752.801171086037</v>
      </c>
      <c r="R121" s="8">
        <f t="shared" ca="1" si="89"/>
        <v>31506.154656363789</v>
      </c>
      <c r="S121" s="8">
        <f t="shared" ca="1" si="89"/>
        <v>37065.278117345006</v>
      </c>
      <c r="Y121" s="7"/>
      <c r="Z121" s="7"/>
      <c r="AA121" s="8"/>
      <c r="AB121" s="8"/>
      <c r="AC121" s="8"/>
      <c r="AD121" s="8"/>
    </row>
    <row r="122" spans="2:30" ht="12" customHeight="1" x14ac:dyDescent="0.25">
      <c r="B122" s="6"/>
      <c r="C122" s="7"/>
      <c r="D122" s="7"/>
      <c r="E122" s="7"/>
      <c r="F122" s="7"/>
      <c r="G122" s="7"/>
      <c r="H122" s="7"/>
      <c r="I122" s="7"/>
      <c r="J122" s="7"/>
      <c r="K122" s="7"/>
      <c r="L122" s="7"/>
      <c r="M122" s="7"/>
      <c r="N122" s="7"/>
      <c r="O122" s="7"/>
      <c r="P122" s="8"/>
      <c r="Q122" s="8"/>
      <c r="R122" s="8"/>
      <c r="S122" s="8"/>
      <c r="Y122" s="7"/>
      <c r="Z122" s="7"/>
      <c r="AA122" s="8"/>
      <c r="AB122" s="8"/>
      <c r="AC122" s="8"/>
      <c r="AD122" s="8"/>
    </row>
    <row r="123" spans="2:30" ht="12" customHeight="1" x14ac:dyDescent="0.25">
      <c r="B123" s="6" t="s">
        <v>103</v>
      </c>
      <c r="C123" s="7"/>
      <c r="D123" s="7"/>
      <c r="E123" s="7"/>
      <c r="F123" s="7"/>
      <c r="G123" s="7">
        <f>722.865+1571.402</f>
        <v>2294.2669999999998</v>
      </c>
      <c r="H123" s="7">
        <f>1705.884+819.067</f>
        <v>2524.951</v>
      </c>
      <c r="I123" s="7">
        <f>2018.573</f>
        <v>2018.5730000000001</v>
      </c>
      <c r="J123" s="7">
        <v>2706.55</v>
      </c>
      <c r="K123" s="7">
        <v>3695.05</v>
      </c>
      <c r="L123" s="7">
        <v>3912.23</v>
      </c>
      <c r="M123" s="7">
        <v>4364.8</v>
      </c>
      <c r="N123" s="7">
        <v>5465.5</v>
      </c>
      <c r="O123" s="7">
        <v>6141.2</v>
      </c>
      <c r="P123" s="8">
        <f t="shared" ref="P123:S123" si="90">P28</f>
        <v>7453.8824749999994</v>
      </c>
      <c r="Q123" s="8">
        <f t="shared" si="90"/>
        <v>12460.683949999999</v>
      </c>
      <c r="R123" s="8">
        <f t="shared" si="90"/>
        <v>18408.265199999998</v>
      </c>
      <c r="S123" s="8">
        <f t="shared" si="90"/>
        <v>24495.596449999997</v>
      </c>
      <c r="Y123" s="7"/>
      <c r="Z123" s="7"/>
      <c r="AA123" s="8"/>
      <c r="AB123" s="8"/>
      <c r="AC123" s="8"/>
      <c r="AD123" s="8"/>
    </row>
    <row r="124" spans="2:30" ht="12" customHeight="1" x14ac:dyDescent="0.25">
      <c r="B124" s="6" t="s">
        <v>104</v>
      </c>
      <c r="C124" s="7"/>
      <c r="D124" s="7"/>
      <c r="E124" s="7"/>
      <c r="F124" s="7"/>
      <c r="G124" s="7">
        <v>1298.942</v>
      </c>
      <c r="H124" s="7">
        <f>1771.365</f>
        <v>1771.365</v>
      </c>
      <c r="I124" s="7">
        <f>2774.583</f>
        <v>2774.5830000000001</v>
      </c>
      <c r="J124" s="7">
        <v>2278.5700000000002</v>
      </c>
      <c r="K124" s="7">
        <v>4196.22</v>
      </c>
      <c r="L124" s="7">
        <v>5960.88</v>
      </c>
      <c r="M124" s="7">
        <v>3324.6</v>
      </c>
      <c r="N124" s="7">
        <v>2657.4</v>
      </c>
      <c r="O124" s="7">
        <v>3829.9</v>
      </c>
      <c r="P124" s="8">
        <f t="shared" ref="P124:S124" si="91">P32</f>
        <v>4783.0374513424667</v>
      </c>
      <c r="Q124" s="8">
        <f t="shared" si="91"/>
        <v>8558.4778248657531</v>
      </c>
      <c r="R124" s="8">
        <f t="shared" si="91"/>
        <v>10931.457055279452</v>
      </c>
      <c r="S124" s="8">
        <f t="shared" si="91"/>
        <v>15540.224814060279</v>
      </c>
      <c r="Y124" s="7"/>
      <c r="Z124" s="7"/>
      <c r="AA124" s="8"/>
      <c r="AB124" s="8"/>
      <c r="AC124" s="8"/>
      <c r="AD124" s="8"/>
    </row>
    <row r="125" spans="2:30" ht="12" customHeight="1" x14ac:dyDescent="0.25">
      <c r="B125" s="6" t="s">
        <v>105</v>
      </c>
      <c r="C125" s="7"/>
      <c r="D125" s="7"/>
      <c r="E125" s="7"/>
      <c r="F125" s="7"/>
      <c r="G125" s="7">
        <v>52.973999999999997</v>
      </c>
      <c r="H125" s="7">
        <f>73.642</f>
        <v>73.641999999999996</v>
      </c>
      <c r="I125" s="7">
        <f>186.654</f>
        <v>186.654</v>
      </c>
      <c r="J125" s="7">
        <v>508.05</v>
      </c>
      <c r="K125" s="7">
        <v>508.07</v>
      </c>
      <c r="L125" s="7">
        <v>1067.83</v>
      </c>
      <c r="M125" s="7">
        <v>1488.5</v>
      </c>
      <c r="N125" s="7">
        <v>636</v>
      </c>
      <c r="O125" s="7">
        <v>231.8</v>
      </c>
      <c r="P125" s="8"/>
      <c r="Q125" s="8"/>
      <c r="R125" s="8"/>
      <c r="S125" s="8"/>
      <c r="Y125" s="7"/>
      <c r="Z125" s="7"/>
      <c r="AA125" s="8"/>
      <c r="AB125" s="8"/>
      <c r="AC125" s="8"/>
      <c r="AD125" s="8"/>
    </row>
    <row r="126" spans="2:30" ht="12" customHeight="1" x14ac:dyDescent="0.25">
      <c r="B126" s="6" t="s">
        <v>106</v>
      </c>
      <c r="C126" s="7"/>
      <c r="D126" s="7"/>
      <c r="E126" s="7"/>
      <c r="F126" s="7"/>
      <c r="G126" s="7">
        <v>-385.65800000000002</v>
      </c>
      <c r="H126" s="7">
        <f>-635.289</f>
        <v>-635.28899999999999</v>
      </c>
      <c r="I126" s="7">
        <v>-457.221</v>
      </c>
      <c r="J126" s="7">
        <v>-646.33000000000004</v>
      </c>
      <c r="K126" s="7">
        <v>-739.49</v>
      </c>
      <c r="L126" s="7">
        <v>-1200.1500000000001</v>
      </c>
      <c r="M126" s="7">
        <v>-1899.8</v>
      </c>
      <c r="N126" s="7">
        <v>-2290.2000000000003</v>
      </c>
      <c r="O126" s="7">
        <v>-2746.6</v>
      </c>
      <c r="P126" s="8"/>
      <c r="Q126" s="8"/>
      <c r="R126" s="8"/>
      <c r="S126" s="8"/>
      <c r="Y126" s="7"/>
      <c r="Z126" s="7"/>
      <c r="AA126" s="8"/>
      <c r="AB126" s="8"/>
      <c r="AC126" s="8"/>
      <c r="AD126" s="8"/>
    </row>
    <row r="127" spans="2:30" ht="12" customHeight="1" x14ac:dyDescent="0.25">
      <c r="B127" s="6" t="s">
        <v>107</v>
      </c>
      <c r="C127" s="7"/>
      <c r="D127" s="7"/>
      <c r="E127" s="7"/>
      <c r="F127" s="7"/>
      <c r="G127" s="7">
        <v>-71.89</v>
      </c>
      <c r="H127" s="7">
        <f>-107.278</f>
        <v>-107.27800000000001</v>
      </c>
      <c r="I127" s="7">
        <f>-128.072</f>
        <v>-128.072</v>
      </c>
      <c r="J127" s="7">
        <v>-10.199999999999999</v>
      </c>
      <c r="K127" s="7" t="s">
        <v>108</v>
      </c>
      <c r="L127" s="7">
        <v>-3.93</v>
      </c>
      <c r="M127" s="7">
        <v>-243.1</v>
      </c>
      <c r="N127" s="7">
        <v>-834.9</v>
      </c>
      <c r="O127" s="7">
        <v>-167</v>
      </c>
      <c r="P127" s="8"/>
      <c r="Q127" s="8"/>
      <c r="R127" s="8"/>
      <c r="S127" s="8"/>
      <c r="Y127" s="7"/>
      <c r="Z127" s="7"/>
      <c r="AA127" s="8"/>
      <c r="AB127" s="8"/>
      <c r="AC127" s="8"/>
      <c r="AD127" s="8"/>
    </row>
    <row r="128" spans="2:30" ht="12" customHeight="1" x14ac:dyDescent="0.25">
      <c r="B128" s="6" t="s">
        <v>109</v>
      </c>
      <c r="C128" s="7"/>
      <c r="D128" s="7"/>
      <c r="E128" s="7"/>
      <c r="F128" s="7"/>
      <c r="G128" s="122"/>
      <c r="H128" s="122">
        <v>0</v>
      </c>
      <c r="I128" s="122">
        <v>0</v>
      </c>
      <c r="J128" s="7" t="s">
        <v>108</v>
      </c>
      <c r="K128" s="7" t="s">
        <v>108</v>
      </c>
      <c r="L128" s="7">
        <v>-43.45</v>
      </c>
      <c r="M128" s="7">
        <v>-66.3</v>
      </c>
      <c r="N128" s="7">
        <v>41.1</v>
      </c>
      <c r="O128" s="7">
        <v>65.8</v>
      </c>
      <c r="P128" s="8"/>
      <c r="Q128" s="8"/>
      <c r="R128" s="8"/>
      <c r="S128" s="8"/>
      <c r="Y128" s="7"/>
      <c r="Z128" s="7"/>
      <c r="AA128" s="8"/>
      <c r="AB128" s="8"/>
      <c r="AC128" s="8"/>
      <c r="AD128" s="8"/>
    </row>
    <row r="129" spans="2:30" ht="12" customHeight="1" x14ac:dyDescent="0.25">
      <c r="B129" s="6" t="s">
        <v>110</v>
      </c>
      <c r="C129" s="7"/>
      <c r="D129" s="7"/>
      <c r="E129" s="7"/>
      <c r="F129" s="7"/>
      <c r="G129" s="7">
        <v>0.55700000000000005</v>
      </c>
      <c r="H129" s="7">
        <v>1.242</v>
      </c>
      <c r="I129" s="7">
        <v>-1.905</v>
      </c>
      <c r="J129" s="7">
        <v>-32.020000000000003</v>
      </c>
      <c r="K129" s="7">
        <v>-12.05</v>
      </c>
      <c r="L129" s="7">
        <v>23.73</v>
      </c>
      <c r="M129" s="7">
        <v>29.6</v>
      </c>
      <c r="N129" s="7">
        <v>-3.5</v>
      </c>
      <c r="O129" s="7">
        <v>3.9</v>
      </c>
      <c r="P129" s="8"/>
      <c r="Q129" s="8"/>
      <c r="R129" s="8"/>
      <c r="S129" s="8"/>
      <c r="Y129" s="7"/>
      <c r="Z129" s="7"/>
      <c r="AA129" s="8"/>
      <c r="AB129" s="8"/>
      <c r="AC129" s="8"/>
      <c r="AD129" s="8"/>
    </row>
    <row r="130" spans="2:30" ht="12" customHeight="1" x14ac:dyDescent="0.25">
      <c r="B130" s="6" t="s">
        <v>111</v>
      </c>
      <c r="C130" s="7"/>
      <c r="D130" s="7"/>
      <c r="E130" s="7"/>
      <c r="F130" s="7"/>
      <c r="G130" s="122">
        <v>1.46</v>
      </c>
      <c r="H130" s="122">
        <v>0</v>
      </c>
      <c r="I130" s="122">
        <v>0</v>
      </c>
      <c r="J130" s="122">
        <v>0</v>
      </c>
      <c r="K130" s="122">
        <v>0</v>
      </c>
      <c r="L130" s="122">
        <v>0</v>
      </c>
      <c r="M130" s="122">
        <v>0</v>
      </c>
      <c r="N130" s="122"/>
      <c r="O130" s="7">
        <v>797.3</v>
      </c>
      <c r="P130" s="8"/>
      <c r="Q130" s="8"/>
      <c r="R130" s="8"/>
      <c r="S130" s="8"/>
      <c r="Y130" s="122"/>
      <c r="Z130" s="122"/>
      <c r="AA130" s="8"/>
      <c r="AB130" s="8"/>
      <c r="AC130" s="8"/>
      <c r="AD130" s="8"/>
    </row>
    <row r="131" spans="2:30" s="18" customFormat="1" ht="12" customHeight="1" x14ac:dyDescent="0.25">
      <c r="B131" s="9" t="s">
        <v>112</v>
      </c>
      <c r="C131" s="10">
        <f t="shared" ref="C131:S131" si="92">SUM(C121:C130)</f>
        <v>0</v>
      </c>
      <c r="D131" s="10">
        <f t="shared" si="92"/>
        <v>0</v>
      </c>
      <c r="E131" s="10">
        <f t="shared" si="92"/>
        <v>0</v>
      </c>
      <c r="F131" s="10">
        <f t="shared" si="92"/>
        <v>0</v>
      </c>
      <c r="G131" s="10">
        <f>SUM(G121:G130)</f>
        <v>6965.418999999999</v>
      </c>
      <c r="H131" s="10">
        <f t="shared" si="92"/>
        <v>6467.0549999999994</v>
      </c>
      <c r="I131" s="10">
        <f t="shared" si="92"/>
        <v>6733.6250000000009</v>
      </c>
      <c r="J131" s="10">
        <f t="shared" si="92"/>
        <v>8730.8199999999979</v>
      </c>
      <c r="K131" s="10">
        <f t="shared" si="92"/>
        <v>11907.630000000001</v>
      </c>
      <c r="L131" s="10">
        <f t="shared" si="92"/>
        <v>17827.059999999998</v>
      </c>
      <c r="M131" s="10">
        <f t="shared" si="92"/>
        <v>21648.6</v>
      </c>
      <c r="N131" s="10">
        <f t="shared" si="92"/>
        <v>23699.799999999996</v>
      </c>
      <c r="O131" s="10">
        <f t="shared" ref="O131" si="93">SUM(O121:O130)</f>
        <v>26884.700000000004</v>
      </c>
      <c r="P131" s="5">
        <f t="shared" ca="1" si="92"/>
        <v>33289.122807056643</v>
      </c>
      <c r="Q131" s="5">
        <f t="shared" ca="1" si="92"/>
        <v>51771.962945951789</v>
      </c>
      <c r="R131" s="5">
        <f t="shared" ca="1" si="92"/>
        <v>60845.876911643245</v>
      </c>
      <c r="S131" s="5">
        <f t="shared" ca="1" si="92"/>
        <v>77101.099381405278</v>
      </c>
      <c r="Y131" s="10"/>
      <c r="Z131" s="10"/>
      <c r="AA131" s="5"/>
      <c r="AB131" s="5"/>
      <c r="AC131" s="5"/>
      <c r="AD131" s="5"/>
    </row>
    <row r="132" spans="2:30" ht="12" customHeight="1" x14ac:dyDescent="0.25">
      <c r="B132" s="6" t="s">
        <v>113</v>
      </c>
      <c r="C132" s="7"/>
      <c r="D132" s="7"/>
      <c r="E132" s="7"/>
      <c r="F132" s="7"/>
      <c r="G132" s="7">
        <v>-2712.9059999999999</v>
      </c>
      <c r="H132" s="7">
        <f>-17386.47/(10)</f>
        <v>-1738.6470000000002</v>
      </c>
      <c r="I132" s="7">
        <f>-43963.43/(10)</f>
        <v>-4396.3429999999998</v>
      </c>
      <c r="J132" s="7">
        <v>906.53</v>
      </c>
      <c r="K132" s="7">
        <v>-1195.3699999999999</v>
      </c>
      <c r="L132" s="7">
        <v>1989.71</v>
      </c>
      <c r="M132" s="7">
        <v>-2483.6999999999998</v>
      </c>
      <c r="N132" s="7">
        <v>-728.6</v>
      </c>
      <c r="O132" s="7">
        <v>-2125.5</v>
      </c>
      <c r="P132" s="8">
        <f t="shared" ref="P132:S132" ca="1" si="94">O104-P104</f>
        <v>-3812.6679790940798</v>
      </c>
      <c r="Q132" s="8">
        <f t="shared" ca="1" si="94"/>
        <v>-7052.1399107034722</v>
      </c>
      <c r="R132" s="8">
        <f t="shared" ca="1" si="94"/>
        <v>-5854.1225059997123</v>
      </c>
      <c r="S132" s="8">
        <f t="shared" ca="1" si="94"/>
        <v>-6809.0215148777825</v>
      </c>
      <c r="Y132" s="7"/>
      <c r="Z132" s="7"/>
      <c r="AA132" s="8"/>
      <c r="AB132" s="8"/>
      <c r="AC132" s="8"/>
      <c r="AD132" s="8"/>
    </row>
    <row r="133" spans="2:30" ht="12" customHeight="1" x14ac:dyDescent="0.25">
      <c r="B133" s="6" t="s">
        <v>114</v>
      </c>
      <c r="C133" s="7"/>
      <c r="D133" s="7"/>
      <c r="E133" s="7"/>
      <c r="F133" s="7"/>
      <c r="G133" s="7"/>
      <c r="H133" s="7">
        <f>0/(10)</f>
        <v>0</v>
      </c>
      <c r="I133" s="7">
        <f>0/(10)</f>
        <v>0</v>
      </c>
      <c r="J133" s="7">
        <v>-720.17</v>
      </c>
      <c r="K133" s="7">
        <v>-5153.2700000000004</v>
      </c>
      <c r="L133" s="7">
        <v>2599.56</v>
      </c>
      <c r="M133" s="7">
        <v>2115</v>
      </c>
      <c r="N133" s="7">
        <v>2001.8000000000002</v>
      </c>
      <c r="O133" s="7">
        <v>-843</v>
      </c>
      <c r="P133" s="8"/>
      <c r="Q133" s="8"/>
      <c r="R133" s="8"/>
      <c r="S133" s="8"/>
      <c r="Y133" s="7"/>
      <c r="Z133" s="7"/>
      <c r="AA133" s="8"/>
      <c r="AB133" s="8"/>
      <c r="AC133" s="8"/>
      <c r="AD133" s="8"/>
    </row>
    <row r="134" spans="2:30" ht="12" customHeight="1" x14ac:dyDescent="0.25">
      <c r="B134" s="6" t="s">
        <v>115</v>
      </c>
      <c r="C134" s="7"/>
      <c r="D134" s="7"/>
      <c r="E134" s="7"/>
      <c r="F134" s="7"/>
      <c r="G134" s="7">
        <v>-156.11000000000001</v>
      </c>
      <c r="H134" s="7">
        <f>-2591.34/(10)</f>
        <v>-259.13400000000001</v>
      </c>
      <c r="I134" s="7">
        <f>-4930.06/(10)</f>
        <v>-493.00600000000003</v>
      </c>
      <c r="J134" s="7">
        <v>260.05</v>
      </c>
      <c r="K134" s="7">
        <v>137.43</v>
      </c>
      <c r="L134" s="7">
        <v>-167.54</v>
      </c>
      <c r="M134" s="7">
        <v>-95.8</v>
      </c>
      <c r="N134" s="7">
        <v>-193.2</v>
      </c>
      <c r="O134" s="7">
        <v>-135.30000000000001</v>
      </c>
      <c r="P134" s="8"/>
      <c r="Q134" s="8"/>
      <c r="R134" s="8"/>
      <c r="S134" s="8"/>
      <c r="Y134" s="7"/>
      <c r="Z134" s="7"/>
      <c r="AA134" s="8"/>
      <c r="AB134" s="8"/>
      <c r="AC134" s="8"/>
      <c r="AD134" s="8"/>
    </row>
    <row r="135" spans="2:30" ht="12" customHeight="1" x14ac:dyDescent="0.25">
      <c r="B135" s="6" t="s">
        <v>116</v>
      </c>
      <c r="C135" s="7"/>
      <c r="D135" s="7"/>
      <c r="E135" s="7"/>
      <c r="F135" s="7"/>
      <c r="G135" s="7">
        <v>2528.9690000000001</v>
      </c>
      <c r="H135" s="7">
        <f>-8292.51/(10)</f>
        <v>-829.25099999999998</v>
      </c>
      <c r="I135" s="7">
        <f>11199.98/(10)</f>
        <v>1119.998</v>
      </c>
      <c r="J135" s="7">
        <v>568.49</v>
      </c>
      <c r="K135" s="7">
        <v>596.52</v>
      </c>
      <c r="L135" s="7">
        <v>267.91000000000003</v>
      </c>
      <c r="M135" s="7">
        <v>-288.09999999999997</v>
      </c>
      <c r="N135" s="7">
        <v>-357.40000000000003</v>
      </c>
      <c r="O135" s="7">
        <v>231.3</v>
      </c>
      <c r="P135" s="8">
        <f t="shared" ref="P135:S135" ca="1" si="95">P110-O110</f>
        <v>1349.5458666820496</v>
      </c>
      <c r="Q135" s="8">
        <f t="shared" ca="1" si="95"/>
        <v>2496.2011693488048</v>
      </c>
      <c r="R135" s="8">
        <f t="shared" ca="1" si="95"/>
        <v>3678.5541647361806</v>
      </c>
      <c r="S135" s="8">
        <f t="shared" ca="1" si="95"/>
        <v>3450.5681962846647</v>
      </c>
      <c r="Y135" s="7"/>
      <c r="Z135" s="7"/>
      <c r="AA135" s="8"/>
      <c r="AB135" s="8"/>
      <c r="AC135" s="8"/>
      <c r="AD135" s="8"/>
    </row>
    <row r="136" spans="2:30" ht="12" customHeight="1" x14ac:dyDescent="0.25">
      <c r="B136" s="6" t="s">
        <v>117</v>
      </c>
      <c r="C136" s="7"/>
      <c r="D136" s="7"/>
      <c r="E136" s="7"/>
      <c r="F136" s="7"/>
      <c r="G136" s="7"/>
      <c r="H136" s="7">
        <f>0/(10)</f>
        <v>0</v>
      </c>
      <c r="I136" s="7">
        <f>0/(10)</f>
        <v>0</v>
      </c>
      <c r="J136" s="7">
        <v>1286.55</v>
      </c>
      <c r="K136" s="7">
        <v>6473.78</v>
      </c>
      <c r="L136" s="7">
        <v>-3483.84</v>
      </c>
      <c r="M136" s="7">
        <v>284.20000000000005</v>
      </c>
      <c r="N136" s="7">
        <v>-101</v>
      </c>
      <c r="O136" s="7">
        <v>-947.6</v>
      </c>
      <c r="P136" s="8"/>
      <c r="Q136" s="8"/>
      <c r="R136" s="8"/>
      <c r="S136" s="8"/>
      <c r="Y136" s="7"/>
      <c r="Z136" s="7"/>
      <c r="AA136" s="8"/>
      <c r="AB136" s="8"/>
      <c r="AC136" s="8"/>
      <c r="AD136" s="8"/>
    </row>
    <row r="137" spans="2:30" ht="12" customHeight="1" x14ac:dyDescent="0.25">
      <c r="B137" s="6" t="s">
        <v>118</v>
      </c>
      <c r="C137" s="7"/>
      <c r="D137" s="7"/>
      <c r="E137" s="7"/>
      <c r="F137" s="7"/>
      <c r="G137" s="7">
        <v>392.67099999999999</v>
      </c>
      <c r="H137" s="7">
        <f>-619.7/(10)</f>
        <v>-61.970000000000006</v>
      </c>
      <c r="I137" s="7">
        <f>-138.69/(10)</f>
        <v>-13.869</v>
      </c>
      <c r="J137" s="7">
        <v>-469.51</v>
      </c>
      <c r="K137" s="7">
        <v>218.05</v>
      </c>
      <c r="L137" s="7">
        <v>745.98</v>
      </c>
      <c r="M137" s="7">
        <v>-672.6</v>
      </c>
      <c r="N137" s="7">
        <v>-580.6</v>
      </c>
      <c r="O137" s="7">
        <v>616.1</v>
      </c>
      <c r="P137" s="8"/>
      <c r="Q137" s="8"/>
      <c r="R137" s="8"/>
      <c r="S137" s="8"/>
      <c r="Y137" s="7"/>
      <c r="Z137" s="7"/>
      <c r="AA137" s="8"/>
      <c r="AB137" s="8"/>
      <c r="AC137" s="8"/>
      <c r="AD137" s="8"/>
    </row>
    <row r="138" spans="2:30" s="18" customFormat="1" ht="12" customHeight="1" x14ac:dyDescent="0.25">
      <c r="B138" s="9" t="s">
        <v>119</v>
      </c>
      <c r="C138" s="10">
        <f t="shared" ref="C138:S138" si="96">SUM(C131:C137)</f>
        <v>0</v>
      </c>
      <c r="D138" s="10">
        <f t="shared" si="96"/>
        <v>0</v>
      </c>
      <c r="E138" s="10">
        <f t="shared" si="96"/>
        <v>0</v>
      </c>
      <c r="F138" s="10">
        <f t="shared" si="96"/>
        <v>0</v>
      </c>
      <c r="G138" s="10">
        <f>SUM(G131:G137)</f>
        <v>7018.0429999999997</v>
      </c>
      <c r="H138" s="10">
        <f t="shared" si="96"/>
        <v>3578.0529999999994</v>
      </c>
      <c r="I138" s="10">
        <f t="shared" si="96"/>
        <v>2950.4050000000011</v>
      </c>
      <c r="J138" s="10">
        <f t="shared" si="96"/>
        <v>10562.759999999997</v>
      </c>
      <c r="K138" s="10">
        <f t="shared" si="96"/>
        <v>12984.77</v>
      </c>
      <c r="L138" s="10">
        <f t="shared" si="96"/>
        <v>19778.839999999997</v>
      </c>
      <c r="M138" s="10">
        <f t="shared" si="96"/>
        <v>20507.600000000002</v>
      </c>
      <c r="N138" s="10">
        <f t="shared" si="96"/>
        <v>23740.799999999996</v>
      </c>
      <c r="O138" s="10">
        <f t="shared" ref="O138" si="97">SUM(O131:O137)</f>
        <v>23680.700000000004</v>
      </c>
      <c r="P138" s="5">
        <f t="shared" ca="1" si="96"/>
        <v>30826.000694644612</v>
      </c>
      <c r="Q138" s="5">
        <f t="shared" ca="1" si="96"/>
        <v>47216.024204597117</v>
      </c>
      <c r="R138" s="5">
        <f t="shared" ca="1" si="96"/>
        <v>58670.308570379711</v>
      </c>
      <c r="S138" s="5">
        <f t="shared" ca="1" si="96"/>
        <v>73742.646062812157</v>
      </c>
      <c r="Y138" s="10"/>
      <c r="Z138" s="10"/>
      <c r="AA138" s="5"/>
      <c r="AB138" s="5"/>
      <c r="AC138" s="5"/>
      <c r="AD138" s="5"/>
    </row>
    <row r="139" spans="2:30" ht="12" customHeight="1" x14ac:dyDescent="0.25">
      <c r="B139" s="6" t="s">
        <v>120</v>
      </c>
      <c r="C139" s="7"/>
      <c r="D139" s="7"/>
      <c r="E139" s="7"/>
      <c r="F139" s="7"/>
      <c r="G139" s="7"/>
      <c r="H139" s="7"/>
      <c r="I139" s="7"/>
      <c r="J139" s="7"/>
      <c r="K139" s="7"/>
      <c r="L139" s="7"/>
      <c r="M139" s="7"/>
      <c r="N139" s="7"/>
      <c r="O139" s="7"/>
      <c r="P139" s="8"/>
      <c r="Q139" s="8"/>
      <c r="R139" s="8"/>
      <c r="S139" s="8"/>
      <c r="Y139" s="7"/>
      <c r="Z139" s="7"/>
      <c r="AA139" s="8"/>
      <c r="AB139" s="8"/>
      <c r="AC139" s="8"/>
      <c r="AD139" s="8"/>
    </row>
    <row r="140" spans="2:30" ht="12" customHeight="1" x14ac:dyDescent="0.25">
      <c r="B140" s="6" t="s">
        <v>121</v>
      </c>
      <c r="C140" s="7"/>
      <c r="D140" s="7"/>
      <c r="E140" s="7"/>
      <c r="F140" s="7"/>
      <c r="G140" s="7">
        <v>-1019.035</v>
      </c>
      <c r="H140" s="7">
        <f>-2978.4/(10)</f>
        <v>-297.84000000000003</v>
      </c>
      <c r="I140" s="7">
        <f>-3633.62/(10)</f>
        <v>-363.36199999999997</v>
      </c>
      <c r="J140" s="7">
        <v>-660.88</v>
      </c>
      <c r="K140" s="7">
        <v>-1222.47</v>
      </c>
      <c r="L140" s="7">
        <v>-1806.57</v>
      </c>
      <c r="M140" s="7">
        <v>-2475.5</v>
      </c>
      <c r="N140" s="7">
        <v>-2736.3999999999996</v>
      </c>
      <c r="O140" s="7">
        <v>-3465.7</v>
      </c>
      <c r="P140" s="8">
        <f t="shared" ref="P140:S140" ca="1" si="98">-P41</f>
        <v>-4631.4846337571189</v>
      </c>
      <c r="Q140" s="8">
        <f t="shared" ca="1" si="98"/>
        <v>-6765.6162576389279</v>
      </c>
      <c r="R140" s="8">
        <f t="shared" ca="1" si="98"/>
        <v>-6301.2309312727584</v>
      </c>
      <c r="S140" s="8">
        <f t="shared" ca="1" si="98"/>
        <v>-8154.3611858159011</v>
      </c>
      <c r="Y140" s="7"/>
      <c r="Z140" s="7"/>
      <c r="AA140" s="8"/>
      <c r="AB140" s="8"/>
      <c r="AC140" s="8"/>
      <c r="AD140" s="8"/>
    </row>
    <row r="141" spans="2:30" ht="12" customHeight="1" x14ac:dyDescent="0.25">
      <c r="B141" s="9" t="s">
        <v>122</v>
      </c>
      <c r="C141" s="10">
        <f t="shared" ref="C141:S141" si="99">C138+C139+C140</f>
        <v>0</v>
      </c>
      <c r="D141" s="10">
        <f t="shared" si="99"/>
        <v>0</v>
      </c>
      <c r="E141" s="10">
        <f t="shared" si="99"/>
        <v>0</v>
      </c>
      <c r="F141" s="10">
        <f t="shared" si="99"/>
        <v>0</v>
      </c>
      <c r="G141" s="10">
        <f>G138+G139+G140</f>
        <v>5999.0079999999998</v>
      </c>
      <c r="H141" s="10">
        <f t="shared" si="99"/>
        <v>3280.2129999999993</v>
      </c>
      <c r="I141" s="10">
        <f t="shared" si="99"/>
        <v>2587.043000000001</v>
      </c>
      <c r="J141" s="10">
        <f t="shared" si="99"/>
        <v>9901.8799999999974</v>
      </c>
      <c r="K141" s="10">
        <f t="shared" si="99"/>
        <v>11762.300000000001</v>
      </c>
      <c r="L141" s="10">
        <f t="shared" si="99"/>
        <v>17972.269999999997</v>
      </c>
      <c r="M141" s="10">
        <f t="shared" si="99"/>
        <v>18032.100000000002</v>
      </c>
      <c r="N141" s="10">
        <f t="shared" si="99"/>
        <v>21004.399999999994</v>
      </c>
      <c r="O141" s="10">
        <f t="shared" ref="O141" si="100">O138+O139+O140</f>
        <v>20215.000000000004</v>
      </c>
      <c r="P141" s="5">
        <f t="shared" ca="1" si="99"/>
        <v>26194.516060887494</v>
      </c>
      <c r="Q141" s="5">
        <f t="shared" ca="1" si="99"/>
        <v>40450.407946958192</v>
      </c>
      <c r="R141" s="5">
        <f t="shared" ca="1" si="99"/>
        <v>52369.077639106952</v>
      </c>
      <c r="S141" s="5">
        <f t="shared" ca="1" si="99"/>
        <v>65588.284876996258</v>
      </c>
      <c r="Y141" s="10"/>
      <c r="Z141" s="10"/>
      <c r="AA141" s="5"/>
      <c r="AB141" s="5"/>
      <c r="AC141" s="5"/>
      <c r="AD141" s="5"/>
    </row>
    <row r="142" spans="2:30" ht="12" customHeight="1" x14ac:dyDescent="0.25">
      <c r="B142" s="6"/>
      <c r="C142" s="7"/>
      <c r="D142" s="7"/>
      <c r="E142" s="7"/>
      <c r="F142" s="7"/>
      <c r="G142" s="7"/>
      <c r="H142" s="7"/>
      <c r="I142" s="7"/>
      <c r="J142" s="7"/>
      <c r="K142" s="7"/>
      <c r="L142" s="7"/>
      <c r="M142" s="7"/>
      <c r="N142" s="7"/>
      <c r="O142" s="7"/>
      <c r="P142" s="8"/>
      <c r="Q142" s="8"/>
      <c r="R142" s="8"/>
      <c r="S142" s="8"/>
      <c r="Y142" s="7"/>
      <c r="Z142" s="7"/>
      <c r="AA142" s="8"/>
      <c r="AB142" s="8"/>
      <c r="AC142" s="8"/>
      <c r="AD142" s="8"/>
    </row>
    <row r="143" spans="2:30" ht="12" customHeight="1" x14ac:dyDescent="0.25">
      <c r="B143" s="6" t="s">
        <v>123</v>
      </c>
      <c r="C143" s="7"/>
      <c r="D143" s="7"/>
      <c r="E143" s="7"/>
      <c r="F143" s="7"/>
      <c r="G143" s="7">
        <v>1.8720000000000001</v>
      </c>
      <c r="H143" s="7">
        <v>4.7520000000000007</v>
      </c>
      <c r="I143" s="7">
        <v>4.0960000000000001</v>
      </c>
      <c r="J143" s="7">
        <v>1300.73</v>
      </c>
      <c r="K143" s="7">
        <v>22.74</v>
      </c>
      <c r="L143" s="7">
        <v>103.1</v>
      </c>
      <c r="M143" s="7">
        <v>2.2999999999999998</v>
      </c>
      <c r="N143" s="7">
        <v>9.5</v>
      </c>
      <c r="O143" s="7">
        <v>32.5</v>
      </c>
      <c r="P143" s="8"/>
      <c r="Q143" s="8"/>
      <c r="R143" s="8"/>
      <c r="S143" s="8"/>
      <c r="Y143" s="7"/>
      <c r="Z143" s="7"/>
      <c r="AA143" s="8"/>
      <c r="AB143" s="8"/>
      <c r="AC143" s="8"/>
      <c r="AD143" s="8"/>
    </row>
    <row r="144" spans="2:30" ht="12" customHeight="1" x14ac:dyDescent="0.25">
      <c r="B144" s="6" t="s">
        <v>124</v>
      </c>
      <c r="C144" s="7"/>
      <c r="D144" s="7"/>
      <c r="E144" s="7"/>
      <c r="F144" s="7"/>
      <c r="G144" s="7">
        <v>8606.3559999999998</v>
      </c>
      <c r="H144" s="7">
        <v>11790.736000000001</v>
      </c>
      <c r="I144" s="7">
        <v>12453.107</v>
      </c>
      <c r="J144" s="7">
        <v>1016.02</v>
      </c>
      <c r="K144" s="7">
        <v>0</v>
      </c>
      <c r="L144" s="7">
        <v>944.97</v>
      </c>
      <c r="M144" s="7">
        <v>4993</v>
      </c>
      <c r="N144" s="7">
        <v>24421</v>
      </c>
      <c r="O144" s="7">
        <v>3288.4</v>
      </c>
      <c r="P144" s="8"/>
      <c r="Q144" s="8"/>
      <c r="R144" s="8"/>
      <c r="S144" s="8"/>
      <c r="Y144" s="7"/>
      <c r="Z144" s="7"/>
      <c r="AA144" s="8"/>
      <c r="AB144" s="8"/>
      <c r="AC144" s="8"/>
      <c r="AD144" s="8"/>
    </row>
    <row r="145" spans="2:30" ht="12" customHeight="1" x14ac:dyDescent="0.25">
      <c r="B145" s="6" t="s">
        <v>125</v>
      </c>
      <c r="C145" s="7"/>
      <c r="D145" s="7"/>
      <c r="E145" s="7"/>
      <c r="F145" s="7"/>
      <c r="G145" s="7"/>
      <c r="H145" s="7">
        <v>1997.0909999999999</v>
      </c>
      <c r="I145" s="7">
        <v>459.61</v>
      </c>
      <c r="J145" s="7">
        <v>135</v>
      </c>
      <c r="K145" s="7">
        <v>125</v>
      </c>
      <c r="L145" s="7">
        <v>2830</v>
      </c>
      <c r="M145" s="7">
        <v>32.1</v>
      </c>
      <c r="N145" s="7">
        <v>32.799999999999997</v>
      </c>
      <c r="O145" s="7">
        <f>-17.5+20.2</f>
        <v>2.6999999999999993</v>
      </c>
      <c r="P145" s="8"/>
      <c r="Q145" s="8"/>
      <c r="R145" s="8"/>
      <c r="S145" s="8"/>
      <c r="Y145" s="7"/>
      <c r="Z145" s="7"/>
      <c r="AA145" s="8"/>
      <c r="AB145" s="8"/>
      <c r="AC145" s="8"/>
      <c r="AD145" s="8"/>
    </row>
    <row r="146" spans="2:30" ht="12" customHeight="1" x14ac:dyDescent="0.25">
      <c r="B146" s="6" t="s">
        <v>126</v>
      </c>
      <c r="C146" s="7"/>
      <c r="D146" s="7"/>
      <c r="E146" s="7"/>
      <c r="F146" s="7"/>
      <c r="G146" s="7">
        <v>80.897000000000006</v>
      </c>
      <c r="H146" s="7">
        <v>474.59899999999999</v>
      </c>
      <c r="I146" s="7">
        <v>592.06299999999999</v>
      </c>
      <c r="J146" s="7">
        <v>314.13</v>
      </c>
      <c r="K146" s="7">
        <v>531.74</v>
      </c>
      <c r="L146" s="7">
        <v>1714.52</v>
      </c>
      <c r="M146" s="7">
        <v>1389.5</v>
      </c>
      <c r="N146" s="7">
        <v>2528.8000000000002</v>
      </c>
      <c r="O146" s="7">
        <v>2836.1</v>
      </c>
      <c r="P146" s="8"/>
      <c r="Q146" s="8"/>
      <c r="R146" s="8"/>
      <c r="S146" s="8"/>
      <c r="Y146" s="7"/>
      <c r="Z146" s="7"/>
      <c r="AA146" s="8"/>
      <c r="AB146" s="8"/>
      <c r="AC146" s="8"/>
      <c r="AD146" s="8"/>
    </row>
    <row r="147" spans="2:30" ht="12" customHeight="1" x14ac:dyDescent="0.25">
      <c r="B147" s="6" t="s">
        <v>127</v>
      </c>
      <c r="C147" s="7"/>
      <c r="D147" s="7"/>
      <c r="E147" s="7"/>
      <c r="F147" s="7"/>
      <c r="G147" s="7">
        <v>-9378.02</v>
      </c>
      <c r="H147" s="7">
        <v>-5518.759</v>
      </c>
      <c r="I147" s="7">
        <v>-6737.866</v>
      </c>
      <c r="J147" s="7">
        <v>-17226.12</v>
      </c>
      <c r="K147" s="7">
        <v>-5090.7700000000004</v>
      </c>
      <c r="L147" s="7">
        <v>-2793.56</v>
      </c>
      <c r="M147" s="7">
        <v>-2487.1</v>
      </c>
      <c r="N147" s="7">
        <v>-20755.7</v>
      </c>
      <c r="O147" s="7">
        <v>-24916.400000000001</v>
      </c>
      <c r="P147" s="8">
        <f>-(P87-O87+P90-O90)</f>
        <v>-72388.516586806669</v>
      </c>
      <c r="Q147" s="8">
        <f>-(Q87-P87+Q90-P90)</f>
        <v>-89062.124855980161</v>
      </c>
      <c r="R147" s="8">
        <f>-(R87-Q87+R90-Q90)</f>
        <v>-81166.63442817732</v>
      </c>
      <c r="S147" s="8">
        <f t="shared" ref="S147" si="101">-(S87-R87+S90-R90)</f>
        <v>-67266.454129035817</v>
      </c>
      <c r="Y147" s="7"/>
      <c r="Z147" s="7"/>
      <c r="AA147" s="8"/>
      <c r="AB147" s="8"/>
      <c r="AC147" s="8"/>
      <c r="AD147" s="8"/>
    </row>
    <row r="148" spans="2:30" ht="12" customHeight="1" x14ac:dyDescent="0.25">
      <c r="B148" s="6" t="s">
        <v>128</v>
      </c>
      <c r="C148" s="7"/>
      <c r="D148" s="7"/>
      <c r="E148" s="7"/>
      <c r="F148" s="7"/>
      <c r="G148" s="7">
        <v>-7871.7979999999998</v>
      </c>
      <c r="H148" s="7">
        <v>-13697.320000000002</v>
      </c>
      <c r="I148" s="7">
        <v>-10701.814</v>
      </c>
      <c r="J148" s="7">
        <v>-331.42</v>
      </c>
      <c r="K148" s="7">
        <v>0</v>
      </c>
      <c r="L148" s="7">
        <v>-3942.5</v>
      </c>
      <c r="M148" s="7">
        <v>-3805</v>
      </c>
      <c r="N148" s="7">
        <v>-23026.7</v>
      </c>
      <c r="O148" s="7">
        <v>-1174</v>
      </c>
      <c r="P148" s="8"/>
      <c r="Q148" s="8"/>
      <c r="R148" s="8"/>
      <c r="S148" s="8"/>
      <c r="Y148" s="7"/>
      <c r="Z148" s="7"/>
      <c r="AA148" s="8"/>
      <c r="AB148" s="8"/>
      <c r="AC148" s="8"/>
      <c r="AD148" s="8"/>
    </row>
    <row r="149" spans="2:30" ht="12" customHeight="1" x14ac:dyDescent="0.25">
      <c r="B149" s="6" t="s">
        <v>129</v>
      </c>
      <c r="C149" s="7"/>
      <c r="D149" s="7"/>
      <c r="E149" s="7"/>
      <c r="F149" s="7"/>
      <c r="G149" s="122"/>
      <c r="H149" s="122">
        <v>0</v>
      </c>
      <c r="I149" s="122">
        <v>0</v>
      </c>
      <c r="J149" s="7">
        <v>-0.08</v>
      </c>
      <c r="K149" s="7">
        <v>0</v>
      </c>
      <c r="L149" s="7">
        <v>-29.11</v>
      </c>
      <c r="M149" s="7">
        <v>-38.299999999999997</v>
      </c>
      <c r="N149" s="7"/>
      <c r="O149" s="7"/>
      <c r="P149" s="8">
        <f t="shared" ref="P149:S149" si="102">-(P96-O96)</f>
        <v>0</v>
      </c>
      <c r="Q149" s="8">
        <f t="shared" si="102"/>
        <v>0</v>
      </c>
      <c r="R149" s="8">
        <f t="shared" si="102"/>
        <v>0</v>
      </c>
      <c r="S149" s="8">
        <f t="shared" si="102"/>
        <v>0</v>
      </c>
      <c r="Y149" s="7"/>
      <c r="Z149" s="7"/>
      <c r="AA149" s="8"/>
      <c r="AB149" s="8"/>
      <c r="AC149" s="8"/>
      <c r="AD149" s="8"/>
    </row>
    <row r="150" spans="2:30" ht="12" customHeight="1" x14ac:dyDescent="0.25">
      <c r="B150" s="6" t="s">
        <v>130</v>
      </c>
      <c r="C150" s="7"/>
      <c r="D150" s="7"/>
      <c r="E150" s="7"/>
      <c r="F150" s="7"/>
      <c r="G150" s="7">
        <v>-2422.951</v>
      </c>
      <c r="H150" s="122">
        <v>0</v>
      </c>
      <c r="I150" s="122">
        <v>0</v>
      </c>
      <c r="J150" s="7">
        <v>-1576.2</v>
      </c>
      <c r="K150" s="7">
        <v>-3601.93</v>
      </c>
      <c r="L150" s="7">
        <v>-5035.34</v>
      </c>
      <c r="M150" s="7">
        <v>-23538.799999999999</v>
      </c>
      <c r="N150" s="7">
        <v>9465.9</v>
      </c>
      <c r="O150" s="7">
        <v>-690.8</v>
      </c>
      <c r="P150" s="8"/>
      <c r="Q150" s="8"/>
      <c r="R150" s="8"/>
      <c r="S150" s="8"/>
      <c r="Y150" s="7"/>
      <c r="Z150" s="7"/>
      <c r="AA150" s="8"/>
      <c r="AB150" s="8"/>
      <c r="AC150" s="8"/>
      <c r="AD150" s="8"/>
    </row>
    <row r="151" spans="2:30" ht="12" customHeight="1" x14ac:dyDescent="0.25">
      <c r="B151" s="6" t="s">
        <v>496</v>
      </c>
      <c r="C151" s="7"/>
      <c r="D151" s="7"/>
      <c r="E151" s="7"/>
      <c r="F151" s="7"/>
      <c r="G151" s="7"/>
      <c r="H151" s="122">
        <v>0</v>
      </c>
      <c r="I151" s="122">
        <v>0</v>
      </c>
      <c r="J151" s="122">
        <v>0</v>
      </c>
      <c r="K151" s="122">
        <v>0</v>
      </c>
      <c r="L151" s="122">
        <v>0</v>
      </c>
      <c r="M151" s="257">
        <v>-18224.5</v>
      </c>
      <c r="N151" s="7">
        <v>-9644.4000000000015</v>
      </c>
      <c r="O151" s="7"/>
      <c r="P151" s="8"/>
      <c r="Q151" s="8"/>
      <c r="R151" s="8"/>
      <c r="S151" s="8"/>
      <c r="Y151" s="7"/>
      <c r="Z151" s="7"/>
      <c r="AA151" s="8"/>
      <c r="AB151" s="8"/>
      <c r="AC151" s="8"/>
      <c r="AD151" s="8"/>
    </row>
    <row r="152" spans="2:30" ht="12" customHeight="1" x14ac:dyDescent="0.25">
      <c r="B152" s="6" t="s">
        <v>111</v>
      </c>
      <c r="C152" s="7"/>
      <c r="D152" s="7"/>
      <c r="E152" s="7"/>
      <c r="F152" s="7"/>
      <c r="G152" s="122"/>
      <c r="H152" s="122">
        <v>0</v>
      </c>
      <c r="I152" s="122">
        <v>0</v>
      </c>
      <c r="J152" s="122">
        <v>0</v>
      </c>
      <c r="K152" s="122">
        <v>0</v>
      </c>
      <c r="L152" s="122">
        <v>0</v>
      </c>
      <c r="M152" s="122">
        <v>-370</v>
      </c>
      <c r="N152" s="122"/>
      <c r="O152" s="122"/>
      <c r="P152" s="8"/>
      <c r="Q152" s="8"/>
      <c r="R152" s="8"/>
      <c r="S152" s="8"/>
      <c r="Y152" s="122"/>
      <c r="Z152" s="122"/>
      <c r="AA152" s="8"/>
      <c r="AB152" s="8"/>
      <c r="AC152" s="8"/>
      <c r="AD152" s="8"/>
    </row>
    <row r="153" spans="2:30" ht="12" customHeight="1" x14ac:dyDescent="0.25">
      <c r="B153" s="6"/>
      <c r="C153" s="7"/>
      <c r="D153" s="7"/>
      <c r="E153" s="7"/>
      <c r="F153" s="7"/>
      <c r="G153" s="7"/>
      <c r="H153" s="7"/>
      <c r="I153" s="7"/>
      <c r="J153" s="7"/>
      <c r="K153" s="7"/>
      <c r="L153" s="7"/>
      <c r="M153" s="7"/>
      <c r="N153" s="7"/>
      <c r="O153" s="7"/>
      <c r="P153" s="8"/>
      <c r="Q153" s="8"/>
      <c r="R153" s="8"/>
      <c r="S153" s="8"/>
      <c r="Y153" s="7"/>
      <c r="Z153" s="7"/>
      <c r="AA153" s="8"/>
      <c r="AB153" s="8"/>
      <c r="AC153" s="8"/>
      <c r="AD153" s="8"/>
    </row>
    <row r="154" spans="2:30" ht="12" customHeight="1" x14ac:dyDescent="0.25">
      <c r="B154" s="9" t="s">
        <v>131</v>
      </c>
      <c r="C154" s="10">
        <f t="shared" ref="C154:S154" si="103">SUM(C143:C152)</f>
        <v>0</v>
      </c>
      <c r="D154" s="10">
        <f t="shared" si="103"/>
        <v>0</v>
      </c>
      <c r="E154" s="10">
        <f t="shared" si="103"/>
        <v>0</v>
      </c>
      <c r="F154" s="10">
        <f t="shared" si="103"/>
        <v>0</v>
      </c>
      <c r="G154" s="10">
        <f>SUM(G143:G152)</f>
        <v>-10983.644</v>
      </c>
      <c r="H154" s="10">
        <f t="shared" si="103"/>
        <v>-4948.9009999999998</v>
      </c>
      <c r="I154" s="10">
        <f t="shared" si="103"/>
        <v>-3930.8040000000001</v>
      </c>
      <c r="J154" s="10">
        <f t="shared" si="103"/>
        <v>-16367.939999999999</v>
      </c>
      <c r="K154" s="10">
        <f t="shared" si="103"/>
        <v>-8013.2200000000012</v>
      </c>
      <c r="L154" s="10">
        <f t="shared" si="103"/>
        <v>-6207.92</v>
      </c>
      <c r="M154" s="10">
        <f t="shared" si="103"/>
        <v>-42046.8</v>
      </c>
      <c r="N154" s="10">
        <f>SUM(N143:N152)</f>
        <v>-16968.800000000003</v>
      </c>
      <c r="O154" s="10">
        <f>SUM(O143:O152)</f>
        <v>-20621.5</v>
      </c>
      <c r="P154" s="5">
        <f t="shared" si="103"/>
        <v>-72388.516586806669</v>
      </c>
      <c r="Q154" s="5">
        <f t="shared" si="103"/>
        <v>-89062.124855980161</v>
      </c>
      <c r="R154" s="5">
        <f t="shared" si="103"/>
        <v>-81166.63442817732</v>
      </c>
      <c r="S154" s="5">
        <f t="shared" si="103"/>
        <v>-67266.454129035817</v>
      </c>
      <c r="Y154" s="10"/>
      <c r="Z154" s="10"/>
      <c r="AA154" s="5"/>
      <c r="AB154" s="5"/>
      <c r="AC154" s="5"/>
      <c r="AD154" s="5"/>
    </row>
    <row r="155" spans="2:30" ht="12" customHeight="1" x14ac:dyDescent="0.25">
      <c r="B155" s="6"/>
      <c r="C155" s="7"/>
      <c r="D155" s="7"/>
      <c r="E155" s="7"/>
      <c r="F155" s="7"/>
      <c r="G155" s="7"/>
      <c r="H155" s="7"/>
      <c r="I155" s="7"/>
      <c r="J155" s="7"/>
      <c r="K155" s="7"/>
      <c r="L155" s="7"/>
      <c r="M155" s="7"/>
      <c r="N155" s="7"/>
      <c r="O155" s="7"/>
      <c r="P155" s="8"/>
      <c r="Q155" s="8"/>
      <c r="R155" s="8"/>
      <c r="S155" s="8"/>
      <c r="Y155" s="7"/>
      <c r="Z155" s="7"/>
      <c r="AA155" s="8"/>
      <c r="AB155" s="8"/>
      <c r="AC155" s="8"/>
      <c r="AD155" s="8"/>
    </row>
    <row r="156" spans="2:30" ht="12" customHeight="1" x14ac:dyDescent="0.25">
      <c r="B156" s="6" t="s">
        <v>132</v>
      </c>
      <c r="C156" s="7"/>
      <c r="D156" s="7"/>
      <c r="E156" s="7"/>
      <c r="F156" s="7"/>
      <c r="G156" s="122"/>
      <c r="H156" s="122">
        <v>0</v>
      </c>
      <c r="I156" s="122">
        <v>0</v>
      </c>
      <c r="J156" s="122">
        <v>0</v>
      </c>
      <c r="K156" s="122">
        <v>0</v>
      </c>
      <c r="L156" s="7">
        <v>-2618.2199999999998</v>
      </c>
      <c r="M156" s="7">
        <v>0</v>
      </c>
      <c r="N156" s="7"/>
      <c r="O156" s="7"/>
      <c r="P156" s="8"/>
      <c r="Q156" s="8"/>
      <c r="R156" s="8"/>
      <c r="S156" s="8"/>
      <c r="Y156" s="7"/>
      <c r="Z156" s="7"/>
      <c r="AA156" s="8"/>
      <c r="AB156" s="8"/>
      <c r="AC156" s="8"/>
      <c r="AD156" s="8"/>
    </row>
    <row r="157" spans="2:30" ht="12" customHeight="1" x14ac:dyDescent="0.25">
      <c r="B157" s="6" t="s">
        <v>133</v>
      </c>
      <c r="C157" s="7"/>
      <c r="D157" s="7"/>
      <c r="E157" s="7"/>
      <c r="F157" s="7"/>
      <c r="G157" s="123">
        <f>38.624+4885.885+221.801</f>
        <v>5146.3100000000004</v>
      </c>
      <c r="H157" s="123">
        <v>0</v>
      </c>
      <c r="I157" s="123">
        <v>0</v>
      </c>
      <c r="J157" s="7">
        <v>0</v>
      </c>
      <c r="K157" s="7">
        <v>0</v>
      </c>
      <c r="L157" s="7">
        <v>0</v>
      </c>
      <c r="M157" s="7">
        <f>28000</f>
        <v>28000</v>
      </c>
      <c r="N157" s="7"/>
      <c r="O157" s="7"/>
      <c r="P157" s="8">
        <f>Valuation!C70</f>
        <v>66780.5</v>
      </c>
      <c r="Q157" s="8"/>
      <c r="R157" s="8"/>
      <c r="S157" s="8"/>
      <c r="Y157" s="7"/>
      <c r="Z157" s="7"/>
      <c r="AA157" s="8"/>
      <c r="AB157" s="8"/>
      <c r="AC157" s="8"/>
      <c r="AD157" s="8"/>
    </row>
    <row r="158" spans="2:30" ht="12" customHeight="1" x14ac:dyDescent="0.25">
      <c r="B158" s="6" t="s">
        <v>134</v>
      </c>
      <c r="C158" s="7"/>
      <c r="D158" s="7"/>
      <c r="E158" s="7"/>
      <c r="F158" s="7"/>
      <c r="G158" s="123"/>
      <c r="H158" s="123">
        <v>0</v>
      </c>
      <c r="I158" s="123">
        <v>0</v>
      </c>
      <c r="J158" s="7">
        <v>0.18</v>
      </c>
      <c r="K158" s="7" t="s">
        <v>108</v>
      </c>
      <c r="L158" s="7">
        <v>0</v>
      </c>
      <c r="M158" s="7"/>
      <c r="N158" s="7"/>
      <c r="O158" s="7"/>
      <c r="P158" s="8"/>
      <c r="Q158" s="8"/>
      <c r="R158" s="8"/>
      <c r="S158" s="8"/>
      <c r="Y158" s="7"/>
      <c r="Z158" s="7"/>
      <c r="AA158" s="8"/>
      <c r="AB158" s="8"/>
      <c r="AC158" s="8"/>
      <c r="AD158" s="8"/>
    </row>
    <row r="159" spans="2:30" ht="12" customHeight="1" x14ac:dyDescent="0.25">
      <c r="B159" s="6" t="s">
        <v>135</v>
      </c>
      <c r="C159" s="7"/>
      <c r="D159" s="7"/>
      <c r="E159" s="7"/>
      <c r="F159" s="7"/>
      <c r="G159" s="123">
        <v>14763.261</v>
      </c>
      <c r="H159" s="123">
        <v>7629.8919999999998</v>
      </c>
      <c r="I159" s="123">
        <v>14440.710999999999</v>
      </c>
      <c r="J159" s="7">
        <v>13335</v>
      </c>
      <c r="K159" s="7">
        <v>33608.19</v>
      </c>
      <c r="L159" s="7">
        <v>0</v>
      </c>
      <c r="M159" s="7">
        <v>10002</v>
      </c>
      <c r="N159" s="7">
        <v>1162.8</v>
      </c>
      <c r="O159" s="7">
        <v>17418.8</v>
      </c>
      <c r="P159" s="8">
        <f t="shared" ref="P159:S159" si="104">P75</f>
        <v>50187.391230084802</v>
      </c>
      <c r="Q159" s="8">
        <f t="shared" si="104"/>
        <v>37601.287399186112</v>
      </c>
      <c r="R159" s="8">
        <f t="shared" si="104"/>
        <v>47401.344099724141</v>
      </c>
      <c r="S159" s="8">
        <f t="shared" si="104"/>
        <v>25570.667890325076</v>
      </c>
      <c r="Y159" s="7"/>
      <c r="Z159" s="7"/>
      <c r="AA159" s="8"/>
      <c r="AB159" s="8"/>
      <c r="AC159" s="8"/>
      <c r="AD159" s="8"/>
    </row>
    <row r="160" spans="2:30" ht="12" customHeight="1" x14ac:dyDescent="0.25">
      <c r="B160" s="6" t="s">
        <v>136</v>
      </c>
      <c r="C160" s="7"/>
      <c r="D160" s="7"/>
      <c r="E160" s="7"/>
      <c r="F160" s="7"/>
      <c r="G160" s="123"/>
      <c r="H160" s="123">
        <v>0</v>
      </c>
      <c r="I160" s="123">
        <v>1015.391</v>
      </c>
      <c r="J160" s="7">
        <v>100</v>
      </c>
      <c r="K160" s="7">
        <v>1500</v>
      </c>
      <c r="L160" s="7">
        <v>678.92</v>
      </c>
      <c r="M160" s="7">
        <v>25.2</v>
      </c>
      <c r="N160" s="7">
        <v>10500.9</v>
      </c>
      <c r="O160" s="7">
        <v>11082.5</v>
      </c>
      <c r="P160" s="8"/>
      <c r="Q160" s="8"/>
      <c r="R160" s="8"/>
      <c r="S160" s="8"/>
      <c r="Y160" s="7"/>
      <c r="Z160" s="7"/>
      <c r="AA160" s="8"/>
      <c r="AB160" s="8"/>
      <c r="AC160" s="8"/>
      <c r="AD160" s="8"/>
    </row>
    <row r="161" spans="2:30" ht="12" customHeight="1" x14ac:dyDescent="0.25">
      <c r="B161" s="6" t="s">
        <v>137</v>
      </c>
      <c r="C161" s="7"/>
      <c r="D161" s="7"/>
      <c r="E161" s="7"/>
      <c r="F161" s="7"/>
      <c r="G161" s="123"/>
      <c r="H161" s="123">
        <v>0</v>
      </c>
      <c r="I161" s="123">
        <v>0</v>
      </c>
      <c r="J161" s="7">
        <v>-224.67</v>
      </c>
      <c r="K161" s="7">
        <v>-253.72</v>
      </c>
      <c r="L161" s="7">
        <v>-323.07</v>
      </c>
      <c r="M161" s="7">
        <v>-402.2</v>
      </c>
      <c r="N161" s="7">
        <v>-436.70000000000005</v>
      </c>
      <c r="O161" s="7">
        <v>-591.6</v>
      </c>
      <c r="P161" s="8"/>
      <c r="Q161" s="8"/>
      <c r="R161" s="8"/>
      <c r="S161" s="8"/>
      <c r="Y161" s="7"/>
      <c r="Z161" s="7"/>
      <c r="AA161" s="8"/>
      <c r="AB161" s="8"/>
      <c r="AC161" s="8"/>
      <c r="AD161" s="8"/>
    </row>
    <row r="162" spans="2:30" ht="12" customHeight="1" x14ac:dyDescent="0.25">
      <c r="B162" s="6" t="s">
        <v>138</v>
      </c>
      <c r="C162" s="7"/>
      <c r="D162" s="7"/>
      <c r="E162" s="7"/>
      <c r="F162" s="7"/>
      <c r="G162" s="123">
        <v>-9370.8510000000006</v>
      </c>
      <c r="H162" s="123">
        <v>-1750.9380000000001</v>
      </c>
      <c r="I162" s="123">
        <v>-10892.236999999999</v>
      </c>
      <c r="J162" s="7">
        <v>-4317.34</v>
      </c>
      <c r="K162" s="7">
        <v>-31091.56</v>
      </c>
      <c r="L162" s="7">
        <v>-3370.34</v>
      </c>
      <c r="M162" s="7">
        <v>-8875.6</v>
      </c>
      <c r="N162" s="7">
        <v>-1354.1999999999998</v>
      </c>
      <c r="O162" s="7">
        <v>-10414.799999999999</v>
      </c>
      <c r="P162" s="8">
        <f t="shared" ref="P162:S162" si="105">-P76</f>
        <v>-11028</v>
      </c>
      <c r="Q162" s="8">
        <f t="shared" si="105"/>
        <v>-7700.4987066666672</v>
      </c>
      <c r="R162" s="8">
        <f t="shared" si="105"/>
        <v>-43494.885373333331</v>
      </c>
      <c r="S162" s="8">
        <f t="shared" si="105"/>
        <v>-9081.235373333333</v>
      </c>
      <c r="Y162" s="7"/>
      <c r="Z162" s="7"/>
      <c r="AA162" s="8"/>
      <c r="AB162" s="8"/>
      <c r="AC162" s="8"/>
      <c r="AD162" s="8"/>
    </row>
    <row r="163" spans="2:30" ht="12" customHeight="1" x14ac:dyDescent="0.25">
      <c r="B163" s="6" t="s">
        <v>139</v>
      </c>
      <c r="C163" s="7"/>
      <c r="D163" s="7"/>
      <c r="E163" s="7"/>
      <c r="F163" s="7"/>
      <c r="G163" s="123">
        <v>-3881.145</v>
      </c>
      <c r="H163" s="123">
        <v>-3254.7669999999998</v>
      </c>
      <c r="I163" s="123">
        <v>0</v>
      </c>
      <c r="J163" s="7">
        <v>-235.18</v>
      </c>
      <c r="K163" s="7">
        <v>-108.92</v>
      </c>
      <c r="L163" s="7">
        <v>-2362.3200000000002</v>
      </c>
      <c r="M163" s="7">
        <v>-735.7</v>
      </c>
      <c r="N163" s="7">
        <v>-10587.1</v>
      </c>
      <c r="O163" s="7">
        <v>-10194.299999999999</v>
      </c>
      <c r="P163" s="8"/>
      <c r="Q163" s="8"/>
      <c r="R163" s="8"/>
      <c r="S163" s="8"/>
      <c r="Y163" s="7"/>
      <c r="Z163" s="7"/>
      <c r="AA163" s="8"/>
      <c r="AB163" s="8"/>
      <c r="AC163" s="8"/>
      <c r="AD163" s="8"/>
    </row>
    <row r="164" spans="2:30" ht="12" customHeight="1" x14ac:dyDescent="0.25">
      <c r="B164" s="6" t="s">
        <v>140</v>
      </c>
      <c r="C164" s="7"/>
      <c r="D164" s="7"/>
      <c r="E164" s="7"/>
      <c r="F164" s="7"/>
      <c r="G164" s="123">
        <v>-65.543000000000006</v>
      </c>
      <c r="H164" s="123">
        <v>-3.7109999999999999</v>
      </c>
      <c r="I164" s="123">
        <v>0</v>
      </c>
      <c r="J164" s="7">
        <v>0</v>
      </c>
      <c r="K164" s="7">
        <v>-7.8</v>
      </c>
      <c r="L164" s="7">
        <v>-143.68</v>
      </c>
      <c r="M164" s="7">
        <v>-47.7</v>
      </c>
      <c r="N164" s="7"/>
      <c r="O164" s="7"/>
      <c r="P164" s="8"/>
      <c r="Q164" s="8"/>
      <c r="R164" s="8"/>
      <c r="S164" s="8"/>
      <c r="Y164" s="7"/>
      <c r="Z164" s="7"/>
      <c r="AA164" s="8"/>
      <c r="AB164" s="8"/>
      <c r="AC164" s="8"/>
      <c r="AD164" s="8"/>
    </row>
    <row r="165" spans="2:30" ht="12" customHeight="1" x14ac:dyDescent="0.25">
      <c r="B165" s="6" t="s">
        <v>141</v>
      </c>
      <c r="C165" s="7"/>
      <c r="D165" s="7"/>
      <c r="E165" s="7"/>
      <c r="F165" s="7"/>
      <c r="G165" s="123">
        <v>-1194.652</v>
      </c>
      <c r="H165" s="123">
        <v>-1221.558</v>
      </c>
      <c r="I165" s="123">
        <v>-2156.069</v>
      </c>
      <c r="J165" s="7">
        <v>-2249.42</v>
      </c>
      <c r="K165" s="7">
        <v>-3620.66</v>
      </c>
      <c r="L165" s="7">
        <v>-2726.91</v>
      </c>
      <c r="M165" s="7">
        <v>-2478.9</v>
      </c>
      <c r="N165" s="7">
        <v>-3064.7</v>
      </c>
      <c r="O165" s="7">
        <v>-3269.7</v>
      </c>
      <c r="P165" s="8">
        <f t="shared" ref="P165:S165" si="106">-P32</f>
        <v>-4783.0374513424667</v>
      </c>
      <c r="Q165" s="8">
        <f t="shared" si="106"/>
        <v>-8558.4778248657531</v>
      </c>
      <c r="R165" s="8">
        <f t="shared" si="106"/>
        <v>-10931.457055279452</v>
      </c>
      <c r="S165" s="8">
        <f t="shared" si="106"/>
        <v>-15540.224814060279</v>
      </c>
      <c r="Y165" s="7"/>
      <c r="Z165" s="7"/>
      <c r="AA165" s="8"/>
      <c r="AB165" s="8"/>
      <c r="AC165" s="8"/>
      <c r="AD165" s="8"/>
    </row>
    <row r="166" spans="2:30" ht="12" customHeight="1" x14ac:dyDescent="0.25">
      <c r="B166" s="6" t="s">
        <v>58</v>
      </c>
      <c r="C166" s="7"/>
      <c r="D166" s="7"/>
      <c r="E166" s="7"/>
      <c r="F166" s="7"/>
      <c r="G166" s="123"/>
      <c r="H166" s="123">
        <v>0</v>
      </c>
      <c r="I166" s="123">
        <v>0</v>
      </c>
      <c r="J166" s="7">
        <v>0</v>
      </c>
      <c r="K166" s="7">
        <v>0</v>
      </c>
      <c r="L166" s="7">
        <v>0</v>
      </c>
      <c r="M166" s="7"/>
      <c r="N166" s="7">
        <v>-1155</v>
      </c>
      <c r="O166" s="7">
        <v>-1680</v>
      </c>
      <c r="P166" s="8">
        <f t="shared" ref="P166:S166" ca="1" si="107">-P60</f>
        <v>-1914.9971545308392</v>
      </c>
      <c r="Q166" s="8">
        <f t="shared" ca="1" si="107"/>
        <v>-2806.627587870064</v>
      </c>
      <c r="R166" s="8">
        <f t="shared" ca="1" si="107"/>
        <v>-2933.4510449417621</v>
      </c>
      <c r="S166" s="8">
        <f t="shared" ca="1" si="107"/>
        <v>-3353.8289208161523</v>
      </c>
      <c r="Y166" s="7"/>
      <c r="Z166" s="7"/>
      <c r="AA166" s="8"/>
      <c r="AB166" s="8"/>
      <c r="AC166" s="8"/>
      <c r="AD166" s="8"/>
    </row>
    <row r="167" spans="2:30" ht="12" customHeight="1" x14ac:dyDescent="0.25">
      <c r="B167" s="6" t="s">
        <v>111</v>
      </c>
      <c r="C167" s="7"/>
      <c r="D167" s="7"/>
      <c r="E167" s="7"/>
      <c r="F167" s="7"/>
      <c r="G167" s="7">
        <v>0</v>
      </c>
      <c r="H167" s="7">
        <v>0</v>
      </c>
      <c r="I167" s="7">
        <v>0</v>
      </c>
      <c r="J167" s="7">
        <v>0</v>
      </c>
      <c r="K167" s="7">
        <v>0</v>
      </c>
      <c r="L167" s="7">
        <v>0</v>
      </c>
      <c r="M167" s="7">
        <v>-448.3</v>
      </c>
      <c r="N167" s="7">
        <v>-279.40000000000003</v>
      </c>
      <c r="O167" s="7">
        <v>-79.400000000000006</v>
      </c>
      <c r="P167" s="8"/>
      <c r="Q167" s="8"/>
      <c r="R167" s="8"/>
      <c r="S167" s="8"/>
      <c r="Y167" s="7"/>
      <c r="Z167" s="7"/>
      <c r="AA167" s="8"/>
      <c r="AB167" s="8"/>
      <c r="AC167" s="8"/>
      <c r="AD167" s="8"/>
    </row>
    <row r="168" spans="2:30" ht="12" customHeight="1" x14ac:dyDescent="0.25">
      <c r="B168" s="6"/>
      <c r="C168" s="7"/>
      <c r="D168" s="7"/>
      <c r="E168" s="7"/>
      <c r="F168" s="7"/>
      <c r="G168" s="7"/>
      <c r="H168" s="7"/>
      <c r="I168" s="7"/>
      <c r="J168" s="7"/>
      <c r="K168" s="7"/>
      <c r="L168" s="7"/>
      <c r="M168" s="7"/>
      <c r="N168" s="7"/>
      <c r="O168" s="7"/>
      <c r="P168" s="8"/>
      <c r="Q168" s="8"/>
      <c r="R168" s="8"/>
      <c r="S168" s="8"/>
      <c r="Y168" s="7"/>
      <c r="Z168" s="7"/>
      <c r="AA168" s="8"/>
      <c r="AB168" s="8"/>
      <c r="AC168" s="8"/>
      <c r="AD168" s="8"/>
    </row>
    <row r="169" spans="2:30" ht="12" customHeight="1" x14ac:dyDescent="0.25">
      <c r="B169" s="9" t="s">
        <v>142</v>
      </c>
      <c r="C169" s="10">
        <f>SUM(C156:C165)</f>
        <v>0</v>
      </c>
      <c r="D169" s="10">
        <f>SUM(D156:D165)</f>
        <v>0</v>
      </c>
      <c r="E169" s="10">
        <f>SUM(E156:E165)</f>
        <v>0</v>
      </c>
      <c r="F169" s="10">
        <f>SUM(F156:F165)</f>
        <v>0</v>
      </c>
      <c r="G169" s="10">
        <f>SUM(G156:G167)</f>
        <v>5397.3799999999992</v>
      </c>
      <c r="H169" s="10">
        <f t="shared" ref="H169:M169" si="108">SUM(H156:H167)</f>
        <v>1398.9180000000001</v>
      </c>
      <c r="I169" s="10">
        <f t="shared" si="108"/>
        <v>2407.7959999999998</v>
      </c>
      <c r="J169" s="10">
        <f t="shared" si="108"/>
        <v>6408.57</v>
      </c>
      <c r="K169" s="10">
        <f t="shared" si="108"/>
        <v>25.529999999999745</v>
      </c>
      <c r="L169" s="10">
        <f t="shared" si="108"/>
        <v>-10865.62</v>
      </c>
      <c r="M169" s="10">
        <f t="shared" si="108"/>
        <v>25038.799999999999</v>
      </c>
      <c r="N169" s="10">
        <f t="shared" ref="N169:S169" si="109">SUM(N156:N167)</f>
        <v>-5213.4000000000005</v>
      </c>
      <c r="O169" s="10">
        <f t="shared" ref="O169" si="110">SUM(O156:O167)</f>
        <v>2271.5000000000023</v>
      </c>
      <c r="P169" s="5">
        <f t="shared" ca="1" si="109"/>
        <v>99241.856624211505</v>
      </c>
      <c r="Q169" s="5">
        <f t="shared" ca="1" si="109"/>
        <v>18535.683279783629</v>
      </c>
      <c r="R169" s="5">
        <f t="shared" ca="1" si="109"/>
        <v>-9958.4493738304045</v>
      </c>
      <c r="S169" s="5">
        <f t="shared" ca="1" si="109"/>
        <v>-2404.6212178846881</v>
      </c>
      <c r="Y169" s="10"/>
      <c r="Z169" s="10"/>
      <c r="AA169" s="5"/>
      <c r="AB169" s="5"/>
      <c r="AC169" s="5"/>
      <c r="AD169" s="5"/>
    </row>
    <row r="170" spans="2:30" ht="12" customHeight="1" x14ac:dyDescent="0.25">
      <c r="B170" s="6"/>
      <c r="C170" s="7"/>
      <c r="D170" s="7"/>
      <c r="E170" s="7"/>
      <c r="F170" s="7"/>
      <c r="G170" s="7"/>
      <c r="H170" s="7"/>
      <c r="I170" s="7"/>
      <c r="J170" s="7"/>
      <c r="K170" s="7"/>
      <c r="L170" s="7"/>
      <c r="M170" s="7"/>
      <c r="N170" s="7"/>
      <c r="O170" s="7"/>
      <c r="P170" s="8"/>
      <c r="Q170" s="8"/>
      <c r="R170" s="8"/>
      <c r="S170" s="8"/>
      <c r="Y170" s="7"/>
      <c r="Z170" s="7"/>
      <c r="AA170" s="8"/>
      <c r="AB170" s="8"/>
      <c r="AC170" s="8"/>
      <c r="AD170" s="8"/>
    </row>
    <row r="171" spans="2:30" ht="12" customHeight="1" x14ac:dyDescent="0.25">
      <c r="B171" s="9" t="s">
        <v>143</v>
      </c>
      <c r="C171" s="10"/>
      <c r="D171" s="10"/>
      <c r="E171" s="10"/>
      <c r="F171" s="10"/>
      <c r="G171" s="10"/>
      <c r="H171" s="10"/>
      <c r="I171" s="10"/>
      <c r="J171" s="10"/>
      <c r="K171" s="7"/>
      <c r="L171" s="7"/>
      <c r="M171" s="7"/>
      <c r="N171" s="7"/>
      <c r="O171" s="7"/>
      <c r="P171" s="8"/>
      <c r="Q171" s="8"/>
      <c r="R171" s="8"/>
      <c r="S171" s="8"/>
      <c r="Y171" s="7"/>
      <c r="Z171" s="7"/>
      <c r="AA171" s="8"/>
      <c r="AB171" s="8"/>
      <c r="AC171" s="8"/>
      <c r="AD171" s="8"/>
    </row>
    <row r="172" spans="2:30" ht="12" customHeight="1" x14ac:dyDescent="0.25">
      <c r="B172" s="6"/>
      <c r="C172" s="7"/>
      <c r="D172" s="7"/>
      <c r="E172" s="7"/>
      <c r="F172" s="7"/>
      <c r="G172" s="7"/>
      <c r="H172" s="7"/>
      <c r="I172" s="7"/>
      <c r="J172" s="7"/>
      <c r="K172" s="7"/>
      <c r="L172" s="7"/>
      <c r="M172" s="7"/>
      <c r="N172" s="7"/>
      <c r="O172" s="7"/>
      <c r="P172" s="8"/>
      <c r="Q172" s="8"/>
      <c r="R172" s="8"/>
      <c r="S172" s="8"/>
      <c r="Y172" s="7"/>
      <c r="Z172" s="7"/>
      <c r="AA172" s="8"/>
      <c r="AB172" s="8"/>
      <c r="AC172" s="8"/>
      <c r="AD172" s="8"/>
    </row>
    <row r="173" spans="2:30" ht="12" customHeight="1" x14ac:dyDescent="0.25">
      <c r="B173" s="9" t="s">
        <v>144</v>
      </c>
      <c r="C173" s="10">
        <f t="shared" ref="C173:L173" si="111">C141+C154+C169+C171</f>
        <v>0</v>
      </c>
      <c r="D173" s="10">
        <f t="shared" si="111"/>
        <v>0</v>
      </c>
      <c r="E173" s="10">
        <f t="shared" si="111"/>
        <v>0</v>
      </c>
      <c r="F173" s="10">
        <f t="shared" si="111"/>
        <v>0</v>
      </c>
      <c r="G173" s="10">
        <f t="shared" si="111"/>
        <v>412.74399999999878</v>
      </c>
      <c r="H173" s="10">
        <f t="shared" si="111"/>
        <v>-269.77000000000044</v>
      </c>
      <c r="I173" s="10">
        <f t="shared" si="111"/>
        <v>1064.0350000000008</v>
      </c>
      <c r="J173" s="10">
        <f t="shared" si="111"/>
        <v>-57.490000000001601</v>
      </c>
      <c r="K173" s="10">
        <f t="shared" si="111"/>
        <v>3774.6099999999997</v>
      </c>
      <c r="L173" s="10">
        <f t="shared" si="111"/>
        <v>898.72999999999593</v>
      </c>
      <c r="M173" s="10">
        <f>M141+M154+M169+M171</f>
        <v>1024.0999999999985</v>
      </c>
      <c r="N173" s="10">
        <f>N141+N154+N169+N171</f>
        <v>-1177.8000000000093</v>
      </c>
      <c r="O173" s="10">
        <f>O141+O154+O169+O171</f>
        <v>1865.0000000000059</v>
      </c>
      <c r="P173" s="5">
        <f t="shared" ref="P173:S173" ca="1" si="112">P141+P154+P169+P171</f>
        <v>53047.85609829233</v>
      </c>
      <c r="Q173" s="5">
        <f t="shared" ca="1" si="112"/>
        <v>-30076.03362923834</v>
      </c>
      <c r="R173" s="5">
        <f t="shared" ca="1" si="112"/>
        <v>-38756.006162900769</v>
      </c>
      <c r="S173" s="5">
        <f t="shared" ca="1" si="112"/>
        <v>-4082.7904699242472</v>
      </c>
      <c r="Y173" s="10"/>
      <c r="Z173" s="10"/>
      <c r="AA173" s="5"/>
      <c r="AB173" s="5"/>
      <c r="AC173" s="5"/>
      <c r="AD173" s="5"/>
    </row>
    <row r="174" spans="2:30" ht="12" customHeight="1" x14ac:dyDescent="0.25">
      <c r="B174" s="9" t="s">
        <v>145</v>
      </c>
      <c r="C174" s="10"/>
      <c r="D174" s="10"/>
      <c r="E174" s="10"/>
      <c r="F174" s="10"/>
      <c r="G174" s="10">
        <v>359.99099999999999</v>
      </c>
      <c r="H174" s="10">
        <v>772.73500000000001</v>
      </c>
      <c r="I174" s="10">
        <f>502.965+4.013</f>
        <v>506.97799999999995</v>
      </c>
      <c r="J174" s="10">
        <v>1571.0129999999999</v>
      </c>
      <c r="K174" s="10">
        <v>1513.5229999999999</v>
      </c>
      <c r="L174" s="10">
        <v>5288.15</v>
      </c>
      <c r="M174" s="10">
        <f>6186.9+22.9</f>
        <v>6209.7999999999993</v>
      </c>
      <c r="N174" s="10">
        <v>7233.9</v>
      </c>
      <c r="O174" s="10">
        <v>6112.5</v>
      </c>
      <c r="P174" s="5">
        <f>O105</f>
        <v>23177</v>
      </c>
      <c r="Q174" s="5">
        <f ca="1">P175</f>
        <v>76224.856098292337</v>
      </c>
      <c r="R174" s="5">
        <f ca="1">Q175</f>
        <v>46148.822469053994</v>
      </c>
      <c r="S174" s="5">
        <f ca="1">R175</f>
        <v>7392.816306153225</v>
      </c>
      <c r="Y174" s="10"/>
      <c r="Z174" s="10"/>
      <c r="AA174" s="5"/>
      <c r="AB174" s="5"/>
      <c r="AC174" s="5"/>
      <c r="AD174" s="5"/>
    </row>
    <row r="175" spans="2:30" ht="12" customHeight="1" x14ac:dyDescent="0.25">
      <c r="B175" s="9" t="s">
        <v>146</v>
      </c>
      <c r="C175" s="10">
        <f t="shared" ref="C175:N175" si="113">C173+C174</f>
        <v>0</v>
      </c>
      <c r="D175" s="10">
        <f t="shared" si="113"/>
        <v>0</v>
      </c>
      <c r="E175" s="10">
        <f t="shared" si="113"/>
        <v>0</v>
      </c>
      <c r="F175" s="10">
        <f t="shared" si="113"/>
        <v>0</v>
      </c>
      <c r="G175" s="10">
        <f t="shared" si="113"/>
        <v>772.73499999999876</v>
      </c>
      <c r="H175" s="10">
        <f t="shared" si="113"/>
        <v>502.96499999999958</v>
      </c>
      <c r="I175" s="10">
        <f t="shared" si="113"/>
        <v>1571.0130000000008</v>
      </c>
      <c r="J175" s="10">
        <f t="shared" si="113"/>
        <v>1513.5229999999983</v>
      </c>
      <c r="K175" s="10">
        <f t="shared" si="113"/>
        <v>5288.1329999999998</v>
      </c>
      <c r="L175" s="10">
        <f t="shared" si="113"/>
        <v>6186.8799999999956</v>
      </c>
      <c r="M175" s="10">
        <f t="shared" si="113"/>
        <v>7233.8999999999978</v>
      </c>
      <c r="N175" s="10">
        <f t="shared" si="113"/>
        <v>6056.0999999999904</v>
      </c>
      <c r="O175" s="10">
        <f t="shared" ref="O175" si="114">O173+O174</f>
        <v>7977.5000000000055</v>
      </c>
      <c r="P175" s="5">
        <f t="shared" ref="P175:S175" ca="1" si="115">P173+P174</f>
        <v>76224.856098292337</v>
      </c>
      <c r="Q175" s="5">
        <f t="shared" ca="1" si="115"/>
        <v>46148.822469053994</v>
      </c>
      <c r="R175" s="5">
        <f t="shared" ca="1" si="115"/>
        <v>7392.816306153225</v>
      </c>
      <c r="S175" s="5">
        <f t="shared" ca="1" si="115"/>
        <v>3310.0258362289778</v>
      </c>
      <c r="Y175" s="10"/>
      <c r="Z175" s="10"/>
      <c r="AA175" s="5"/>
      <c r="AB175" s="5"/>
      <c r="AC175" s="5"/>
      <c r="AD175" s="5"/>
    </row>
    <row r="177" spans="2:43" ht="12" customHeight="1" x14ac:dyDescent="0.25">
      <c r="B177" s="3" t="s">
        <v>147</v>
      </c>
      <c r="C177" s="4" t="str">
        <f>C2</f>
        <v>FY14</v>
      </c>
      <c r="D177" s="4" t="str">
        <f>D2</f>
        <v>FY15</v>
      </c>
      <c r="E177" s="4" t="str">
        <f>E2</f>
        <v>FY16</v>
      </c>
      <c r="F177" s="4" t="str">
        <f>F2</f>
        <v>FY17</v>
      </c>
      <c r="G177" s="4"/>
      <c r="H177" s="4"/>
      <c r="I177" s="4"/>
      <c r="J177" s="4"/>
      <c r="K177" s="4"/>
      <c r="L177" s="4"/>
      <c r="M177" s="4"/>
      <c r="N177" s="4"/>
      <c r="O177" s="4"/>
      <c r="P177" s="227"/>
      <c r="Q177" s="227"/>
      <c r="R177" s="227"/>
      <c r="S177" s="227"/>
      <c r="U177" s="1034" t="s">
        <v>1775</v>
      </c>
      <c r="AF177" s="536" t="s">
        <v>24</v>
      </c>
      <c r="AG177" s="536" t="s">
        <v>25</v>
      </c>
      <c r="AH177" s="536" t="s">
        <v>26</v>
      </c>
      <c r="AI177" s="536" t="s">
        <v>27</v>
      </c>
      <c r="AJ177" s="536" t="s">
        <v>273</v>
      </c>
      <c r="AK177" s="536" t="s">
        <v>347</v>
      </c>
      <c r="AL177" s="536" t="s">
        <v>348</v>
      </c>
      <c r="AM177" s="536" t="s">
        <v>178</v>
      </c>
      <c r="AN177" s="536" t="s">
        <v>179</v>
      </c>
      <c r="AO177" s="536" t="s">
        <v>231</v>
      </c>
      <c r="AP177" s="536" t="s">
        <v>232</v>
      </c>
      <c r="AQ177" s="1014" t="s">
        <v>1940</v>
      </c>
    </row>
    <row r="178" spans="2:43" ht="12" customHeight="1" x14ac:dyDescent="0.25">
      <c r="B178" s="9" t="s">
        <v>148</v>
      </c>
      <c r="C178" s="7"/>
      <c r="D178" s="7"/>
      <c r="E178" s="7"/>
      <c r="F178" s="7"/>
      <c r="G178" s="7"/>
      <c r="H178" s="7"/>
      <c r="I178" s="7"/>
      <c r="J178" s="7"/>
      <c r="K178" s="7"/>
      <c r="L178" s="7"/>
      <c r="M178" s="7"/>
      <c r="N178" s="7"/>
      <c r="O178" s="7"/>
      <c r="P178" s="8"/>
      <c r="Q178" s="8"/>
      <c r="R178" s="8"/>
      <c r="S178" s="8"/>
      <c r="U178" s="1031"/>
      <c r="Y178" s="1052" t="s">
        <v>1822</v>
      </c>
      <c r="Z178" s="1052" t="s">
        <v>347</v>
      </c>
      <c r="AA178" s="1053" t="s">
        <v>177</v>
      </c>
      <c r="AB178" s="1053" t="s">
        <v>178</v>
      </c>
      <c r="AC178" s="1053" t="s">
        <v>179</v>
      </c>
      <c r="AF178" s="533"/>
      <c r="AG178" s="533"/>
      <c r="AH178" s="533"/>
      <c r="AI178" s="533"/>
      <c r="AJ178" s="533"/>
      <c r="AK178" s="533"/>
      <c r="AL178" s="533"/>
      <c r="AM178" s="533"/>
      <c r="AN178" s="533"/>
      <c r="AO178" s="533"/>
      <c r="AP178" s="533"/>
      <c r="AQ178" s="1015"/>
    </row>
    <row r="179" spans="2:43" ht="12" customHeight="1" x14ac:dyDescent="0.2">
      <c r="B179" s="35" t="s">
        <v>149</v>
      </c>
      <c r="C179" s="7"/>
      <c r="D179" s="7"/>
      <c r="E179" s="7"/>
      <c r="F179" s="7"/>
      <c r="G179" s="7">
        <f>G131</f>
        <v>6965.418999999999</v>
      </c>
      <c r="H179" s="7">
        <f t="shared" ref="H179:N179" si="116">H131</f>
        <v>6467.0549999999994</v>
      </c>
      <c r="I179" s="7">
        <f t="shared" si="116"/>
        <v>6733.6250000000009</v>
      </c>
      <c r="J179" s="7">
        <f t="shared" si="116"/>
        <v>8730.8199999999979</v>
      </c>
      <c r="K179" s="7">
        <f t="shared" si="116"/>
        <v>11907.630000000001</v>
      </c>
      <c r="L179" s="7">
        <f t="shared" si="116"/>
        <v>17827.059999999998</v>
      </c>
      <c r="M179" s="7">
        <f t="shared" si="116"/>
        <v>21648.6</v>
      </c>
      <c r="N179" s="7">
        <f t="shared" si="116"/>
        <v>23699.799999999996</v>
      </c>
      <c r="O179" s="7">
        <f t="shared" ref="O179" si="117">O131</f>
        <v>26884.700000000004</v>
      </c>
      <c r="P179" s="8">
        <f t="shared" ref="P179:S179" ca="1" si="118">P131</f>
        <v>33289.122807056643</v>
      </c>
      <c r="Q179" s="8">
        <f t="shared" ca="1" si="118"/>
        <v>51771.962945951789</v>
      </c>
      <c r="R179" s="8">
        <f t="shared" ca="1" si="118"/>
        <v>60845.876911643245</v>
      </c>
      <c r="S179" s="8">
        <f t="shared" ca="1" si="118"/>
        <v>77101.099381405278</v>
      </c>
      <c r="T179" s="33"/>
      <c r="U179" s="1032">
        <f ca="1">SUM(P179:S179)</f>
        <v>223008.06204605696</v>
      </c>
      <c r="V179" s="895">
        <v>228857.87259766058</v>
      </c>
      <c r="W179" s="14">
        <f ca="1">SUM(P179:S179)/SUM(P190:S190)</f>
        <v>0.71965076077423284</v>
      </c>
      <c r="Y179" s="1050" t="s">
        <v>797</v>
      </c>
      <c r="Z179" s="1050">
        <f>N16</f>
        <v>44761.4</v>
      </c>
      <c r="AA179" s="1051">
        <f t="shared" ref="AA179:AC179" si="119">O16</f>
        <v>53614.400000000001</v>
      </c>
      <c r="AB179" s="1051">
        <f t="shared" ca="1" si="119"/>
        <v>72935.367693299719</v>
      </c>
      <c r="AC179" s="1051">
        <f t="shared" ca="1" si="119"/>
        <v>108672.59111019592</v>
      </c>
      <c r="AF179" s="1160">
        <f t="shared" ref="AF179:AP180" si="120">I179</f>
        <v>6733.6250000000009</v>
      </c>
      <c r="AG179" s="1160">
        <f t="shared" si="120"/>
        <v>8730.8199999999979</v>
      </c>
      <c r="AH179" s="1160">
        <f t="shared" si="120"/>
        <v>11907.630000000001</v>
      </c>
      <c r="AI179" s="1160">
        <f t="shared" si="120"/>
        <v>17827.059999999998</v>
      </c>
      <c r="AJ179" s="1160">
        <f t="shared" si="120"/>
        <v>21648.6</v>
      </c>
      <c r="AK179" s="1160">
        <f t="shared" si="120"/>
        <v>23699.799999999996</v>
      </c>
      <c r="AL179" s="1160">
        <f t="shared" si="120"/>
        <v>26884.700000000004</v>
      </c>
      <c r="AM179" s="1160">
        <f t="shared" ca="1" si="120"/>
        <v>33289.122807056643</v>
      </c>
      <c r="AN179" s="1160">
        <f t="shared" ca="1" si="120"/>
        <v>51771.962945951789</v>
      </c>
      <c r="AO179" s="1160">
        <f t="shared" ca="1" si="120"/>
        <v>60845.876911643245</v>
      </c>
      <c r="AP179" s="1160">
        <f t="shared" ca="1" si="120"/>
        <v>77101.099381405278</v>
      </c>
      <c r="AQ179" s="1161">
        <f ca="1">SUM(AM179:AP179)</f>
        <v>223008.06204605696</v>
      </c>
    </row>
    <row r="180" spans="2:43" ht="12" customHeight="1" x14ac:dyDescent="0.25">
      <c r="B180" s="6" t="s">
        <v>150</v>
      </c>
      <c r="C180" s="7"/>
      <c r="D180" s="7"/>
      <c r="E180" s="7"/>
      <c r="F180" s="7"/>
      <c r="G180" s="7">
        <f>G146</f>
        <v>80.897000000000006</v>
      </c>
      <c r="H180" s="7">
        <f t="shared" ref="H180:N180" si="121">H146</f>
        <v>474.59899999999999</v>
      </c>
      <c r="I180" s="7">
        <f t="shared" si="121"/>
        <v>592.06299999999999</v>
      </c>
      <c r="J180" s="7">
        <f t="shared" si="121"/>
        <v>314.13</v>
      </c>
      <c r="K180" s="7">
        <f t="shared" si="121"/>
        <v>531.74</v>
      </c>
      <c r="L180" s="7">
        <f t="shared" si="121"/>
        <v>1714.52</v>
      </c>
      <c r="M180" s="7">
        <f t="shared" si="121"/>
        <v>1389.5</v>
      </c>
      <c r="N180" s="7">
        <f t="shared" si="121"/>
        <v>2528.8000000000002</v>
      </c>
      <c r="O180" s="7">
        <f t="shared" ref="O180" si="122">O146</f>
        <v>2836.1</v>
      </c>
      <c r="P180" s="8">
        <f t="shared" ref="P180:S180" si="123">P146</f>
        <v>0</v>
      </c>
      <c r="Q180" s="8">
        <f t="shared" si="123"/>
        <v>0</v>
      </c>
      <c r="R180" s="8">
        <f t="shared" si="123"/>
        <v>0</v>
      </c>
      <c r="S180" s="8">
        <f t="shared" si="123"/>
        <v>0</v>
      </c>
      <c r="U180" s="1032">
        <f t="shared" ref="U180:U185" si="124">SUM(P180:S180)</f>
        <v>0</v>
      </c>
      <c r="V180" s="895">
        <v>0</v>
      </c>
      <c r="Y180" s="1050" t="s">
        <v>34</v>
      </c>
      <c r="Z180" s="1050">
        <f>N23</f>
        <v>22621.8</v>
      </c>
      <c r="AA180" s="1051">
        <f t="shared" ref="AA180:AC180" si="125">O23</f>
        <v>26037.3</v>
      </c>
      <c r="AB180" s="1051">
        <f t="shared" ca="1" si="125"/>
        <v>29530.876404599338</v>
      </c>
      <c r="AC180" s="1051">
        <f t="shared" ca="1" si="125"/>
        <v>47439.420981768133</v>
      </c>
      <c r="AF180" s="1160">
        <f t="shared" si="120"/>
        <v>592.06299999999999</v>
      </c>
      <c r="AG180" s="1160">
        <f t="shared" si="120"/>
        <v>314.13</v>
      </c>
      <c r="AH180" s="1160">
        <f t="shared" si="120"/>
        <v>531.74</v>
      </c>
      <c r="AI180" s="1160">
        <f t="shared" si="120"/>
        <v>1714.52</v>
      </c>
      <c r="AJ180" s="1160">
        <f t="shared" si="120"/>
        <v>1389.5</v>
      </c>
      <c r="AK180" s="1160">
        <f t="shared" si="120"/>
        <v>2528.8000000000002</v>
      </c>
      <c r="AL180" s="1160">
        <f t="shared" si="120"/>
        <v>2836.1</v>
      </c>
      <c r="AM180" s="1160">
        <f t="shared" si="120"/>
        <v>0</v>
      </c>
      <c r="AN180" s="1160">
        <f t="shared" si="120"/>
        <v>0</v>
      </c>
      <c r="AO180" s="1160">
        <f t="shared" si="120"/>
        <v>0</v>
      </c>
      <c r="AP180" s="1160">
        <f t="shared" si="120"/>
        <v>0</v>
      </c>
      <c r="AQ180" s="1161">
        <f t="shared" ref="AQ180:AQ184" si="126">SUM(AM180:AP180)</f>
        <v>0</v>
      </c>
    </row>
    <row r="181" spans="2:43" ht="12" customHeight="1" x14ac:dyDescent="0.25">
      <c r="B181" s="6" t="s">
        <v>151</v>
      </c>
      <c r="C181" s="7"/>
      <c r="D181" s="7"/>
      <c r="E181" s="7"/>
      <c r="F181" s="7"/>
      <c r="G181" s="7">
        <f>SUM(G143)</f>
        <v>1.8720000000000001</v>
      </c>
      <c r="H181" s="7">
        <f t="shared" ref="H181:N181" si="127">SUM(H143)</f>
        <v>4.7520000000000007</v>
      </c>
      <c r="I181" s="7">
        <f t="shared" si="127"/>
        <v>4.0960000000000001</v>
      </c>
      <c r="J181" s="7">
        <f t="shared" si="127"/>
        <v>1300.73</v>
      </c>
      <c r="K181" s="7">
        <f t="shared" si="127"/>
        <v>22.74</v>
      </c>
      <c r="L181" s="7">
        <f t="shared" si="127"/>
        <v>103.1</v>
      </c>
      <c r="M181" s="7">
        <f t="shared" si="127"/>
        <v>2.2999999999999998</v>
      </c>
      <c r="N181" s="7">
        <f t="shared" si="127"/>
        <v>9.5</v>
      </c>
      <c r="O181" s="7">
        <f t="shared" ref="O181" si="128">SUM(O143)</f>
        <v>32.5</v>
      </c>
      <c r="P181" s="8">
        <f t="shared" ref="P181:S181" si="129">SUM(P143)</f>
        <v>0</v>
      </c>
      <c r="Q181" s="8">
        <f t="shared" si="129"/>
        <v>0</v>
      </c>
      <c r="R181" s="8">
        <f t="shared" si="129"/>
        <v>0</v>
      </c>
      <c r="S181" s="8">
        <f t="shared" si="129"/>
        <v>0</v>
      </c>
      <c r="U181" s="1032">
        <f t="shared" si="124"/>
        <v>0</v>
      </c>
      <c r="V181" s="895">
        <v>0</v>
      </c>
      <c r="Y181" s="1050" t="s">
        <v>798</v>
      </c>
      <c r="Z181" s="1050">
        <f>N49</f>
        <v>15030.799999999997</v>
      </c>
      <c r="AA181" s="1051">
        <f t="shared" ref="AA181:AC181" si="130">O49</f>
        <v>15233.099999999999</v>
      </c>
      <c r="AB181" s="1051">
        <f t="shared" ca="1" si="130"/>
        <v>15958.309621090328</v>
      </c>
      <c r="AC181" s="1051">
        <f t="shared" ca="1" si="130"/>
        <v>23388.56323225053</v>
      </c>
      <c r="AF181" s="1160">
        <f t="shared" ref="AF181:AP182" si="131">I182</f>
        <v>4563.8649999999998</v>
      </c>
      <c r="AG181" s="1160">
        <f t="shared" si="131"/>
        <v>8657.81</v>
      </c>
      <c r="AH181" s="1160">
        <f t="shared" si="131"/>
        <v>3653.99</v>
      </c>
      <c r="AI181" s="1160">
        <f t="shared" si="131"/>
        <v>-5376.81</v>
      </c>
      <c r="AJ181" s="1160">
        <f t="shared" si="131"/>
        <v>13.699999999999591</v>
      </c>
      <c r="AK181" s="1160">
        <f t="shared" si="131"/>
        <v>-714.30000000000109</v>
      </c>
      <c r="AL181" s="1160">
        <f t="shared" si="131"/>
        <v>7300.6000000000022</v>
      </c>
      <c r="AM181" s="1160">
        <f t="shared" si="131"/>
        <v>39159.391230084802</v>
      </c>
      <c r="AN181" s="1160">
        <f t="shared" si="131"/>
        <v>29900.788692519447</v>
      </c>
      <c r="AO181" s="1160">
        <f t="shared" si="131"/>
        <v>3906.4587263908106</v>
      </c>
      <c r="AP181" s="1160">
        <f t="shared" si="131"/>
        <v>16489.432516991743</v>
      </c>
      <c r="AQ181" s="1161">
        <f t="shared" si="126"/>
        <v>89456.071165986796</v>
      </c>
    </row>
    <row r="182" spans="2:43" ht="12" customHeight="1" x14ac:dyDescent="0.25">
      <c r="B182" s="6" t="s">
        <v>152</v>
      </c>
      <c r="C182" s="7"/>
      <c r="D182" s="7"/>
      <c r="E182" s="7"/>
      <c r="F182" s="7"/>
      <c r="G182" s="7">
        <f>SUM(G159:G163)</f>
        <v>1511.2649999999999</v>
      </c>
      <c r="H182" s="7">
        <f t="shared" ref="H182:N182" si="132">SUM(H159:H163)</f>
        <v>2624.1869999999999</v>
      </c>
      <c r="I182" s="7">
        <f t="shared" si="132"/>
        <v>4563.8649999999998</v>
      </c>
      <c r="J182" s="7">
        <f t="shared" si="132"/>
        <v>8657.81</v>
      </c>
      <c r="K182" s="7">
        <f t="shared" si="132"/>
        <v>3653.99</v>
      </c>
      <c r="L182" s="7">
        <f t="shared" si="132"/>
        <v>-5376.81</v>
      </c>
      <c r="M182" s="7">
        <f t="shared" si="132"/>
        <v>13.699999999999591</v>
      </c>
      <c r="N182" s="7">
        <f t="shared" si="132"/>
        <v>-714.30000000000109</v>
      </c>
      <c r="O182" s="7">
        <f t="shared" ref="O182" si="133">SUM(O159:O163)</f>
        <v>7300.6000000000022</v>
      </c>
      <c r="P182" s="8">
        <f t="shared" ref="P182:S182" si="134">SUM(P159:P163)</f>
        <v>39159.391230084802</v>
      </c>
      <c r="Q182" s="8">
        <f t="shared" si="134"/>
        <v>29900.788692519447</v>
      </c>
      <c r="R182" s="8">
        <f t="shared" si="134"/>
        <v>3906.4587263908106</v>
      </c>
      <c r="S182" s="8">
        <f t="shared" si="134"/>
        <v>16489.432516991743</v>
      </c>
      <c r="U182" s="1032">
        <f t="shared" si="124"/>
        <v>89456.071165986796</v>
      </c>
      <c r="V182" s="895">
        <v>89134.35116598678</v>
      </c>
      <c r="Y182" s="1050" t="s">
        <v>1823</v>
      </c>
      <c r="Z182" s="1050">
        <f>N28</f>
        <v>5465.5</v>
      </c>
      <c r="AA182" s="1051">
        <f t="shared" ref="AA182:AC182" si="135">O28</f>
        <v>6141.2</v>
      </c>
      <c r="AB182" s="1051">
        <f t="shared" si="135"/>
        <v>7453.8824749999994</v>
      </c>
      <c r="AC182" s="1051">
        <f t="shared" si="135"/>
        <v>12460.683949999999</v>
      </c>
      <c r="AF182" s="1160">
        <f t="shared" si="131"/>
        <v>0</v>
      </c>
      <c r="AG182" s="1160">
        <f t="shared" si="131"/>
        <v>0</v>
      </c>
      <c r="AH182" s="1160">
        <f t="shared" si="131"/>
        <v>0</v>
      </c>
      <c r="AI182" s="1160">
        <f t="shared" si="131"/>
        <v>0</v>
      </c>
      <c r="AJ182" s="1160">
        <f t="shared" si="131"/>
        <v>28000</v>
      </c>
      <c r="AK182" s="1160">
        <f t="shared" si="131"/>
        <v>0</v>
      </c>
      <c r="AL182" s="1160">
        <f t="shared" si="131"/>
        <v>0</v>
      </c>
      <c r="AM182" s="1160">
        <f t="shared" si="131"/>
        <v>66780.5</v>
      </c>
      <c r="AN182" s="1160">
        <f t="shared" si="131"/>
        <v>0</v>
      </c>
      <c r="AO182" s="1160">
        <f t="shared" si="131"/>
        <v>0</v>
      </c>
      <c r="AP182" s="1160">
        <f t="shared" si="131"/>
        <v>0</v>
      </c>
      <c r="AQ182" s="1161">
        <f t="shared" si="126"/>
        <v>66780.5</v>
      </c>
    </row>
    <row r="183" spans="2:43" ht="12" customHeight="1" x14ac:dyDescent="0.25">
      <c r="B183" s="6" t="s">
        <v>430</v>
      </c>
      <c r="C183" s="7"/>
      <c r="D183" s="7"/>
      <c r="E183" s="7"/>
      <c r="F183" s="7"/>
      <c r="G183" s="7">
        <f>G157</f>
        <v>5146.3100000000004</v>
      </c>
      <c r="H183" s="7">
        <f t="shared" ref="H183:N184" si="136">H157</f>
        <v>0</v>
      </c>
      <c r="I183" s="7">
        <f t="shared" si="136"/>
        <v>0</v>
      </c>
      <c r="J183" s="7">
        <f t="shared" si="136"/>
        <v>0</v>
      </c>
      <c r="K183" s="7">
        <f t="shared" si="136"/>
        <v>0</v>
      </c>
      <c r="L183" s="7">
        <f t="shared" si="136"/>
        <v>0</v>
      </c>
      <c r="M183" s="7">
        <f t="shared" si="136"/>
        <v>28000</v>
      </c>
      <c r="N183" s="7">
        <f t="shared" si="136"/>
        <v>0</v>
      </c>
      <c r="O183" s="7">
        <f t="shared" ref="O183" si="137">O157</f>
        <v>0</v>
      </c>
      <c r="P183" s="8">
        <f t="shared" ref="P183:S183" si="138">P157</f>
        <v>66780.5</v>
      </c>
      <c r="Q183" s="8">
        <f t="shared" si="138"/>
        <v>0</v>
      </c>
      <c r="R183" s="8">
        <f t="shared" si="138"/>
        <v>0</v>
      </c>
      <c r="S183" s="8">
        <f t="shared" si="138"/>
        <v>0</v>
      </c>
      <c r="U183" s="1032">
        <f t="shared" si="124"/>
        <v>66780.5</v>
      </c>
      <c r="V183" s="895">
        <v>62500</v>
      </c>
      <c r="Y183" s="1050" t="s">
        <v>207</v>
      </c>
      <c r="Z183" s="1050">
        <f>N32</f>
        <v>2657.4</v>
      </c>
      <c r="AA183" s="1051">
        <f t="shared" ref="AA183:AC183" si="139">O32</f>
        <v>3829.9</v>
      </c>
      <c r="AB183" s="1051">
        <f t="shared" si="139"/>
        <v>4783.0374513424667</v>
      </c>
      <c r="AC183" s="1051">
        <f t="shared" si="139"/>
        <v>8558.4778248657531</v>
      </c>
      <c r="AF183" s="1160">
        <f>AF184-SUM(AF179:AF182)</f>
        <v>4.0960000000013679</v>
      </c>
      <c r="AG183" s="1160">
        <f t="shared" ref="AG183:AK183" si="140">AG184-SUM(AG179:AG182)</f>
        <v>1300.9100000000035</v>
      </c>
      <c r="AH183" s="1160">
        <f t="shared" si="140"/>
        <v>22.739999999999782</v>
      </c>
      <c r="AI183" s="1160">
        <f t="shared" si="140"/>
        <v>103.09999999999854</v>
      </c>
      <c r="AJ183" s="1160">
        <f t="shared" si="140"/>
        <v>2.2999999999956344</v>
      </c>
      <c r="AK183" s="1160">
        <f t="shared" si="140"/>
        <v>9.5</v>
      </c>
      <c r="AL183" s="1160">
        <f>AL184-SUM(AL179:AL182)</f>
        <v>32.5</v>
      </c>
      <c r="AM183" s="1160">
        <f ca="1">AM184-SUM(AM179:AM182)</f>
        <v>0</v>
      </c>
      <c r="AN183" s="1160">
        <f ca="1">AN184-SUM(AN179:AN182)</f>
        <v>0</v>
      </c>
      <c r="AO183" s="1160">
        <f ca="1">AO184-SUM(AO179:AO182)</f>
        <v>0</v>
      </c>
      <c r="AP183" s="1160">
        <f ca="1">AP184-SUM(AP179:AP182)</f>
        <v>0</v>
      </c>
      <c r="AQ183" s="1161">
        <f t="shared" ca="1" si="126"/>
        <v>0</v>
      </c>
    </row>
    <row r="184" spans="2:43" ht="12" customHeight="1" x14ac:dyDescent="0.25">
      <c r="B184" s="6" t="s">
        <v>111</v>
      </c>
      <c r="C184" s="7"/>
      <c r="D184" s="7"/>
      <c r="E184" s="7"/>
      <c r="F184" s="7"/>
      <c r="G184" s="7">
        <f>G158</f>
        <v>0</v>
      </c>
      <c r="H184" s="7">
        <f t="shared" si="136"/>
        <v>0</v>
      </c>
      <c r="I184" s="7">
        <f t="shared" si="136"/>
        <v>0</v>
      </c>
      <c r="J184" s="7">
        <f t="shared" si="136"/>
        <v>0.18</v>
      </c>
      <c r="K184" s="7" t="str">
        <f t="shared" si="136"/>
        <v>-</v>
      </c>
      <c r="L184" s="7">
        <f t="shared" si="136"/>
        <v>0</v>
      </c>
      <c r="M184" s="7">
        <f t="shared" si="136"/>
        <v>0</v>
      </c>
      <c r="N184" s="7">
        <f t="shared" si="136"/>
        <v>0</v>
      </c>
      <c r="O184" s="7">
        <f t="shared" ref="O184" si="141">O158</f>
        <v>0</v>
      </c>
      <c r="P184" s="8">
        <f t="shared" ref="P184:S184" si="142">P158</f>
        <v>0</v>
      </c>
      <c r="Q184" s="8">
        <f t="shared" si="142"/>
        <v>0</v>
      </c>
      <c r="R184" s="8">
        <f t="shared" si="142"/>
        <v>0</v>
      </c>
      <c r="S184" s="8">
        <f t="shared" si="142"/>
        <v>0</v>
      </c>
      <c r="U184" s="1032">
        <f t="shared" si="124"/>
        <v>0</v>
      </c>
      <c r="V184" s="895">
        <v>0</v>
      </c>
      <c r="AF184" s="1162">
        <f t="shared" ref="AF184:AP184" si="143">I185</f>
        <v>11893.649000000001</v>
      </c>
      <c r="AG184" s="1162">
        <f t="shared" si="143"/>
        <v>19003.669999999998</v>
      </c>
      <c r="AH184" s="1162">
        <f t="shared" si="143"/>
        <v>16116.1</v>
      </c>
      <c r="AI184" s="1162">
        <f t="shared" si="143"/>
        <v>14267.869999999995</v>
      </c>
      <c r="AJ184" s="1162">
        <f t="shared" si="143"/>
        <v>51054.1</v>
      </c>
      <c r="AK184" s="1162">
        <f t="shared" si="143"/>
        <v>25523.799999999996</v>
      </c>
      <c r="AL184" s="1162">
        <f t="shared" si="143"/>
        <v>37053.900000000009</v>
      </c>
      <c r="AM184" s="1162">
        <f t="shared" ca="1" si="143"/>
        <v>139229.01403714146</v>
      </c>
      <c r="AN184" s="1162">
        <f t="shared" ca="1" si="143"/>
        <v>81672.751638471236</v>
      </c>
      <c r="AO184" s="1162">
        <f t="shared" ca="1" si="143"/>
        <v>64752.335638034056</v>
      </c>
      <c r="AP184" s="1162">
        <f t="shared" ca="1" si="143"/>
        <v>93590.531898397021</v>
      </c>
      <c r="AQ184" s="1163">
        <f t="shared" ca="1" si="126"/>
        <v>379244.63321204379</v>
      </c>
    </row>
    <row r="185" spans="2:43" ht="12" customHeight="1" x14ac:dyDescent="0.25">
      <c r="B185" s="6" t="s">
        <v>153</v>
      </c>
      <c r="C185" s="7"/>
      <c r="D185" s="7"/>
      <c r="E185" s="7"/>
      <c r="F185" s="7"/>
      <c r="G185" s="10">
        <f>SUM(G179:G184)</f>
        <v>13705.762999999999</v>
      </c>
      <c r="H185" s="10">
        <f t="shared" ref="H185:N185" si="144">SUM(H179:H184)</f>
        <v>9570.5930000000008</v>
      </c>
      <c r="I185" s="10">
        <f t="shared" si="144"/>
        <v>11893.649000000001</v>
      </c>
      <c r="J185" s="10">
        <f t="shared" si="144"/>
        <v>19003.669999999998</v>
      </c>
      <c r="K185" s="10">
        <f t="shared" si="144"/>
        <v>16116.1</v>
      </c>
      <c r="L185" s="10">
        <f t="shared" si="144"/>
        <v>14267.869999999995</v>
      </c>
      <c r="M185" s="10">
        <f t="shared" si="144"/>
        <v>51054.1</v>
      </c>
      <c r="N185" s="10">
        <f t="shared" si="144"/>
        <v>25523.799999999996</v>
      </c>
      <c r="O185" s="10">
        <f t="shared" ref="O185" si="145">SUM(O179:O184)</f>
        <v>37053.900000000009</v>
      </c>
      <c r="P185" s="5">
        <f t="shared" ref="P185:S185" ca="1" si="146">SUM(P179:P184)</f>
        <v>139229.01403714146</v>
      </c>
      <c r="Q185" s="5">
        <f t="shared" ca="1" si="146"/>
        <v>81672.751638471236</v>
      </c>
      <c r="R185" s="5">
        <f t="shared" ca="1" si="146"/>
        <v>64752.335638034056</v>
      </c>
      <c r="S185" s="5">
        <f t="shared" ca="1" si="146"/>
        <v>93590.531898397021</v>
      </c>
      <c r="U185" s="1033">
        <f t="shared" ca="1" si="124"/>
        <v>379244.63321204379</v>
      </c>
      <c r="V185" s="895">
        <v>380492.22376364737</v>
      </c>
      <c r="Y185" s="1052" t="s">
        <v>1824</v>
      </c>
      <c r="Z185" s="1052" t="s">
        <v>347</v>
      </c>
      <c r="AA185" s="1053" t="s">
        <v>177</v>
      </c>
      <c r="AB185" s="1053" t="s">
        <v>178</v>
      </c>
      <c r="AC185" s="1053" t="s">
        <v>179</v>
      </c>
      <c r="AF185" s="1162"/>
      <c r="AG185" s="1162"/>
      <c r="AH185" s="1162"/>
      <c r="AI185" s="1162"/>
      <c r="AJ185" s="1162"/>
      <c r="AK185" s="1162"/>
      <c r="AL185" s="1162"/>
      <c r="AM185" s="1162"/>
      <c r="AN185" s="1162"/>
      <c r="AO185" s="1162"/>
      <c r="AP185" s="1162"/>
      <c r="AQ185" s="1161"/>
    </row>
    <row r="186" spans="2:43" ht="12" customHeight="1" x14ac:dyDescent="0.25">
      <c r="B186" s="6"/>
      <c r="C186" s="7"/>
      <c r="D186" s="7"/>
      <c r="E186" s="7"/>
      <c r="F186" s="7"/>
      <c r="G186" s="7"/>
      <c r="H186" s="7"/>
      <c r="I186" s="7"/>
      <c r="J186" s="7"/>
      <c r="K186" s="7"/>
      <c r="L186" s="7"/>
      <c r="M186" s="7"/>
      <c r="N186" s="7"/>
      <c r="O186" s="7"/>
      <c r="P186" s="8"/>
      <c r="Q186" s="8"/>
      <c r="R186" s="8"/>
      <c r="S186" s="8"/>
      <c r="U186" s="1032"/>
      <c r="V186" s="895"/>
      <c r="Y186" s="1050" t="s">
        <v>797</v>
      </c>
      <c r="Z186" s="1050">
        <v>44761</v>
      </c>
      <c r="AA186" s="1051">
        <v>53533</v>
      </c>
      <c r="AB186" s="1051">
        <v>66990</v>
      </c>
      <c r="AC186" s="1051">
        <v>100503</v>
      </c>
      <c r="AF186" s="1160"/>
      <c r="AG186" s="1160"/>
      <c r="AH186" s="1160"/>
      <c r="AI186" s="1160"/>
      <c r="AJ186" s="1160"/>
      <c r="AK186" s="1160"/>
      <c r="AL186" s="1160"/>
      <c r="AM186" s="1160"/>
      <c r="AN186" s="1160"/>
      <c r="AO186" s="1160"/>
      <c r="AP186" s="1160"/>
      <c r="AQ186" s="1161"/>
    </row>
    <row r="187" spans="2:43" ht="12" customHeight="1" x14ac:dyDescent="0.25">
      <c r="B187" s="9" t="s">
        <v>154</v>
      </c>
      <c r="C187" s="7"/>
      <c r="D187" s="7"/>
      <c r="E187" s="7"/>
      <c r="F187" s="7"/>
      <c r="G187" s="7"/>
      <c r="H187" s="7"/>
      <c r="I187" s="7"/>
      <c r="J187" s="7"/>
      <c r="K187" s="7"/>
      <c r="L187" s="7"/>
      <c r="M187" s="7"/>
      <c r="N187" s="7"/>
      <c r="O187" s="7"/>
      <c r="P187" s="8"/>
      <c r="Q187" s="8"/>
      <c r="R187" s="8"/>
      <c r="S187" s="8"/>
      <c r="U187" s="1032"/>
      <c r="V187" s="895"/>
      <c r="Y187" s="1050" t="s">
        <v>34</v>
      </c>
      <c r="Z187" s="1050">
        <v>22622</v>
      </c>
      <c r="AA187" s="1051">
        <v>25585</v>
      </c>
      <c r="AB187" s="1051">
        <v>29757</v>
      </c>
      <c r="AC187" s="1051">
        <v>45588</v>
      </c>
      <c r="AF187" s="1160">
        <f t="shared" ref="AF187:AP187" si="147">I188</f>
        <v>3783.2200000000003</v>
      </c>
      <c r="AG187" s="1160">
        <f t="shared" si="147"/>
        <v>-1831.9399999999998</v>
      </c>
      <c r="AH187" s="1160">
        <f t="shared" si="147"/>
        <v>-1077.1399999999992</v>
      </c>
      <c r="AI187" s="1160">
        <f t="shared" si="147"/>
        <v>-1951.7800000000002</v>
      </c>
      <c r="AJ187" s="1160">
        <f t="shared" si="147"/>
        <v>1140.9999999999998</v>
      </c>
      <c r="AK187" s="1160">
        <f t="shared" si="147"/>
        <v>-41.000000000000114</v>
      </c>
      <c r="AL187" s="1160">
        <f t="shared" si="147"/>
        <v>3204</v>
      </c>
      <c r="AM187" s="1160">
        <f t="shared" ca="1" si="147"/>
        <v>2463.1221124120302</v>
      </c>
      <c r="AN187" s="1160">
        <f t="shared" ca="1" si="147"/>
        <v>4555.9387413546674</v>
      </c>
      <c r="AO187" s="1160">
        <f t="shared" ca="1" si="147"/>
        <v>2175.5683412635317</v>
      </c>
      <c r="AP187" s="1160">
        <f t="shared" ca="1" si="147"/>
        <v>3358.4533185931177</v>
      </c>
      <c r="AQ187" s="1161">
        <f t="shared" ref="AQ187:AQ193" ca="1" si="148">SUM(AM187:AP187)</f>
        <v>12553.082513623347</v>
      </c>
    </row>
    <row r="188" spans="2:43" ht="12" customHeight="1" x14ac:dyDescent="0.25">
      <c r="B188" s="6" t="s">
        <v>156</v>
      </c>
      <c r="C188" s="7"/>
      <c r="D188" s="7"/>
      <c r="E188" s="7"/>
      <c r="F188" s="7"/>
      <c r="G188" s="7">
        <f>-SUM(G132:G137)</f>
        <v>-52.623999999999967</v>
      </c>
      <c r="H188" s="7">
        <f t="shared" ref="H188:N188" si="149">-SUM(H132:H137)</f>
        <v>2889.002</v>
      </c>
      <c r="I188" s="7">
        <f t="shared" si="149"/>
        <v>3783.2200000000003</v>
      </c>
      <c r="J188" s="7">
        <f t="shared" si="149"/>
        <v>-1831.9399999999998</v>
      </c>
      <c r="K188" s="7">
        <f t="shared" si="149"/>
        <v>-1077.1399999999992</v>
      </c>
      <c r="L188" s="7">
        <f t="shared" si="149"/>
        <v>-1951.7800000000002</v>
      </c>
      <c r="M188" s="7">
        <f t="shared" si="149"/>
        <v>1140.9999999999998</v>
      </c>
      <c r="N188" s="7">
        <f t="shared" si="149"/>
        <v>-41.000000000000114</v>
      </c>
      <c r="O188" s="7">
        <f t="shared" ref="O188" si="150">-SUM(O132:O137)</f>
        <v>3204</v>
      </c>
      <c r="P188" s="8">
        <f t="shared" ref="P188:S188" ca="1" si="151">-SUM(P132:P137)</f>
        <v>2463.1221124120302</v>
      </c>
      <c r="Q188" s="8">
        <f t="shared" ca="1" si="151"/>
        <v>4555.9387413546674</v>
      </c>
      <c r="R188" s="8">
        <f t="shared" ca="1" si="151"/>
        <v>2175.5683412635317</v>
      </c>
      <c r="S188" s="8">
        <f t="shared" ca="1" si="151"/>
        <v>3358.4533185931177</v>
      </c>
      <c r="U188" s="1032">
        <f t="shared" ref="U188:U196" ca="1" si="152">SUM(P188:S188)</f>
        <v>12553.082513623347</v>
      </c>
      <c r="V188" s="895">
        <v>13067.976530410519</v>
      </c>
      <c r="Y188" s="1050" t="s">
        <v>798</v>
      </c>
      <c r="Z188" s="1050">
        <v>15038</v>
      </c>
      <c r="AA188" s="1051">
        <v>15096</v>
      </c>
      <c r="AB188" s="1051">
        <v>15901</v>
      </c>
      <c r="AC188" s="1051">
        <v>23238</v>
      </c>
      <c r="AD188" s="244"/>
      <c r="AF188" s="1160">
        <f t="shared" ref="AF188:AP188" si="153">I190</f>
        <v>6737.866</v>
      </c>
      <c r="AG188" s="1160">
        <f t="shared" si="153"/>
        <v>17226.12</v>
      </c>
      <c r="AH188" s="1160">
        <f t="shared" si="153"/>
        <v>5090.7700000000004</v>
      </c>
      <c r="AI188" s="1160">
        <f t="shared" si="153"/>
        <v>2793.56</v>
      </c>
      <c r="AJ188" s="1160">
        <f t="shared" si="153"/>
        <v>2487.1</v>
      </c>
      <c r="AK188" s="1160">
        <f t="shared" si="153"/>
        <v>20755.7</v>
      </c>
      <c r="AL188" s="1160">
        <f t="shared" si="153"/>
        <v>24916.400000000001</v>
      </c>
      <c r="AM188" s="1160">
        <f t="shared" si="153"/>
        <v>72388.516586806669</v>
      </c>
      <c r="AN188" s="1160">
        <f t="shared" si="153"/>
        <v>89062.124855980161</v>
      </c>
      <c r="AO188" s="1160">
        <f t="shared" si="153"/>
        <v>81166.63442817732</v>
      </c>
      <c r="AP188" s="1160">
        <f t="shared" si="153"/>
        <v>67266.454129035817</v>
      </c>
      <c r="AQ188" s="1161">
        <f t="shared" si="148"/>
        <v>309883.73</v>
      </c>
    </row>
    <row r="189" spans="2:43" ht="12" customHeight="1" x14ac:dyDescent="0.25">
      <c r="B189" s="6" t="s">
        <v>157</v>
      </c>
      <c r="C189" s="7"/>
      <c r="D189" s="7"/>
      <c r="E189" s="7"/>
      <c r="F189" s="7"/>
      <c r="G189" s="7">
        <f>-G140</f>
        <v>1019.035</v>
      </c>
      <c r="H189" s="7">
        <f t="shared" ref="H189:N189" si="154">-H140</f>
        <v>297.84000000000003</v>
      </c>
      <c r="I189" s="7">
        <f t="shared" si="154"/>
        <v>363.36199999999997</v>
      </c>
      <c r="J189" s="7">
        <f t="shared" si="154"/>
        <v>660.88</v>
      </c>
      <c r="K189" s="7">
        <f t="shared" si="154"/>
        <v>1222.47</v>
      </c>
      <c r="L189" s="7">
        <f t="shared" si="154"/>
        <v>1806.57</v>
      </c>
      <c r="M189" s="7">
        <f t="shared" si="154"/>
        <v>2475.5</v>
      </c>
      <c r="N189" s="7">
        <f t="shared" si="154"/>
        <v>2736.3999999999996</v>
      </c>
      <c r="O189" s="7">
        <f t="shared" ref="O189" si="155">-O140</f>
        <v>3465.7</v>
      </c>
      <c r="P189" s="8">
        <f t="shared" ref="P189:S189" ca="1" si="156">-P140</f>
        <v>4631.4846337571189</v>
      </c>
      <c r="Q189" s="8">
        <f t="shared" ca="1" si="156"/>
        <v>6765.6162576389279</v>
      </c>
      <c r="R189" s="8">
        <f t="shared" ca="1" si="156"/>
        <v>6301.2309312727584</v>
      </c>
      <c r="S189" s="8">
        <f t="shared" ca="1" si="156"/>
        <v>8154.3611858159011</v>
      </c>
      <c r="U189" s="1032">
        <f t="shared" ca="1" si="152"/>
        <v>25852.693008484708</v>
      </c>
      <c r="V189" s="895">
        <v>27146.658429954408</v>
      </c>
      <c r="Y189" s="1050" t="s">
        <v>1823</v>
      </c>
      <c r="Z189" s="1050">
        <v>5465.5</v>
      </c>
      <c r="AA189" s="1051">
        <v>5862.2</v>
      </c>
      <c r="AB189" s="1051">
        <v>6866.6</v>
      </c>
      <c r="AC189" s="1051">
        <v>9692</v>
      </c>
      <c r="AF189" s="1160">
        <f t="shared" ref="AF189:AP191" si="157">I192</f>
        <v>0</v>
      </c>
      <c r="AG189" s="1160">
        <f t="shared" si="157"/>
        <v>0</v>
      </c>
      <c r="AH189" s="1160">
        <f t="shared" si="157"/>
        <v>0</v>
      </c>
      <c r="AI189" s="1160">
        <f t="shared" si="157"/>
        <v>2618.2199999999998</v>
      </c>
      <c r="AJ189" s="1160">
        <f t="shared" si="157"/>
        <v>18224.5</v>
      </c>
      <c r="AK189" s="1160">
        <f t="shared" si="157"/>
        <v>9644.4000000000015</v>
      </c>
      <c r="AL189" s="1160">
        <f t="shared" si="157"/>
        <v>0</v>
      </c>
      <c r="AM189" s="1160">
        <f t="shared" si="157"/>
        <v>0</v>
      </c>
      <c r="AN189" s="1160">
        <f t="shared" si="157"/>
        <v>0</v>
      </c>
      <c r="AO189" s="1160">
        <f t="shared" si="157"/>
        <v>0</v>
      </c>
      <c r="AP189" s="1160">
        <f t="shared" si="157"/>
        <v>0</v>
      </c>
      <c r="AQ189" s="1161">
        <f t="shared" si="148"/>
        <v>0</v>
      </c>
    </row>
    <row r="190" spans="2:43" ht="12" customHeight="1" x14ac:dyDescent="0.25">
      <c r="B190" s="6" t="s">
        <v>158</v>
      </c>
      <c r="C190" s="7"/>
      <c r="D190" s="7"/>
      <c r="E190" s="7"/>
      <c r="F190" s="7"/>
      <c r="G190" s="7">
        <f>-G147</f>
        <v>9378.02</v>
      </c>
      <c r="H190" s="7">
        <f t="shared" ref="H190:N190" si="158">-H147</f>
        <v>5518.759</v>
      </c>
      <c r="I190" s="7">
        <f t="shared" si="158"/>
        <v>6737.866</v>
      </c>
      <c r="J190" s="7">
        <f t="shared" si="158"/>
        <v>17226.12</v>
      </c>
      <c r="K190" s="7">
        <f t="shared" si="158"/>
        <v>5090.7700000000004</v>
      </c>
      <c r="L190" s="7">
        <f t="shared" si="158"/>
        <v>2793.56</v>
      </c>
      <c r="M190" s="7">
        <f t="shared" si="158"/>
        <v>2487.1</v>
      </c>
      <c r="N190" s="7">
        <f t="shared" si="158"/>
        <v>20755.7</v>
      </c>
      <c r="O190" s="7">
        <f t="shared" ref="O190" si="159">-O147</f>
        <v>24916.400000000001</v>
      </c>
      <c r="P190" s="8">
        <f>-P147</f>
        <v>72388.516586806669</v>
      </c>
      <c r="Q190" s="8">
        <f>-Q147</f>
        <v>89062.124855980161</v>
      </c>
      <c r="R190" s="8">
        <f>-R147</f>
        <v>81166.63442817732</v>
      </c>
      <c r="S190" s="8">
        <f>-S147</f>
        <v>67266.454129035817</v>
      </c>
      <c r="U190" s="1032">
        <f t="shared" si="152"/>
        <v>309883.73</v>
      </c>
      <c r="V190" s="895">
        <v>302524.97309902875</v>
      </c>
      <c r="Y190" s="1050" t="s">
        <v>207</v>
      </c>
      <c r="Z190" s="1050">
        <v>3401</v>
      </c>
      <c r="AA190" s="1051">
        <v>3825.4</v>
      </c>
      <c r="AB190" s="1051">
        <v>4714.2</v>
      </c>
      <c r="AC190" s="1051">
        <v>6772.6</v>
      </c>
      <c r="AF190" s="1160">
        <f t="shared" si="157"/>
        <v>2156.069</v>
      </c>
      <c r="AG190" s="1160">
        <f t="shared" si="157"/>
        <v>2249.42</v>
      </c>
      <c r="AH190" s="1160">
        <f t="shared" si="157"/>
        <v>3620.66</v>
      </c>
      <c r="AI190" s="1160">
        <f t="shared" si="157"/>
        <v>2726.91</v>
      </c>
      <c r="AJ190" s="1160">
        <f t="shared" si="157"/>
        <v>2478.9</v>
      </c>
      <c r="AK190" s="1160">
        <f t="shared" si="157"/>
        <v>3064.7</v>
      </c>
      <c r="AL190" s="1160">
        <f t="shared" si="157"/>
        <v>3269.7</v>
      </c>
      <c r="AM190" s="1160">
        <f t="shared" si="157"/>
        <v>4783.0374513424667</v>
      </c>
      <c r="AN190" s="1160">
        <f t="shared" si="157"/>
        <v>8558.4778248657531</v>
      </c>
      <c r="AO190" s="1160">
        <f t="shared" si="157"/>
        <v>10931.457055279452</v>
      </c>
      <c r="AP190" s="1160">
        <f t="shared" si="157"/>
        <v>15540.224814060279</v>
      </c>
      <c r="AQ190" s="1161">
        <f t="shared" si="148"/>
        <v>39813.197145547951</v>
      </c>
    </row>
    <row r="191" spans="2:43" ht="12" customHeight="1" x14ac:dyDescent="0.25">
      <c r="B191" s="6" t="s">
        <v>428</v>
      </c>
      <c r="C191" s="7"/>
      <c r="D191" s="7"/>
      <c r="E191" s="7"/>
      <c r="F191" s="7"/>
      <c r="G191" s="7">
        <f>-(G144+G145+G148+G149+G150+G152)</f>
        <v>1688.393</v>
      </c>
      <c r="H191" s="7">
        <f t="shared" ref="H191:N191" si="160">-(H144+H145+H148+H149+H150+H152)</f>
        <v>-90.506999999999607</v>
      </c>
      <c r="I191" s="7">
        <f t="shared" si="160"/>
        <v>-2210.9030000000002</v>
      </c>
      <c r="J191" s="7">
        <f t="shared" si="160"/>
        <v>756.68000000000018</v>
      </c>
      <c r="K191" s="7">
        <f t="shared" si="160"/>
        <v>3476.93</v>
      </c>
      <c r="L191" s="7">
        <f t="shared" si="160"/>
        <v>5231.9799999999996</v>
      </c>
      <c r="M191" s="7">
        <f t="shared" si="160"/>
        <v>22727</v>
      </c>
      <c r="N191" s="7">
        <f t="shared" si="160"/>
        <v>-10892.999999999998</v>
      </c>
      <c r="O191" s="7">
        <f t="shared" ref="O191" si="161">-(O144+O145+O148+O149+O150+O152)</f>
        <v>-1426.3</v>
      </c>
      <c r="P191" s="8">
        <f t="shared" ref="P191:S191" si="162">-(P144+P145+P148+P149+P150+P152)</f>
        <v>0</v>
      </c>
      <c r="Q191" s="8">
        <f t="shared" si="162"/>
        <v>0</v>
      </c>
      <c r="R191" s="8">
        <f t="shared" si="162"/>
        <v>0</v>
      </c>
      <c r="S191" s="8">
        <f t="shared" si="162"/>
        <v>0</v>
      </c>
      <c r="U191" s="1032">
        <f t="shared" si="152"/>
        <v>0</v>
      </c>
      <c r="V191" s="895">
        <v>0</v>
      </c>
      <c r="AF191" s="1164">
        <f t="shared" si="157"/>
        <v>0</v>
      </c>
      <c r="AG191" s="1164">
        <f t="shared" si="157"/>
        <v>0</v>
      </c>
      <c r="AH191" s="1164">
        <f t="shared" si="157"/>
        <v>0</v>
      </c>
      <c r="AI191" s="1164">
        <f t="shared" si="157"/>
        <v>0</v>
      </c>
      <c r="AJ191" s="1164">
        <f t="shared" si="157"/>
        <v>0</v>
      </c>
      <c r="AK191" s="1160">
        <f t="shared" si="157"/>
        <v>1155</v>
      </c>
      <c r="AL191" s="1160">
        <f t="shared" si="157"/>
        <v>1680</v>
      </c>
      <c r="AM191" s="1160">
        <f t="shared" ca="1" si="157"/>
        <v>1914.9971545308392</v>
      </c>
      <c r="AN191" s="1160">
        <f t="shared" ca="1" si="157"/>
        <v>2806.627587870064</v>
      </c>
      <c r="AO191" s="1160">
        <f t="shared" ca="1" si="157"/>
        <v>2933.4510449417621</v>
      </c>
      <c r="AP191" s="1160">
        <f t="shared" ca="1" si="157"/>
        <v>3353.8289208161523</v>
      </c>
      <c r="AQ191" s="1161">
        <f t="shared" ca="1" si="148"/>
        <v>11008.904708158818</v>
      </c>
    </row>
    <row r="192" spans="2:43" ht="12" customHeight="1" x14ac:dyDescent="0.25">
      <c r="B192" s="6" t="s">
        <v>429</v>
      </c>
      <c r="C192" s="7"/>
      <c r="D192" s="7"/>
      <c r="E192" s="7"/>
      <c r="F192" s="7"/>
      <c r="G192" s="7">
        <f t="shared" ref="G192:L192" si="163">-G156-G151</f>
        <v>0</v>
      </c>
      <c r="H192" s="7">
        <f t="shared" si="163"/>
        <v>0</v>
      </c>
      <c r="I192" s="7">
        <f t="shared" si="163"/>
        <v>0</v>
      </c>
      <c r="J192" s="7">
        <f t="shared" si="163"/>
        <v>0</v>
      </c>
      <c r="K192" s="7">
        <f t="shared" si="163"/>
        <v>0</v>
      </c>
      <c r="L192" s="7">
        <f t="shared" si="163"/>
        <v>2618.2199999999998</v>
      </c>
      <c r="M192" s="7">
        <f>-M156-M151</f>
        <v>18224.5</v>
      </c>
      <c r="N192" s="7">
        <f>-N156-N151</f>
        <v>9644.4000000000015</v>
      </c>
      <c r="O192" s="7">
        <f>-O156-O151</f>
        <v>0</v>
      </c>
      <c r="P192" s="8">
        <f t="shared" ref="P192:S192" si="164">-P156-P151</f>
        <v>0</v>
      </c>
      <c r="Q192" s="8">
        <f t="shared" si="164"/>
        <v>0</v>
      </c>
      <c r="R192" s="8">
        <f t="shared" si="164"/>
        <v>0</v>
      </c>
      <c r="S192" s="8">
        <f t="shared" si="164"/>
        <v>0</v>
      </c>
      <c r="U192" s="1032">
        <f t="shared" si="152"/>
        <v>0</v>
      </c>
      <c r="V192" s="895">
        <v>0</v>
      </c>
      <c r="Y192" s="1055" t="s">
        <v>639</v>
      </c>
      <c r="Z192" s="1055" t="s">
        <v>347</v>
      </c>
      <c r="AA192" s="1056" t="s">
        <v>177</v>
      </c>
      <c r="AB192" s="1056" t="s">
        <v>178</v>
      </c>
      <c r="AC192" s="1056" t="s">
        <v>179</v>
      </c>
      <c r="AF192" s="1164">
        <f t="shared" ref="AF192:AP192" si="165">AF193-SUM(AF187:AF191)</f>
        <v>-1847.5409999999993</v>
      </c>
      <c r="AG192" s="1164">
        <f t="shared" si="165"/>
        <v>1417.5599999999977</v>
      </c>
      <c r="AH192" s="1160">
        <f t="shared" si="165"/>
        <v>4707.1999999999989</v>
      </c>
      <c r="AI192" s="1160">
        <f t="shared" si="165"/>
        <v>7182.23</v>
      </c>
      <c r="AJ192" s="1160">
        <f t="shared" si="165"/>
        <v>25698.5</v>
      </c>
      <c r="AK192" s="1160">
        <f t="shared" si="165"/>
        <v>-7877.2000000000007</v>
      </c>
      <c r="AL192" s="1160">
        <f t="shared" si="165"/>
        <v>2118.7999999999956</v>
      </c>
      <c r="AM192" s="1160">
        <f t="shared" ca="1" si="165"/>
        <v>4631.4846337571071</v>
      </c>
      <c r="AN192" s="1160">
        <f t="shared" ca="1" si="165"/>
        <v>6765.6162576389324</v>
      </c>
      <c r="AO192" s="1160">
        <f t="shared" ca="1" si="165"/>
        <v>6301.2309312727593</v>
      </c>
      <c r="AP192" s="1160">
        <f t="shared" ca="1" si="165"/>
        <v>8154.3611858158984</v>
      </c>
      <c r="AQ192" s="1161">
        <f t="shared" ca="1" si="148"/>
        <v>25852.693008484697</v>
      </c>
    </row>
    <row r="193" spans="2:43" ht="12" customHeight="1" x14ac:dyDescent="0.25">
      <c r="B193" s="6" t="s">
        <v>141</v>
      </c>
      <c r="C193" s="7"/>
      <c r="D193" s="7"/>
      <c r="E193" s="7"/>
      <c r="F193" s="7"/>
      <c r="G193" s="7">
        <f>-G165</f>
        <v>1194.652</v>
      </c>
      <c r="H193" s="7">
        <f t="shared" ref="H193:N194" si="166">-H165</f>
        <v>1221.558</v>
      </c>
      <c r="I193" s="7">
        <f t="shared" si="166"/>
        <v>2156.069</v>
      </c>
      <c r="J193" s="7">
        <f t="shared" si="166"/>
        <v>2249.42</v>
      </c>
      <c r="K193" s="7">
        <f t="shared" si="166"/>
        <v>3620.66</v>
      </c>
      <c r="L193" s="7">
        <f t="shared" si="166"/>
        <v>2726.91</v>
      </c>
      <c r="M193" s="7">
        <f t="shared" si="166"/>
        <v>2478.9</v>
      </c>
      <c r="N193" s="7">
        <f t="shared" si="166"/>
        <v>3064.7</v>
      </c>
      <c r="O193" s="7">
        <f t="shared" ref="O193" si="167">-O165</f>
        <v>3269.7</v>
      </c>
      <c r="P193" s="8">
        <f t="shared" ref="P193:S193" si="168">-P165</f>
        <v>4783.0374513424667</v>
      </c>
      <c r="Q193" s="8">
        <f t="shared" si="168"/>
        <v>8558.4778248657531</v>
      </c>
      <c r="R193" s="8">
        <f t="shared" si="168"/>
        <v>10931.457055279452</v>
      </c>
      <c r="S193" s="8">
        <f t="shared" si="168"/>
        <v>15540.224814060279</v>
      </c>
      <c r="U193" s="1032">
        <f t="shared" si="152"/>
        <v>39813.197145547951</v>
      </c>
      <c r="V193" s="895">
        <v>42406.118318322377</v>
      </c>
      <c r="Y193" s="1057" t="s">
        <v>797</v>
      </c>
      <c r="Z193" s="1057">
        <f>+Z179/Z186-1</f>
        <v>8.9363508410933434E-6</v>
      </c>
      <c r="AA193" s="1054">
        <f t="shared" ref="AA193:AC193" si="169">+AA179/AA186-1</f>
        <v>1.5205574131844646E-3</v>
      </c>
      <c r="AB193" s="1054">
        <f t="shared" ca="1" si="169"/>
        <v>8.8750077523506832E-2</v>
      </c>
      <c r="AC193" s="1054">
        <f t="shared" ca="1" si="169"/>
        <v>8.128703730431841E-2</v>
      </c>
      <c r="AF193" s="1162">
        <f t="shared" ref="AF193:AP193" si="170">I196</f>
        <v>10829.614</v>
      </c>
      <c r="AG193" s="1162">
        <f t="shared" si="170"/>
        <v>19061.159999999996</v>
      </c>
      <c r="AH193" s="1162">
        <f t="shared" si="170"/>
        <v>12341.49</v>
      </c>
      <c r="AI193" s="1162">
        <f t="shared" si="170"/>
        <v>13369.14</v>
      </c>
      <c r="AJ193" s="1162">
        <f t="shared" si="170"/>
        <v>50030</v>
      </c>
      <c r="AK193" s="1162">
        <f t="shared" si="170"/>
        <v>26701.600000000002</v>
      </c>
      <c r="AL193" s="1162">
        <f t="shared" si="170"/>
        <v>35188.9</v>
      </c>
      <c r="AM193" s="1162">
        <f t="shared" ca="1" si="170"/>
        <v>86181.157938849108</v>
      </c>
      <c r="AN193" s="1162">
        <f t="shared" ca="1" si="170"/>
        <v>111748.78526770958</v>
      </c>
      <c r="AO193" s="1162">
        <f t="shared" ca="1" si="170"/>
        <v>103508.34180093481</v>
      </c>
      <c r="AP193" s="1162">
        <f t="shared" ca="1" si="170"/>
        <v>97673.322368321271</v>
      </c>
      <c r="AQ193" s="1163">
        <f t="shared" ca="1" si="148"/>
        <v>399111.60737581481</v>
      </c>
    </row>
    <row r="194" spans="2:43" ht="12" customHeight="1" x14ac:dyDescent="0.25">
      <c r="B194" s="6" t="s">
        <v>431</v>
      </c>
      <c r="C194" s="7"/>
      <c r="D194" s="7"/>
      <c r="E194" s="7"/>
      <c r="F194" s="7"/>
      <c r="G194" s="122">
        <f>-G166</f>
        <v>0</v>
      </c>
      <c r="H194" s="122">
        <f t="shared" si="166"/>
        <v>0</v>
      </c>
      <c r="I194" s="122">
        <f t="shared" si="166"/>
        <v>0</v>
      </c>
      <c r="J194" s="122">
        <f t="shared" si="166"/>
        <v>0</v>
      </c>
      <c r="K194" s="122">
        <f t="shared" si="166"/>
        <v>0</v>
      </c>
      <c r="L194" s="122">
        <f t="shared" si="166"/>
        <v>0</v>
      </c>
      <c r="M194" s="122">
        <f t="shared" si="166"/>
        <v>0</v>
      </c>
      <c r="N194" s="123">
        <f t="shared" si="166"/>
        <v>1155</v>
      </c>
      <c r="O194" s="123">
        <f t="shared" ref="O194" si="171">-O166</f>
        <v>1680</v>
      </c>
      <c r="P194" s="8">
        <f t="shared" ref="P194:S194" ca="1" si="172">-P166</f>
        <v>1914.9971545308392</v>
      </c>
      <c r="Q194" s="8">
        <f t="shared" ca="1" si="172"/>
        <v>2806.627587870064</v>
      </c>
      <c r="R194" s="8">
        <f t="shared" ca="1" si="172"/>
        <v>2933.4510449417621</v>
      </c>
      <c r="S194" s="8">
        <f t="shared" ca="1" si="172"/>
        <v>3353.8289208161523</v>
      </c>
      <c r="U194" s="1032">
        <f t="shared" ca="1" si="152"/>
        <v>11008.904708158818</v>
      </c>
      <c r="V194" s="895">
        <v>11226.131937106249</v>
      </c>
      <c r="Y194" s="1057" t="s">
        <v>34</v>
      </c>
      <c r="Z194" s="1057">
        <f t="shared" ref="Z194:AC197" si="173">+Z180/Z187-1</f>
        <v>-8.8409512863929507E-6</v>
      </c>
      <c r="AA194" s="1054">
        <f t="shared" si="173"/>
        <v>1.7678327144811323E-2</v>
      </c>
      <c r="AB194" s="1054">
        <f t="shared" ca="1" si="173"/>
        <v>-7.5990051215062415E-3</v>
      </c>
      <c r="AC194" s="1054">
        <f t="shared" ca="1" si="173"/>
        <v>4.0612024694396176E-2</v>
      </c>
      <c r="AF194" s="1162"/>
      <c r="AG194" s="1162"/>
      <c r="AH194" s="1162"/>
      <c r="AI194" s="1162"/>
      <c r="AJ194" s="1162"/>
      <c r="AK194" s="1162"/>
      <c r="AL194" s="1162"/>
      <c r="AM194" s="1162"/>
      <c r="AN194" s="1162"/>
      <c r="AO194" s="1162"/>
      <c r="AP194" s="1162"/>
      <c r="AQ194" s="1163"/>
    </row>
    <row r="195" spans="2:43" ht="12" customHeight="1" x14ac:dyDescent="0.25">
      <c r="B195" s="6" t="s">
        <v>111</v>
      </c>
      <c r="C195" s="7"/>
      <c r="D195" s="7"/>
      <c r="E195" s="7"/>
      <c r="F195" s="7"/>
      <c r="G195" s="7">
        <f>-G167-G164</f>
        <v>65.543000000000006</v>
      </c>
      <c r="H195" s="7">
        <f t="shared" ref="H195:N195" si="174">-H167-H164</f>
        <v>3.7109999999999999</v>
      </c>
      <c r="I195" s="122">
        <f t="shared" si="174"/>
        <v>0</v>
      </c>
      <c r="J195" s="122">
        <f t="shared" si="174"/>
        <v>0</v>
      </c>
      <c r="K195" s="7">
        <f t="shared" si="174"/>
        <v>7.8</v>
      </c>
      <c r="L195" s="7">
        <f t="shared" si="174"/>
        <v>143.68</v>
      </c>
      <c r="M195" s="7">
        <f t="shared" si="174"/>
        <v>496</v>
      </c>
      <c r="N195" s="7">
        <f t="shared" si="174"/>
        <v>279.40000000000003</v>
      </c>
      <c r="O195" s="7">
        <f t="shared" ref="O195" si="175">-O167-O164</f>
        <v>79.400000000000006</v>
      </c>
      <c r="P195" s="8">
        <f t="shared" ref="P195:S195" si="176">-P167-P164</f>
        <v>0</v>
      </c>
      <c r="Q195" s="8">
        <f t="shared" si="176"/>
        <v>0</v>
      </c>
      <c r="R195" s="8">
        <f t="shared" si="176"/>
        <v>0</v>
      </c>
      <c r="S195" s="8">
        <f t="shared" si="176"/>
        <v>0</v>
      </c>
      <c r="U195" s="1032">
        <f t="shared" si="152"/>
        <v>0</v>
      </c>
      <c r="V195" s="895">
        <v>0</v>
      </c>
      <c r="Y195" s="1057" t="s">
        <v>798</v>
      </c>
      <c r="Z195" s="1057">
        <f t="shared" si="173"/>
        <v>-4.7878707274917609E-4</v>
      </c>
      <c r="AA195" s="1054">
        <f t="shared" si="173"/>
        <v>9.0818759936406313E-3</v>
      </c>
      <c r="AB195" s="1054">
        <f t="shared" ca="1" si="173"/>
        <v>3.6041520086993462E-3</v>
      </c>
      <c r="AC195" s="1054">
        <f t="shared" ca="1" si="173"/>
        <v>6.4791820402156919E-3</v>
      </c>
      <c r="AF195" s="1162">
        <f t="shared" ref="AF195:AP195" si="177">I198</f>
        <v>1064.0350000000017</v>
      </c>
      <c r="AG195" s="1162">
        <f t="shared" si="177"/>
        <v>-57.489999999997963</v>
      </c>
      <c r="AH195" s="1162">
        <f t="shared" si="177"/>
        <v>3774.6100000000006</v>
      </c>
      <c r="AI195" s="1162">
        <f t="shared" si="177"/>
        <v>898.72999999999593</v>
      </c>
      <c r="AJ195" s="1162">
        <f t="shared" si="177"/>
        <v>1024.0999999999985</v>
      </c>
      <c r="AK195" s="1162">
        <f t="shared" si="177"/>
        <v>-1177.8000000000065</v>
      </c>
      <c r="AL195" s="1162">
        <f t="shared" si="177"/>
        <v>1865.0000000000073</v>
      </c>
      <c r="AM195" s="1162">
        <f t="shared" ca="1" si="177"/>
        <v>53047.856098292352</v>
      </c>
      <c r="AN195" s="1162">
        <f t="shared" ca="1" si="177"/>
        <v>-30076.033629238344</v>
      </c>
      <c r="AO195" s="1162">
        <f t="shared" ca="1" si="177"/>
        <v>-38756.006162900754</v>
      </c>
      <c r="AP195" s="1162">
        <f t="shared" ca="1" si="177"/>
        <v>-4082.7904699242499</v>
      </c>
      <c r="AQ195" s="1161">
        <f ca="1">SUM(AM195:AP195)</f>
        <v>-19866.974163770996</v>
      </c>
    </row>
    <row r="196" spans="2:43" ht="12" customHeight="1" x14ac:dyDescent="0.25">
      <c r="B196" s="6" t="s">
        <v>159</v>
      </c>
      <c r="C196" s="7"/>
      <c r="D196" s="7"/>
      <c r="E196" s="7"/>
      <c r="F196" s="7"/>
      <c r="G196" s="10">
        <f>SUM(G188:G195)</f>
        <v>13293.019</v>
      </c>
      <c r="H196" s="10">
        <f t="shared" ref="H196:N196" si="178">SUM(H188:H195)</f>
        <v>9840.3630000000012</v>
      </c>
      <c r="I196" s="10">
        <f t="shared" si="178"/>
        <v>10829.614</v>
      </c>
      <c r="J196" s="10">
        <f t="shared" si="178"/>
        <v>19061.159999999996</v>
      </c>
      <c r="K196" s="10">
        <f t="shared" si="178"/>
        <v>12341.49</v>
      </c>
      <c r="L196" s="10">
        <f t="shared" si="178"/>
        <v>13369.14</v>
      </c>
      <c r="M196" s="10">
        <f t="shared" si="178"/>
        <v>50030</v>
      </c>
      <c r="N196" s="10">
        <f t="shared" si="178"/>
        <v>26701.600000000002</v>
      </c>
      <c r="O196" s="10">
        <f t="shared" ref="O196" si="179">SUM(O188:O195)</f>
        <v>35188.9</v>
      </c>
      <c r="P196" s="5">
        <f t="shared" ref="P196:S196" ca="1" si="180">SUM(P188:P195)</f>
        <v>86181.157938849108</v>
      </c>
      <c r="Q196" s="5">
        <f t="shared" ca="1" si="180"/>
        <v>111748.78526770958</v>
      </c>
      <c r="R196" s="5">
        <f t="shared" ca="1" si="180"/>
        <v>103508.34180093481</v>
      </c>
      <c r="S196" s="5">
        <f t="shared" ca="1" si="180"/>
        <v>97673.322368321271</v>
      </c>
      <c r="U196" s="1033">
        <f t="shared" ca="1" si="152"/>
        <v>399111.60737581481</v>
      </c>
      <c r="V196" s="895">
        <v>396371.85831482231</v>
      </c>
      <c r="Y196" s="1057" t="s">
        <v>1823</v>
      </c>
      <c r="Z196" s="1057">
        <f t="shared" si="173"/>
        <v>0</v>
      </c>
      <c r="AA196" s="1054">
        <f t="shared" si="173"/>
        <v>4.7593053802326812E-2</v>
      </c>
      <c r="AB196" s="1054">
        <f t="shared" si="173"/>
        <v>8.5527404392275574E-2</v>
      </c>
      <c r="AC196" s="1054">
        <f t="shared" si="173"/>
        <v>0.28566693664878229</v>
      </c>
      <c r="AF196" s="1162">
        <f t="shared" ref="AF196:AP197" si="181">I200</f>
        <v>-1821.5409130782264</v>
      </c>
      <c r="AG196" s="1162">
        <f t="shared" si="181"/>
        <v>-5672.4181375781463</v>
      </c>
      <c r="AH196" s="1162">
        <f t="shared" si="181"/>
        <v>9926.5569844134552</v>
      </c>
      <c r="AI196" s="1162">
        <f t="shared" si="181"/>
        <v>20687.642917451496</v>
      </c>
      <c r="AJ196" s="1162">
        <f t="shared" si="181"/>
        <v>18178.959696388472</v>
      </c>
      <c r="AK196" s="1162">
        <f t="shared" si="181"/>
        <v>2491.3732000621167</v>
      </c>
      <c r="AL196" s="1162">
        <f t="shared" si="181"/>
        <v>-1538.0372407680297</v>
      </c>
      <c r="AM196" s="1162">
        <f t="shared" ca="1" si="181"/>
        <v>-42463.231313872049</v>
      </c>
      <c r="AN196" s="1162">
        <f t="shared" ca="1" si="181"/>
        <v>-41936.104205626682</v>
      </c>
      <c r="AO196" s="1162">
        <f t="shared" ca="1" si="181"/>
        <v>-20052.391144846806</v>
      </c>
      <c r="AP196" s="1162">
        <f t="shared" ca="1" si="181"/>
        <v>10443.206102927463</v>
      </c>
      <c r="AQ196" s="1161">
        <f ca="1">SUM(AM196:AP196)</f>
        <v>-94008.520561418074</v>
      </c>
    </row>
    <row r="197" spans="2:43" ht="12" customHeight="1" x14ac:dyDescent="0.25">
      <c r="B197" s="6"/>
      <c r="C197" s="7"/>
      <c r="D197" s="7"/>
      <c r="E197" s="7"/>
      <c r="F197" s="7"/>
      <c r="G197" s="7"/>
      <c r="H197" s="7"/>
      <c r="I197" s="7"/>
      <c r="J197" s="7"/>
      <c r="K197" s="7"/>
      <c r="L197" s="7"/>
      <c r="M197" s="7"/>
      <c r="N197" s="7"/>
      <c r="O197" s="7"/>
      <c r="P197" s="8"/>
      <c r="Q197" s="8"/>
      <c r="R197" s="8"/>
      <c r="S197" s="8"/>
      <c r="Y197" s="1057" t="s">
        <v>207</v>
      </c>
      <c r="Z197" s="1057">
        <f t="shared" si="173"/>
        <v>-0.21864157600705669</v>
      </c>
      <c r="AA197" s="1054">
        <f t="shared" si="173"/>
        <v>1.1763475714958727E-3</v>
      </c>
      <c r="AB197" s="1054">
        <f t="shared" si="173"/>
        <v>1.4602149111719198E-2</v>
      </c>
      <c r="AC197" s="1054">
        <f t="shared" si="173"/>
        <v>0.26369161398366248</v>
      </c>
      <c r="AF197" s="1162">
        <f t="shared" si="181"/>
        <v>-2361.5409999999988</v>
      </c>
      <c r="AG197" s="1162">
        <f t="shared" si="181"/>
        <v>-945.00000000000227</v>
      </c>
      <c r="AH197" s="1162">
        <f t="shared" si="181"/>
        <v>6129.3</v>
      </c>
      <c r="AI197" s="1162">
        <f t="shared" si="181"/>
        <v>3841.0199999999977</v>
      </c>
      <c r="AJ197" s="1162">
        <f t="shared" si="181"/>
        <v>12234.1</v>
      </c>
      <c r="AK197" s="1162">
        <f t="shared" si="181"/>
        <v>-3123.0000000000077</v>
      </c>
      <c r="AL197" s="1162">
        <f t="shared" si="181"/>
        <v>-1230.6999999999957</v>
      </c>
      <c r="AM197" s="1162">
        <f t="shared" ca="1" si="181"/>
        <v>-11817.646747176839</v>
      </c>
      <c r="AN197" s="1162">
        <f t="shared" ca="1" si="181"/>
        <v>-27269.406041368275</v>
      </c>
      <c r="AO197" s="1162">
        <f t="shared" ca="1" si="181"/>
        <v>-35822.555117959011</v>
      </c>
      <c r="AP197" s="1162">
        <f t="shared" ca="1" si="181"/>
        <v>-728.96154910809491</v>
      </c>
      <c r="AQ197" s="1161">
        <f ca="1">SUM(AM197:AP197)</f>
        <v>-75638.569455612218</v>
      </c>
    </row>
    <row r="198" spans="2:43" ht="12" customHeight="1" x14ac:dyDescent="0.25">
      <c r="B198" s="6" t="s">
        <v>160</v>
      </c>
      <c r="C198" s="7"/>
      <c r="D198" s="7"/>
      <c r="E198" s="7"/>
      <c r="F198" s="7"/>
      <c r="G198" s="7">
        <f>G185-G196</f>
        <v>412.74399999999878</v>
      </c>
      <c r="H198" s="7">
        <f t="shared" ref="H198:N198" si="182">H185-H196</f>
        <v>-269.77000000000044</v>
      </c>
      <c r="I198" s="7">
        <f t="shared" si="182"/>
        <v>1064.0350000000017</v>
      </c>
      <c r="J198" s="7">
        <f t="shared" si="182"/>
        <v>-57.489999999997963</v>
      </c>
      <c r="K198" s="7">
        <f t="shared" si="182"/>
        <v>3774.6100000000006</v>
      </c>
      <c r="L198" s="7">
        <f t="shared" si="182"/>
        <v>898.72999999999593</v>
      </c>
      <c r="M198" s="7">
        <f t="shared" si="182"/>
        <v>1024.0999999999985</v>
      </c>
      <c r="N198" s="7">
        <f t="shared" si="182"/>
        <v>-1177.8000000000065</v>
      </c>
      <c r="O198" s="7">
        <f t="shared" ref="O198" si="183">O185-O196</f>
        <v>1865.0000000000073</v>
      </c>
      <c r="P198" s="8">
        <f t="shared" ref="P198:S198" ca="1" si="184">P185-P196</f>
        <v>53047.856098292352</v>
      </c>
      <c r="Q198" s="8">
        <f t="shared" ca="1" si="184"/>
        <v>-30076.033629238344</v>
      </c>
      <c r="R198" s="8">
        <f t="shared" ca="1" si="184"/>
        <v>-38756.006162900754</v>
      </c>
      <c r="S198" s="8">
        <f t="shared" ca="1" si="184"/>
        <v>-4082.7904699242499</v>
      </c>
      <c r="U198" s="33">
        <f ca="1">SUM(N198:S198)</f>
        <v>-19179.774163770999</v>
      </c>
    </row>
    <row r="199" spans="2:43" ht="12" customHeight="1" x14ac:dyDescent="0.25">
      <c r="B199" s="6" t="s">
        <v>161</v>
      </c>
      <c r="C199" s="7"/>
      <c r="D199" s="7"/>
      <c r="E199" s="7"/>
      <c r="F199" s="7"/>
      <c r="G199" s="7">
        <f>G179-G188-G189</f>
        <v>5999.0079999999989</v>
      </c>
      <c r="H199" s="7">
        <f t="shared" ref="H199:N199" si="185">H179-H188-H189</f>
        <v>3280.2129999999993</v>
      </c>
      <c r="I199" s="7">
        <f t="shared" si="185"/>
        <v>2587.0430000000006</v>
      </c>
      <c r="J199" s="7">
        <f t="shared" si="185"/>
        <v>9901.8799999999992</v>
      </c>
      <c r="K199" s="7">
        <f t="shared" si="185"/>
        <v>11762.300000000001</v>
      </c>
      <c r="L199" s="7">
        <f t="shared" si="185"/>
        <v>17972.269999999997</v>
      </c>
      <c r="M199" s="7">
        <f t="shared" si="185"/>
        <v>18032.099999999999</v>
      </c>
      <c r="N199" s="7">
        <f t="shared" si="185"/>
        <v>21004.399999999994</v>
      </c>
      <c r="O199" s="7">
        <f t="shared" ref="O199" si="186">O179-O188-O189</f>
        <v>20215.000000000004</v>
      </c>
      <c r="P199" s="8">
        <f t="shared" ref="P199:S199" ca="1" si="187">P179-P188-P189</f>
        <v>26194.516060887494</v>
      </c>
      <c r="Q199" s="8">
        <f t="shared" ca="1" si="187"/>
        <v>40450.407946958199</v>
      </c>
      <c r="R199" s="8">
        <f t="shared" ca="1" si="187"/>
        <v>52369.077639106952</v>
      </c>
      <c r="S199" s="8">
        <f t="shared" ca="1" si="187"/>
        <v>65588.284876996258</v>
      </c>
      <c r="Y199" s="2" t="s">
        <v>1512</v>
      </c>
      <c r="Z199" s="2">
        <f>Z180/Z179</f>
        <v>0.50538633733529337</v>
      </c>
      <c r="AA199" s="244">
        <f t="shared" ref="AA199:AC199" si="188">AA180/AA179</f>
        <v>0.48564005192634813</v>
      </c>
      <c r="AB199" s="244">
        <f t="shared" ca="1" si="188"/>
        <v>0.40489103350763284</v>
      </c>
      <c r="AC199" s="244">
        <f t="shared" ca="1" si="188"/>
        <v>0.43653528913894879</v>
      </c>
    </row>
    <row r="200" spans="2:43" ht="12" customHeight="1" x14ac:dyDescent="0.25">
      <c r="B200" s="6" t="s">
        <v>896</v>
      </c>
      <c r="C200" s="7"/>
      <c r="D200" s="7"/>
      <c r="E200" s="7"/>
      <c r="F200" s="7"/>
      <c r="G200" s="7">
        <f>G141+(G32*(1-G42))-G190</f>
        <v>-2412.698823304856</v>
      </c>
      <c r="H200" s="7">
        <f t="shared" ref="H200:S200" si="189">H141+(H32*(1-H42))-H190</f>
        <v>-541.30328877348074</v>
      </c>
      <c r="I200" s="7">
        <f t="shared" si="189"/>
        <v>-1821.5409130782264</v>
      </c>
      <c r="J200" s="7">
        <f t="shared" si="189"/>
        <v>-5672.4181375781463</v>
      </c>
      <c r="K200" s="7">
        <f t="shared" si="189"/>
        <v>9926.5569844134552</v>
      </c>
      <c r="L200" s="7">
        <f t="shared" si="189"/>
        <v>20687.642917451496</v>
      </c>
      <c r="M200" s="7">
        <f t="shared" si="189"/>
        <v>18178.959696388472</v>
      </c>
      <c r="N200" s="7">
        <f t="shared" si="189"/>
        <v>2491.3732000621167</v>
      </c>
      <c r="O200" s="7">
        <f t="shared" ref="O200" si="190">O141+(O32*(1-O42))-O190</f>
        <v>-1538.0372407680297</v>
      </c>
      <c r="P200" s="8">
        <f t="shared" ca="1" si="189"/>
        <v>-42463.231313872049</v>
      </c>
      <c r="Q200" s="8">
        <f t="shared" ca="1" si="189"/>
        <v>-41936.104205626682</v>
      </c>
      <c r="R200" s="8">
        <f t="shared" ca="1" si="189"/>
        <v>-20052.391144846806</v>
      </c>
      <c r="S200" s="8">
        <f t="shared" ca="1" si="189"/>
        <v>10443.206102927463</v>
      </c>
      <c r="Y200" s="2" t="s">
        <v>1825</v>
      </c>
      <c r="Z200" s="2">
        <f>Z181/Z179</f>
        <v>0.33579825474627684</v>
      </c>
      <c r="AA200" s="244">
        <f t="shared" ref="AA200:AC200" si="191">AA181/AA179</f>
        <v>0.28412329523411617</v>
      </c>
      <c r="AB200" s="244">
        <f t="shared" ca="1" si="191"/>
        <v>0.21880070157727269</v>
      </c>
      <c r="AC200" s="244">
        <f t="shared" ca="1" si="191"/>
        <v>0.21522044329037959</v>
      </c>
      <c r="AK200" s="33"/>
    </row>
    <row r="201" spans="2:43" ht="12" customHeight="1" x14ac:dyDescent="0.25">
      <c r="B201" s="6" t="s">
        <v>895</v>
      </c>
      <c r="C201" s="7"/>
      <c r="D201" s="7"/>
      <c r="E201" s="7"/>
      <c r="F201" s="7"/>
      <c r="G201" s="7">
        <f>G141-G190+G182-G124</f>
        <v>-3166.6890000000008</v>
      </c>
      <c r="H201" s="7">
        <f t="shared" ref="H201:S201" si="192">H141-H190+H182-H124</f>
        <v>-1385.7240000000008</v>
      </c>
      <c r="I201" s="7">
        <f t="shared" si="192"/>
        <v>-2361.5409999999988</v>
      </c>
      <c r="J201" s="7">
        <f t="shared" si="192"/>
        <v>-945.00000000000227</v>
      </c>
      <c r="K201" s="7">
        <f t="shared" si="192"/>
        <v>6129.3</v>
      </c>
      <c r="L201" s="7">
        <f t="shared" si="192"/>
        <v>3841.0199999999977</v>
      </c>
      <c r="M201" s="7">
        <f t="shared" si="192"/>
        <v>12234.1</v>
      </c>
      <c r="N201" s="7">
        <f t="shared" si="192"/>
        <v>-3123.0000000000077</v>
      </c>
      <c r="O201" s="7">
        <f t="shared" ref="O201" si="193">O141-O190+O182-O124</f>
        <v>-1230.6999999999957</v>
      </c>
      <c r="P201" s="8">
        <f t="shared" ca="1" si="192"/>
        <v>-11817.646747176839</v>
      </c>
      <c r="Q201" s="8">
        <f t="shared" ca="1" si="192"/>
        <v>-27269.406041368275</v>
      </c>
      <c r="R201" s="8">
        <f t="shared" ca="1" si="192"/>
        <v>-35822.555117959011</v>
      </c>
      <c r="S201" s="8">
        <f t="shared" ca="1" si="192"/>
        <v>-728.96154910809491</v>
      </c>
      <c r="U201" s="442"/>
    </row>
    <row r="202" spans="2:43" ht="12" customHeight="1" x14ac:dyDescent="0.25">
      <c r="B202" s="6" t="s">
        <v>163</v>
      </c>
      <c r="C202" s="7"/>
      <c r="D202" s="7"/>
      <c r="E202" s="7"/>
      <c r="F202" s="7"/>
      <c r="G202" s="7">
        <f>G175</f>
        <v>772.73499999999876</v>
      </c>
      <c r="H202" s="7">
        <f t="shared" ref="H202:N202" si="194">H175</f>
        <v>502.96499999999958</v>
      </c>
      <c r="I202" s="7">
        <f t="shared" si="194"/>
        <v>1571.0130000000008</v>
      </c>
      <c r="J202" s="7">
        <f t="shared" si="194"/>
        <v>1513.5229999999983</v>
      </c>
      <c r="K202" s="7">
        <f t="shared" si="194"/>
        <v>5288.1329999999998</v>
      </c>
      <c r="L202" s="7">
        <f t="shared" si="194"/>
        <v>6186.8799999999956</v>
      </c>
      <c r="M202" s="7">
        <f t="shared" si="194"/>
        <v>7233.8999999999978</v>
      </c>
      <c r="N202" s="7">
        <f t="shared" si="194"/>
        <v>6056.0999999999904</v>
      </c>
      <c r="O202" s="7">
        <f t="shared" ref="O202" si="195">O175</f>
        <v>7977.5000000000055</v>
      </c>
      <c r="P202" s="8">
        <f t="shared" ref="P202:S202" ca="1" si="196">P175</f>
        <v>76224.856098292337</v>
      </c>
      <c r="Q202" s="8">
        <f t="shared" ca="1" si="196"/>
        <v>46148.822469053994</v>
      </c>
      <c r="R202" s="8">
        <f t="shared" ca="1" si="196"/>
        <v>7392.816306153225</v>
      </c>
      <c r="S202" s="8">
        <f t="shared" ca="1" si="196"/>
        <v>3310.0258362289778</v>
      </c>
      <c r="U202" s="442" t="s">
        <v>849</v>
      </c>
      <c r="Y202" s="2" t="s">
        <v>1512</v>
      </c>
      <c r="Z202" s="2">
        <f>Z187/Z186</f>
        <v>0.50539532182033464</v>
      </c>
      <c r="AA202" s="244">
        <f t="shared" ref="AA202:AC202" si="197">AA187/AA186</f>
        <v>0.47792950142902507</v>
      </c>
      <c r="AB202" s="244">
        <f t="shared" si="197"/>
        <v>0.44420062695924767</v>
      </c>
      <c r="AC202" s="244">
        <f t="shared" si="197"/>
        <v>0.45359840004775975</v>
      </c>
    </row>
    <row r="203" spans="2:43" ht="12" customHeight="1" x14ac:dyDescent="0.25">
      <c r="C203" s="33"/>
      <c r="D203" s="33"/>
      <c r="E203" s="33"/>
      <c r="F203" s="33"/>
      <c r="G203" s="33"/>
      <c r="H203" s="33"/>
      <c r="I203" s="33"/>
      <c r="J203" s="33"/>
      <c r="K203" s="33"/>
      <c r="L203" s="33"/>
      <c r="M203" s="33"/>
      <c r="N203" s="33"/>
      <c r="O203" s="33"/>
      <c r="P203" s="33"/>
      <c r="Q203" s="33"/>
      <c r="R203" s="33"/>
      <c r="S203" s="33"/>
      <c r="U203" s="442" t="s">
        <v>848</v>
      </c>
      <c r="Y203" s="2" t="s">
        <v>1825</v>
      </c>
      <c r="Z203" s="2">
        <f>Z188/Z186</f>
        <v>0.33596210987243358</v>
      </c>
      <c r="AA203" s="244">
        <f t="shared" ref="AA203:AC203" si="198">AA188/AA186</f>
        <v>0.2819942838996507</v>
      </c>
      <c r="AB203" s="244">
        <f t="shared" si="198"/>
        <v>0.23736378563964772</v>
      </c>
      <c r="AC203" s="244">
        <f t="shared" si="198"/>
        <v>0.23121697859765381</v>
      </c>
    </row>
    <row r="204" spans="2:43" ht="12" customHeight="1" x14ac:dyDescent="0.25">
      <c r="B204" s="3" t="s">
        <v>164</v>
      </c>
      <c r="C204" s="30"/>
      <c r="D204" s="30"/>
      <c r="E204" s="30"/>
      <c r="F204" s="30"/>
      <c r="G204" s="30"/>
      <c r="H204" s="30"/>
      <c r="I204" s="30"/>
      <c r="J204" s="30"/>
      <c r="K204" s="30"/>
      <c r="L204" s="30"/>
      <c r="M204" s="30"/>
      <c r="N204" s="30"/>
      <c r="O204" s="30"/>
      <c r="P204" s="223"/>
      <c r="Q204" s="223"/>
      <c r="R204" s="223"/>
      <c r="S204" s="223"/>
    </row>
    <row r="205" spans="2:43" ht="12" customHeight="1" x14ac:dyDescent="0.2">
      <c r="B205" s="35"/>
      <c r="C205" s="7"/>
      <c r="D205" s="7"/>
      <c r="E205" s="7"/>
      <c r="F205" s="7"/>
      <c r="G205" s="7"/>
      <c r="H205" s="7"/>
      <c r="I205" s="7"/>
      <c r="J205" s="7"/>
      <c r="K205" s="7"/>
      <c r="L205" s="7"/>
      <c r="M205" s="7"/>
      <c r="N205" s="7"/>
      <c r="O205" s="7"/>
      <c r="P205" s="8"/>
      <c r="Q205" s="8"/>
      <c r="R205" s="8"/>
      <c r="S205" s="8"/>
    </row>
    <row r="206" spans="2:43" ht="12" customHeight="1" x14ac:dyDescent="0.2">
      <c r="B206" s="35" t="s">
        <v>1638</v>
      </c>
      <c r="C206" s="7"/>
      <c r="D206" s="7"/>
      <c r="E206" s="7"/>
      <c r="F206" s="7"/>
      <c r="G206" s="7"/>
      <c r="H206" s="7"/>
      <c r="I206" s="7"/>
      <c r="J206" s="7"/>
      <c r="K206" s="7"/>
      <c r="L206" s="7"/>
      <c r="M206" s="7"/>
      <c r="N206" s="7"/>
      <c r="O206" s="7"/>
      <c r="P206" s="933">
        <f>Valuation!C101</f>
        <v>6660</v>
      </c>
      <c r="Q206" s="933"/>
      <c r="R206" s="933"/>
      <c r="S206" s="933"/>
    </row>
    <row r="207" spans="2:43" ht="12" customHeight="1" x14ac:dyDescent="0.2">
      <c r="B207" s="35"/>
      <c r="C207" s="7"/>
      <c r="D207" s="7"/>
      <c r="E207" s="7"/>
      <c r="F207" s="7"/>
      <c r="G207" s="7"/>
      <c r="H207" s="7"/>
      <c r="I207" s="7"/>
      <c r="J207" s="7"/>
      <c r="K207" s="7"/>
      <c r="L207" s="7"/>
      <c r="M207" s="7"/>
      <c r="N207" s="7"/>
      <c r="O207" s="7"/>
      <c r="P207" s="8"/>
      <c r="Q207" s="8"/>
      <c r="R207" s="8"/>
      <c r="S207" s="8"/>
    </row>
    <row r="208" spans="2:43" ht="12" customHeight="1" x14ac:dyDescent="0.25">
      <c r="B208" s="6" t="s">
        <v>165</v>
      </c>
      <c r="C208" s="7"/>
      <c r="D208" s="7"/>
      <c r="E208" s="7"/>
      <c r="F208" s="7"/>
      <c r="G208" s="7">
        <f t="shared" ref="G208:N208" si="199">G103/G16*365</f>
        <v>18.262697005571425</v>
      </c>
      <c r="H208" s="7">
        <f t="shared" si="199"/>
        <v>25.629262283290636</v>
      </c>
      <c r="I208" s="7">
        <f t="shared" si="199"/>
        <v>39.96079151093042</v>
      </c>
      <c r="J208" s="7">
        <f t="shared" si="199"/>
        <v>22.567776097153196</v>
      </c>
      <c r="K208" s="7">
        <f t="shared" si="199"/>
        <v>13.714203081768058</v>
      </c>
      <c r="L208" s="7">
        <f t="shared" si="199"/>
        <v>11.671811999951419</v>
      </c>
      <c r="M208" s="7">
        <f t="shared" si="199"/>
        <v>10.83877020056393</v>
      </c>
      <c r="N208" s="7">
        <f t="shared" si="199"/>
        <v>10.91051665050691</v>
      </c>
      <c r="O208" s="7">
        <f t="shared" ref="O208" si="200">O103/O16*365</f>
        <v>10.030038571726998</v>
      </c>
      <c r="P208" s="8">
        <f t="shared" ref="P208:S210" si="201">O208</f>
        <v>10.030038571726998</v>
      </c>
      <c r="Q208" s="8">
        <f t="shared" si="201"/>
        <v>10.030038571726998</v>
      </c>
      <c r="R208" s="8">
        <f t="shared" si="201"/>
        <v>10.030038571726998</v>
      </c>
      <c r="S208" s="8">
        <f t="shared" si="201"/>
        <v>10.030038571726998</v>
      </c>
    </row>
    <row r="209" spans="2:21" ht="12" customHeight="1" x14ac:dyDescent="0.25">
      <c r="B209" s="6" t="s">
        <v>166</v>
      </c>
      <c r="C209" s="7"/>
      <c r="D209" s="7"/>
      <c r="E209" s="7"/>
      <c r="F209" s="7"/>
      <c r="G209" s="7">
        <f t="shared" ref="G209:N209" si="202">G104/G16*365</f>
        <v>107.614180173082</v>
      </c>
      <c r="H209" s="7">
        <f t="shared" si="202"/>
        <v>131.94197148057475</v>
      </c>
      <c r="I209" s="7">
        <f t="shared" si="202"/>
        <v>160.34570364764653</v>
      </c>
      <c r="J209" s="7">
        <f t="shared" si="202"/>
        <v>109.66498822471478</v>
      </c>
      <c r="K209" s="7">
        <f t="shared" si="202"/>
        <v>96.561921319413315</v>
      </c>
      <c r="L209" s="7">
        <f t="shared" si="202"/>
        <v>45.971127036457055</v>
      </c>
      <c r="M209" s="7">
        <f t="shared" si="202"/>
        <v>65.648570646497774</v>
      </c>
      <c r="N209" s="7">
        <f t="shared" si="202"/>
        <v>65.971115738113639</v>
      </c>
      <c r="O209" s="7">
        <f t="shared" ref="O209" si="203">O104/O16*365</f>
        <v>72.0266103882539</v>
      </c>
      <c r="P209" s="229">
        <f>O209</f>
        <v>72.0266103882539</v>
      </c>
      <c r="Q209" s="229">
        <f t="shared" si="201"/>
        <v>72.0266103882539</v>
      </c>
      <c r="R209" s="229">
        <f>Q209-3</f>
        <v>69.0266103882539</v>
      </c>
      <c r="S209" s="229">
        <f>R209-3</f>
        <v>66.0266103882539</v>
      </c>
    </row>
    <row r="210" spans="2:21" ht="12" customHeight="1" x14ac:dyDescent="0.25">
      <c r="B210" s="6" t="s">
        <v>167</v>
      </c>
      <c r="C210" s="7"/>
      <c r="D210" s="7"/>
      <c r="E210" s="7"/>
      <c r="F210" s="7"/>
      <c r="G210" s="7">
        <f t="shared" ref="G210:N210" si="204">G110/G16*365</f>
        <v>56.960734444144329</v>
      </c>
      <c r="H210" s="7">
        <f t="shared" si="204"/>
        <v>2.4426133629657003</v>
      </c>
      <c r="I210" s="7">
        <f t="shared" si="204"/>
        <v>25.501189131425377</v>
      </c>
      <c r="J210" s="7">
        <f t="shared" si="204"/>
        <v>48.969533924451717</v>
      </c>
      <c r="K210" s="7">
        <f t="shared" si="204"/>
        <v>44.124997998292002</v>
      </c>
      <c r="L210" s="7">
        <f t="shared" si="204"/>
        <v>34.45618071657546</v>
      </c>
      <c r="M210" s="7">
        <f t="shared" si="204"/>
        <v>34.553308760022219</v>
      </c>
      <c r="N210" s="7">
        <f t="shared" si="204"/>
        <v>28.48802763094988</v>
      </c>
      <c r="O210" s="7">
        <f t="shared" ref="O210" si="205">O110/O16*365</f>
        <v>25.494801769673813</v>
      </c>
      <c r="P210" s="229">
        <f>O210</f>
        <v>25.494801769673813</v>
      </c>
      <c r="Q210" s="229">
        <f t="shared" si="201"/>
        <v>25.494801769673813</v>
      </c>
      <c r="R210" s="229">
        <f>Q210+3</f>
        <v>28.494801769673813</v>
      </c>
      <c r="S210" s="229">
        <f t="shared" si="201"/>
        <v>28.494801769673813</v>
      </c>
    </row>
    <row r="211" spans="2:21" ht="12" customHeight="1" x14ac:dyDescent="0.2">
      <c r="B211" s="35" t="s">
        <v>168</v>
      </c>
      <c r="C211" s="7"/>
      <c r="D211" s="7"/>
      <c r="E211" s="7"/>
      <c r="F211" s="7"/>
      <c r="G211" s="7">
        <f>G208+G209-G210</f>
        <v>68.916142734509094</v>
      </c>
      <c r="H211" s="7">
        <f t="shared" ref="H211:S211" si="206">H208+H209-H210</f>
        <v>155.12862040089971</v>
      </c>
      <c r="I211" s="7">
        <f t="shared" si="206"/>
        <v>174.80530602715157</v>
      </c>
      <c r="J211" s="7">
        <f t="shared" si="206"/>
        <v>83.263230397416237</v>
      </c>
      <c r="K211" s="7">
        <f t="shared" si="206"/>
        <v>66.151126402889375</v>
      </c>
      <c r="L211" s="7">
        <f t="shared" si="206"/>
        <v>23.186758319833018</v>
      </c>
      <c r="M211" s="7">
        <f t="shared" si="206"/>
        <v>41.934032087039483</v>
      </c>
      <c r="N211" s="7">
        <f t="shared" si="206"/>
        <v>48.393604757670666</v>
      </c>
      <c r="O211" s="7">
        <f t="shared" ref="O211" si="207">O208+O209-O210</f>
        <v>56.561847190307077</v>
      </c>
      <c r="P211" s="8">
        <f t="shared" si="206"/>
        <v>56.561847190307077</v>
      </c>
      <c r="Q211" s="8">
        <f t="shared" si="206"/>
        <v>56.561847190307077</v>
      </c>
      <c r="R211" s="8">
        <f t="shared" si="206"/>
        <v>50.561847190307077</v>
      </c>
      <c r="S211" s="8">
        <f t="shared" si="206"/>
        <v>47.561847190307077</v>
      </c>
    </row>
    <row r="212" spans="2:21" ht="12" customHeight="1" x14ac:dyDescent="0.2">
      <c r="B212" s="35"/>
      <c r="C212" s="7"/>
      <c r="D212" s="7"/>
      <c r="E212" s="7"/>
      <c r="F212" s="7"/>
      <c r="G212" s="7"/>
      <c r="H212" s="7"/>
      <c r="I212" s="7"/>
      <c r="J212" s="7"/>
      <c r="K212" s="7"/>
      <c r="L212" s="7"/>
      <c r="M212" s="7"/>
      <c r="N212" s="7"/>
      <c r="O212" s="7"/>
      <c r="P212" s="8"/>
      <c r="Q212" s="8"/>
      <c r="R212" s="8"/>
      <c r="S212" s="8"/>
    </row>
    <row r="213" spans="2:21" ht="12" customHeight="1" x14ac:dyDescent="0.25">
      <c r="B213" s="6" t="s">
        <v>169</v>
      </c>
      <c r="C213" s="7"/>
      <c r="D213" s="7"/>
      <c r="E213" s="7"/>
      <c r="F213" s="7"/>
      <c r="G213" s="7">
        <f t="shared" ref="G213:S213" si="208">AVERAGE(G103:G103)/G16*365</f>
        <v>18.262697005571425</v>
      </c>
      <c r="H213" s="7">
        <f t="shared" si="208"/>
        <v>25.629262283290636</v>
      </c>
      <c r="I213" s="7">
        <f t="shared" si="208"/>
        <v>39.96079151093042</v>
      </c>
      <c r="J213" s="7">
        <f t="shared" si="208"/>
        <v>22.567776097153196</v>
      </c>
      <c r="K213" s="7">
        <f t="shared" si="208"/>
        <v>13.714203081768058</v>
      </c>
      <c r="L213" s="7">
        <f t="shared" si="208"/>
        <v>11.671811999951419</v>
      </c>
      <c r="M213" s="7">
        <f t="shared" si="208"/>
        <v>10.83877020056393</v>
      </c>
      <c r="N213" s="7">
        <f t="shared" si="208"/>
        <v>10.91051665050691</v>
      </c>
      <c r="O213" s="7">
        <f t="shared" ref="O213" si="209">AVERAGE(O103:O103)/O16*365</f>
        <v>10.030038571726998</v>
      </c>
      <c r="P213" s="8">
        <f t="shared" ca="1" si="208"/>
        <v>7.373027887667746</v>
      </c>
      <c r="Q213" s="8">
        <f t="shared" ca="1" si="208"/>
        <v>4.9483912595284263</v>
      </c>
      <c r="R213" s="8">
        <f t="shared" ca="1" si="208"/>
        <v>3.7253209610280966</v>
      </c>
      <c r="S213" s="8">
        <f t="shared" ca="1" si="208"/>
        <v>2.8520413815497068</v>
      </c>
    </row>
    <row r="214" spans="2:21" ht="12" customHeight="1" x14ac:dyDescent="0.25">
      <c r="B214" s="6" t="s">
        <v>170</v>
      </c>
      <c r="C214" s="7"/>
      <c r="D214" s="7"/>
      <c r="E214" s="7"/>
      <c r="F214" s="7"/>
      <c r="G214" s="7">
        <f t="shared" ref="G214:S214" si="210">AVERAGE(G104:G104)/G16*365</f>
        <v>107.614180173082</v>
      </c>
      <c r="H214" s="7">
        <f t="shared" si="210"/>
        <v>131.94197148057475</v>
      </c>
      <c r="I214" s="7">
        <f t="shared" si="210"/>
        <v>160.34570364764653</v>
      </c>
      <c r="J214" s="7">
        <f t="shared" si="210"/>
        <v>109.66498822471478</v>
      </c>
      <c r="K214" s="7">
        <f t="shared" si="210"/>
        <v>96.561921319413315</v>
      </c>
      <c r="L214" s="7">
        <f t="shared" si="210"/>
        <v>45.971127036457055</v>
      </c>
      <c r="M214" s="7">
        <f t="shared" si="210"/>
        <v>65.648570646497774</v>
      </c>
      <c r="N214" s="7">
        <f t="shared" si="210"/>
        <v>65.971115738113639</v>
      </c>
      <c r="O214" s="7">
        <f t="shared" ref="O214" si="211">AVERAGE(O104:O104)/O16*365</f>
        <v>72.0266103882539</v>
      </c>
      <c r="P214" s="8">
        <f t="shared" ca="1" si="210"/>
        <v>72.026610388253886</v>
      </c>
      <c r="Q214" s="8">
        <f t="shared" ca="1" si="210"/>
        <v>72.0266103882539</v>
      </c>
      <c r="R214" s="8">
        <f t="shared" ca="1" si="210"/>
        <v>69.0266103882539</v>
      </c>
      <c r="S214" s="8">
        <f t="shared" ca="1" si="210"/>
        <v>66.0266103882539</v>
      </c>
    </row>
    <row r="215" spans="2:21" ht="12" customHeight="1" x14ac:dyDescent="0.25">
      <c r="B215" s="6" t="s">
        <v>171</v>
      </c>
      <c r="C215" s="7"/>
      <c r="D215" s="7"/>
      <c r="E215" s="7"/>
      <c r="F215" s="7"/>
      <c r="G215" s="7">
        <f t="shared" ref="G215:S215" si="212">AVERAGE(G110:G110)/G16*365</f>
        <v>56.960734444144329</v>
      </c>
      <c r="H215" s="7">
        <f t="shared" si="212"/>
        <v>2.4426133629657003</v>
      </c>
      <c r="I215" s="7">
        <f t="shared" si="212"/>
        <v>25.501189131425377</v>
      </c>
      <c r="J215" s="7">
        <f t="shared" si="212"/>
        <v>48.969533924451717</v>
      </c>
      <c r="K215" s="7">
        <f t="shared" si="212"/>
        <v>44.124997998292002</v>
      </c>
      <c r="L215" s="7">
        <f t="shared" si="212"/>
        <v>34.45618071657546</v>
      </c>
      <c r="M215" s="7">
        <f t="shared" si="212"/>
        <v>34.553308760022219</v>
      </c>
      <c r="N215" s="7">
        <f t="shared" si="212"/>
        <v>28.48802763094988</v>
      </c>
      <c r="O215" s="7">
        <f t="shared" ref="O215" si="213">AVERAGE(O110:O110)/O16*365</f>
        <v>25.494801769673813</v>
      </c>
      <c r="P215" s="8">
        <f t="shared" ca="1" si="212"/>
        <v>25.494801769673813</v>
      </c>
      <c r="Q215" s="8">
        <f t="shared" ca="1" si="212"/>
        <v>25.494801769673813</v>
      </c>
      <c r="R215" s="8">
        <f t="shared" ca="1" si="212"/>
        <v>28.49480176967381</v>
      </c>
      <c r="S215" s="8">
        <f t="shared" ca="1" si="212"/>
        <v>28.49480176967381</v>
      </c>
    </row>
    <row r="216" spans="2:21" ht="12" customHeight="1" x14ac:dyDescent="0.25">
      <c r="B216" s="6" t="s">
        <v>172</v>
      </c>
      <c r="C216" s="7"/>
      <c r="D216" s="7"/>
      <c r="E216" s="7"/>
      <c r="F216" s="7"/>
      <c r="G216" s="7">
        <f>G213+G214-G215</f>
        <v>68.916142734509094</v>
      </c>
      <c r="H216" s="7">
        <f t="shared" ref="H216:N216" si="214">H213+H214-H215</f>
        <v>155.12862040089971</v>
      </c>
      <c r="I216" s="7">
        <f t="shared" si="214"/>
        <v>174.80530602715157</v>
      </c>
      <c r="J216" s="7">
        <f t="shared" si="214"/>
        <v>83.263230397416237</v>
      </c>
      <c r="K216" s="7">
        <f t="shared" si="214"/>
        <v>66.151126402889375</v>
      </c>
      <c r="L216" s="7">
        <f t="shared" si="214"/>
        <v>23.186758319833018</v>
      </c>
      <c r="M216" s="7">
        <f t="shared" si="214"/>
        <v>41.934032087039483</v>
      </c>
      <c r="N216" s="7">
        <f t="shared" si="214"/>
        <v>48.393604757670666</v>
      </c>
      <c r="O216" s="7">
        <f t="shared" ref="O216" si="215">O213+O214-O215</f>
        <v>56.561847190307077</v>
      </c>
      <c r="P216" s="8">
        <f t="shared" ref="P216:S216" ca="1" si="216">P213+P214-P215</f>
        <v>53.904836506247818</v>
      </c>
      <c r="Q216" s="8">
        <f t="shared" ca="1" si="216"/>
        <v>51.480199878108508</v>
      </c>
      <c r="R216" s="8">
        <f t="shared" ca="1" si="216"/>
        <v>44.25712957960819</v>
      </c>
      <c r="S216" s="8">
        <f t="shared" ca="1" si="216"/>
        <v>40.383850000129797</v>
      </c>
    </row>
    <row r="217" spans="2:21" ht="12" customHeight="1" x14ac:dyDescent="0.25">
      <c r="B217" s="6"/>
      <c r="C217" s="7"/>
      <c r="D217" s="7"/>
      <c r="E217" s="7"/>
      <c r="F217" s="7"/>
      <c r="G217" s="7"/>
      <c r="H217" s="7"/>
      <c r="I217" s="7"/>
      <c r="J217" s="7"/>
      <c r="K217" s="7"/>
      <c r="L217" s="7"/>
      <c r="M217" s="7"/>
      <c r="N217" s="7"/>
      <c r="O217" s="7"/>
      <c r="P217" s="8"/>
      <c r="Q217" s="8"/>
      <c r="R217" s="8"/>
      <c r="S217" s="8"/>
    </row>
    <row r="218" spans="2:21" ht="12" customHeight="1" x14ac:dyDescent="0.25">
      <c r="B218" s="6" t="s">
        <v>173</v>
      </c>
      <c r="C218" s="7"/>
      <c r="D218" s="7"/>
      <c r="E218" s="7"/>
      <c r="F218" s="7"/>
      <c r="G218" s="7">
        <f t="shared" ref="G218:S218" si="217">G117</f>
        <v>47283.894999999997</v>
      </c>
      <c r="H218" s="7">
        <f t="shared" si="217"/>
        <v>53097.705999999998</v>
      </c>
      <c r="I218" s="7">
        <f t="shared" si="217"/>
        <v>60771.343000000001</v>
      </c>
      <c r="J218" s="7">
        <f t="shared" si="217"/>
        <v>78367.25</v>
      </c>
      <c r="K218" s="7">
        <f t="shared" si="217"/>
        <v>88369.042999999991</v>
      </c>
      <c r="L218" s="7">
        <f t="shared" si="217"/>
        <v>88848.256999999998</v>
      </c>
      <c r="M218" s="7">
        <f t="shared" si="217"/>
        <v>132103.80000000002</v>
      </c>
      <c r="N218" s="7">
        <f t="shared" si="217"/>
        <v>157761.20000000001</v>
      </c>
      <c r="O218" s="7">
        <f t="shared" ref="O218" si="218">O117</f>
        <v>188686</v>
      </c>
      <c r="P218" s="8">
        <f t="shared" ca="1" si="217"/>
        <v>309131.61232251104</v>
      </c>
      <c r="Q218" s="8">
        <f t="shared" ca="1" si="217"/>
        <v>360212.95834060753</v>
      </c>
      <c r="R218" s="8">
        <f t="shared" ca="1" si="217"/>
        <v>386390.88974714762</v>
      </c>
      <c r="S218" s="8">
        <f t="shared" ca="1" si="217"/>
        <v>428437.4102748523</v>
      </c>
    </row>
    <row r="219" spans="2:21" ht="12" customHeight="1" x14ac:dyDescent="0.25">
      <c r="B219" s="6" t="s">
        <v>923</v>
      </c>
      <c r="C219" s="7"/>
      <c r="D219" s="7"/>
      <c r="E219" s="7"/>
      <c r="F219" s="7"/>
      <c r="G219" s="7">
        <f t="shared" ref="G219:L219" si="219">AVERAGE(G65+G66,F65+F66)</f>
        <v>13065.3585</v>
      </c>
      <c r="H219" s="7">
        <f t="shared" si="219"/>
        <v>27503.682999999997</v>
      </c>
      <c r="I219" s="7">
        <f t="shared" si="219"/>
        <v>27179.403999999999</v>
      </c>
      <c r="J219" s="7">
        <f t="shared" si="219"/>
        <v>27196.9195</v>
      </c>
      <c r="K219" s="7">
        <f t="shared" si="219"/>
        <v>30816.43</v>
      </c>
      <c r="L219" s="7">
        <f t="shared" si="219"/>
        <v>36333.714999999997</v>
      </c>
      <c r="M219" s="7">
        <f>AVERAGE(M65+M66,L65+L66)</f>
        <v>60104.925000000003</v>
      </c>
      <c r="N219" s="7">
        <f>AVERAGE(N65+N66,M65+M66)</f>
        <v>88616.3</v>
      </c>
      <c r="O219" s="7">
        <f>AVERAGE(O65+O66,N65+N66)</f>
        <v>102872</v>
      </c>
      <c r="P219" s="8">
        <f ca="1">AVERAGE(P65+P66,O65+O66)</f>
        <v>149186.90623327973</v>
      </c>
      <c r="Q219" s="8">
        <f t="shared" ref="Q219:S219" ca="1" si="220">AVERAGE(Q65+Q66,P65+P66)</f>
        <v>199889.78028874972</v>
      </c>
      <c r="R219" s="8">
        <f t="shared" ca="1" si="220"/>
        <v>220936.73527572645</v>
      </c>
      <c r="S219" s="8">
        <f t="shared" ca="1" si="220"/>
        <v>243990.09515017213</v>
      </c>
    </row>
    <row r="220" spans="2:21" ht="12" customHeight="1" x14ac:dyDescent="0.25">
      <c r="B220" s="6" t="s">
        <v>174</v>
      </c>
      <c r="C220" s="36"/>
      <c r="D220" s="36"/>
      <c r="E220" s="36"/>
      <c r="F220" s="36"/>
      <c r="G220" s="36">
        <f t="shared" ref="G220:S220" si="221">G49/G117</f>
        <v>5.9388868027898251E-2</v>
      </c>
      <c r="H220" s="36">
        <f t="shared" si="221"/>
        <v>5.0232753934793366E-2</v>
      </c>
      <c r="I220" s="36">
        <f t="shared" si="221"/>
        <v>3.1334522259940829E-2</v>
      </c>
      <c r="J220" s="36">
        <f t="shared" si="221"/>
        <v>3.7182049899671075E-2</v>
      </c>
      <c r="K220" s="36">
        <f t="shared" si="221"/>
        <v>3.7110937141188634E-2</v>
      </c>
      <c r="L220" s="36">
        <f t="shared" si="221"/>
        <v>8.3269793351151533E-2</v>
      </c>
      <c r="M220" s="36">
        <f t="shared" si="221"/>
        <v>8.7500132471586681E-2</v>
      </c>
      <c r="N220" s="36">
        <f t="shared" si="221"/>
        <v>9.5275644455037084E-2</v>
      </c>
      <c r="O220" s="36">
        <f t="shared" ref="O220" si="222">O49/O117</f>
        <v>8.0732539775076051E-2</v>
      </c>
      <c r="P220" s="127">
        <f t="shared" ca="1" si="221"/>
        <v>5.1623027166957394E-2</v>
      </c>
      <c r="Q220" s="127">
        <f t="shared" ca="1" si="221"/>
        <v>6.4929821903116941E-2</v>
      </c>
      <c r="R220" s="127">
        <f t="shared" ca="1" si="221"/>
        <v>6.3266050062701154E-2</v>
      </c>
      <c r="S220" s="127">
        <f t="shared" ca="1" si="221"/>
        <v>6.5233739327770088E-2</v>
      </c>
    </row>
    <row r="221" spans="2:21" ht="12" customHeight="1" x14ac:dyDescent="0.25">
      <c r="B221" s="6" t="s">
        <v>175</v>
      </c>
      <c r="C221" s="36"/>
      <c r="D221" s="36"/>
      <c r="E221" s="36"/>
      <c r="F221" s="36"/>
      <c r="G221" s="36">
        <f t="shared" ref="G221:L221" si="223">G49/(G219)</f>
        <v>0.21492996154678787</v>
      </c>
      <c r="H221" s="36">
        <f t="shared" si="223"/>
        <v>9.6977702949819528E-2</v>
      </c>
      <c r="I221" s="36">
        <f t="shared" si="223"/>
        <v>7.0061911585699216E-2</v>
      </c>
      <c r="J221" s="36">
        <f t="shared" si="223"/>
        <v>0.10713915596213013</v>
      </c>
      <c r="K221" s="36">
        <f t="shared" si="223"/>
        <v>0.10641914069864664</v>
      </c>
      <c r="L221" s="36">
        <f t="shared" si="223"/>
        <v>0.20362288854855615</v>
      </c>
      <c r="M221" s="36">
        <f>M49/(M219)</f>
        <v>0.19231535518927931</v>
      </c>
      <c r="N221" s="36">
        <f>N49/(N219)</f>
        <v>0.16961665066133427</v>
      </c>
      <c r="O221" s="36">
        <f>O49/(O219)</f>
        <v>0.14807819426082897</v>
      </c>
      <c r="P221" s="127">
        <f t="shared" ref="P221:S221" ca="1" si="224">P49/(P219)</f>
        <v>0.10696856730936379</v>
      </c>
      <c r="Q221" s="127">
        <f t="shared" ca="1" si="224"/>
        <v>0.11700729871464516</v>
      </c>
      <c r="R221" s="127">
        <f t="shared" ca="1" si="224"/>
        <v>0.11064445821563842</v>
      </c>
      <c r="S221" s="127">
        <f t="shared" ca="1" si="224"/>
        <v>0.11454798738011347</v>
      </c>
    </row>
    <row r="222" spans="2:21" ht="12" customHeight="1" x14ac:dyDescent="0.25">
      <c r="B222" s="6" t="s">
        <v>176</v>
      </c>
      <c r="C222" s="36"/>
      <c r="D222" s="36"/>
      <c r="E222" s="36"/>
      <c r="F222" s="36"/>
      <c r="G222" s="36">
        <f t="shared" ref="G222:S222" si="225">G30*(1-G42)/G218</f>
        <v>7.9825280398223161E-2</v>
      </c>
      <c r="H222" s="36">
        <f t="shared" si="225"/>
        <v>8.3184228547020858E-2</v>
      </c>
      <c r="I222" s="36">
        <f t="shared" si="225"/>
        <v>7.0667832483507428E-2</v>
      </c>
      <c r="J222" s="36">
        <f t="shared" si="225"/>
        <v>5.7397405962590922E-2</v>
      </c>
      <c r="K222" s="36">
        <f t="shared" si="225"/>
        <v>7.4227294556233336E-2</v>
      </c>
      <c r="L222" s="36">
        <f t="shared" si="225"/>
        <v>0.14636346684270354</v>
      </c>
      <c r="M222" s="36">
        <f t="shared" si="225"/>
        <v>0.10780053031319661</v>
      </c>
      <c r="N222" s="36">
        <f t="shared" si="225"/>
        <v>0.11065758374088255</v>
      </c>
      <c r="O222" s="36">
        <f t="shared" ref="O222" si="226">O30*(1-O42)/O218</f>
        <v>0.10223813388390543</v>
      </c>
      <c r="P222" s="127">
        <f t="shared" ca="1" si="225"/>
        <v>6.5187404509055927E-2</v>
      </c>
      <c r="Q222" s="127">
        <f t="shared" ca="1" si="225"/>
        <v>8.5124082592965736E-2</v>
      </c>
      <c r="R222" s="127">
        <f t="shared" ca="1" si="225"/>
        <v>8.7864621734563608E-2</v>
      </c>
      <c r="S222" s="127">
        <f t="shared" ca="1" si="225"/>
        <v>9.5771964124638356E-2</v>
      </c>
    </row>
    <row r="223" spans="2:21" ht="12" customHeight="1" x14ac:dyDescent="0.25">
      <c r="B223" s="6" t="s">
        <v>826</v>
      </c>
      <c r="C223" s="36"/>
      <c r="D223" s="36"/>
      <c r="E223" s="36"/>
      <c r="F223" s="36"/>
      <c r="G223" s="36">
        <f t="shared" ref="G223:L223" si="227">(G30*(1-G42))/(G218-G90)</f>
        <v>9.1922786487255853E-2</v>
      </c>
      <c r="H223" s="36">
        <f t="shared" si="227"/>
        <v>9.9248100498850689E-2</v>
      </c>
      <c r="I223" s="36">
        <f t="shared" si="227"/>
        <v>8.0621295117442607E-2</v>
      </c>
      <c r="J223" s="36">
        <f t="shared" si="227"/>
        <v>5.9619668831810503E-2</v>
      </c>
      <c r="K223" s="36">
        <f t="shared" si="227"/>
        <v>7.482068480876071E-2</v>
      </c>
      <c r="L223" s="36">
        <f t="shared" si="227"/>
        <v>0.14710907696241263</v>
      </c>
      <c r="M223" s="36">
        <f t="shared" ref="M223:S223" si="228">(M30*(1-M42))/(M218-M90)</f>
        <v>0.10869624056131245</v>
      </c>
      <c r="N223" s="36">
        <f t="shared" si="228"/>
        <v>0.12543559035157315</v>
      </c>
      <c r="O223" s="36">
        <f t="shared" ref="O223" si="229">(O30*(1-O42))/(O218-O90)</f>
        <v>0.12270646688110294</v>
      </c>
      <c r="P223" s="127">
        <f t="shared" ca="1" si="228"/>
        <v>8.3673651575393637E-2</v>
      </c>
      <c r="Q223" s="127">
        <f t="shared" ca="1" si="228"/>
        <v>9.5420611096299415E-2</v>
      </c>
      <c r="R223" s="127">
        <f t="shared" ca="1" si="228"/>
        <v>0.10260936897422955</v>
      </c>
      <c r="S223" s="127">
        <f t="shared" ca="1" si="228"/>
        <v>9.5771964124638356E-2</v>
      </c>
    </row>
    <row r="224" spans="2:21" ht="12" customHeight="1" x14ac:dyDescent="0.25">
      <c r="B224" s="6" t="s">
        <v>899</v>
      </c>
      <c r="C224" s="36"/>
      <c r="D224" s="36"/>
      <c r="E224" s="36"/>
      <c r="F224" s="36"/>
      <c r="G224" s="36">
        <f t="shared" ref="G224:L224" si="230">(G23-G28)/(G66+G65+G78-G105)</f>
        <v>0.10863491046238756</v>
      </c>
      <c r="H224" s="36">
        <f t="shared" si="230"/>
        <v>7.5144996724732946E-2</v>
      </c>
      <c r="I224" s="36">
        <f t="shared" si="230"/>
        <v>8.1793876496878998E-2</v>
      </c>
      <c r="J224" s="36">
        <f t="shared" si="230"/>
        <v>8.3045096685314027E-2</v>
      </c>
      <c r="K224" s="36">
        <f t="shared" si="230"/>
        <v>0.11139137717184154</v>
      </c>
      <c r="L224" s="36">
        <f t="shared" si="230"/>
        <v>0.18601878704583844</v>
      </c>
      <c r="M224" s="36">
        <f>(M23-M28)/(M66+M65+M78+M69-M105)</f>
        <v>0.17932096302520212</v>
      </c>
      <c r="N224" s="36">
        <f>(N23-N28)/(N66+N65+N78+N69-N105)</f>
        <v>0.13545737778177816</v>
      </c>
      <c r="O224" s="36">
        <f>(O23-O28)/(O66+O65+O78+O69-O105)</f>
        <v>0.12604522426193657</v>
      </c>
      <c r="P224" s="127">
        <f t="shared" ref="P224:S224" ca="1" si="231">(P23-P28)/(P66+P65+P78+P69-P105)</f>
        <v>9.8012526799168553E-2</v>
      </c>
      <c r="Q224" s="127">
        <f t="shared" ca="1" si="231"/>
        <v>0.11415886521296159</v>
      </c>
      <c r="R224" s="127">
        <f t="shared" ca="1" si="231"/>
        <v>0.10652872956089643</v>
      </c>
      <c r="S224" s="127">
        <f t="shared" ca="1" si="231"/>
        <v>0.12219213233853671</v>
      </c>
      <c r="U224" s="33"/>
    </row>
    <row r="225" spans="2:19" ht="12" customHeight="1" x14ac:dyDescent="0.25">
      <c r="B225" s="6" t="s">
        <v>1826</v>
      </c>
      <c r="C225" s="36"/>
      <c r="D225" s="36"/>
      <c r="E225" s="36"/>
      <c r="F225" s="36"/>
      <c r="G225" s="36">
        <f>G30/G218</f>
        <v>0.10730311028733987</v>
      </c>
      <c r="H225" s="36">
        <f t="shared" ref="H225:R225" si="232">H30/H218</f>
        <v>8.6817065128953055E-2</v>
      </c>
      <c r="I225" s="36">
        <f t="shared" si="232"/>
        <v>8.4177767800853107E-2</v>
      </c>
      <c r="J225" s="36">
        <f t="shared" si="232"/>
        <v>7.9175612261499523E-2</v>
      </c>
      <c r="K225" s="36">
        <f t="shared" si="232"/>
        <v>9.5690161542204277E-2</v>
      </c>
      <c r="L225" s="36">
        <f t="shared" si="232"/>
        <v>0.15836884678559313</v>
      </c>
      <c r="M225" s="36">
        <f t="shared" si="232"/>
        <v>0.13606648711089303</v>
      </c>
      <c r="N225" s="36">
        <f t="shared" si="232"/>
        <v>0.13112096003326545</v>
      </c>
      <c r="O225" s="36">
        <f t="shared" ref="O225" si="233">O30/O218</f>
        <v>0.12378024866709771</v>
      </c>
      <c r="P225" s="127">
        <f t="shared" ca="1" si="232"/>
        <v>8.3573595524430666E-2</v>
      </c>
      <c r="Q225" s="127">
        <f t="shared" ca="1" si="232"/>
        <v>0.10913343922175092</v>
      </c>
      <c r="R225" s="127">
        <f t="shared" ca="1" si="232"/>
        <v>0.1098307771682045</v>
      </c>
      <c r="S225" s="127"/>
    </row>
    <row r="226" spans="2:19" ht="12" customHeight="1" x14ac:dyDescent="0.25">
      <c r="B226" s="6" t="s">
        <v>825</v>
      </c>
      <c r="C226" s="36"/>
      <c r="D226" s="36"/>
      <c r="E226" s="36"/>
      <c r="F226" s="36"/>
      <c r="G226" s="36"/>
      <c r="H226" s="36"/>
      <c r="I226" s="36"/>
      <c r="J226" s="36">
        <v>8.2000000000000003E-2</v>
      </c>
      <c r="K226" s="36">
        <v>0.109</v>
      </c>
      <c r="L226" s="36">
        <v>0.19500000000000001</v>
      </c>
      <c r="M226" s="36">
        <v>0.184</v>
      </c>
      <c r="N226" s="36">
        <v>0.184</v>
      </c>
      <c r="O226" s="36">
        <v>0.184</v>
      </c>
      <c r="P226" s="127"/>
      <c r="Q226" s="127"/>
      <c r="R226" s="127"/>
      <c r="S226" s="127"/>
    </row>
    <row r="227" spans="2:19" ht="12" customHeight="1" x14ac:dyDescent="0.25">
      <c r="B227" s="6" t="s">
        <v>823</v>
      </c>
      <c r="C227" s="36"/>
      <c r="D227" s="36"/>
      <c r="E227" s="36"/>
      <c r="F227" s="36"/>
      <c r="G227" s="441"/>
      <c r="H227" s="441"/>
      <c r="I227" s="441"/>
      <c r="J227" s="441"/>
      <c r="K227" s="441"/>
      <c r="L227" s="441"/>
      <c r="M227" s="441"/>
      <c r="N227" s="441"/>
      <c r="O227" s="441"/>
      <c r="P227" s="441"/>
      <c r="Q227" s="441"/>
      <c r="R227" s="441"/>
      <c r="S227" s="441"/>
    </row>
    <row r="228" spans="2:19" ht="12" customHeight="1" x14ac:dyDescent="0.25">
      <c r="B228" s="6" t="s">
        <v>824</v>
      </c>
      <c r="C228" s="7"/>
      <c r="D228" s="7"/>
      <c r="E228" s="7"/>
      <c r="F228" s="7"/>
      <c r="G228" s="7"/>
      <c r="H228" s="7"/>
      <c r="I228" s="7"/>
      <c r="J228" s="7"/>
      <c r="K228" s="7"/>
      <c r="L228" s="7"/>
      <c r="M228" s="7"/>
      <c r="N228" s="7"/>
      <c r="O228" s="7"/>
      <c r="P228" s="8"/>
      <c r="Q228" s="8"/>
      <c r="R228" s="8"/>
      <c r="S228" s="8"/>
    </row>
    <row r="229" spans="2:19" ht="12" customHeight="1" x14ac:dyDescent="0.25">
      <c r="B229" s="6"/>
      <c r="C229" s="36"/>
      <c r="D229" s="36"/>
      <c r="E229" s="36"/>
      <c r="F229" s="36"/>
      <c r="G229" s="36"/>
      <c r="H229" s="36"/>
      <c r="I229" s="36"/>
      <c r="J229" s="36"/>
      <c r="K229" s="36"/>
      <c r="L229" s="36"/>
      <c r="M229" s="36"/>
      <c r="N229" s="36"/>
      <c r="O229" s="36"/>
      <c r="P229" s="127"/>
      <c r="Q229" s="127"/>
      <c r="R229" s="127"/>
      <c r="S229" s="127"/>
    </row>
    <row r="230" spans="2:19" s="256" customFormat="1" ht="12" customHeight="1" x14ac:dyDescent="0.25">
      <c r="B230" s="252" t="s">
        <v>738</v>
      </c>
      <c r="C230" s="253"/>
      <c r="D230" s="253"/>
      <c r="E230" s="253"/>
      <c r="F230" s="253"/>
      <c r="G230" s="254">
        <f t="shared" ref="G230:S230" si="234">(G78-G105-G102)/(SUM(G65:G69))</f>
        <v>0.47173400663197257</v>
      </c>
      <c r="H230" s="254">
        <f t="shared" si="234"/>
        <v>0.54092284536970525</v>
      </c>
      <c r="I230" s="254">
        <f t="shared" si="234"/>
        <v>0.90381040522312905</v>
      </c>
      <c r="J230" s="254">
        <f t="shared" si="234"/>
        <v>1.1918602034495833</v>
      </c>
      <c r="K230" s="254">
        <f t="shared" si="234"/>
        <v>0.97078871169687198</v>
      </c>
      <c r="L230" s="254">
        <f t="shared" si="234"/>
        <v>0.56435208430293626</v>
      </c>
      <c r="M230" s="254">
        <f t="shared" si="234"/>
        <v>8.579738598618377E-3</v>
      </c>
      <c r="N230" s="254">
        <f t="shared" si="234"/>
        <v>0.19230028506869293</v>
      </c>
      <c r="O230" s="254">
        <f t="shared" ref="O230" si="235">(O78-O105-O102)/(SUM(O65:O69))</f>
        <v>0.34980167180660821</v>
      </c>
      <c r="P230" s="255">
        <f t="shared" ca="1" si="234"/>
        <v>0.13628193149852422</v>
      </c>
      <c r="Q230" s="255">
        <f t="shared" ca="1" si="234"/>
        <v>0.39649984370967228</v>
      </c>
      <c r="R230" s="255">
        <f t="shared" ca="1" si="234"/>
        <v>0.53649420905987</v>
      </c>
      <c r="S230" s="255">
        <f t="shared" ca="1" si="234"/>
        <v>0.56216939408197963</v>
      </c>
    </row>
    <row r="231" spans="2:19" s="256" customFormat="1" ht="12" customHeight="1" x14ac:dyDescent="0.25">
      <c r="B231" s="252" t="s">
        <v>739</v>
      </c>
      <c r="C231" s="253"/>
      <c r="D231" s="253"/>
      <c r="E231" s="253"/>
      <c r="F231" s="253"/>
      <c r="G231" s="254">
        <f t="shared" ref="G231:S231" si="236">(G78-G105-G102)/G23</f>
        <v>2.2509104586384363</v>
      </c>
      <c r="H231" s="254">
        <f t="shared" si="236"/>
        <v>2.7258350898739452</v>
      </c>
      <c r="I231" s="254">
        <f t="shared" si="236"/>
        <v>4.0159618227631251</v>
      </c>
      <c r="J231" s="254">
        <f t="shared" si="236"/>
        <v>4.5085741196990101</v>
      </c>
      <c r="K231" s="254">
        <f t="shared" si="236"/>
        <v>3.0380074178578798</v>
      </c>
      <c r="L231" s="254">
        <f t="shared" si="236"/>
        <v>1.4242555315748233</v>
      </c>
      <c r="M231" s="254">
        <f t="shared" si="236"/>
        <v>3.5946980494359994E-2</v>
      </c>
      <c r="N231" s="254">
        <f t="shared" si="236"/>
        <v>0.89160897894950875</v>
      </c>
      <c r="O231" s="254">
        <f t="shared" ref="O231" si="237">(O78-O105-O102)/O23</f>
        <v>1.5708771646829742</v>
      </c>
      <c r="P231" s="255">
        <f t="shared" ca="1" si="236"/>
        <v>0.91473530150921256</v>
      </c>
      <c r="Q231" s="255">
        <f t="shared" ca="1" si="236"/>
        <v>1.8337019224366602</v>
      </c>
      <c r="R231" s="255">
        <f t="shared" ca="1" si="236"/>
        <v>2.2366778043597755</v>
      </c>
      <c r="S231" s="255">
        <f t="shared" ca="1" si="236"/>
        <v>1.9895481896072915</v>
      </c>
    </row>
    <row r="232" spans="2:19" s="256" customFormat="1" ht="12" customHeight="1" x14ac:dyDescent="0.25">
      <c r="B232" s="252"/>
      <c r="C232" s="253"/>
      <c r="D232" s="253"/>
      <c r="E232" s="253"/>
      <c r="F232" s="253"/>
      <c r="G232" s="254"/>
      <c r="H232" s="254"/>
      <c r="I232" s="254"/>
      <c r="J232" s="254"/>
      <c r="K232" s="254"/>
      <c r="L232" s="254"/>
      <c r="M232" s="254"/>
      <c r="N232" s="254"/>
      <c r="O232" s="254"/>
      <c r="P232" s="255">
        <f t="shared" ref="P232:R232" ca="1" si="238">(P78-P105-P102)/Q23</f>
        <v>0.56941957917602004</v>
      </c>
      <c r="Q232" s="255">
        <f t="shared" ca="1" si="238"/>
        <v>1.5006920528403762</v>
      </c>
      <c r="R232" s="255">
        <f t="shared" ca="1" si="238"/>
        <v>1.7170930049003552</v>
      </c>
      <c r="S232" s="255">
        <f ca="1">(S78-S105-S102)/S23</f>
        <v>1.9895481896072915</v>
      </c>
    </row>
    <row r="233" spans="2:19" s="256" customFormat="1" ht="12" customHeight="1" x14ac:dyDescent="0.25">
      <c r="B233" s="252" t="s">
        <v>603</v>
      </c>
      <c r="C233" s="253"/>
      <c r="D233" s="253"/>
      <c r="E233" s="253"/>
      <c r="F233" s="253"/>
      <c r="G233" s="123">
        <f>(G78-G105-G102)</f>
        <v>13231.653</v>
      </c>
      <c r="H233" s="123">
        <f t="shared" ref="H233:S233" si="239">(H78-H105-H102)</f>
        <v>16685.946</v>
      </c>
      <c r="I233" s="123">
        <f t="shared" si="239"/>
        <v>24866.683000000001</v>
      </c>
      <c r="J233" s="123">
        <f t="shared" si="239"/>
        <v>36809.78</v>
      </c>
      <c r="K233" s="123">
        <f t="shared" si="239"/>
        <v>33704.590000000004</v>
      </c>
      <c r="L233" s="123">
        <f t="shared" si="239"/>
        <v>23075.640000000003</v>
      </c>
      <c r="M233" s="123">
        <f t="shared" si="239"/>
        <v>706.19999999999845</v>
      </c>
      <c r="N233" s="123">
        <f t="shared" si="239"/>
        <v>20169.799999999996</v>
      </c>
      <c r="O233" s="123">
        <f t="shared" ref="O233" si="240">(O78-O105-O102)</f>
        <v>40901.4</v>
      </c>
      <c r="P233" s="257">
        <f t="shared" ca="1" si="239"/>
        <v>27012.935131792467</v>
      </c>
      <c r="Q233" s="257">
        <f ca="1">(Q78-Q105-Q102)</f>
        <v>86989.757453550264</v>
      </c>
      <c r="R233" s="257">
        <f t="shared" ca="1" si="239"/>
        <v>129652.22234284185</v>
      </c>
      <c r="S233" s="257">
        <f t="shared" ca="1" si="239"/>
        <v>150224.44532975784</v>
      </c>
    </row>
    <row r="234" spans="2:19" ht="12" customHeight="1" x14ac:dyDescent="0.25">
      <c r="G234" s="1044"/>
      <c r="H234" s="1044"/>
      <c r="I234" s="1044"/>
      <c r="J234" s="1044"/>
      <c r="K234" s="1044"/>
      <c r="L234" s="1044"/>
      <c r="M234" s="1044"/>
      <c r="N234" s="1044"/>
      <c r="O234" s="1044"/>
      <c r="P234" s="1044"/>
      <c r="Q234" s="1044"/>
      <c r="R234" s="1044"/>
      <c r="S234" s="1044"/>
    </row>
    <row r="235" spans="2:19" ht="12" customHeight="1" x14ac:dyDescent="0.25">
      <c r="B235" s="3" t="s">
        <v>36</v>
      </c>
      <c r="C235" s="30"/>
      <c r="D235" s="30"/>
      <c r="E235" s="30"/>
      <c r="F235" s="30"/>
      <c r="G235" s="30"/>
      <c r="H235" s="30"/>
      <c r="I235" s="30"/>
      <c r="J235" s="30"/>
      <c r="K235" s="30"/>
      <c r="L235" s="30"/>
      <c r="M235" s="30"/>
      <c r="N235" s="30"/>
      <c r="O235" s="223"/>
      <c r="P235" s="223"/>
      <c r="Q235" s="223"/>
      <c r="R235" s="223"/>
      <c r="S235" s="223"/>
    </row>
    <row r="236" spans="2:19" ht="12" customHeight="1" x14ac:dyDescent="0.2">
      <c r="B236" s="35" t="s">
        <v>432</v>
      </c>
      <c r="C236" s="7"/>
      <c r="D236" s="7"/>
      <c r="E236" s="7"/>
      <c r="F236" s="7"/>
      <c r="G236" s="7"/>
      <c r="H236" s="7"/>
      <c r="I236" s="7"/>
      <c r="J236" s="7"/>
      <c r="K236" s="7"/>
      <c r="L236" s="7"/>
      <c r="M236" s="7"/>
      <c r="N236" s="7"/>
      <c r="O236" s="224">
        <v>7.0000000000000007E-2</v>
      </c>
      <c r="P236" s="224">
        <v>0.05</v>
      </c>
      <c r="Q236" s="224">
        <v>0.05</v>
      </c>
      <c r="R236" s="224">
        <v>0.06</v>
      </c>
      <c r="S236" s="224">
        <v>0.06</v>
      </c>
    </row>
    <row r="237" spans="2:19" ht="12" customHeight="1" x14ac:dyDescent="0.25">
      <c r="B237" s="185" t="s">
        <v>433</v>
      </c>
      <c r="C237" s="7"/>
      <c r="D237" s="7"/>
      <c r="E237" s="7"/>
      <c r="F237" s="7"/>
      <c r="G237" s="7"/>
      <c r="H237" s="7"/>
      <c r="I237" s="7">
        <v>323.18799999999999</v>
      </c>
      <c r="J237" s="7">
        <v>502.54700000000003</v>
      </c>
      <c r="K237" s="7">
        <v>514.00600000000009</v>
      </c>
      <c r="L237" s="7">
        <v>498.38100000000003</v>
      </c>
      <c r="M237" s="7">
        <v>0</v>
      </c>
      <c r="N237" s="7"/>
      <c r="O237" s="184"/>
      <c r="P237" s="184"/>
      <c r="Q237" s="184"/>
      <c r="R237" s="184"/>
      <c r="S237" s="184"/>
    </row>
    <row r="238" spans="2:19" ht="12" customHeight="1" x14ac:dyDescent="0.25">
      <c r="B238" s="185" t="s">
        <v>434</v>
      </c>
      <c r="C238" s="7"/>
      <c r="D238" s="7"/>
      <c r="E238" s="7"/>
      <c r="F238" s="7"/>
      <c r="G238" s="7"/>
      <c r="H238" s="7"/>
      <c r="I238" s="7">
        <v>48.155000000000001</v>
      </c>
      <c r="J238" s="7">
        <v>120.51700000000001</v>
      </c>
      <c r="K238" s="7">
        <v>209.852</v>
      </c>
      <c r="L238" s="7">
        <v>590.59899999999993</v>
      </c>
      <c r="M238" s="7">
        <v>1848.1999999999998</v>
      </c>
      <c r="N238" s="7">
        <v>2256.3000000000002</v>
      </c>
      <c r="O238" s="7">
        <v>2252.1</v>
      </c>
      <c r="P238" s="187">
        <f ca="1">AVERAGE(O105:P105)*P236</f>
        <v>2485.0464024573084</v>
      </c>
      <c r="Q238" s="187">
        <f t="shared" ref="Q238:R238" ca="1" si="241">AVERAGE(P105:Q105)*Q236</f>
        <v>3059.3419641836585</v>
      </c>
      <c r="R238" s="187">
        <f t="shared" ca="1" si="241"/>
        <v>1606.2491632562164</v>
      </c>
      <c r="S238" s="187">
        <f ca="1">AVERAGE(R105:S105)*S236</f>
        <v>321.08526427146609</v>
      </c>
    </row>
    <row r="239" spans="2:19" ht="12" customHeight="1" x14ac:dyDescent="0.25">
      <c r="B239" s="185" t="s">
        <v>111</v>
      </c>
      <c r="C239" s="7"/>
      <c r="D239" s="7"/>
      <c r="E239" s="7"/>
      <c r="F239" s="7"/>
      <c r="G239" s="7">
        <v>385.65800000000002</v>
      </c>
      <c r="H239" s="7">
        <v>635.28899999999999</v>
      </c>
      <c r="I239" s="7">
        <v>85.878</v>
      </c>
      <c r="J239" s="7">
        <v>23.137999999999998</v>
      </c>
      <c r="K239" s="7">
        <v>15.631</v>
      </c>
      <c r="L239" s="7">
        <v>111.16600000000001</v>
      </c>
      <c r="M239" s="7">
        <v>51.6</v>
      </c>
      <c r="N239" s="7">
        <v>33.9</v>
      </c>
      <c r="O239" s="7">
        <v>494.5</v>
      </c>
      <c r="P239" s="225">
        <f>O239</f>
        <v>494.5</v>
      </c>
      <c r="Q239" s="225">
        <f>P239</f>
        <v>494.5</v>
      </c>
      <c r="R239" s="225">
        <f>Q239</f>
        <v>494.5</v>
      </c>
      <c r="S239" s="225">
        <f>R239</f>
        <v>494.5</v>
      </c>
    </row>
    <row r="240" spans="2:19" ht="12" customHeight="1" x14ac:dyDescent="0.25">
      <c r="B240" s="6" t="s">
        <v>435</v>
      </c>
      <c r="C240" s="7"/>
      <c r="D240" s="7"/>
      <c r="E240" s="7"/>
      <c r="F240" s="7"/>
      <c r="G240" s="7"/>
      <c r="H240" s="7"/>
      <c r="I240" s="7">
        <v>0</v>
      </c>
      <c r="J240" s="7">
        <v>0</v>
      </c>
      <c r="K240" s="7">
        <v>85.378</v>
      </c>
      <c r="L240" s="7">
        <v>127.045</v>
      </c>
      <c r="M240" s="7">
        <v>46.3</v>
      </c>
      <c r="N240" s="7">
        <v>0</v>
      </c>
      <c r="O240" s="7">
        <v>0</v>
      </c>
      <c r="P240" s="225">
        <f>O240</f>
        <v>0</v>
      </c>
      <c r="Q240" s="225">
        <f>P240</f>
        <v>0</v>
      </c>
      <c r="R240" s="225">
        <f>Q240</f>
        <v>0</v>
      </c>
      <c r="S240" s="225">
        <f>R240</f>
        <v>0</v>
      </c>
    </row>
    <row r="241" spans="2:31" ht="12" customHeight="1" x14ac:dyDescent="0.25">
      <c r="B241" s="6" t="s">
        <v>436</v>
      </c>
      <c r="C241" s="7"/>
      <c r="D241" s="7"/>
      <c r="E241" s="7"/>
      <c r="F241" s="7"/>
      <c r="G241" s="7"/>
      <c r="H241" s="7"/>
      <c r="I241" s="7">
        <f>(1143.94+857.11)/10</f>
        <v>200.10500000000002</v>
      </c>
      <c r="J241" s="7">
        <f>(-801.55+1099.58)/10</f>
        <v>29.802999999999997</v>
      </c>
      <c r="K241" s="7">
        <v>0</v>
      </c>
      <c r="L241" s="7">
        <v>11.087</v>
      </c>
      <c r="M241" s="7">
        <v>0</v>
      </c>
      <c r="N241" s="7"/>
      <c r="O241" s="184"/>
      <c r="P241" s="184"/>
      <c r="Q241" s="184"/>
      <c r="R241" s="184"/>
      <c r="S241" s="184"/>
    </row>
    <row r="242" spans="2:31" ht="12" customHeight="1" x14ac:dyDescent="0.25">
      <c r="B242" s="6" t="s">
        <v>437</v>
      </c>
      <c r="C242" s="7"/>
      <c r="D242" s="7"/>
      <c r="E242" s="7"/>
      <c r="F242" s="7"/>
      <c r="G242" s="7"/>
      <c r="H242" s="7">
        <v>84.498999999999995</v>
      </c>
      <c r="I242" s="7">
        <v>144.65299999999999</v>
      </c>
      <c r="J242" s="7">
        <v>11.061</v>
      </c>
      <c r="K242" s="7">
        <v>88.448000000000008</v>
      </c>
      <c r="L242" s="7">
        <v>223.96199999999999</v>
      </c>
      <c r="M242" s="7">
        <v>284.89999999999998</v>
      </c>
      <c r="N242" s="7">
        <v>301.60000000000002</v>
      </c>
      <c r="O242" s="7">
        <v>495.9</v>
      </c>
      <c r="P242" s="225">
        <f>O242</f>
        <v>495.9</v>
      </c>
      <c r="Q242" s="225">
        <f>P242</f>
        <v>495.9</v>
      </c>
      <c r="R242" s="225">
        <f>Q242</f>
        <v>495.9</v>
      </c>
      <c r="S242" s="225">
        <f>R242</f>
        <v>495.9</v>
      </c>
    </row>
    <row r="243" spans="2:31" ht="12" customHeight="1" x14ac:dyDescent="0.25">
      <c r="B243" s="6" t="s">
        <v>111</v>
      </c>
      <c r="C243" s="7"/>
      <c r="D243" s="7"/>
      <c r="E243" s="7"/>
      <c r="F243" s="7"/>
      <c r="G243" s="7">
        <f t="shared" ref="G243:M243" si="244">G244-SUM(G237:G242)</f>
        <v>383.34199999999998</v>
      </c>
      <c r="H243" s="7">
        <f t="shared" si="244"/>
        <v>293.21199999999999</v>
      </c>
      <c r="I243" s="7">
        <f t="shared" si="244"/>
        <v>140.22799999999995</v>
      </c>
      <c r="J243" s="7">
        <f t="shared" si="244"/>
        <v>59.85899999999981</v>
      </c>
      <c r="K243" s="7">
        <f t="shared" si="244"/>
        <v>143.47299999999996</v>
      </c>
      <c r="L243" s="7">
        <f t="shared" si="244"/>
        <v>218.88999999999987</v>
      </c>
      <c r="M243" s="7">
        <f t="shared" si="244"/>
        <v>463.10000000000036</v>
      </c>
      <c r="N243" s="7">
        <f t="shared" ref="N243" si="245">N244-SUM(N237:N242)</f>
        <v>937.69999999999982</v>
      </c>
      <c r="O243" s="7">
        <f>O244-SUM(O237:O242)</f>
        <v>217</v>
      </c>
      <c r="P243" s="225">
        <f>O243</f>
        <v>217</v>
      </c>
      <c r="Q243" s="225">
        <f>P243</f>
        <v>217</v>
      </c>
      <c r="R243" s="225">
        <f>Q243</f>
        <v>217</v>
      </c>
      <c r="S243" s="225">
        <f>R243</f>
        <v>217</v>
      </c>
    </row>
    <row r="244" spans="2:31" s="18" customFormat="1" ht="12" customHeight="1" x14ac:dyDescent="0.25">
      <c r="B244" s="9"/>
      <c r="C244" s="10"/>
      <c r="D244" s="10"/>
      <c r="E244" s="10"/>
      <c r="F244" s="10"/>
      <c r="G244" s="10">
        <v>769</v>
      </c>
      <c r="H244" s="10">
        <v>1013</v>
      </c>
      <c r="I244" s="10">
        <v>942.20699999999999</v>
      </c>
      <c r="J244" s="10">
        <v>746.92499999999995</v>
      </c>
      <c r="K244" s="10">
        <v>1056.788</v>
      </c>
      <c r="L244" s="10">
        <v>1781.1299999999999</v>
      </c>
      <c r="M244" s="10">
        <f>M27</f>
        <v>2694.1</v>
      </c>
      <c r="N244" s="10">
        <f>N27</f>
        <v>3529.5</v>
      </c>
      <c r="O244" s="10">
        <f>O27</f>
        <v>3459.5</v>
      </c>
      <c r="P244" s="226">
        <f>SUM(P237:P243)</f>
        <v>3692.45</v>
      </c>
      <c r="Q244" s="226">
        <f>SUM(Q237:Q243)</f>
        <v>4266.74</v>
      </c>
      <c r="R244" s="226">
        <f>SUM(R237:R243)</f>
        <v>2813.65</v>
      </c>
      <c r="S244" s="226">
        <f ca="1">SUM(S237:S243)</f>
        <v>1594.2852642714658</v>
      </c>
    </row>
    <row r="245" spans="2:31" ht="12" customHeight="1" x14ac:dyDescent="0.25">
      <c r="B245" s="33"/>
      <c r="C245" s="34"/>
      <c r="D245" s="34"/>
      <c r="E245" s="34"/>
      <c r="F245" s="34"/>
      <c r="G245" s="34"/>
      <c r="H245" s="34"/>
      <c r="I245" s="34"/>
      <c r="J245" s="34"/>
      <c r="K245" s="34"/>
      <c r="L245" s="34"/>
      <c r="M245" s="34"/>
    </row>
    <row r="246" spans="2:31" ht="12" customHeight="1" x14ac:dyDescent="0.25">
      <c r="B246" s="3" t="s">
        <v>800</v>
      </c>
      <c r="C246" s="30"/>
      <c r="D246" s="30"/>
      <c r="E246" s="30"/>
      <c r="F246" s="30"/>
      <c r="G246" s="30"/>
      <c r="H246" s="30"/>
      <c r="I246" s="30"/>
      <c r="J246" s="30"/>
      <c r="K246" s="30"/>
      <c r="L246" s="30"/>
      <c r="M246" s="30"/>
      <c r="N246" s="30"/>
      <c r="O246" s="223"/>
      <c r="P246" s="223"/>
      <c r="Q246" s="223"/>
      <c r="R246" s="223"/>
      <c r="S246" s="223"/>
    </row>
    <row r="247" spans="2:31" ht="12" customHeight="1" x14ac:dyDescent="0.2">
      <c r="B247" s="375" t="s">
        <v>803</v>
      </c>
      <c r="C247" s="7"/>
      <c r="D247" s="7"/>
      <c r="E247" s="7"/>
      <c r="F247" s="7"/>
      <c r="G247" s="160" t="s">
        <v>801</v>
      </c>
      <c r="H247" s="7"/>
      <c r="I247" s="7">
        <v>400</v>
      </c>
      <c r="J247" s="7"/>
      <c r="K247" s="7"/>
      <c r="L247" s="7">
        <v>32886.76</v>
      </c>
      <c r="M247" s="7">
        <v>33349.599999999999</v>
      </c>
      <c r="N247" s="7">
        <v>34232.6</v>
      </c>
      <c r="O247" s="7">
        <v>37861.7</v>
      </c>
      <c r="P247" s="187">
        <f>$I$247*Assumptions!M1028</f>
        <v>33999.933000000005</v>
      </c>
      <c r="Q247" s="187">
        <f>$I$247*Assumptions!N1028</f>
        <v>34339.932330000003</v>
      </c>
      <c r="R247" s="187">
        <f>$I$247*Assumptions!O1028</f>
        <v>34683.331653300011</v>
      </c>
      <c r="S247" s="187">
        <v>0</v>
      </c>
      <c r="T247" s="32" t="s">
        <v>1639</v>
      </c>
      <c r="U247" s="32"/>
    </row>
    <row r="248" spans="2:31" ht="12" customHeight="1" x14ac:dyDescent="0.25">
      <c r="B248" s="185" t="s">
        <v>802</v>
      </c>
      <c r="C248" s="7"/>
      <c r="D248" s="7"/>
      <c r="E248" s="7"/>
      <c r="F248" s="7"/>
      <c r="G248" s="7"/>
      <c r="H248" s="7"/>
      <c r="I248" s="7"/>
      <c r="J248" s="7"/>
      <c r="K248" s="7"/>
      <c r="L248" s="7">
        <f>L249-L247</f>
        <v>9550.2200000000012</v>
      </c>
      <c r="M248" s="7">
        <f>M249-M247</f>
        <v>10457.200000000004</v>
      </c>
      <c r="N248" s="7">
        <f t="shared" ref="N248" si="247">N249-N247</f>
        <v>12355.699999999997</v>
      </c>
      <c r="O248" s="187">
        <f t="shared" ref="O248:S248" si="248">O249-O247</f>
        <v>26236.8</v>
      </c>
      <c r="P248" s="187">
        <f t="shared" si="248"/>
        <v>69257.958230084798</v>
      </c>
      <c r="Q248" s="187">
        <f t="shared" si="248"/>
        <v>98818.747592604253</v>
      </c>
      <c r="R248" s="187">
        <f t="shared" si="248"/>
        <v>102381.80699569508</v>
      </c>
      <c r="S248" s="187">
        <f t="shared" si="248"/>
        <v>153554.57116598682</v>
      </c>
    </row>
    <row r="249" spans="2:31" ht="12" customHeight="1" x14ac:dyDescent="0.25">
      <c r="B249" s="6" t="s">
        <v>799</v>
      </c>
      <c r="C249" s="7"/>
      <c r="D249" s="7"/>
      <c r="E249" s="7"/>
      <c r="F249" s="7"/>
      <c r="G249" s="7"/>
      <c r="H249" s="7"/>
      <c r="I249" s="7"/>
      <c r="J249" s="7"/>
      <c r="K249" s="7"/>
      <c r="L249" s="10">
        <f t="shared" ref="L249:S249" si="249">L78</f>
        <v>42436.98</v>
      </c>
      <c r="M249" s="10">
        <f t="shared" si="249"/>
        <v>43806.8</v>
      </c>
      <c r="N249" s="10">
        <f t="shared" si="249"/>
        <v>46588.299999999996</v>
      </c>
      <c r="O249" s="226">
        <f t="shared" si="249"/>
        <v>64098.5</v>
      </c>
      <c r="P249" s="226">
        <f t="shared" si="249"/>
        <v>103257.8912300848</v>
      </c>
      <c r="Q249" s="226">
        <f t="shared" si="249"/>
        <v>133158.67992260426</v>
      </c>
      <c r="R249" s="226">
        <f t="shared" si="249"/>
        <v>137065.13864899508</v>
      </c>
      <c r="S249" s="226">
        <f t="shared" si="249"/>
        <v>153554.57116598682</v>
      </c>
    </row>
    <row r="250" spans="2:31" ht="12" customHeight="1" x14ac:dyDescent="0.25">
      <c r="B250" s="33"/>
      <c r="C250" s="34"/>
      <c r="D250" s="34"/>
      <c r="E250" s="34"/>
      <c r="F250" s="34"/>
      <c r="G250" s="34"/>
      <c r="H250" s="34"/>
      <c r="I250" s="34"/>
      <c r="J250" s="34"/>
      <c r="K250" s="34"/>
      <c r="L250" s="34"/>
      <c r="M250" s="34"/>
    </row>
    <row r="251" spans="2:31" ht="12" customHeight="1" x14ac:dyDescent="0.25">
      <c r="B251" s="3" t="s">
        <v>207</v>
      </c>
      <c r="C251" s="30"/>
      <c r="D251" s="30"/>
      <c r="E251" s="30"/>
      <c r="F251" s="30"/>
      <c r="G251" s="30"/>
      <c r="H251" s="30"/>
      <c r="I251" s="30"/>
      <c r="J251" s="30"/>
      <c r="K251" s="30"/>
      <c r="L251" s="30"/>
      <c r="M251" s="30"/>
      <c r="N251" s="30"/>
      <c r="O251" s="223"/>
      <c r="P251" s="223"/>
      <c r="Q251" s="223"/>
      <c r="R251" s="223"/>
      <c r="S251" s="223"/>
    </row>
    <row r="252" spans="2:31" ht="12" customHeight="1" x14ac:dyDescent="0.25">
      <c r="B252" s="6" t="s">
        <v>438</v>
      </c>
      <c r="C252" s="7"/>
      <c r="D252" s="7"/>
      <c r="E252" s="7"/>
      <c r="F252" s="7"/>
      <c r="G252" s="7"/>
      <c r="H252" s="7"/>
      <c r="I252" s="7"/>
      <c r="J252" s="7"/>
      <c r="K252" s="220">
        <f>SUM(K254:K256)/AVERAGE(J78:K78)</f>
        <v>5.6432907152446497E-2</v>
      </c>
      <c r="L252" s="220">
        <f>SUM(L254:L256)/AVERAGE(K78:L78)</f>
        <v>5.6883622471103935E-2</v>
      </c>
      <c r="M252" s="220">
        <f>SUM(M254:M256)/AVERAGE(L78:M78)</f>
        <v>5.6574514707031627E-2</v>
      </c>
      <c r="N252" s="220">
        <f>SUM(N254:N256)/AVERAGE(M78:N78)</f>
        <v>5.7852693342891372E-2</v>
      </c>
      <c r="O252" s="224">
        <f t="shared" ref="O252:S252" si="250">SUM(O254:O256)/AVERAGE(N78:O78)</f>
        <v>5.9479345670451801E-2</v>
      </c>
      <c r="P252" s="224">
        <f t="shared" si="250"/>
        <v>4.0848603703973807E-2</v>
      </c>
      <c r="Q252" s="224">
        <f t="shared" si="250"/>
        <v>6.06004713623838E-2</v>
      </c>
      <c r="R252" s="224">
        <f t="shared" si="250"/>
        <v>6.3513698390030585E-2</v>
      </c>
      <c r="S252" s="224">
        <f t="shared" si="250"/>
        <v>8.5198796887808736E-2</v>
      </c>
    </row>
    <row r="253" spans="2:31" ht="12" customHeight="1" x14ac:dyDescent="0.25">
      <c r="B253" s="6"/>
      <c r="C253" s="7"/>
      <c r="D253" s="7"/>
      <c r="E253" s="7"/>
      <c r="F253" s="7"/>
      <c r="G253" s="7"/>
      <c r="H253" s="7"/>
      <c r="I253" s="7"/>
      <c r="J253" s="7"/>
      <c r="K253" s="220"/>
      <c r="L253" s="220"/>
      <c r="M253" s="7"/>
      <c r="N253" s="7"/>
      <c r="O253" s="224">
        <v>4.9500000000000002E-2</v>
      </c>
      <c r="P253" s="224">
        <v>4.9500000000000002E-2</v>
      </c>
      <c r="Q253" s="224">
        <v>4.9500000000000002E-2</v>
      </c>
      <c r="R253" s="224">
        <v>4.9500000000000002E-2</v>
      </c>
      <c r="S253" s="224">
        <v>4.9500000000000002E-2</v>
      </c>
    </row>
    <row r="254" spans="2:31" ht="12" customHeight="1" x14ac:dyDescent="0.25">
      <c r="B254" s="185" t="s">
        <v>439</v>
      </c>
      <c r="C254" s="7"/>
      <c r="D254" s="7"/>
      <c r="E254" s="7"/>
      <c r="F254" s="7"/>
      <c r="G254" s="7">
        <f>(8365.37+2368.01)/10</f>
        <v>1073.3380000000002</v>
      </c>
      <c r="H254" s="7">
        <v>517.16800000000001</v>
      </c>
      <c r="I254" s="7">
        <v>916.66499999999996</v>
      </c>
      <c r="J254" s="7">
        <v>1652.6479999999999</v>
      </c>
      <c r="K254" s="7">
        <v>2040.568</v>
      </c>
      <c r="L254" s="7">
        <v>751.66099999999994</v>
      </c>
      <c r="M254" s="7">
        <v>723.6</v>
      </c>
      <c r="N254" s="7">
        <v>844.6</v>
      </c>
      <c r="O254" s="7">
        <v>1183.4</v>
      </c>
      <c r="P254" s="937">
        <f>Assumptions!FA1595</f>
        <v>1735.1407678424657</v>
      </c>
      <c r="Q254" s="937">
        <f>Assumptions!FB1595</f>
        <v>5463.6511745307516</v>
      </c>
      <c r="R254" s="937">
        <f>Assumptions!FC1595</f>
        <v>6864.6321384411012</v>
      </c>
      <c r="S254" s="937">
        <f>Assumptions!FD1595</f>
        <v>12380.224814060279</v>
      </c>
      <c r="T254" s="32" t="s">
        <v>1645</v>
      </c>
      <c r="U254" s="895"/>
      <c r="V254" s="895"/>
      <c r="W254" s="895"/>
      <c r="X254" s="895"/>
      <c r="Y254" s="895"/>
      <c r="Z254" s="895"/>
      <c r="AA254" s="895"/>
      <c r="AB254" s="895"/>
      <c r="AC254" s="895"/>
      <c r="AD254" s="895"/>
      <c r="AE254" s="895"/>
    </row>
    <row r="255" spans="2:31" ht="12" customHeight="1" x14ac:dyDescent="0.25">
      <c r="B255" s="185" t="s">
        <v>440</v>
      </c>
      <c r="C255" s="7"/>
      <c r="D255" s="7"/>
      <c r="E255" s="7"/>
      <c r="F255" s="7"/>
      <c r="G255" s="7"/>
      <c r="H255" s="7"/>
      <c r="I255" s="7">
        <v>14.258000000000001</v>
      </c>
      <c r="J255" s="7">
        <v>14.258000000000001</v>
      </c>
      <c r="K255" s="7">
        <v>12.760999999999999</v>
      </c>
      <c r="L255" s="7">
        <v>8.2430000000000003</v>
      </c>
      <c r="M255" s="7">
        <v>0</v>
      </c>
      <c r="N255" s="7"/>
      <c r="O255" s="7">
        <v>1</v>
      </c>
      <c r="C256" s="7"/>
      <c r="D256" s="7"/>
      <c r="E256" s="7"/>
      <c r="F256" s="7"/>
      <c r="G256" s="7"/>
      <c r="H256" s="7"/>
      <c r="I256" s="7">
        <v>26.738999999999997</v>
      </c>
      <c r="J256" s="7">
        <v>124.14700000000001</v>
      </c>
      <c r="K256" s="7">
        <v>304.01799999999997</v>
      </c>
      <c r="L256" s="7">
        <v>1700.9929999999999</v>
      </c>
      <c r="M256" s="7">
        <v>1716</v>
      </c>
      <c r="N256" s="7">
        <v>1770.2</v>
      </c>
      <c r="O256" s="7">
        <v>1868</v>
      </c>
      <c r="P256" s="187">
        <f>P253*P247</f>
      </c>
      <c r="Q256" s="187">
        <f>Q253*Q247</f>
      </c>
      <c r="R256" s="187">
        <f>R253*R247</f>
      </c>
      <c r="S256" s="187">
        <f>S253*S247</f>
        <v>0</v>
      </c>
    </row>
    <row r="257" spans="2:19" ht="12" customHeight="1" x14ac:dyDescent="0.25">
      <c r="B257" s="6" t="s">
        <v>442</v>
      </c>
      <c r="C257" s="7"/>
      <c r="D257" s="7"/>
      <c r="E257" s="7"/>
      <c r="F257" s="7"/>
      <c r="G257" s="7"/>
      <c r="H257" s="7"/>
      <c r="I257" s="7">
        <v>0</v>
      </c>
      <c r="J257" s="7">
        <v>0</v>
      </c>
      <c r="K257" s="7">
        <v>210.02199999999999</v>
      </c>
      <c r="L257" s="7">
        <v>226.28400000000002</v>
      </c>
      <c r="M257" s="7">
        <v>290</v>
      </c>
      <c r="N257" s="7">
        <v>314.89999999999998</v>
      </c>
      <c r="O257" s="7">
        <v>318.5</v>
      </c>
      <c r="P257" s="225">
        <f>O257</f>
        <v>318.5</v>
      </c>
      <c r="Q257" s="225"/>
      <c r="R257" s="225"/>
      <c r="S257" s="225"/>
    </row>
    <row r="258" spans="2:19" ht="12" customHeight="1" x14ac:dyDescent="0.25">
      <c r="B258" s="6" t="s">
        <v>443</v>
      </c>
      <c r="C258" s="7"/>
      <c r="D258" s="7"/>
      <c r="E258" s="7"/>
      <c r="F258" s="7"/>
      <c r="G258" s="7"/>
      <c r="H258" s="7"/>
      <c r="I258" s="7">
        <v>162.048</v>
      </c>
      <c r="J258" s="7">
        <v>534.09399999999994</v>
      </c>
      <c r="K258" s="7">
        <v>312.51799999999997</v>
      </c>
      <c r="L258" s="7">
        <v>0</v>
      </c>
      <c r="M258" s="7">
        <v>0</v>
      </c>
      <c r="N258" s="7">
        <v>0</v>
      </c>
      <c r="O258" s="225"/>
      <c r="P258" s="225"/>
      <c r="Q258" s="225"/>
      <c r="R258" s="225"/>
      <c r="S258" s="225"/>
    </row>
    <row r="259" spans="2:19" ht="12" customHeight="1" x14ac:dyDescent="0.25">
      <c r="B259" s="6" t="s">
        <v>444</v>
      </c>
      <c r="C259" s="7"/>
      <c r="D259" s="7"/>
      <c r="E259" s="7"/>
      <c r="F259" s="7"/>
      <c r="G259" s="7">
        <v>85.195999999999998</v>
      </c>
      <c r="H259" s="7">
        <v>639.26400000000001</v>
      </c>
      <c r="I259" s="7">
        <v>792.15300000000002</v>
      </c>
      <c r="J259" s="7">
        <v>-243.554</v>
      </c>
      <c r="K259" s="7">
        <v>716.31299999999999</v>
      </c>
      <c r="L259" s="7">
        <v>3142.2429999999999</v>
      </c>
      <c r="M259" s="7">
        <v>433</v>
      </c>
      <c r="N259" s="7">
        <v>-743.6</v>
      </c>
      <c r="O259" s="7">
        <v>264.3</v>
      </c>
      <c r="C260" s="7"/>
      <c r="D260" s="7"/>
      <c r="E260" s="7"/>
      <c r="F260" s="7"/>
      <c r="G260" s="7">
        <v>140.40799999999999</v>
      </c>
      <c r="H260" s="7">
        <v>614.93299999999999</v>
      </c>
      <c r="I260" s="7">
        <v>862.72</v>
      </c>
      <c r="J260" s="7">
        <v>196.982</v>
      </c>
      <c r="K260" s="7">
        <v>600.03100000000006</v>
      </c>
      <c r="L260" s="7">
        <v>131.45699999999999</v>
      </c>
      <c r="M260" s="7">
        <v>162</v>
      </c>
      <c r="N260" s="7">
        <v>471.3</v>
      </c>
      <c r="O260" s="7">
        <v>194.7</v>
      </c>
      <c r="H261" s="10">
        <f>SUM(H254:H260)</f>
        <v>1771.365</v>
      </c>
      <c r="I261" s="10">
        <f t="shared" ref="I261:M261" si="253">SUM(I254:I260)</f>
        <v>2774.5830000000001</v>
      </c>
      <c r="J261" s="10">
        <f t="shared" si="253"/>
        <v>2278.5749999999998</v>
      </c>
      <c r="K261" s="10">
        <f t="shared" si="253"/>
        <v>4196.2310000000007</v>
      </c>
      <c r="L261" s="10">
        <f t="shared" si="253"/>
        <v>5960.8810000000003</v>
      </c>
      <c r="M261" s="10">
        <f t="shared" si="253"/>
        <v>3324.6</v>
      </c>
      <c r="N261" s="10">
        <f t="shared" ref="N261" si="254">SUM(N254:N260)</f>
        <v>2657.4000000000005</v>
      </c>
      <c r="O261" s="10">
        <f>SUM(O254:O260)</f>
        <v>3829.9</v>
      </c>
      <c r="P261" s="226">
        <f>SUM(P254:P260)</f>
        <v>3733.0374513424663</v>
      </c>
      <c r="Q261" s="226">
        <f>SUM(Q254:Q260)</f>
        <v>7163.4778248657522</v>
      </c>
      <c r="R261" s="226">
        <f>SUM(R254:R260)</f>
        <v>8581.4570552794521</v>
      </c>
      <c r="S261" s="226">
        <f>SUM(S254:S260)</f>
        <v>12380.224814060279</v>
      </c>
    </row>
    <row r="262" spans="2:19" ht="12" customHeight="1" x14ac:dyDescent="0.25">
      <c r="B262" s="33"/>
      <c r="C262" s="34"/>
      <c r="D262" s="34"/>
      <c r="E262" s="34"/>
      <c r="F262" s="34"/>
      <c r="G262" s="34"/>
      <c r="H262" s="34"/>
      <c r="I262" s="34"/>
      <c r="J262" s="34"/>
      <c r="K262" s="34"/>
      <c r="L262" s="34">
        <f>L261-L259</f>
        <v>2818.6380000000004</v>
      </c>
      <c r="M262" s="542">
        <f>M261/AVERAGE(L78:M78)</f>
        <v>7.7097733888751158E-2</v>
      </c>
      <c r="N262" s="542">
        <f>N261/AVERAGE(M78:N78)</f>
        <v>5.879522230740384E-2</v>
      </c>
    </row>
    <row r="263" spans="2:19" ht="12" customHeight="1" x14ac:dyDescent="0.25">
      <c r="B263" s="3" t="s">
        <v>31</v>
      </c>
      <c r="C263" s="30"/>
      <c r="D263" s="30"/>
      <c r="E263" s="30"/>
      <c r="F263" s="30"/>
      <c r="G263" s="30"/>
      <c r="H263" s="30"/>
      <c r="I263" s="30"/>
      <c r="J263" s="30"/>
      <c r="K263" s="30"/>
      <c r="L263" s="30"/>
      <c r="M263" s="30"/>
      <c r="N263" s="30"/>
      <c r="O263" s="223"/>
      <c r="P263" s="223"/>
      <c r="Q263" s="223"/>
      <c r="R263" s="223"/>
      <c r="S263" s="223"/>
    </row>
    <row r="264" spans="2:19" ht="12" customHeight="1" x14ac:dyDescent="0.25">
      <c r="B264" s="6" t="s">
        <v>445</v>
      </c>
      <c r="C264" s="7"/>
      <c r="D264" s="7"/>
      <c r="E264" s="7"/>
      <c r="F264" s="7"/>
      <c r="G264" s="7">
        <v>705.59300000000007</v>
      </c>
      <c r="H264" s="7">
        <v>1568.0070000000001</v>
      </c>
      <c r="I264" s="7">
        <v>1592.76</v>
      </c>
      <c r="J264" s="7">
        <v>2282.2809999999999</v>
      </c>
      <c r="K264" s="7">
        <v>2834.1680000000001</v>
      </c>
      <c r="L264" s="7">
        <v>3169.502</v>
      </c>
      <c r="M264" s="7">
        <v>2962.7</v>
      </c>
      <c r="N264" s="7">
        <v>5213</v>
      </c>
      <c r="O264" s="7">
        <f>6596.7+2129.9</f>
        <v>8726.6</v>
      </c>
      <c r="C265" s="7"/>
      <c r="D265" s="7"/>
      <c r="E265" s="7"/>
      <c r="F265" s="7"/>
      <c r="G265" s="7">
        <v>37.902000000000001</v>
      </c>
      <c r="H265" s="7">
        <v>51.48</v>
      </c>
      <c r="I265" s="7">
        <v>66.817999999999998</v>
      </c>
      <c r="J265" s="7">
        <v>61.809000000000005</v>
      </c>
      <c r="K265" s="7">
        <v>127.423</v>
      </c>
      <c r="L265" s="7">
        <v>102.095</v>
      </c>
      <c r="M265" s="7">
        <v>125.8</v>
      </c>
      <c r="N265" s="7">
        <v>140.4</v>
      </c>
      <c r="O265" s="7">
        <v>159.9</v>
      </c>
      <c r="C266" s="7"/>
      <c r="D266" s="7"/>
      <c r="E266" s="7"/>
      <c r="F266" s="7"/>
      <c r="G266" s="7">
        <v>90.375</v>
      </c>
      <c r="H266" s="7">
        <v>87.917999999999992</v>
      </c>
      <c r="I266" s="7">
        <v>119.506</v>
      </c>
      <c r="J266" s="7">
        <v>84.622</v>
      </c>
      <c r="K266" s="7">
        <v>297.58299999999997</v>
      </c>
      <c r="L266" s="7">
        <v>246.244</v>
      </c>
      <c r="M266" s="7">
        <v>663.9</v>
      </c>
      <c r="N266" s="7">
        <v>542.29999999999995</v>
      </c>
      <c r="O266" s="7">
        <v>747.5</v>
      </c>
      <c r="C267" s="7"/>
      <c r="D267" s="7"/>
      <c r="E267" s="7"/>
      <c r="F267" s="7"/>
      <c r="G267" s="7">
        <v>334.05200000000002</v>
      </c>
      <c r="H267" s="7">
        <v>380.60900000000004</v>
      </c>
      <c r="I267" s="7">
        <v>356.59899999999999</v>
      </c>
      <c r="J267" s="7">
        <v>624.12799999999993</v>
      </c>
      <c r="K267" s="7">
        <v>915.99099999999999</v>
      </c>
      <c r="L267" s="7">
        <v>1250.086</v>
      </c>
      <c r="M267" s="7">
        <v>1608.8999999999999</v>
      </c>
      <c r="N267" s="7">
        <v>1804.2</v>
      </c>
      <c r="O267" s="7">
        <v>2162</v>
      </c>
      <c r="C268" s="7"/>
      <c r="D268" s="7"/>
      <c r="E268" s="7"/>
      <c r="F268" s="7"/>
      <c r="G268" s="7">
        <v>88.359000000000009</v>
      </c>
      <c r="H268" s="7">
        <v>124.032</v>
      </c>
      <c r="I268" s="193">
        <v>142.47999999999999</v>
      </c>
      <c r="J268" s="193">
        <v>167.60599999999999</v>
      </c>
      <c r="K268" s="193">
        <v>207.11700000000002</v>
      </c>
      <c r="L268" s="193">
        <v>285.90100000000001</v>
      </c>
      <c r="M268" s="193">
        <v>416.4</v>
      </c>
      <c r="N268" s="193">
        <v>208.6</v>
      </c>
      <c r="O268" s="7">
        <v>323.1</v>
      </c>
      <c r="Q268" s="187"/>
      <c r="R268" s="187"/>
      <c r="S268" s="184"/>
    </row>
    <row r="269" spans="2:19" ht="12" customHeight="1" x14ac:dyDescent="0.25">
      <c r="B269" s="6" t="s">
        <v>450</v>
      </c>
      <c r="C269" s="7"/>
      <c r="D269" s="7"/>
      <c r="E269" s="7"/>
      <c r="F269" s="7"/>
      <c r="G269" s="7">
        <f>(493.67+1415.01+35.03)/10</f>
        <v>194.37100000000001</v>
      </c>
      <c r="H269" s="7">
        <f>(124.69+2990.23)/10</f>
        <v>311.49200000000002</v>
      </c>
      <c r="I269" s="193">
        <v>303.51799999999997</v>
      </c>
      <c r="J269" s="193">
        <v>418.3</v>
      </c>
      <c r="K269" s="193">
        <v>522.07600000000002</v>
      </c>
      <c r="L269" s="193">
        <v>1084.348</v>
      </c>
      <c r="M269" s="193">
        <v>692.6</v>
      </c>
      <c r="N269" s="193">
        <v>968.7</v>
      </c>
      <c r="O269" s="7">
        <v>1207.7</v>
      </c>
      <c r="C270" s="7"/>
      <c r="D270" s="7"/>
      <c r="E270" s="7"/>
      <c r="F270" s="7"/>
      <c r="G270" s="7">
        <v>637.21199999999999</v>
      </c>
      <c r="H270" s="7">
        <v>599.47900000000004</v>
      </c>
      <c r="I270" s="7">
        <v>624.25400000000002</v>
      </c>
      <c r="J270" s="7">
        <v>1803.825</v>
      </c>
      <c r="K270" s="7">
        <v>3329.4050000000002</v>
      </c>
      <c r="L270" s="7">
        <v>5308.4790000000003</v>
      </c>
      <c r="M270" s="7">
        <v>6335.7000000000007</v>
      </c>
      <c r="N270" s="7">
        <v>7071.4</v>
      </c>
      <c r="O270" s="7">
        <v>7977.7</v>
      </c>
      <c r="Q270" s="187"/>
      <c r="R270" s="187"/>
      <c r="S270" s="184"/>
    </row>
    <row r="271" spans="2:19" ht="12" customHeight="1" x14ac:dyDescent="0.25">
      <c r="B271" s="6" t="s">
        <v>452</v>
      </c>
      <c r="C271" s="7"/>
      <c r="D271" s="7"/>
      <c r="E271" s="7"/>
      <c r="F271" s="7"/>
      <c r="G271" s="7">
        <v>49.436</v>
      </c>
      <c r="H271" s="7">
        <v>22.154</v>
      </c>
      <c r="I271" s="7">
        <v>137.739</v>
      </c>
      <c r="J271" s="7">
        <v>195.22300000000001</v>
      </c>
      <c r="K271" s="7">
        <v>186.72899999999998</v>
      </c>
      <c r="L271" s="7">
        <v>301.59699999999998</v>
      </c>
      <c r="M271" s="7">
        <v>430.09999999999997</v>
      </c>
      <c r="N271" s="7">
        <v>1106.5</v>
      </c>
      <c r="O271" s="7">
        <v>941.4</v>
      </c>
      <c r="C272" s="7"/>
      <c r="D272" s="7"/>
      <c r="E272" s="7"/>
      <c r="F272" s="7"/>
      <c r="G272" s="7">
        <v>11.605</v>
      </c>
      <c r="H272" s="7">
        <v>13.663</v>
      </c>
      <c r="I272" s="7">
        <v>13.536000000000001</v>
      </c>
      <c r="J272" s="7">
        <v>17.533999999999999</v>
      </c>
      <c r="K272" s="7">
        <v>19.437999999999999</v>
      </c>
      <c r="L272" s="7">
        <v>13.081999999999999</v>
      </c>
      <c r="M272" s="7">
        <v>0</v>
      </c>
      <c r="N272" s="7"/>
      <c r="O272" s="184"/>
      <c r="P272" s="184"/>
      <c r="Q272" s="187"/>
      <c r="R272" s="187"/>
      <c r="S272" s="184"/>
    </row>
    <row r="273" spans="2:19" ht="12" customHeight="1" x14ac:dyDescent="0.25">
      <c r="B273" s="6" t="s">
        <v>454</v>
      </c>
      <c r="C273" s="7"/>
      <c r="D273" s="7"/>
      <c r="E273" s="7"/>
      <c r="F273" s="7"/>
      <c r="G273" s="7">
        <v>5.6869999999999994</v>
      </c>
      <c r="H273" s="7">
        <v>6.5590000000000002</v>
      </c>
      <c r="I273" s="7">
        <v>10.878</v>
      </c>
      <c r="J273" s="7">
        <v>10.41</v>
      </c>
      <c r="K273" s="7">
        <v>24.577000000000002</v>
      </c>
      <c r="L273" s="7">
        <v>54.484000000000002</v>
      </c>
      <c r="M273" s="7">
        <v>154.30000000000001</v>
      </c>
      <c r="N273" s="7">
        <v>285</v>
      </c>
      <c r="O273" s="7">
        <v>549.1</v>
      </c>
      <c r="C274" s="7"/>
      <c r="D274" s="7"/>
      <c r="E274" s="7"/>
      <c r="F274" s="7"/>
      <c r="G274" s="7">
        <v>45.347000000000001</v>
      </c>
      <c r="H274" s="7">
        <v>94.161000000000001</v>
      </c>
      <c r="I274" s="7">
        <v>85.161000000000001</v>
      </c>
      <c r="J274" s="7">
        <v>73.207999999999998</v>
      </c>
      <c r="K274" s="7">
        <v>116.751</v>
      </c>
      <c r="L274" s="7">
        <v>248.148</v>
      </c>
      <c r="M274" s="7">
        <v>196.9</v>
      </c>
      <c r="N274" s="7">
        <v>94.6</v>
      </c>
      <c r="O274" s="7">
        <v>60.2</v>
      </c>
      <c r="C275" s="7"/>
      <c r="D275" s="7"/>
      <c r="E275" s="7"/>
      <c r="F275" s="7"/>
      <c r="G275" s="7">
        <v>10.442</v>
      </c>
      <c r="H275" s="7">
        <v>6.8000000000000005E-2</v>
      </c>
      <c r="I275" s="7">
        <v>1.1539999999999999</v>
      </c>
      <c r="J275" s="7">
        <v>7.0830000000000002</v>
      </c>
      <c r="K275" s="7">
        <v>0.63800000000000001</v>
      </c>
      <c r="L275" s="7">
        <v>1.7309999999999999</v>
      </c>
      <c r="M275" s="7">
        <v>0</v>
      </c>
      <c r="N275" s="7"/>
      <c r="O275" s="184"/>
      <c r="P275" s="184"/>
      <c r="Q275" s="187"/>
      <c r="R275" s="187"/>
      <c r="S275" s="184"/>
    </row>
    <row r="276" spans="2:19" ht="12" customHeight="1" x14ac:dyDescent="0.25">
      <c r="B276" s="6"/>
      <c r="C276" s="7"/>
      <c r="D276" s="7"/>
      <c r="E276" s="7"/>
      <c r="F276" s="7"/>
      <c r="G276" s="10">
        <f t="shared" ref="G276:N276" si="255">SUM(G264:G275)</f>
        <v>2210.3810000000003</v>
      </c>
      <c r="H276" s="10">
        <f t="shared" si="255"/>
        <v>3259.6220000000012</v>
      </c>
      <c r="I276" s="10">
        <f t="shared" si="255"/>
        <v>3454.4030000000002</v>
      </c>
      <c r="J276" s="10">
        <f t="shared" si="255"/>
        <v>5746.0289999999986</v>
      </c>
      <c r="K276" s="10">
        <f t="shared" si="255"/>
        <v>8581.8960000000006</v>
      </c>
      <c r="L276" s="10">
        <f t="shared" si="255"/>
        <v>12065.696999999998</v>
      </c>
      <c r="M276" s="10">
        <f t="shared" si="255"/>
        <v>13587.3</v>
      </c>
      <c r="N276" s="10">
        <f t="shared" si="255"/>
        <v>17434.699999999997</v>
      </c>
      <c r="O276" s="10">
        <f>SUM(O264:O275)</f>
        <v>22855.2</v>
      </c>
      <c r="C278" s="30"/>
      <c r="D278" s="30"/>
      <c r="E278" s="30"/>
      <c r="F278" s="30"/>
      <c r="G278" s="30"/>
      <c r="H278" s="30"/>
      <c r="I278" s="30"/>
      <c r="J278" s="30"/>
      <c r="K278" s="30"/>
      <c r="L278" s="30"/>
      <c r="M278" s="30"/>
      <c r="N278" s="30"/>
      <c r="O278" s="223"/>
      <c r="P278" s="223"/>
      <c r="Q278" s="223"/>
      <c r="R278" s="223"/>
      <c r="S278" s="223"/>
    </row>
    <row r="279" spans="2:19" ht="12" customHeight="1" x14ac:dyDescent="0.25">
      <c r="B279" s="6" t="s">
        <v>457</v>
      </c>
      <c r="C279" s="7"/>
      <c r="D279" s="7"/>
      <c r="E279" s="7"/>
      <c r="F279" s="7"/>
      <c r="G279" s="7">
        <f>(140.03+573.45)/10</f>
        <v>71.347999999999999</v>
      </c>
      <c r="H279" s="7">
        <f>( 224.25+350.3)/10</f>
        <v>57.454999999999998</v>
      </c>
      <c r="I279" s="7">
        <v>51.412999999999997</v>
      </c>
      <c r="J279" s="7">
        <v>35.414000000000001</v>
      </c>
      <c r="K279" s="7">
        <v>225.00500000000002</v>
      </c>
      <c r="L279" s="7">
        <v>29.151999999999997</v>
      </c>
      <c r="M279" s="7">
        <v>94.7</v>
      </c>
      <c r="N279" s="7">
        <v>150.30000000000001</v>
      </c>
      <c r="O279" s="7">
        <v>101.1</v>
      </c>
      <c r="C280" s="7"/>
      <c r="D280" s="7"/>
      <c r="E280" s="7"/>
      <c r="F280" s="7"/>
      <c r="G280" s="7">
        <v>21.54</v>
      </c>
      <c r="H280" s="7">
        <v>9.6760000000000002</v>
      </c>
      <c r="I280" s="7">
        <v>12.165000000000001</v>
      </c>
      <c r="J280" s="7">
        <v>4.6619999999999999</v>
      </c>
      <c r="K280" s="7">
        <v>11.885</v>
      </c>
      <c r="L280" s="7">
        <v>30.964999999999996</v>
      </c>
      <c r="M280" s="7">
        <v>51.8</v>
      </c>
      <c r="N280" s="7">
        <v>66.599999999999994</v>
      </c>
      <c r="O280" s="7">
        <v>54</v>
      </c>
      <c r="C281" s="7"/>
      <c r="D281" s="7"/>
      <c r="E281" s="7"/>
      <c r="F281" s="7"/>
      <c r="G281" s="7">
        <v>4.6440000000000001</v>
      </c>
      <c r="H281" s="7">
        <v>4.3229999999999995</v>
      </c>
      <c r="I281" s="7">
        <v>4.3220000000000001</v>
      </c>
      <c r="J281" s="7">
        <v>3.97</v>
      </c>
      <c r="K281" s="7">
        <v>4.66</v>
      </c>
      <c r="L281" s="7">
        <v>5.79</v>
      </c>
      <c r="M281" s="7">
        <v>7.3</v>
      </c>
      <c r="N281" s="7">
        <v>12.5</v>
      </c>
      <c r="O281" s="7">
        <v>11.6</v>
      </c>
      <c r="C282" s="7"/>
      <c r="D282" s="7"/>
      <c r="E282" s="7"/>
      <c r="F282" s="7"/>
      <c r="G282" s="7">
        <v>80.097000000000008</v>
      </c>
      <c r="H282" s="7">
        <v>76.722999999999999</v>
      </c>
      <c r="I282" s="7">
        <v>76.534000000000006</v>
      </c>
      <c r="J282" s="7">
        <v>92.094000000000008</v>
      </c>
      <c r="K282" s="7">
        <v>193.291</v>
      </c>
      <c r="L282" s="7">
        <v>153.45400000000001</v>
      </c>
      <c r="M282" s="7">
        <v>224</v>
      </c>
      <c r="N282" s="7">
        <v>657.2</v>
      </c>
      <c r="O282" s="7">
        <v>570.9</v>
      </c>
      <c r="C283" s="7"/>
      <c r="D283" s="7"/>
      <c r="E283" s="7"/>
      <c r="F283" s="7"/>
      <c r="G283" s="7">
        <v>59.488999999999997</v>
      </c>
      <c r="H283" s="7">
        <v>69.561000000000007</v>
      </c>
      <c r="I283" s="7">
        <v>90.826999999999998</v>
      </c>
      <c r="J283" s="7">
        <v>129.43199999999999</v>
      </c>
      <c r="K283" s="7">
        <v>166.215</v>
      </c>
      <c r="L283" s="7">
        <v>276.79200000000003</v>
      </c>
      <c r="M283" s="7">
        <v>306.2</v>
      </c>
      <c r="N283" s="7">
        <v>342</v>
      </c>
      <c r="O283" s="7">
        <v>356.7</v>
      </c>
      <c r="C284" s="7"/>
      <c r="D284" s="7"/>
      <c r="E284" s="7"/>
      <c r="F284" s="7"/>
      <c r="G284" s="7">
        <v>5.0510000000000002</v>
      </c>
      <c r="H284" s="7">
        <v>6.1909999999999998</v>
      </c>
      <c r="I284" s="7">
        <v>6.5980000000000008</v>
      </c>
      <c r="J284" s="7">
        <v>6.9829999999999997</v>
      </c>
      <c r="K284" s="7">
        <v>19.616</v>
      </c>
      <c r="L284" s="7">
        <v>4.4560000000000004</v>
      </c>
      <c r="M284" s="7"/>
      <c r="N284" s="7"/>
      <c r="O284" s="184"/>
      <c r="P284" s="184"/>
      <c r="Q284" s="184"/>
      <c r="R284" s="184"/>
      <c r="S284" s="184"/>
    </row>
    <row r="285" spans="2:19" ht="12" customHeight="1" x14ac:dyDescent="0.25">
      <c r="B285" s="6" t="s">
        <v>463</v>
      </c>
      <c r="C285" s="7"/>
      <c r="D285" s="7"/>
      <c r="E285" s="7"/>
      <c r="F285" s="7"/>
      <c r="G285" s="7">
        <v>27.006999999999998</v>
      </c>
      <c r="H285" s="7">
        <v>28.743000000000002</v>
      </c>
      <c r="I285" s="7">
        <v>36.416000000000004</v>
      </c>
      <c r="J285" s="7">
        <v>40.726999999999997</v>
      </c>
      <c r="K285" s="7">
        <v>43.338000000000001</v>
      </c>
      <c r="L285" s="7">
        <v>45.249000000000002</v>
      </c>
      <c r="M285" s="7">
        <v>57.9</v>
      </c>
      <c r="N285" s="7">
        <v>65.599999999999994</v>
      </c>
      <c r="O285" s="7">
        <v>67.1</v>
      </c>
      <c r="C286" s="7"/>
      <c r="D286" s="7"/>
      <c r="E286" s="7"/>
      <c r="F286" s="7"/>
      <c r="G286" s="7">
        <v>21.795999999999999</v>
      </c>
      <c r="H286" s="7">
        <v>30.223000000000003</v>
      </c>
      <c r="I286" s="7">
        <v>38.742000000000004</v>
      </c>
      <c r="J286" s="7">
        <v>53.480999999999995</v>
      </c>
      <c r="K286" s="7">
        <v>82.268000000000001</v>
      </c>
      <c r="L286" s="7">
        <v>105.226</v>
      </c>
      <c r="M286" s="7">
        <v>116.8</v>
      </c>
      <c r="N286" s="7">
        <v>166.1</v>
      </c>
      <c r="O286" s="7">
        <v>214.8</v>
      </c>
      <c r="C287" s="7"/>
      <c r="D287" s="7"/>
      <c r="E287" s="7"/>
      <c r="F287" s="7"/>
      <c r="G287" s="7">
        <v>57.213999999999999</v>
      </c>
      <c r="H287" s="7">
        <v>71.042999999999992</v>
      </c>
      <c r="I287" s="7">
        <v>71.662999999999997</v>
      </c>
      <c r="J287" s="7">
        <v>64.472000000000008</v>
      </c>
      <c r="K287" s="7">
        <v>52.504999999999995</v>
      </c>
      <c r="L287" s="7">
        <v>93.507000000000005</v>
      </c>
      <c r="M287" s="7">
        <v>141.6</v>
      </c>
      <c r="N287" s="7">
        <v>206.6</v>
      </c>
      <c r="O287" s="7">
        <v>261.4</v>
      </c>
      <c r="C288" s="7"/>
      <c r="D288" s="7"/>
      <c r="E288" s="7"/>
      <c r="F288" s="7"/>
      <c r="G288" s="7">
        <v>0.55700000000000005</v>
      </c>
      <c r="H288" s="7">
        <v>1.242</v>
      </c>
      <c r="I288" s="7">
        <v>0</v>
      </c>
      <c r="J288" s="7">
        <v>0</v>
      </c>
      <c r="K288" s="7" t="s">
        <v>108</v>
      </c>
      <c r="L288" s="7">
        <v>23.731999999999999</v>
      </c>
      <c r="M288" s="7">
        <v>29.6</v>
      </c>
      <c r="N288" s="7">
        <v>0</v>
      </c>
      <c r="O288" s="7">
        <v>3.9</v>
      </c>
      <c r="C289" s="7"/>
      <c r="D289" s="7"/>
      <c r="E289" s="7"/>
      <c r="F289" s="7"/>
      <c r="G289" s="7">
        <v>34.629000000000005</v>
      </c>
      <c r="H289" s="7">
        <v>24.359000000000002</v>
      </c>
      <c r="I289" s="7">
        <v>26.577999999999996</v>
      </c>
      <c r="J289" s="7">
        <v>19.356999999999999</v>
      </c>
      <c r="K289" s="7">
        <v>31.423999999999999</v>
      </c>
      <c r="L289" s="7">
        <v>45.667999999999999</v>
      </c>
      <c r="M289" s="7">
        <v>57.5</v>
      </c>
      <c r="N289" s="7">
        <v>60.5</v>
      </c>
      <c r="O289" s="7">
        <v>72.1</v>
      </c>
      <c r="C290" s="7"/>
      <c r="D290" s="7"/>
      <c r="E290" s="7"/>
      <c r="F290" s="7"/>
      <c r="G290" s="7">
        <v>121.79400000000001</v>
      </c>
      <c r="H290" s="7">
        <v>116.60299999999999</v>
      </c>
      <c r="I290" s="7">
        <v>149.464</v>
      </c>
      <c r="J290" s="7">
        <v>199.80799999999999</v>
      </c>
      <c r="K290" s="7">
        <v>335.61900000000003</v>
      </c>
      <c r="L290" s="7">
        <v>252.81799999999998</v>
      </c>
      <c r="M290" s="7">
        <v>276.5</v>
      </c>
      <c r="N290" s="7">
        <v>311.10000000000002</v>
      </c>
      <c r="O290" s="7">
        <v>314.3</v>
      </c>
      <c r="C291" s="7"/>
      <c r="D291" s="7"/>
      <c r="E291" s="7"/>
      <c r="F291" s="7"/>
      <c r="G291" s="7">
        <v>49.583999999999996</v>
      </c>
      <c r="H291" s="7">
        <v>117.57899999999999</v>
      </c>
      <c r="I291" s="7">
        <v>129.50200000000001</v>
      </c>
      <c r="J291" s="7">
        <v>107.88499999999999</v>
      </c>
      <c r="K291" s="7">
        <v>30.417999999999999</v>
      </c>
      <c r="L291" s="7">
        <v>28.443000000000001</v>
      </c>
      <c r="M291" s="7">
        <v>18</v>
      </c>
      <c r="N291" s="7">
        <v>29.7</v>
      </c>
      <c r="O291" s="7">
        <v>67.6</v>
      </c>
      <c r="C292" s="7"/>
      <c r="D292" s="7"/>
      <c r="E292" s="7"/>
      <c r="F292" s="7"/>
      <c r="G292" s="7">
        <v>1.46</v>
      </c>
      <c r="H292" s="7">
        <v>0</v>
      </c>
      <c r="I292" s="7" t="s">
        <v>108</v>
      </c>
      <c r="J292" s="7">
        <v>1.8829999999999998</v>
      </c>
      <c r="K292" s="7">
        <v>174.46700000000001</v>
      </c>
      <c r="L292" s="7">
        <v>1.47</v>
      </c>
      <c r="M292" s="7">
        <v>17.3</v>
      </c>
      <c r="N292" s="7">
        <v>83.6</v>
      </c>
      <c r="O292" s="7">
        <v>10.3</v>
      </c>
      <c r="C293" s="7"/>
      <c r="D293" s="7"/>
      <c r="E293" s="7"/>
      <c r="F293" s="7"/>
      <c r="G293" s="7">
        <v>0</v>
      </c>
      <c r="H293" s="7">
        <v>0</v>
      </c>
      <c r="I293" s="7">
        <v>301.916</v>
      </c>
      <c r="J293" s="7">
        <v>209.43600000000001</v>
      </c>
      <c r="K293" s="7">
        <v>121.23699999999999</v>
      </c>
      <c r="L293" s="7">
        <v>153.56300000000002</v>
      </c>
      <c r="M293" s="7"/>
      <c r="N293" s="7"/>
      <c r="O293" s="186"/>
      <c r="P293" s="186"/>
      <c r="Q293" s="184"/>
      <c r="R293" s="184"/>
      <c r="S293" s="184"/>
    </row>
    <row r="294" spans="2:19" ht="12" customHeight="1" x14ac:dyDescent="0.25">
      <c r="B294" s="6" t="s">
        <v>111</v>
      </c>
      <c r="C294" s="7"/>
      <c r="D294" s="7"/>
      <c r="E294" s="7"/>
      <c r="F294" s="7"/>
      <c r="G294" s="7">
        <f>(37.89+221.11+181.52)/10</f>
        <v>44.052</v>
      </c>
      <c r="H294" s="7">
        <f>(46.88+ 65.87+804.24)/10</f>
        <v>91.698999999999998</v>
      </c>
      <c r="I294" s="7">
        <v>42.29</v>
      </c>
      <c r="J294" s="7">
        <v>42.186999999999998</v>
      </c>
      <c r="K294" s="7">
        <v>65.89500000000001</v>
      </c>
      <c r="L294" s="7">
        <v>129.935</v>
      </c>
      <c r="M294" s="7">
        <f>143.1+7.3</f>
        <v>150.4</v>
      </c>
      <c r="N294" s="7">
        <f>2+144.6</f>
        <v>146.6</v>
      </c>
      <c r="O294" s="7">
        <f>13.7+215.5</f>
        <v>229.2</v>
      </c>
      <c r="H295" s="10">
        <f t="shared" si="256"/>
        <v>705.42</v>
      </c>
      <c r="I295" s="10">
        <f t="shared" si="256"/>
        <v>1038.4299999999998</v>
      </c>
      <c r="J295" s="10">
        <f t="shared" si="256"/>
        <v>1011.7910000000001</v>
      </c>
      <c r="K295" s="10">
        <f t="shared" si="256"/>
        <v>1557.8430000000001</v>
      </c>
      <c r="L295" s="10">
        <f t="shared" si="256"/>
        <v>1380.2200000000003</v>
      </c>
      <c r="M295" s="10">
        <f t="shared" si="256"/>
        <v>1549.6</v>
      </c>
      <c r="N295" s="10">
        <f t="shared" si="256"/>
        <v>2298.3999999999992</v>
      </c>
      <c r="O295" s="10">
        <f>SUM(O279:O294)</f>
        <v>2335</v>
      </c>
      <c r="P295" s="184"/>
      <c r="Q295" s="184"/>
      <c r="R295" s="184"/>
      <c r="S295" s="184"/>
    </row>
  </sheetData>
  <pageMargins left="0.7" right="0.7" top="0.75" bottom="0.75" header="0.3" footer="0.3"/>
  <pageSetup paperSize="9" orientation="portrait" verticalDpi="300" r:id="rId1"/>
  <ignoredErrors>
    <ignoredError sqref="H182:L182 G3:L3 M3:N3" formulaRange="1"/>
    <ignoredError sqref="P65:P66 AF183:AQ192 O89" formula="1"/>
  </ignoredError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9945F-8BB1-4114-B1F5-8D44D6B288BE}">
  <dimension ref="A2:X101"/>
  <sheetViews>
    <sheetView topLeftCell="A14" zoomScale="115" zoomScaleNormal="115" workbookViewId="0">
      <selection activeCell="A29" sqref="A29"/>
    </sheetView>
  </sheetViews>
  <sheetFormatPr defaultColWidth="8.7109375" defaultRowHeight="12" x14ac:dyDescent="0.25"/>
  <cols>
    <col min="1" max="1" width="3.28515625" style="377" customWidth="1"/>
    <col min="2" max="2" width="27.28515625" style="377" bestFit="1" customWidth="1"/>
    <col min="3" max="3" width="14.28515625" style="417" bestFit="1" customWidth="1"/>
    <col min="4" max="5" width="8.7109375" style="377"/>
    <col min="6" max="6" width="9.7109375" style="377" bestFit="1" customWidth="1"/>
    <col min="7" max="17" width="8.7109375" style="377"/>
    <col min="18" max="18" width="47" style="377" customWidth="1"/>
    <col min="19" max="23" width="12.7109375" style="377" customWidth="1"/>
    <col min="24" max="16384" width="8.7109375" style="377"/>
  </cols>
  <sheetData>
    <row r="2" spans="2:16" ht="15" x14ac:dyDescent="0.25">
      <c r="B2" s="376" t="s">
        <v>840</v>
      </c>
      <c r="C2" s="436">
        <f ca="1">F2</f>
        <v>348.45</v>
      </c>
      <c r="E2" t="e" vm="1">
        <v>#VALUE!</v>
      </c>
      <c r="F2" s="1016" cm="1">
        <f t="array" aca="1" ref="F2" ca="1">_FV(E2,"Price")</f>
        <v>348.45</v>
      </c>
      <c r="H2" s="1024">
        <f ca="1">+H33/C2-1</f>
        <v>-0.1568073946179438</v>
      </c>
      <c r="J2" s="1024"/>
    </row>
    <row r="3" spans="2:16" x14ac:dyDescent="0.25">
      <c r="B3" s="378" t="s">
        <v>841</v>
      </c>
      <c r="C3" s="437">
        <f>Consol!P53</f>
        <v>2330</v>
      </c>
    </row>
    <row r="4" spans="2:16" x14ac:dyDescent="0.25">
      <c r="B4" s="378" t="s">
        <v>839</v>
      </c>
      <c r="C4" s="437">
        <f ca="1">C2*C3</f>
        <v>811888.5</v>
      </c>
      <c r="D4" s="377">
        <f ca="1">+C4+H15</f>
        <v>898878.25745355024</v>
      </c>
      <c r="E4" s="377">
        <f ca="1">+D4/20</f>
        <v>44943.912872677509</v>
      </c>
    </row>
    <row r="6" spans="2:16" x14ac:dyDescent="0.2">
      <c r="B6" s="232" t="s">
        <v>212</v>
      </c>
      <c r="C6" s="421"/>
      <c r="D6" s="233"/>
      <c r="E6" s="233"/>
      <c r="F6" s="233"/>
      <c r="G6" s="233"/>
      <c r="H6" s="233"/>
      <c r="I6" s="233"/>
      <c r="J6" s="233"/>
      <c r="K6" s="1304" t="s">
        <v>842</v>
      </c>
      <c r="L6" s="1305"/>
      <c r="P6" s="377">
        <v>360</v>
      </c>
    </row>
    <row r="7" spans="2:16" x14ac:dyDescent="0.25">
      <c r="B7" s="379"/>
      <c r="C7" s="422"/>
      <c r="D7" s="380" t="s">
        <v>273</v>
      </c>
      <c r="E7" s="380" t="s">
        <v>347</v>
      </c>
      <c r="F7" s="380" t="s">
        <v>348</v>
      </c>
      <c r="G7" s="380" t="s">
        <v>178</v>
      </c>
      <c r="H7" s="380" t="s">
        <v>179</v>
      </c>
      <c r="I7" s="380" t="s">
        <v>231</v>
      </c>
      <c r="J7" s="381" t="s">
        <v>232</v>
      </c>
      <c r="K7" s="382" t="s">
        <v>1922</v>
      </c>
      <c r="L7" s="383" t="s">
        <v>1763</v>
      </c>
      <c r="P7" s="377">
        <v>285</v>
      </c>
    </row>
    <row r="8" spans="2:16" x14ac:dyDescent="0.25">
      <c r="B8" s="384" t="s">
        <v>604</v>
      </c>
      <c r="C8" s="423" t="s">
        <v>566</v>
      </c>
      <c r="D8" s="385">
        <f>Assumptions!J111</f>
        <v>169.99999999999997</v>
      </c>
      <c r="E8" s="385">
        <f>Assumptions!K111</f>
        <v>176.89999999999998</v>
      </c>
      <c r="F8" s="385">
        <f>Assumptions!L111</f>
        <v>182.79999999999998</v>
      </c>
      <c r="G8" s="385">
        <f>Assumptions!M111</f>
        <v>197.62</v>
      </c>
      <c r="H8" s="385">
        <f>Assumptions!N111</f>
        <v>299.92</v>
      </c>
      <c r="I8" s="385">
        <f>Assumptions!O111</f>
        <v>341.92</v>
      </c>
      <c r="J8" s="386">
        <f>Assumptions!P111</f>
        <v>401.92</v>
      </c>
      <c r="K8" s="387">
        <f>(J8/F8)^(1/4)-1</f>
        <v>0.21770154364773942</v>
      </c>
      <c r="L8" s="387">
        <f>(J8/E8)^(1/5)-1</f>
        <v>0.17837184408104423</v>
      </c>
      <c r="P8" s="418">
        <f>P7/P6-1</f>
        <v>-0.20833333333333337</v>
      </c>
    </row>
    <row r="9" spans="2:16" x14ac:dyDescent="0.25">
      <c r="B9" s="384" t="s">
        <v>489</v>
      </c>
      <c r="C9" s="423" t="s">
        <v>566</v>
      </c>
      <c r="D9" s="385">
        <f>Assumptions!J27</f>
        <v>107.03816244451822</v>
      </c>
      <c r="E9" s="385">
        <f>Assumptions!K27</f>
        <v>117</v>
      </c>
      <c r="F9" s="385">
        <f>Assumptions!L27</f>
        <v>120.73999999999998</v>
      </c>
      <c r="G9" s="385">
        <f ca="1">Assumptions!M27</f>
        <v>127.95611000000002</v>
      </c>
      <c r="H9" s="385">
        <f ca="1">Assumptions!N27</f>
        <v>168.54703450000002</v>
      </c>
      <c r="I9" s="385">
        <f ca="1">Assumptions!O27</f>
        <v>196.93431247500004</v>
      </c>
      <c r="J9" s="386">
        <f ca="1">Assumptions!P27</f>
        <v>237.39015313675003</v>
      </c>
      <c r="K9" s="387">
        <f t="shared" ref="K9:K11" ca="1" si="0">(J9/F9)^(1/4)-1</f>
        <v>0.1841395379327686</v>
      </c>
      <c r="L9" s="387">
        <f ca="1">(J9/F9)^(1/4)-1</f>
        <v>0.1841395379327686</v>
      </c>
    </row>
    <row r="10" spans="2:16" x14ac:dyDescent="0.25">
      <c r="B10" s="384" t="s">
        <v>797</v>
      </c>
      <c r="C10" s="424" t="s">
        <v>340</v>
      </c>
      <c r="D10" s="385">
        <f>Consol!M16</f>
        <v>37628.899999999994</v>
      </c>
      <c r="E10" s="385">
        <f>Consol!N16</f>
        <v>44761.4</v>
      </c>
      <c r="F10" s="385">
        <f>Consol!O16</f>
        <v>53614.400000000001</v>
      </c>
      <c r="G10" s="385">
        <f ca="1">Consol!P16</f>
        <v>72935.367693299719</v>
      </c>
      <c r="H10" s="385">
        <f ca="1">Consol!Q16</f>
        <v>108672.59111019592</v>
      </c>
      <c r="I10" s="385">
        <f ca="1">Consol!R16</f>
        <v>144351.18628049517</v>
      </c>
      <c r="J10" s="386">
        <f ca="1">Consol!S16</f>
        <v>188550.73544122337</v>
      </c>
      <c r="K10" s="387">
        <f t="shared" ca="1" si="0"/>
        <v>0.36942009084633298</v>
      </c>
      <c r="L10" s="387">
        <f ca="1">(J10/E10)^(1/5)-1</f>
        <v>0.3332294976612391</v>
      </c>
    </row>
    <row r="11" spans="2:16" x14ac:dyDescent="0.25">
      <c r="B11" s="390" t="s">
        <v>34</v>
      </c>
      <c r="C11" s="424" t="s">
        <v>340</v>
      </c>
      <c r="D11" s="391">
        <f>Consol!M23</f>
        <v>19645.599999999995</v>
      </c>
      <c r="E11" s="391">
        <f>Consol!N23</f>
        <v>22621.8</v>
      </c>
      <c r="F11" s="391">
        <f>Consol!O23</f>
        <v>26037.3</v>
      </c>
      <c r="G11" s="391">
        <f ca="1">Consol!P23</f>
        <v>29530.876404599338</v>
      </c>
      <c r="H11" s="391">
        <f ca="1">Consol!Q23</f>
        <v>47439.420981768133</v>
      </c>
      <c r="I11" s="391">
        <f ca="1">Consol!R23</f>
        <v>57966.427748387025</v>
      </c>
      <c r="J11" s="392">
        <f ca="1">Consol!S23</f>
        <v>75506.814117133807</v>
      </c>
      <c r="K11" s="387">
        <f t="shared" ca="1" si="0"/>
        <v>0.30496105186515643</v>
      </c>
      <c r="L11" s="387">
        <f ca="1">(J11/E11)^(1/5)-1</f>
        <v>0.27259964448342866</v>
      </c>
    </row>
    <row r="12" spans="2:16" x14ac:dyDescent="0.25">
      <c r="B12" s="390"/>
      <c r="C12" s="424"/>
      <c r="D12" s="391"/>
      <c r="E12" s="391"/>
      <c r="F12" s="391"/>
      <c r="G12" s="391"/>
      <c r="H12" s="391"/>
      <c r="I12" s="391"/>
      <c r="J12" s="392"/>
      <c r="K12" s="393"/>
      <c r="L12" s="394"/>
    </row>
    <row r="13" spans="2:16" x14ac:dyDescent="0.25">
      <c r="B13" s="390" t="s">
        <v>601</v>
      </c>
      <c r="C13" s="424" t="s">
        <v>340</v>
      </c>
      <c r="D13" s="391">
        <f>Consol!M78</f>
        <v>43806.8</v>
      </c>
      <c r="E13" s="391">
        <f>Consol!N78</f>
        <v>46588.299999999996</v>
      </c>
      <c r="F13" s="391">
        <f>Consol!O78</f>
        <v>64098.5</v>
      </c>
      <c r="G13" s="391">
        <f>Consol!P78</f>
        <v>103257.8912300848</v>
      </c>
      <c r="H13" s="391">
        <f>Consol!Q78</f>
        <v>133158.67992260426</v>
      </c>
      <c r="I13" s="391">
        <f>Consol!R78</f>
        <v>137065.13864899508</v>
      </c>
      <c r="J13" s="392">
        <f>Consol!S78</f>
        <v>153554.57116598682</v>
      </c>
      <c r="K13" s="393"/>
      <c r="L13" s="394"/>
    </row>
    <row r="14" spans="2:16" x14ac:dyDescent="0.25">
      <c r="B14" s="390" t="s">
        <v>602</v>
      </c>
      <c r="C14" s="424" t="s">
        <v>340</v>
      </c>
      <c r="D14" s="391">
        <f>Consol!M105+Consol!M102</f>
        <v>43100.600000000006</v>
      </c>
      <c r="E14" s="391">
        <f>Consol!N105+Consol!N102</f>
        <v>26418.5</v>
      </c>
      <c r="F14" s="391">
        <f>Consol!O105+Consol!O102</f>
        <v>23197.1</v>
      </c>
      <c r="G14" s="391">
        <f ca="1">Consol!P105+Consol!P102</f>
        <v>76244.956098292343</v>
      </c>
      <c r="H14" s="391">
        <f ca="1">Consol!Q105+Consol!Q102</f>
        <v>46168.922469053992</v>
      </c>
      <c r="I14" s="391">
        <f ca="1">Consol!R105+Consol!R102</f>
        <v>7412.9163061532254</v>
      </c>
      <c r="J14" s="392">
        <f ca="1">Consol!S105+Consol!S102</f>
        <v>3330.1258362289777</v>
      </c>
      <c r="K14" s="393"/>
      <c r="L14" s="394"/>
    </row>
    <row r="15" spans="2:16" x14ac:dyDescent="0.25">
      <c r="B15" s="390" t="s">
        <v>603</v>
      </c>
      <c r="C15" s="424" t="s">
        <v>340</v>
      </c>
      <c r="D15" s="391">
        <f>D13-D14</f>
        <v>706.19999999999709</v>
      </c>
      <c r="E15" s="391">
        <f t="shared" ref="E15:J15" si="1">E13-E14</f>
        <v>20169.799999999996</v>
      </c>
      <c r="F15" s="391">
        <f t="shared" si="1"/>
        <v>40901.4</v>
      </c>
      <c r="G15" s="391">
        <f t="shared" ca="1" si="1"/>
        <v>27012.935131792459</v>
      </c>
      <c r="H15" s="391">
        <f t="shared" ca="1" si="1"/>
        <v>86989.757453550264</v>
      </c>
      <c r="I15" s="391">
        <f t="shared" ca="1" si="1"/>
        <v>129652.22234284185</v>
      </c>
      <c r="J15" s="392">
        <f t="shared" ca="1" si="1"/>
        <v>150224.44532975784</v>
      </c>
      <c r="K15" s="393"/>
      <c r="L15" s="394"/>
    </row>
    <row r="16" spans="2:16" x14ac:dyDescent="0.25">
      <c r="B16" s="390"/>
      <c r="C16" s="424"/>
      <c r="D16" s="391"/>
      <c r="E16" s="391"/>
      <c r="F16" s="391"/>
      <c r="G16" s="391"/>
      <c r="H16" s="391"/>
      <c r="I16" s="391"/>
      <c r="J16" s="392"/>
      <c r="K16" s="393"/>
      <c r="L16" s="394"/>
    </row>
    <row r="17" spans="1:24" s="420" customFormat="1" x14ac:dyDescent="0.25">
      <c r="B17" s="390" t="str">
        <f ca="1">CONCATENATE("-@CMP of Rs.",C2,"/ share it is trading at")</f>
        <v>-@CMP of Rs.348.45/ share it is trading at</v>
      </c>
      <c r="C17" s="424" t="s">
        <v>605</v>
      </c>
      <c r="D17" s="391"/>
      <c r="E17" s="391">
        <f t="shared" ref="E17:J17" ca="1" si="2">($C$4+D15)/E11</f>
        <v>35.920868365912526</v>
      </c>
      <c r="F17" s="391">
        <f t="shared" ca="1" si="2"/>
        <v>31.956397168677245</v>
      </c>
      <c r="G17" s="391">
        <f t="shared" ca="1" si="2"/>
        <v>28.877906917357208</v>
      </c>
      <c r="H17" s="391">
        <f t="shared" ca="1" si="2"/>
        <v>17.683635629831951</v>
      </c>
      <c r="I17" s="391">
        <f t="shared" ca="1" si="2"/>
        <v>15.506876865955613</v>
      </c>
      <c r="J17" s="392">
        <f t="shared" ca="1" si="2"/>
        <v>12.469612621746014</v>
      </c>
      <c r="K17" s="393"/>
      <c r="L17" s="394"/>
    </row>
    <row r="19" spans="1:24" x14ac:dyDescent="0.2">
      <c r="A19" s="397"/>
      <c r="B19" s="232" t="s">
        <v>831</v>
      </c>
      <c r="C19" s="425"/>
      <c r="D19" s="233"/>
      <c r="E19" s="233"/>
      <c r="F19" s="233"/>
      <c r="G19" s="233"/>
      <c r="H19" s="233"/>
      <c r="I19" s="233"/>
      <c r="J19" s="233"/>
      <c r="K19" s="398" t="s">
        <v>667</v>
      </c>
      <c r="L19" s="398"/>
      <c r="M19" s="398"/>
      <c r="N19" s="399"/>
      <c r="O19" s="399"/>
      <c r="P19" s="399"/>
      <c r="R19" s="1306" t="s">
        <v>927</v>
      </c>
      <c r="S19" s="1306"/>
      <c r="T19" s="1306"/>
      <c r="U19" s="1306"/>
      <c r="V19" s="1306"/>
      <c r="W19" s="1306"/>
    </row>
    <row r="20" spans="1:24" x14ac:dyDescent="0.2">
      <c r="A20" s="397"/>
      <c r="B20" s="376"/>
      <c r="C20" s="426"/>
      <c r="D20" s="380" t="s">
        <v>273</v>
      </c>
      <c r="E20" s="380" t="s">
        <v>347</v>
      </c>
      <c r="F20" s="380" t="s">
        <v>348</v>
      </c>
      <c r="G20" s="380" t="s">
        <v>178</v>
      </c>
      <c r="H20" s="380" t="s">
        <v>179</v>
      </c>
      <c r="I20" s="380" t="s">
        <v>231</v>
      </c>
      <c r="J20" s="380" t="s">
        <v>232</v>
      </c>
      <c r="K20" s="380" t="s">
        <v>833</v>
      </c>
      <c r="L20" s="380" t="s">
        <v>834</v>
      </c>
      <c r="M20" s="380" t="s">
        <v>835</v>
      </c>
      <c r="N20" s="380" t="s">
        <v>836</v>
      </c>
      <c r="O20" s="380" t="s">
        <v>837</v>
      </c>
      <c r="P20" s="380" t="s">
        <v>838</v>
      </c>
      <c r="R20" s="572" t="s">
        <v>566</v>
      </c>
      <c r="S20" s="565" t="s">
        <v>273</v>
      </c>
      <c r="T20" s="565"/>
      <c r="U20" s="565" t="s">
        <v>232</v>
      </c>
      <c r="V20" s="565" t="s">
        <v>600</v>
      </c>
      <c r="W20" s="561"/>
    </row>
    <row r="21" spans="1:24" x14ac:dyDescent="0.2">
      <c r="A21" s="397"/>
      <c r="B21" s="378" t="s">
        <v>666</v>
      </c>
      <c r="C21" s="427"/>
      <c r="D21" s="388"/>
      <c r="E21" s="388"/>
      <c r="F21" s="388"/>
      <c r="G21" s="388"/>
      <c r="H21" s="388"/>
      <c r="I21" s="388"/>
      <c r="J21" s="388"/>
      <c r="K21" s="400"/>
      <c r="L21" s="400"/>
      <c r="M21" s="400"/>
      <c r="N21" s="401"/>
      <c r="O21" s="401"/>
      <c r="P21" s="401"/>
      <c r="R21" s="562" t="s">
        <v>929</v>
      </c>
      <c r="S21" s="571" t="s">
        <v>932</v>
      </c>
      <c r="T21" s="571" t="s">
        <v>933</v>
      </c>
      <c r="U21" s="567"/>
      <c r="V21" s="573" t="s">
        <v>599</v>
      </c>
      <c r="W21" s="567"/>
    </row>
    <row r="22" spans="1:24" x14ac:dyDescent="0.2">
      <c r="A22" s="397"/>
      <c r="B22" s="402" t="s">
        <v>668</v>
      </c>
      <c r="C22" s="428" t="s">
        <v>669</v>
      </c>
      <c r="D22" s="403">
        <f>Consol!M54</f>
        <v>5.5043333333333306</v>
      </c>
      <c r="E22" s="1070">
        <f>Consol!N54</f>
        <v>7.1575238095238083</v>
      </c>
      <c r="F22" s="1070">
        <f>Consol!O54</f>
        <v>7.2538571428571421</v>
      </c>
      <c r="G22" s="1070">
        <f ca="1">Consol!P54</f>
        <v>6.8490599232147327</v>
      </c>
      <c r="H22" s="1060">
        <f ca="1">Consol!Q54</f>
        <v>10.038009970922975</v>
      </c>
      <c r="I22" s="1060">
        <f ca="1">Consol!R54</f>
        <v>10.491598873182268</v>
      </c>
      <c r="J22" s="1060">
        <f ca="1">Consol!S54</f>
        <v>11.995096283319571</v>
      </c>
      <c r="K22" s="395"/>
      <c r="L22" s="391"/>
      <c r="M22" s="391"/>
      <c r="N22" s="392"/>
      <c r="O22" s="392"/>
      <c r="P22" s="392"/>
      <c r="R22" s="563" t="str">
        <f>CONCATENATE("Due to addition of ",Assumptions!Q1602,"MT capacity at JSW Steel Plants - Dolvi, Vijayanagar, Orissa")</f>
        <v>Due to addition of 16MT capacity at JSW Steel Plants - Dolvi, Vijayanagar, Orissa</v>
      </c>
      <c r="S22" s="566">
        <f>+Assumptions!J192</f>
        <v>64.480897466710957</v>
      </c>
      <c r="T22" s="566">
        <f>Assumptions!AA1660-Assumptions!Z1660-X22</f>
        <v>30.750749999999989</v>
      </c>
      <c r="U22" s="566">
        <f>+S22+T22</f>
        <v>95.231647466710939</v>
      </c>
      <c r="V22" s="574">
        <f>+(U22/S22)^(0.166666666666667)-1</f>
        <v>6.7148940009808422E-2</v>
      </c>
      <c r="W22" s="568"/>
      <c r="X22" s="793">
        <v>3</v>
      </c>
    </row>
    <row r="23" spans="1:24" x14ac:dyDescent="0.2">
      <c r="A23" s="397"/>
      <c r="B23" s="402" t="str">
        <f ca="1">CONCATENATE("At CMP of Rs. ",ROUND($C$2,0),"/share")</f>
        <v>At CMP of Rs. 348/share</v>
      </c>
      <c r="C23" s="428" t="s">
        <v>670</v>
      </c>
      <c r="D23" s="395">
        <f t="shared" ref="D23:J23" ca="1" si="3">$C$2/D22</f>
        <v>63.304669048628384</v>
      </c>
      <c r="E23" s="395">
        <f t="shared" ca="1" si="3"/>
        <v>48.683037496340852</v>
      </c>
      <c r="F23" s="1060">
        <f t="shared" ca="1" si="3"/>
        <v>48.036512594284815</v>
      </c>
      <c r="G23" s="1060">
        <f t="shared" ca="1" si="3"/>
        <v>50.875595177512849</v>
      </c>
      <c r="H23" s="1060">
        <f t="shared" ca="1" si="3"/>
        <v>34.713055775930926</v>
      </c>
      <c r="I23" s="1060">
        <f t="shared" ca="1" si="3"/>
        <v>33.212287680067355</v>
      </c>
      <c r="J23" s="1060">
        <f t="shared" ca="1" si="3"/>
        <v>29.049370823688673</v>
      </c>
      <c r="K23" s="391"/>
      <c r="L23" s="391"/>
      <c r="M23" s="391"/>
      <c r="N23" s="392"/>
      <c r="O23" s="392"/>
      <c r="P23" s="392"/>
      <c r="R23" s="562" t="s">
        <v>930</v>
      </c>
      <c r="S23" s="567"/>
      <c r="T23" s="567"/>
      <c r="U23" s="567"/>
      <c r="V23" s="567"/>
      <c r="W23" s="567"/>
      <c r="X23" s="793"/>
    </row>
    <row r="24" spans="1:24" x14ac:dyDescent="0.2">
      <c r="A24" s="397">
        <v>30</v>
      </c>
      <c r="B24" s="402" t="str">
        <f>CONCATENATE("-Target Price @",ROUND(A24,0),"x P/E")</f>
        <v>-Target Price @30x P/E</v>
      </c>
      <c r="C24" s="428" t="s">
        <v>669</v>
      </c>
      <c r="D24" s="395">
        <f t="shared" ref="D24:E26" si="4">D$22*$A24</f>
        <v>165.12999999999991</v>
      </c>
      <c r="E24" s="395">
        <f>E$22*$A24</f>
        <v>214.72571428571425</v>
      </c>
      <c r="F24" s="1060">
        <f t="shared" ref="F24:J26" si="5">F$22*$A24</f>
        <v>217.61571428571426</v>
      </c>
      <c r="G24" s="1060">
        <f t="shared" ca="1" si="5"/>
        <v>205.47179769644197</v>
      </c>
      <c r="H24" s="1060">
        <f t="shared" ca="1" si="5"/>
        <v>301.14029912768922</v>
      </c>
      <c r="I24" s="1060">
        <f t="shared" ca="1" si="5"/>
        <v>314.74796619546805</v>
      </c>
      <c r="J24" s="1060">
        <f t="shared" ca="1" si="5"/>
        <v>359.8528884995871</v>
      </c>
      <c r="K24" s="404">
        <f t="shared" ref="K24:N26" ca="1" si="6">E24/$C$2-1</f>
        <v>-0.38376893589980121</v>
      </c>
      <c r="L24" s="404">
        <f t="shared" ca="1" si="6"/>
        <v>-0.37547506303425382</v>
      </c>
      <c r="M24" s="404">
        <f t="shared" ca="1" si="6"/>
        <v>-0.41032630880630805</v>
      </c>
      <c r="N24" s="405">
        <f t="shared" ca="1" si="6"/>
        <v>-0.13577184925329533</v>
      </c>
      <c r="O24" s="405">
        <f t="shared" ref="O24:P26" ca="1" si="7">I24/$C$2-1</f>
        <v>-9.6719855946425404E-2</v>
      </c>
      <c r="P24" s="405">
        <f t="shared" ca="1" si="7"/>
        <v>3.2724604676674041E-2</v>
      </c>
      <c r="R24" s="563" t="str">
        <f>CONCATENATE("Due to creation of Slurry Pipelines of 60MT and Jatadhar Port 30MT addition")</f>
        <v>Due to creation of Slurry Pipelines of 60MT and Jatadhar Port 30MT addition</v>
      </c>
      <c r="S24" s="566">
        <v>0</v>
      </c>
      <c r="T24" s="566">
        <f>Assumptions!P1355+Assumptions!P1306+Assumptions!P1257-X24</f>
        <v>30.75</v>
      </c>
      <c r="U24" s="566">
        <f>+S24+T24</f>
        <v>30.75</v>
      </c>
      <c r="V24" s="575" t="s">
        <v>108</v>
      </c>
      <c r="W24" s="568"/>
      <c r="X24" s="793">
        <v>3</v>
      </c>
    </row>
    <row r="25" spans="1:24" ht="14.25" x14ac:dyDescent="0.2">
      <c r="A25" s="397">
        <v>40</v>
      </c>
      <c r="B25" s="402" t="str">
        <f>CONCATENATE("-Target Price @",ROUND(A25,0),"x P/E")</f>
        <v>-Target Price @40x P/E</v>
      </c>
      <c r="C25" s="428" t="s">
        <v>669</v>
      </c>
      <c r="D25" s="395">
        <f t="shared" si="4"/>
        <v>220.17333333333323</v>
      </c>
      <c r="E25" s="395">
        <f t="shared" si="4"/>
        <v>286.30095238095231</v>
      </c>
      <c r="F25" s="1060">
        <f t="shared" si="5"/>
        <v>290.15428571428566</v>
      </c>
      <c r="G25" s="1060">
        <f t="shared" ca="1" si="5"/>
        <v>273.96239692858933</v>
      </c>
      <c r="H25" s="1060">
        <f t="shared" ca="1" si="5"/>
        <v>401.52039883691896</v>
      </c>
      <c r="I25" s="1060">
        <f t="shared" ca="1" si="5"/>
        <v>419.66395492729072</v>
      </c>
      <c r="J25" s="1060">
        <f t="shared" ca="1" si="5"/>
        <v>479.80385133278281</v>
      </c>
      <c r="K25" s="404">
        <f t="shared" ca="1" si="6"/>
        <v>-0.17835858119973502</v>
      </c>
      <c r="L25" s="404">
        <f t="shared" ca="1" si="6"/>
        <v>-0.16730008404567176</v>
      </c>
      <c r="M25" s="404">
        <f t="shared" ca="1" si="6"/>
        <v>-0.21376841174174388</v>
      </c>
      <c r="N25" s="405">
        <f t="shared" ca="1" si="6"/>
        <v>0.15230420099560615</v>
      </c>
      <c r="O25" s="405">
        <f t="shared" ca="1" si="7"/>
        <v>0.20437352540476605</v>
      </c>
      <c r="P25" s="405">
        <f t="shared" ca="1" si="7"/>
        <v>0.37696613956889902</v>
      </c>
      <c r="R25" s="562" t="s">
        <v>931</v>
      </c>
      <c r="S25" s="567"/>
      <c r="T25" s="567"/>
      <c r="U25" s="567"/>
      <c r="V25" s="567"/>
      <c r="W25" s="567"/>
      <c r="X25" s="793"/>
    </row>
    <row r="26" spans="1:24" x14ac:dyDescent="0.2">
      <c r="A26" s="397">
        <v>50</v>
      </c>
      <c r="B26" s="402" t="str">
        <f>CONCATENATE("-Target Price @",ROUND(A26,0),"x P/E")</f>
        <v>-Target Price @50x P/E</v>
      </c>
      <c r="C26" s="428" t="s">
        <v>669</v>
      </c>
      <c r="D26" s="395">
        <f t="shared" si="4"/>
        <v>275.21666666666653</v>
      </c>
      <c r="E26" s="395">
        <f t="shared" si="4"/>
        <v>357.8761904761904</v>
      </c>
      <c r="F26" s="1060">
        <f t="shared" si="5"/>
        <v>362.69285714285712</v>
      </c>
      <c r="G26" s="1060">
        <f t="shared" ca="1" si="5"/>
        <v>342.45299616073663</v>
      </c>
      <c r="H26" s="1060">
        <f t="shared" ca="1" si="5"/>
        <v>501.90049854614875</v>
      </c>
      <c r="I26" s="1060">
        <f t="shared" ca="1" si="5"/>
        <v>524.57994365911338</v>
      </c>
      <c r="J26" s="1060">
        <f t="shared" ca="1" si="5"/>
        <v>599.75481416597859</v>
      </c>
      <c r="K26" s="404">
        <f t="shared" ca="1" si="6"/>
        <v>2.7051773500331278E-2</v>
      </c>
      <c r="L26" s="404">
        <f t="shared" ca="1" si="6"/>
        <v>4.0874894942910522E-2</v>
      </c>
      <c r="M26" s="404">
        <f t="shared" ca="1" si="6"/>
        <v>-1.7210514677179933E-2</v>
      </c>
      <c r="N26" s="405">
        <f t="shared" ca="1" si="6"/>
        <v>0.44038025124450786</v>
      </c>
      <c r="O26" s="405">
        <f t="shared" ca="1" si="7"/>
        <v>0.50546690675595762</v>
      </c>
      <c r="P26" s="405">
        <f t="shared" ca="1" si="7"/>
        <v>0.72120767446112377</v>
      </c>
      <c r="R26" s="563" t="str">
        <f>CONCATENATE("Due to port asset additions at Keni 30MT, Jatadhar 30MT, Murbe 33MT and others")</f>
        <v>Due to port asset additions at Keni 30MT, Jatadhar 30MT, Murbe 33MT and others</v>
      </c>
      <c r="S26" s="566">
        <f>+Assumptions!J193</f>
        <v>42.987264977807314</v>
      </c>
      <c r="T26" s="566">
        <f ca="1">Assumptions!P1405+Assumptions!P1356+Assumptions!P1307+Assumptions!P1258+Assumptions!P1209+Assumptions!P1160+Assumptions!P1111+(Assumptions!P1062-Assumptions!J1062)+(Assumptions!P13-Assumptions!J13)-X26</f>
        <v>38.513595085000006</v>
      </c>
      <c r="U26" s="566">
        <f ca="1">+S26+T26</f>
        <v>81.50086006280732</v>
      </c>
      <c r="V26" s="574">
        <f ca="1">+(U26/S26)^(0.166666666666667)-1</f>
        <v>0.11250950343050259</v>
      </c>
      <c r="W26" s="568"/>
      <c r="X26" s="793">
        <v>3</v>
      </c>
    </row>
    <row r="27" spans="1:24" x14ac:dyDescent="0.2">
      <c r="A27" s="397"/>
      <c r="B27" s="402"/>
      <c r="C27" s="428"/>
      <c r="D27" s="395"/>
      <c r="E27" s="395"/>
      <c r="F27" s="1060"/>
      <c r="G27" s="1060"/>
      <c r="H27" s="1060"/>
      <c r="I27" s="1060"/>
      <c r="J27" s="1060"/>
      <c r="K27" s="395"/>
      <c r="L27" s="395"/>
      <c r="M27" s="395"/>
      <c r="N27" s="396"/>
      <c r="O27" s="396"/>
      <c r="P27" s="396"/>
      <c r="R27" s="564" t="s">
        <v>928</v>
      </c>
      <c r="S27" s="569">
        <f>+S22+S24+S26</f>
        <v>107.46816244451827</v>
      </c>
      <c r="T27" s="569">
        <f ca="1">+T22+T24+T26</f>
        <v>100.014345085</v>
      </c>
      <c r="U27" s="569">
        <f ca="1">+U22+U24+U26</f>
        <v>207.48250752951827</v>
      </c>
      <c r="V27" s="576">
        <f ca="1">+(U27/S27)^(0.166666666666667)-1</f>
        <v>0.11587858783298355</v>
      </c>
      <c r="W27" s="570"/>
    </row>
    <row r="28" spans="1:24" x14ac:dyDescent="0.2">
      <c r="A28" s="397"/>
      <c r="B28" s="406" t="s">
        <v>843</v>
      </c>
      <c r="C28" s="429"/>
      <c r="D28" s="391"/>
      <c r="E28" s="391"/>
      <c r="F28" s="1061"/>
      <c r="G28" s="1061"/>
      <c r="H28" s="1061"/>
      <c r="I28" s="1061"/>
      <c r="J28" s="1061"/>
      <c r="K28" s="400"/>
      <c r="L28" s="400"/>
      <c r="M28" s="400"/>
      <c r="N28" s="401"/>
      <c r="O28" s="401"/>
      <c r="P28" s="401"/>
    </row>
    <row r="29" spans="1:24" x14ac:dyDescent="0.2">
      <c r="A29" s="397"/>
      <c r="B29" s="402" t="s">
        <v>671</v>
      </c>
      <c r="C29" s="428" t="s">
        <v>340</v>
      </c>
      <c r="D29" s="395">
        <f>Consol!M23</f>
        <v>19645.599999999995</v>
      </c>
      <c r="E29" s="395">
        <f>Consol!N23</f>
        <v>22621.8</v>
      </c>
      <c r="F29" s="1060">
        <f>Consol!O23</f>
        <v>26037.3</v>
      </c>
      <c r="G29" s="1060">
        <f ca="1">Consol!P23</f>
        <v>29530.876404599338</v>
      </c>
      <c r="H29" s="1060">
        <f ca="1">Consol!Q23</f>
        <v>47439.420981768133</v>
      </c>
      <c r="I29" s="1060">
        <f ca="1">Consol!R23</f>
        <v>57966.427748387025</v>
      </c>
      <c r="J29" s="1060">
        <f ca="1">Consol!S23</f>
        <v>75506.814117133807</v>
      </c>
      <c r="K29" s="391"/>
      <c r="L29" s="391"/>
      <c r="M29" s="391"/>
      <c r="N29" s="392"/>
      <c r="O29" s="392"/>
      <c r="P29" s="392"/>
    </row>
    <row r="30" spans="1:24" x14ac:dyDescent="0.2">
      <c r="A30" s="397"/>
      <c r="B30" s="402" t="str">
        <f ca="1">CONCATENATE("At CMP of Rs. ",ROUND($C$2,0),"/share")</f>
        <v>At CMP of Rs. 348/share</v>
      </c>
      <c r="C30" s="428" t="s">
        <v>672</v>
      </c>
      <c r="D30" s="395">
        <f ca="1">($C$4-D15)/D$29</f>
        <v>41.29078775909111</v>
      </c>
      <c r="E30" s="395">
        <f t="shared" ref="E30:J30" ca="1" si="8">($C$4+D15)/E$11</f>
        <v>35.920868365912526</v>
      </c>
      <c r="F30" s="1060">
        <f t="shared" ca="1" si="8"/>
        <v>31.956397168677245</v>
      </c>
      <c r="G30" s="1060">
        <f t="shared" ca="1" si="8"/>
        <v>28.877906917357208</v>
      </c>
      <c r="H30" s="1060">
        <f t="shared" ca="1" si="8"/>
        <v>17.683635629831951</v>
      </c>
      <c r="I30" s="1060">
        <f t="shared" ca="1" si="8"/>
        <v>15.506876865955613</v>
      </c>
      <c r="J30" s="1060">
        <f t="shared" ca="1" si="8"/>
        <v>12.469612621746014</v>
      </c>
      <c r="K30" s="391"/>
      <c r="L30" s="391"/>
      <c r="M30" s="391"/>
      <c r="N30" s="392"/>
      <c r="O30" s="392"/>
      <c r="P30" s="392"/>
    </row>
    <row r="31" spans="1:24" x14ac:dyDescent="0.2">
      <c r="A31" s="397">
        <v>10</v>
      </c>
      <c r="B31" s="402" t="str">
        <f>CONCATENATE("-Target Price @",ROUND(A31,0),"x EV/EBITDA")</f>
        <v>-Target Price @10x EV/EBITDA</v>
      </c>
      <c r="C31" s="428" t="s">
        <v>669</v>
      </c>
      <c r="D31" s="395">
        <f>((D$29*$A31)-(Consol!L$78-Consol!L$105-Consol!L$102))/$C$3</f>
        <v>74.412171673819714</v>
      </c>
      <c r="E31" s="395">
        <f t="shared" ref="E31:J35" si="9">((E$29*$A31)-(D$15))/$C$3</f>
        <v>96.786180257510722</v>
      </c>
      <c r="F31" s="1060">
        <f t="shared" si="9"/>
        <v>103.09150214592275</v>
      </c>
      <c r="G31" s="1060">
        <f t="shared" ca="1" si="9"/>
        <v>109.18770989098429</v>
      </c>
      <c r="H31" s="1060">
        <f t="shared" ca="1" si="9"/>
        <v>192.00913076647592</v>
      </c>
      <c r="I31" s="1060">
        <f t="shared" ca="1" si="9"/>
        <v>211.44829185850645</v>
      </c>
      <c r="J31" s="1060">
        <f t="shared" ca="1" si="9"/>
        <v>268.41884928261641</v>
      </c>
      <c r="K31" s="404">
        <f t="shared" ref="K31:N35" ca="1" si="10">E31/$C$2-1</f>
        <v>-0.72223796740562285</v>
      </c>
      <c r="L31" s="404">
        <f t="shared" ca="1" si="10"/>
        <v>-0.70414262549598861</v>
      </c>
      <c r="M31" s="404">
        <f t="shared" ca="1" si="10"/>
        <v>-0.68664741027124609</v>
      </c>
      <c r="N31" s="405">
        <f t="shared" ca="1" si="10"/>
        <v>-0.44896217314829701</v>
      </c>
      <c r="O31" s="405">
        <f t="shared" ref="O31:P33" ca="1" si="11">I31/$C$2-1</f>
        <v>-0.39317465387141204</v>
      </c>
      <c r="P31" s="405">
        <f t="shared" ca="1" si="11"/>
        <v>-0.2296775741638214</v>
      </c>
    </row>
    <row r="32" spans="1:24" x14ac:dyDescent="0.2">
      <c r="A32" s="397">
        <v>12</v>
      </c>
      <c r="B32" s="402" t="str">
        <f>CONCATENATE("-Target Price @",ROUND(A32,0),"x EV/EBITDA")</f>
        <v>-Target Price @12x EV/EBITDA</v>
      </c>
      <c r="C32" s="428" t="s">
        <v>669</v>
      </c>
      <c r="D32" s="395">
        <f>((D$29*$A32)-(Consol!L$78-Consol!L$105-Consol!L$102))/$C$3</f>
        <v>91.275347639484949</v>
      </c>
      <c r="E32" s="395">
        <f t="shared" si="9"/>
        <v>116.20403433476393</v>
      </c>
      <c r="F32" s="1060">
        <f t="shared" si="9"/>
        <v>125.44111587982832</v>
      </c>
      <c r="G32" s="1060">
        <f t="shared" ca="1" si="9"/>
        <v>134.53610165458883</v>
      </c>
      <c r="H32" s="1060">
        <f t="shared" ca="1" si="9"/>
        <v>232.72966379803654</v>
      </c>
      <c r="I32" s="1060">
        <f t="shared" ca="1" si="9"/>
        <v>261.20488220046951</v>
      </c>
      <c r="J32" s="1060">
        <f t="shared" ca="1" si="9"/>
        <v>333.23156526298879</v>
      </c>
      <c r="K32" s="404">
        <f t="shared" ca="1" si="10"/>
        <v>-0.66651159611202782</v>
      </c>
      <c r="L32" s="404">
        <f t="shared" ca="1" si="10"/>
        <v>-0.64000253729422207</v>
      </c>
      <c r="M32" s="404">
        <f t="shared" ca="1" si="10"/>
        <v>-0.61390127233580472</v>
      </c>
      <c r="N32" s="405">
        <f ca="1">H32/$C$2-1</f>
        <v>-0.3321002617361557</v>
      </c>
      <c r="O32" s="405">
        <f ca="1">I32/$C$2-1</f>
        <v>-0.25038059348408803</v>
      </c>
      <c r="P32" s="405">
        <f t="shared" ca="1" si="11"/>
        <v>-4.3674658450311932E-2</v>
      </c>
    </row>
    <row r="33" spans="1:18" x14ac:dyDescent="0.2">
      <c r="A33" s="397">
        <v>15</v>
      </c>
      <c r="B33" s="402" t="str">
        <f>CONCATENATE("-Target Price @",ROUND(A33,0),"x EV/EBITDA")</f>
        <v>-Target Price @15x EV/EBITDA</v>
      </c>
      <c r="C33" s="428" t="s">
        <v>669</v>
      </c>
      <c r="D33" s="395">
        <f>((D$29*$A33)-(Consol!L$78-Consol!L$105-Consol!L$102))/$C$3</f>
        <v>116.57011158798281</v>
      </c>
      <c r="E33" s="395">
        <f t="shared" si="9"/>
        <v>145.33081545064377</v>
      </c>
      <c r="F33" s="1060">
        <f t="shared" si="9"/>
        <v>158.96553648068669</v>
      </c>
      <c r="G33" s="1060">
        <f t="shared" ca="1" si="9"/>
        <v>172.55868929999573</v>
      </c>
      <c r="H33" s="1062">
        <f ca="1">((H$29*$A33)-(G$15))/$C$3</f>
        <v>293.81046334537746</v>
      </c>
      <c r="I33" s="1060">
        <f t="shared" ca="1" si="9"/>
        <v>335.83976771341423</v>
      </c>
      <c r="J33" s="1060">
        <f t="shared" ca="1" si="9"/>
        <v>430.45063923354735</v>
      </c>
      <c r="K33" s="404">
        <f t="shared" ca="1" si="10"/>
        <v>-0.58292203917163499</v>
      </c>
      <c r="L33" s="404">
        <f t="shared" ca="1" si="10"/>
        <v>-0.54379240499157211</v>
      </c>
      <c r="M33" s="404">
        <f t="shared" ca="1" si="10"/>
        <v>-0.50478206543264248</v>
      </c>
      <c r="N33" s="405">
        <f t="shared" ca="1" si="10"/>
        <v>-0.1568073946179438</v>
      </c>
      <c r="O33" s="405">
        <f ca="1">I33/$C$2-1</f>
        <v>-3.6189502903101634E-2</v>
      </c>
      <c r="P33" s="405">
        <f t="shared" ca="1" si="11"/>
        <v>0.23532971511995227</v>
      </c>
    </row>
    <row r="34" spans="1:18" x14ac:dyDescent="0.2">
      <c r="A34" s="397">
        <v>18</v>
      </c>
      <c r="B34" s="402" t="str">
        <f>CONCATENATE("-Target Price @",ROUND(A34,0),"x EV/EBITDA")</f>
        <v>-Target Price @18x EV/EBITDA</v>
      </c>
      <c r="C34" s="428" t="s">
        <v>669</v>
      </c>
      <c r="D34" s="395">
        <f>((D$29*$A34)-(Consol!L$78-Consol!L$105-Consol!L$102))/$C$3</f>
        <v>141.86487553648064</v>
      </c>
      <c r="E34" s="395">
        <f t="shared" si="9"/>
        <v>174.45759656652359</v>
      </c>
      <c r="F34" s="1060">
        <f t="shared" si="9"/>
        <v>192.48995708154504</v>
      </c>
      <c r="G34" s="1060">
        <f t="shared" ca="1" si="9"/>
        <v>210.58127694540261</v>
      </c>
      <c r="H34" s="1060">
        <f ca="1">((H$29*$A34)-(G$15))/$C$3</f>
        <v>354.89126289271843</v>
      </c>
      <c r="I34" s="1060">
        <f t="shared" ca="1" si="9"/>
        <v>410.4746532263589</v>
      </c>
      <c r="J34" s="1060">
        <f t="shared" ca="1" si="9"/>
        <v>527.66971320410596</v>
      </c>
      <c r="K34" s="404">
        <f t="shared" ca="1" si="10"/>
        <v>-0.49933248223124238</v>
      </c>
      <c r="L34" s="404">
        <f t="shared" ca="1" si="10"/>
        <v>-0.44758227268892226</v>
      </c>
      <c r="M34" s="404">
        <f t="shared" ca="1" si="10"/>
        <v>-0.39566285852948024</v>
      </c>
      <c r="N34" s="439">
        <f t="shared" ca="1" si="10"/>
        <v>1.8485472500268108E-2</v>
      </c>
      <c r="O34" s="405">
        <f ca="1">I34/$C$2-1</f>
        <v>0.17800158767788465</v>
      </c>
      <c r="P34" s="405">
        <f ca="1">J34/$C$2-1</f>
        <v>0.51433408869021657</v>
      </c>
    </row>
    <row r="35" spans="1:18" x14ac:dyDescent="0.2">
      <c r="A35" s="397">
        <v>30</v>
      </c>
      <c r="B35" s="402" t="str">
        <f>CONCATENATE("-Target Price @",ROUND(A35,0),"x EV/EBITDA")</f>
        <v>-Target Price @30x EV/EBITDA</v>
      </c>
      <c r="C35" s="428" t="s">
        <v>669</v>
      </c>
      <c r="D35" s="395">
        <f>((D$29*$A35)-(Consol!L$78-Consol!L$105-Consol!L$102))/$C$3</f>
        <v>243.04393133047205</v>
      </c>
      <c r="E35" s="395">
        <f t="shared" si="9"/>
        <v>290.96472103004294</v>
      </c>
      <c r="F35" s="395">
        <f t="shared" si="9"/>
        <v>326.58763948497852</v>
      </c>
      <c r="G35" s="395">
        <f t="shared" ca="1" si="9"/>
        <v>362.67162752703007</v>
      </c>
      <c r="H35" s="395">
        <f t="shared" ca="1" si="9"/>
        <v>599.21446108208215</v>
      </c>
      <c r="I35" s="395">
        <f t="shared" ca="1" si="9"/>
        <v>709.01419527813755</v>
      </c>
      <c r="J35" s="395">
        <f t="shared" ca="1" si="9"/>
        <v>916.54600908634006</v>
      </c>
      <c r="K35" s="404">
        <f t="shared" ca="1" si="10"/>
        <v>-0.16497425446967151</v>
      </c>
      <c r="L35" s="440">
        <f t="shared" ca="1" si="10"/>
        <v>-6.2741743478322509E-2</v>
      </c>
      <c r="M35" s="404">
        <f t="shared" ca="1" si="10"/>
        <v>4.0813969083168589E-2</v>
      </c>
      <c r="N35" s="405">
        <f t="shared" ca="1" si="10"/>
        <v>0.71965694097311572</v>
      </c>
      <c r="O35" s="405">
        <f ca="1">I35/$C$2-1</f>
        <v>1.0347659500018298</v>
      </c>
      <c r="P35" s="405">
        <f ca="1">J35/$C$2-1</f>
        <v>1.6303515829712731</v>
      </c>
    </row>
    <row r="36" spans="1:18" x14ac:dyDescent="0.25">
      <c r="H36" s="1059"/>
      <c r="J36" s="377">
        <f ca="1">J33/(1.12)^3</f>
        <v>306.38626266509544</v>
      </c>
      <c r="K36" s="1035" t="s">
        <v>1776</v>
      </c>
      <c r="N36" s="377">
        <f ca="1">H36/$C$2-1</f>
        <v>-1</v>
      </c>
      <c r="O36" s="377">
        <f ca="1">I36/$C$2-1</f>
        <v>-1</v>
      </c>
    </row>
    <row r="37" spans="1:18" x14ac:dyDescent="0.2">
      <c r="B37" s="232" t="s">
        <v>804</v>
      </c>
      <c r="C37" s="421"/>
      <c r="D37" s="232"/>
      <c r="E37" s="232"/>
      <c r="F37" s="232"/>
      <c r="G37" s="232"/>
      <c r="H37" s="232"/>
      <c r="I37" s="232"/>
      <c r="J37" s="232"/>
    </row>
    <row r="38" spans="1:18" x14ac:dyDescent="0.25">
      <c r="B38" s="376" t="s">
        <v>340</v>
      </c>
      <c r="C38" s="426"/>
      <c r="D38" s="380" t="s">
        <v>273</v>
      </c>
      <c r="E38" s="380" t="s">
        <v>347</v>
      </c>
      <c r="F38" s="380" t="s">
        <v>177</v>
      </c>
      <c r="G38" s="380" t="s">
        <v>178</v>
      </c>
      <c r="H38" s="380" t="s">
        <v>179</v>
      </c>
      <c r="I38" s="380" t="s">
        <v>231</v>
      </c>
      <c r="J38" s="381" t="s">
        <v>232</v>
      </c>
      <c r="R38" s="418">
        <f>13/12-1</f>
        <v>8.3333333333333259E-2</v>
      </c>
    </row>
    <row r="39" spans="1:18" x14ac:dyDescent="0.25">
      <c r="B39" s="378"/>
      <c r="C39" s="430"/>
      <c r="D39" s="388"/>
      <c r="E39" s="388"/>
      <c r="F39" s="388"/>
      <c r="G39" s="388"/>
      <c r="H39" s="388"/>
      <c r="I39" s="388"/>
      <c r="J39" s="389"/>
    </row>
    <row r="40" spans="1:18" x14ac:dyDescent="0.25">
      <c r="B40" s="406" t="s">
        <v>805</v>
      </c>
      <c r="C40" s="429"/>
      <c r="D40" s="395">
        <f>Consol!M49</f>
        <v>11559.099999999995</v>
      </c>
      <c r="E40" s="395">
        <f>Consol!N49</f>
        <v>15030.799999999997</v>
      </c>
      <c r="F40" s="395">
        <f>Consol!O49</f>
        <v>15233.099999999999</v>
      </c>
      <c r="G40" s="395">
        <f ca="1">Consol!P49</f>
        <v>15958.309621090328</v>
      </c>
      <c r="H40" s="395">
        <f ca="1">Consol!Q49</f>
        <v>23388.56323225053</v>
      </c>
      <c r="I40" s="395">
        <f ca="1">Consol!R49</f>
        <v>24445.425374514682</v>
      </c>
      <c r="J40" s="396">
        <f ca="1">Consol!S49</f>
        <v>27948.574340134601</v>
      </c>
    </row>
    <row r="41" spans="1:18" x14ac:dyDescent="0.25">
      <c r="B41" s="406" t="s">
        <v>806</v>
      </c>
      <c r="C41" s="429"/>
      <c r="D41" s="395">
        <f>Consol!M28</f>
        <v>4364.8</v>
      </c>
      <c r="E41" s="395">
        <f>Consol!N28</f>
        <v>5465.5</v>
      </c>
      <c r="F41" s="395">
        <f>Consol!O28</f>
        <v>6141.2</v>
      </c>
      <c r="G41" s="395">
        <f>Consol!P28</f>
        <v>7453.8824749999994</v>
      </c>
      <c r="H41" s="395">
        <f>Consol!Q28</f>
        <v>12460.683949999999</v>
      </c>
      <c r="I41" s="395">
        <f>Consol!R28</f>
        <v>18408.265199999998</v>
      </c>
      <c r="J41" s="396">
        <f>Consol!S28</f>
        <v>24495.596449999997</v>
      </c>
    </row>
    <row r="42" spans="1:18" x14ac:dyDescent="0.25">
      <c r="B42" s="406" t="s">
        <v>807</v>
      </c>
      <c r="C42" s="429"/>
      <c r="D42" s="395">
        <f>Consol!M188</f>
        <v>1140.9999999999998</v>
      </c>
      <c r="E42" s="395">
        <f>Consol!N188</f>
        <v>-41.000000000000114</v>
      </c>
      <c r="F42" s="395">
        <f>Consol!O188</f>
        <v>3204</v>
      </c>
      <c r="G42" s="395">
        <f ca="1">Consol!P188</f>
        <v>2463.1221124120302</v>
      </c>
      <c r="H42" s="395">
        <f ca="1">Consol!Q188</f>
        <v>4555.9387413546674</v>
      </c>
      <c r="I42" s="395">
        <f ca="1">Consol!R188</f>
        <v>2175.5683412635317</v>
      </c>
      <c r="J42" s="395">
        <f ca="1">Consol!S188</f>
        <v>3358.4533185931177</v>
      </c>
    </row>
    <row r="43" spans="1:18" x14ac:dyDescent="0.25">
      <c r="B43" s="406" t="s">
        <v>808</v>
      </c>
      <c r="C43" s="429"/>
      <c r="D43" s="395">
        <f>Consol!M190</f>
        <v>2487.1</v>
      </c>
      <c r="E43" s="395">
        <f>Consol!N190</f>
        <v>20755.7</v>
      </c>
      <c r="F43" s="395">
        <f>Consol!O190</f>
        <v>24916.400000000001</v>
      </c>
      <c r="G43" s="395">
        <f>Consol!P190</f>
        <v>72388.516586806669</v>
      </c>
      <c r="H43" s="395">
        <f>Consol!Q190</f>
        <v>89062.124855980161</v>
      </c>
      <c r="I43" s="395">
        <f>Consol!R190</f>
        <v>81166.63442817732</v>
      </c>
      <c r="J43" s="395">
        <f>Consol!S190</f>
        <v>67266.454129035817</v>
      </c>
    </row>
    <row r="44" spans="1:18" x14ac:dyDescent="0.25">
      <c r="B44" s="406" t="s">
        <v>809</v>
      </c>
      <c r="C44" s="429"/>
      <c r="D44" s="395">
        <f>Consol!M182</f>
        <v>13.699999999999591</v>
      </c>
      <c r="E44" s="395">
        <f>Consol!N182</f>
        <v>-714.30000000000109</v>
      </c>
      <c r="F44" s="395">
        <f>Consol!O182</f>
        <v>7300.6000000000022</v>
      </c>
      <c r="G44" s="395">
        <f>Consol!P182</f>
        <v>39159.391230084802</v>
      </c>
      <c r="H44" s="395">
        <f>Consol!Q182</f>
        <v>29900.788692519447</v>
      </c>
      <c r="I44" s="395">
        <f>Consol!R182</f>
        <v>3906.4587263908106</v>
      </c>
      <c r="J44" s="396">
        <f>Consol!S182</f>
        <v>16489.432516991743</v>
      </c>
    </row>
    <row r="45" spans="1:18" x14ac:dyDescent="0.25">
      <c r="B45" s="406" t="s">
        <v>810</v>
      </c>
      <c r="C45" s="428"/>
      <c r="D45" s="391">
        <f t="shared" ref="D45:J45" si="12">D40+D41-D42-D43+D44</f>
        <v>12309.499999999993</v>
      </c>
      <c r="E45" s="391">
        <f t="shared" si="12"/>
        <v>-932.70000000000618</v>
      </c>
      <c r="F45" s="391">
        <f t="shared" si="12"/>
        <v>554.5</v>
      </c>
      <c r="G45" s="391">
        <f t="shared" ca="1" si="12"/>
        <v>-12280.055373043571</v>
      </c>
      <c r="H45" s="391">
        <f t="shared" ca="1" si="12"/>
        <v>-27868.027722564846</v>
      </c>
      <c r="I45" s="391">
        <f t="shared" ca="1" si="12"/>
        <v>-36582.053468535363</v>
      </c>
      <c r="J45" s="392">
        <f t="shared" ca="1" si="12"/>
        <v>-1691.3041405026015</v>
      </c>
    </row>
    <row r="46" spans="1:18" x14ac:dyDescent="0.25">
      <c r="B46" s="406"/>
      <c r="C46" s="429"/>
      <c r="D46" s="395"/>
      <c r="E46" s="395"/>
      <c r="F46" s="395"/>
      <c r="G46" s="395"/>
      <c r="H46" s="395"/>
      <c r="I46" s="395"/>
      <c r="J46" s="396"/>
    </row>
    <row r="47" spans="1:18" x14ac:dyDescent="0.25">
      <c r="B47" s="406" t="s">
        <v>845</v>
      </c>
      <c r="C47" s="429"/>
      <c r="D47" s="395">
        <f ca="1">NPV($C$55,E45:$J45)</f>
        <v>-49880.132946465215</v>
      </c>
      <c r="E47" s="395">
        <f ca="1">NPV($C$55,F45:$J45)</f>
        <v>-54553.9598896479</v>
      </c>
      <c r="F47" s="395">
        <f ca="1">NPV($C$55,G45:$J45)</f>
        <v>-61240.32498124431</v>
      </c>
      <c r="G47" s="395">
        <f ca="1">NPV($C$55,H45:$J45)</f>
        <v>-55843.682136092611</v>
      </c>
      <c r="H47" s="395">
        <f ca="1">NPV($C$55,I45:$J45)</f>
        <v>-34252.484285624581</v>
      </c>
      <c r="I47" s="395">
        <f ca="1">NPV($C$55,J45:$J45)</f>
        <v>-1520.4100507934209</v>
      </c>
      <c r="J47" s="395">
        <f ca="1">NPV($C$55,$J45:J45)</f>
        <v>-1520.4100507934209</v>
      </c>
    </row>
    <row r="48" spans="1:18" x14ac:dyDescent="0.25">
      <c r="B48" s="406" t="s">
        <v>811</v>
      </c>
      <c r="C48" s="429"/>
      <c r="D48" s="395">
        <v>0</v>
      </c>
      <c r="E48" s="395">
        <v>0</v>
      </c>
      <c r="F48" s="395">
        <v>0</v>
      </c>
      <c r="G48" s="395">
        <v>0</v>
      </c>
      <c r="H48" s="395">
        <v>0</v>
      </c>
      <c r="I48" s="395">
        <v>0</v>
      </c>
      <c r="J48" s="395">
        <f ca="1">J47*((1+$C$56)/($C$55-$C$56))</f>
        <v>-38368.838545966057</v>
      </c>
    </row>
    <row r="49" spans="2:11" x14ac:dyDescent="0.25">
      <c r="B49" s="406" t="s">
        <v>812</v>
      </c>
      <c r="C49" s="429"/>
      <c r="D49" s="395">
        <f ca="1">NPV($C$55,E48:$J48)</f>
        <v>-20249.428555797163</v>
      </c>
      <c r="E49" s="395">
        <f ca="1">NPV($C$55,F48:$J48)</f>
        <v>-22525.464325468765</v>
      </c>
      <c r="F49" s="395">
        <f ca="1">NPV($C$55,G48:$J48)</f>
        <v>-25057.326515651454</v>
      </c>
      <c r="G49" s="395">
        <f ca="1">NPV($C$55,H48:$J48)</f>
        <v>-27873.770016010676</v>
      </c>
      <c r="H49" s="395">
        <f ca="1">NPV($C$55,I48:$J48)</f>
        <v>-31006.781765810279</v>
      </c>
      <c r="I49" s="395">
        <f ca="1">NPV($C$55,J48:$J48)</f>
        <v>-34491.944036287357</v>
      </c>
      <c r="J49" s="395">
        <f ca="1">NPV($C$55,$J48:J48)</f>
        <v>-34491.944036287357</v>
      </c>
    </row>
    <row r="50" spans="2:11" x14ac:dyDescent="0.25">
      <c r="B50" s="406" t="s">
        <v>813</v>
      </c>
      <c r="C50" s="428"/>
      <c r="D50" s="391">
        <f t="shared" ref="D50:J50" ca="1" si="13">D49+D47</f>
        <v>-70129.561502262382</v>
      </c>
      <c r="E50" s="391">
        <f t="shared" ca="1" si="13"/>
        <v>-77079.424215116669</v>
      </c>
      <c r="F50" s="391">
        <f t="shared" ca="1" si="13"/>
        <v>-86297.651496895764</v>
      </c>
      <c r="G50" s="391">
        <f t="shared" ca="1" si="13"/>
        <v>-83717.452152103288</v>
      </c>
      <c r="H50" s="391">
        <f t="shared" ca="1" si="13"/>
        <v>-65259.266051434861</v>
      </c>
      <c r="I50" s="391">
        <f t="shared" ca="1" si="13"/>
        <v>-36012.354087080777</v>
      </c>
      <c r="J50" s="392">
        <f t="shared" ca="1" si="13"/>
        <v>-36012.354087080777</v>
      </c>
    </row>
    <row r="51" spans="2:11" x14ac:dyDescent="0.25">
      <c r="B51" s="406" t="s">
        <v>814</v>
      </c>
      <c r="C51" s="429"/>
      <c r="D51" s="407">
        <f>$C$3</f>
        <v>2330</v>
      </c>
      <c r="E51" s="407">
        <f t="shared" ref="E51:J51" si="14">$C$3</f>
        <v>2330</v>
      </c>
      <c r="F51" s="407">
        <f t="shared" si="14"/>
        <v>2330</v>
      </c>
      <c r="G51" s="407">
        <f t="shared" si="14"/>
        <v>2330</v>
      </c>
      <c r="H51" s="407">
        <f t="shared" si="14"/>
        <v>2330</v>
      </c>
      <c r="I51" s="407">
        <f t="shared" si="14"/>
        <v>2330</v>
      </c>
      <c r="J51" s="408">
        <f t="shared" si="14"/>
        <v>2330</v>
      </c>
    </row>
    <row r="52" spans="2:11" x14ac:dyDescent="0.25">
      <c r="B52" s="406" t="s">
        <v>815</v>
      </c>
      <c r="C52" s="429"/>
      <c r="D52" s="407">
        <f t="shared" ref="D52:J52" ca="1" si="15">D50/D51</f>
        <v>-30.09852424989802</v>
      </c>
      <c r="E52" s="407">
        <f t="shared" ca="1" si="15"/>
        <v>-33.081297946402003</v>
      </c>
      <c r="F52" s="407">
        <f t="shared" ca="1" si="15"/>
        <v>-37.037618668195606</v>
      </c>
      <c r="G52" s="407">
        <f t="shared" ca="1" si="15"/>
        <v>-35.930236975151622</v>
      </c>
      <c r="H52" s="407">
        <f t="shared" ca="1" si="15"/>
        <v>-28.008268691602943</v>
      </c>
      <c r="I52" s="407">
        <f t="shared" ca="1" si="15"/>
        <v>-15.455945960120506</v>
      </c>
      <c r="J52" s="408">
        <f t="shared" ca="1" si="15"/>
        <v>-15.455945960120506</v>
      </c>
    </row>
    <row r="53" spans="2:11" x14ac:dyDescent="0.25">
      <c r="B53" s="409" t="s">
        <v>667</v>
      </c>
      <c r="C53" s="431"/>
      <c r="D53" s="410">
        <f t="shared" ref="D53:J53" ca="1" si="16">D52/$C$2-1</f>
        <v>-1.0863783161139275</v>
      </c>
      <c r="E53" s="410">
        <f t="shared" ca="1" si="16"/>
        <v>-1.0949384357767313</v>
      </c>
      <c r="F53" s="410">
        <f t="shared" ca="1" si="16"/>
        <v>-1.1062924915144083</v>
      </c>
      <c r="G53" s="410">
        <f t="shared" ca="1" si="16"/>
        <v>-1.1031144697234945</v>
      </c>
      <c r="H53" s="410">
        <f t="shared" ca="1" si="16"/>
        <v>-1.0803795915959333</v>
      </c>
      <c r="I53" s="410">
        <f t="shared" ca="1" si="16"/>
        <v>-1.0443562805570972</v>
      </c>
      <c r="J53" s="411">
        <f t="shared" ca="1" si="16"/>
        <v>-1.0443562805570972</v>
      </c>
    </row>
    <row r="54" spans="2:11" x14ac:dyDescent="0.25">
      <c r="B54" s="406"/>
      <c r="C54" s="429"/>
      <c r="D54" s="407"/>
      <c r="E54" s="407"/>
      <c r="F54" s="407"/>
      <c r="G54" s="407"/>
      <c r="H54" s="407"/>
      <c r="I54" s="407"/>
      <c r="J54" s="408"/>
    </row>
    <row r="55" spans="2:11" x14ac:dyDescent="0.25">
      <c r="B55" s="406" t="s">
        <v>816</v>
      </c>
      <c r="C55" s="435">
        <v>0.1124</v>
      </c>
      <c r="D55" s="407" t="s">
        <v>828</v>
      </c>
      <c r="E55" s="407"/>
      <c r="F55" s="407"/>
      <c r="G55" s="407"/>
      <c r="H55" s="407"/>
      <c r="I55" s="407"/>
      <c r="J55" s="408"/>
    </row>
    <row r="56" spans="2:11" x14ac:dyDescent="0.25">
      <c r="B56" s="406" t="s">
        <v>817</v>
      </c>
      <c r="C56" s="435">
        <v>7.0000000000000007E-2</v>
      </c>
      <c r="D56" s="407"/>
      <c r="E56" s="407"/>
      <c r="F56" s="407"/>
      <c r="G56" s="407"/>
      <c r="H56" s="407"/>
      <c r="I56" s="407"/>
      <c r="J56" s="408"/>
      <c r="K56" s="419" t="s">
        <v>847</v>
      </c>
    </row>
    <row r="57" spans="2:11" x14ac:dyDescent="0.25">
      <c r="B57" s="406" t="s">
        <v>827</v>
      </c>
      <c r="C57" s="435">
        <v>7.6399999999999996E-2</v>
      </c>
      <c r="D57" s="407" t="s">
        <v>828</v>
      </c>
      <c r="E57" s="407"/>
      <c r="F57" s="407"/>
      <c r="G57" s="407"/>
      <c r="H57" s="407"/>
      <c r="I57" s="407"/>
      <c r="J57" s="408"/>
    </row>
    <row r="59" spans="2:11" x14ac:dyDescent="0.25">
      <c r="B59" s="376" t="s">
        <v>846</v>
      </c>
      <c r="C59" s="432"/>
      <c r="D59" s="412"/>
      <c r="E59" s="413"/>
      <c r="F59" s="413"/>
    </row>
    <row r="60" spans="2:11" x14ac:dyDescent="0.25">
      <c r="B60" s="378" t="s">
        <v>832</v>
      </c>
      <c r="C60" s="433"/>
      <c r="D60" s="414" t="s">
        <v>347</v>
      </c>
      <c r="E60" s="414" t="s">
        <v>177</v>
      </c>
      <c r="F60" s="414" t="s">
        <v>178</v>
      </c>
    </row>
    <row r="61" spans="2:11" x14ac:dyDescent="0.25">
      <c r="B61" s="415" t="s">
        <v>813</v>
      </c>
      <c r="C61" s="434"/>
      <c r="D61" s="416">
        <f ca="1">E50</f>
        <v>-77079.424215116669</v>
      </c>
      <c r="E61" s="416">
        <f ca="1">F50</f>
        <v>-86297.651496895764</v>
      </c>
      <c r="F61" s="416">
        <f ca="1">G50</f>
        <v>-83717.452152103288</v>
      </c>
    </row>
    <row r="62" spans="2:11" x14ac:dyDescent="0.25">
      <c r="B62" s="415" t="s">
        <v>603</v>
      </c>
      <c r="C62" s="434"/>
      <c r="D62" s="416">
        <f>D15</f>
        <v>706.19999999999709</v>
      </c>
      <c r="E62" s="416">
        <f>E15</f>
        <v>20169.799999999996</v>
      </c>
      <c r="F62" s="416">
        <f>F15</f>
        <v>40901.4</v>
      </c>
    </row>
    <row r="63" spans="2:11" x14ac:dyDescent="0.25">
      <c r="B63" s="415" t="s">
        <v>829</v>
      </c>
      <c r="C63" s="434"/>
      <c r="D63" s="416">
        <f ca="1">D61+D62</f>
        <v>-76373.224215116672</v>
      </c>
      <c r="E63" s="416">
        <f ca="1">E61+E62</f>
        <v>-66127.851496895775</v>
      </c>
      <c r="F63" s="416">
        <f ca="1">F61+F62</f>
        <v>-42816.052152103286</v>
      </c>
    </row>
    <row r="64" spans="2:11" x14ac:dyDescent="0.25">
      <c r="B64" s="415" t="s">
        <v>34</v>
      </c>
      <c r="C64" s="434"/>
      <c r="D64" s="416">
        <f>E11</f>
        <v>22621.8</v>
      </c>
      <c r="E64" s="416">
        <f>F11</f>
        <v>26037.3</v>
      </c>
      <c r="F64" s="416">
        <f ca="1">G11</f>
        <v>29530.876404599338</v>
      </c>
    </row>
    <row r="65" spans="2:18" x14ac:dyDescent="0.25">
      <c r="B65" s="415" t="s">
        <v>830</v>
      </c>
      <c r="C65" s="434"/>
      <c r="D65" s="416">
        <f ca="1">D63/D64</f>
        <v>-3.376089622183764</v>
      </c>
      <c r="E65" s="416">
        <f ca="1">E63/E64</f>
        <v>-2.5397353603060138</v>
      </c>
      <c r="F65" s="416">
        <f ca="1">F63/F64</f>
        <v>-1.4498740763899181</v>
      </c>
    </row>
    <row r="67" spans="2:18" x14ac:dyDescent="0.25">
      <c r="B67" s="417" t="s">
        <v>818</v>
      </c>
      <c r="C67" s="418">
        <v>0.83609999999999995</v>
      </c>
    </row>
    <row r="68" spans="2:18" x14ac:dyDescent="0.25">
      <c r="C68" s="418">
        <f>-(75%-C67)</f>
        <v>8.6099999999999954E-2</v>
      </c>
      <c r="R68" s="418">
        <f>180/153-1</f>
        <v>0.17647058823529416</v>
      </c>
    </row>
    <row r="69" spans="2:18" x14ac:dyDescent="0.25">
      <c r="B69" s="417" t="s">
        <v>819</v>
      </c>
      <c r="C69" s="377">
        <v>230</v>
      </c>
    </row>
    <row r="70" spans="2:18" x14ac:dyDescent="0.25">
      <c r="B70" s="419" t="s">
        <v>820</v>
      </c>
      <c r="C70" s="420">
        <f>C69*D70</f>
        <v>66780.5</v>
      </c>
      <c r="D70" s="377">
        <f>290.35</f>
        <v>290.35000000000002</v>
      </c>
    </row>
    <row r="71" spans="2:18" x14ac:dyDescent="0.25">
      <c r="C71" s="377"/>
    </row>
    <row r="72" spans="2:18" x14ac:dyDescent="0.25">
      <c r="B72" s="417" t="s">
        <v>821</v>
      </c>
      <c r="C72" s="377">
        <f>C69*2</f>
        <v>460</v>
      </c>
    </row>
    <row r="73" spans="2:18" x14ac:dyDescent="0.25">
      <c r="B73" s="417" t="s">
        <v>822</v>
      </c>
      <c r="C73" s="377">
        <f>C70-C72</f>
        <v>66320.5</v>
      </c>
    </row>
    <row r="76" spans="2:18" x14ac:dyDescent="0.25">
      <c r="B76" s="553" t="s">
        <v>925</v>
      </c>
      <c r="C76" s="554" t="s">
        <v>26</v>
      </c>
      <c r="D76" s="554" t="s">
        <v>27</v>
      </c>
      <c r="E76" s="554" t="s">
        <v>273</v>
      </c>
      <c r="F76" s="554" t="s">
        <v>347</v>
      </c>
      <c r="G76" s="554" t="s">
        <v>348</v>
      </c>
      <c r="H76" s="554" t="s">
        <v>919</v>
      </c>
      <c r="I76" s="554" t="s">
        <v>900</v>
      </c>
      <c r="J76" s="554" t="s">
        <v>921</v>
      </c>
      <c r="K76" s="554" t="s">
        <v>874</v>
      </c>
    </row>
    <row r="77" spans="2:18" x14ac:dyDescent="0.25">
      <c r="B77" s="555" t="s">
        <v>920</v>
      </c>
      <c r="C77" s="556">
        <f>[1]Consol!P309</f>
        <v>0.13728831129009358</v>
      </c>
      <c r="D77" s="556">
        <f>[1]Consol!Q309</f>
        <v>0.12665211243513641</v>
      </c>
      <c r="E77" s="556">
        <f>[1]Consol!R309</f>
        <v>0.16463566070070187</v>
      </c>
      <c r="F77" s="556">
        <f>[1]Consol!S309</f>
        <v>0.1922741310117787</v>
      </c>
      <c r="G77" s="556">
        <f>[1]Consol!T309</f>
        <v>0.16153070474150935</v>
      </c>
      <c r="H77" s="556">
        <f>[1]Consol!U309</f>
        <v>0.1369260344647649</v>
      </c>
      <c r="I77" s="556">
        <f>[1]Consol!V309</f>
        <v>0.14519333653941374</v>
      </c>
      <c r="J77" s="556">
        <f>[1]Consol!W309</f>
        <v>0.15267126769541031</v>
      </c>
      <c r="K77" s="556">
        <f>[1]Consol!X309</f>
        <v>0.14869711026882187</v>
      </c>
    </row>
    <row r="78" spans="2:18" x14ac:dyDescent="0.25">
      <c r="B78" s="555" t="s">
        <v>212</v>
      </c>
      <c r="C78" s="556">
        <f>Consol!K221</f>
        <v>0.10641914069864664</v>
      </c>
      <c r="D78" s="556">
        <f>Consol!L221</f>
        <v>0.20362288854855615</v>
      </c>
      <c r="E78" s="556">
        <f>Consol!M221</f>
        <v>0.19231535518927931</v>
      </c>
      <c r="F78" s="556">
        <f>Consol!N221</f>
        <v>0.16961665066133427</v>
      </c>
      <c r="G78" s="556">
        <f>Consol!O221</f>
        <v>0.14807819426082897</v>
      </c>
      <c r="H78" s="556">
        <f ca="1">Consol!P221</f>
        <v>0.10696856730936379</v>
      </c>
      <c r="I78" s="556">
        <f ca="1">Consol!Q221</f>
        <v>0.11700729871464516</v>
      </c>
      <c r="J78" s="556">
        <f ca="1">Consol!R221</f>
        <v>0.11064445821563842</v>
      </c>
      <c r="K78" s="556">
        <f ca="1">Consol!S221</f>
        <v>0.11454798738011347</v>
      </c>
    </row>
    <row r="79" spans="2:18" x14ac:dyDescent="0.25">
      <c r="B79" s="557"/>
      <c r="C79" s="558"/>
      <c r="D79" s="557"/>
      <c r="E79" s="558"/>
      <c r="F79" s="557"/>
      <c r="G79" s="558"/>
      <c r="H79" s="557"/>
      <c r="I79" s="557"/>
      <c r="J79" s="557"/>
      <c r="K79" s="557"/>
    </row>
    <row r="80" spans="2:18" x14ac:dyDescent="0.25">
      <c r="B80" s="553" t="s">
        <v>924</v>
      </c>
      <c r="C80" s="554" t="s">
        <v>26</v>
      </c>
      <c r="D80" s="554" t="s">
        <v>27</v>
      </c>
      <c r="E80" s="554" t="s">
        <v>273</v>
      </c>
      <c r="F80" s="554" t="s">
        <v>347</v>
      </c>
      <c r="G80" s="554" t="s">
        <v>348</v>
      </c>
      <c r="H80" s="554" t="s">
        <v>919</v>
      </c>
      <c r="I80" s="554" t="s">
        <v>900</v>
      </c>
      <c r="J80" s="554" t="s">
        <v>921</v>
      </c>
      <c r="K80" s="554" t="s">
        <v>874</v>
      </c>
    </row>
    <row r="81" spans="2:15" x14ac:dyDescent="0.25">
      <c r="B81" s="555" t="s">
        <v>920</v>
      </c>
      <c r="C81" s="559">
        <f>[1]Consol!P310</f>
        <v>7.9744007149729651E-2</v>
      </c>
      <c r="D81" s="559">
        <f>[1]Consol!Q310</f>
        <v>8.4675520098987739E-2</v>
      </c>
      <c r="E81" s="559">
        <f>[1]Consol!R310</f>
        <v>9.6960974793098051E-2</v>
      </c>
      <c r="F81" s="559">
        <f>[1]Consol!S310</f>
        <v>0.10678575757601497</v>
      </c>
      <c r="G81" s="559">
        <f>[1]Consol!T310</f>
        <v>9.5790244854080789E-2</v>
      </c>
      <c r="H81" s="559">
        <f>[1]Consol!U310</f>
        <v>9.3076931450560646E-2</v>
      </c>
      <c r="I81" s="559">
        <f>[1]Consol!V310</f>
        <v>0.10072480051912695</v>
      </c>
      <c r="J81" s="559">
        <f>[1]Consol!W310</f>
        <v>0.10726788395075888</v>
      </c>
      <c r="K81" s="559">
        <f>[1]Consol!X310</f>
        <v>0.11080549979669267</v>
      </c>
    </row>
    <row r="82" spans="2:15" x14ac:dyDescent="0.25">
      <c r="B82" s="555" t="s">
        <v>212</v>
      </c>
      <c r="C82" s="556">
        <f>Consol!K222</f>
        <v>7.4227294556233336E-2</v>
      </c>
      <c r="D82" s="556">
        <f>Consol!L222</f>
        <v>0.14636346684270354</v>
      </c>
      <c r="E82" s="556">
        <f>Consol!M222</f>
        <v>0.10780053031319661</v>
      </c>
      <c r="F82" s="556">
        <f>Consol!N222</f>
        <v>0.11065758374088255</v>
      </c>
      <c r="G82" s="556">
        <f>Consol!O222</f>
        <v>0.10223813388390543</v>
      </c>
      <c r="H82" s="556">
        <f ca="1">Consol!P222</f>
        <v>6.5187404509055927E-2</v>
      </c>
      <c r="I82" s="556">
        <f ca="1">Consol!Q222</f>
        <v>8.5124082592965736E-2</v>
      </c>
      <c r="J82" s="556">
        <f ca="1">Consol!R222</f>
        <v>8.7864621734563608E-2</v>
      </c>
      <c r="K82" s="556">
        <f ca="1">Consol!S222</f>
        <v>9.5771964124638356E-2</v>
      </c>
    </row>
    <row r="83" spans="2:15" x14ac:dyDescent="0.25">
      <c r="B83" s="557"/>
      <c r="C83" s="558"/>
      <c r="D83" s="557"/>
      <c r="E83" s="558"/>
      <c r="F83" s="557"/>
      <c r="G83" s="557"/>
      <c r="H83" s="557"/>
      <c r="I83" s="557"/>
      <c r="J83" s="557"/>
      <c r="K83" s="557"/>
    </row>
    <row r="84" spans="2:15" x14ac:dyDescent="0.25">
      <c r="B84" s="553" t="s">
        <v>922</v>
      </c>
      <c r="C84" s="554" t="s">
        <v>26</v>
      </c>
      <c r="D84" s="554" t="s">
        <v>27</v>
      </c>
      <c r="E84" s="554" t="s">
        <v>273</v>
      </c>
      <c r="F84" s="554" t="s">
        <v>347</v>
      </c>
      <c r="G84" s="554" t="s">
        <v>348</v>
      </c>
      <c r="H84" s="554" t="s">
        <v>919</v>
      </c>
      <c r="I84" s="554" t="s">
        <v>900</v>
      </c>
      <c r="J84" s="554" t="s">
        <v>921</v>
      </c>
      <c r="K84" s="554" t="s">
        <v>874</v>
      </c>
    </row>
    <row r="85" spans="2:15" x14ac:dyDescent="0.25">
      <c r="B85" s="555" t="s">
        <v>920</v>
      </c>
      <c r="C85" s="559">
        <f>[1]Consol!P308</f>
        <v>0</v>
      </c>
      <c r="D85" s="556">
        <f>[1]Consol!Q308</f>
        <v>0</v>
      </c>
      <c r="E85" s="559">
        <f>[1]Consol!R308</f>
        <v>0.12729472525857019</v>
      </c>
      <c r="F85" s="556">
        <f>[1]Consol!S308</f>
        <v>0.1320976526578701</v>
      </c>
      <c r="G85" s="556">
        <f>[1]Consol!T308</f>
        <v>0.11899016586019294</v>
      </c>
      <c r="H85" s="556">
        <f>[1]Consol!U308</f>
        <v>0.12616681476398242</v>
      </c>
      <c r="I85" s="556">
        <f>[1]Consol!V308</f>
        <v>0.13533809395109053</v>
      </c>
      <c r="J85" s="556">
        <f>[1]Consol!W308</f>
        <v>0.14512584205031359</v>
      </c>
      <c r="K85" s="556">
        <f>[1]Consol!X308</f>
        <v>0.14829042840418363</v>
      </c>
    </row>
    <row r="86" spans="2:15" x14ac:dyDescent="0.25">
      <c r="B86" s="555" t="s">
        <v>212</v>
      </c>
      <c r="C86" s="556">
        <f>Consol!K224</f>
        <v>0.11139137717184154</v>
      </c>
      <c r="D86" s="556">
        <f>Consol!L224</f>
        <v>0.18601878704583844</v>
      </c>
      <c r="E86" s="556">
        <f>Consol!M224</f>
        <v>0.17932096302520212</v>
      </c>
      <c r="F86" s="556">
        <f>Consol!N224</f>
        <v>0.13545737778177816</v>
      </c>
      <c r="G86" s="556">
        <f>Consol!O224</f>
        <v>0.12604522426193657</v>
      </c>
      <c r="H86" s="556">
        <f ca="1">Consol!P224</f>
        <v>9.8012526799168553E-2</v>
      </c>
      <c r="I86" s="556">
        <f ca="1">Consol!Q224</f>
        <v>0.11415886521296159</v>
      </c>
      <c r="J86" s="556">
        <f ca="1">Consol!R224</f>
        <v>0.10652872956089643</v>
      </c>
      <c r="K86" s="556">
        <f ca="1">Consol!S224</f>
        <v>0.12219213233853671</v>
      </c>
    </row>
    <row r="87" spans="2:15" x14ac:dyDescent="0.25">
      <c r="B87" s="555" t="s">
        <v>1504</v>
      </c>
      <c r="C87" s="556">
        <f>[5]Standalone!S298</f>
        <v>0.24076159427249008</v>
      </c>
      <c r="D87" s="556">
        <f>[5]Standalone!T298</f>
        <v>0.32613419944876393</v>
      </c>
      <c r="E87" s="556">
        <f>[5]Standalone!U298</f>
        <v>0.43644544431946014</v>
      </c>
      <c r="F87" s="556">
        <f>[5]Standalone!V298</f>
        <v>0.43861746183533273</v>
      </c>
      <c r="G87" s="556">
        <f>[5]Standalone!W298</f>
        <v>0.33233122493613959</v>
      </c>
      <c r="H87" s="556">
        <f>[5]Standalone!X298</f>
        <v>0.34268482584603105</v>
      </c>
      <c r="I87" s="556">
        <f>[5]Standalone!Y298</f>
        <v>0.40351842209301547</v>
      </c>
      <c r="J87" s="556">
        <f>[5]Standalone!Z298</f>
        <v>0.48486368420525494</v>
      </c>
      <c r="K87" s="556">
        <f>[5]Standalone!AA298</f>
        <v>0.59062537400744752</v>
      </c>
    </row>
    <row r="89" spans="2:15" x14ac:dyDescent="0.25">
      <c r="B89" s="534" t="s">
        <v>1524</v>
      </c>
      <c r="C89" s="536" t="s">
        <v>22</v>
      </c>
      <c r="D89" s="536" t="s">
        <v>23</v>
      </c>
      <c r="E89" s="536" t="s">
        <v>24</v>
      </c>
      <c r="F89" s="536" t="s">
        <v>25</v>
      </c>
      <c r="G89" s="536" t="s">
        <v>26</v>
      </c>
      <c r="H89" s="536" t="s">
        <v>27</v>
      </c>
      <c r="I89" s="536" t="s">
        <v>273</v>
      </c>
      <c r="J89" s="536" t="s">
        <v>347</v>
      </c>
      <c r="K89" s="536" t="s">
        <v>348</v>
      </c>
      <c r="L89" s="536" t="s">
        <v>178</v>
      </c>
      <c r="M89" s="536" t="s">
        <v>179</v>
      </c>
      <c r="N89" s="536" t="s">
        <v>231</v>
      </c>
      <c r="O89" s="536" t="s">
        <v>232</v>
      </c>
    </row>
    <row r="90" spans="2:15" x14ac:dyDescent="0.25">
      <c r="B90" s="535" t="s">
        <v>798</v>
      </c>
      <c r="C90" s="807">
        <f>+Consol!G49</f>
        <v>2808.1369999999979</v>
      </c>
      <c r="D90" s="807">
        <f>+Consol!H49</f>
        <v>2667.2440000000011</v>
      </c>
      <c r="E90" s="807">
        <f>+Consol!I49</f>
        <v>1904.2409999999995</v>
      </c>
      <c r="F90" s="807">
        <f>+Consol!J49</f>
        <v>2913.8549999999982</v>
      </c>
      <c r="G90" s="807">
        <f>+Consol!K49</f>
        <v>3279.4579999999951</v>
      </c>
      <c r="H90" s="807">
        <f>+Consol!L49</f>
        <v>7398.376000000002</v>
      </c>
      <c r="I90" s="807">
        <f>+Consol!M49</f>
        <v>11559.099999999995</v>
      </c>
      <c r="J90" s="807">
        <f>+Consol!N49</f>
        <v>15030.799999999997</v>
      </c>
      <c r="K90" s="807">
        <f>+Consol!O49</f>
        <v>15233.099999999999</v>
      </c>
      <c r="L90" s="807">
        <f ca="1">+Consol!P49</f>
        <v>15958.309621090328</v>
      </c>
      <c r="M90" s="807">
        <f ca="1">+Consol!Q49</f>
        <v>23388.56323225053</v>
      </c>
      <c r="N90" s="807">
        <f ca="1">+Consol!R49</f>
        <v>24445.425374514682</v>
      </c>
      <c r="O90" s="807">
        <f ca="1">+Consol!S49</f>
        <v>27948.574340134601</v>
      </c>
    </row>
    <row r="91" spans="2:15" x14ac:dyDescent="0.25">
      <c r="B91" s="448" t="s">
        <v>1525</v>
      </c>
      <c r="C91" s="808">
        <f>+Consol!G16</f>
        <v>9980.9359999999979</v>
      </c>
      <c r="D91" s="808">
        <f>+Consol!H16</f>
        <v>10802.602000000001</v>
      </c>
      <c r="E91" s="808">
        <f>+Consol!I16</f>
        <v>11431.453</v>
      </c>
      <c r="F91" s="808">
        <f>+Consol!J16</f>
        <v>16035.705</v>
      </c>
      <c r="G91" s="808">
        <f>+Consol!K16</f>
        <v>22730.587999999996</v>
      </c>
      <c r="H91" s="808">
        <f>+Consol!L16</f>
        <v>31947.396000000001</v>
      </c>
      <c r="I91" s="808">
        <f>+Consol!M16</f>
        <v>37628.899999999994</v>
      </c>
      <c r="J91" s="808">
        <f>+Consol!N16</f>
        <v>44761.4</v>
      </c>
      <c r="K91" s="808">
        <f>+Consol!O16</f>
        <v>53614.400000000001</v>
      </c>
      <c r="L91" s="808">
        <f ca="1">+Consol!P16</f>
        <v>72935.367693299719</v>
      </c>
      <c r="M91" s="808">
        <f ca="1">+Consol!Q16</f>
        <v>108672.59111019592</v>
      </c>
      <c r="N91" s="808">
        <f ca="1">+Consol!R16</f>
        <v>144351.18628049517</v>
      </c>
      <c r="O91" s="808">
        <f ca="1">+Consol!S16</f>
        <v>188550.73544122337</v>
      </c>
    </row>
    <row r="92" spans="2:15" x14ac:dyDescent="0.25">
      <c r="B92" s="448" t="s">
        <v>1526</v>
      </c>
      <c r="C92" s="809">
        <f>+C90/C91</f>
        <v>0.28135006576537497</v>
      </c>
      <c r="D92" s="809">
        <f t="shared" ref="D92:L92" si="17">+D90/D91</f>
        <v>0.24690755060678907</v>
      </c>
      <c r="E92" s="809">
        <f t="shared" si="17"/>
        <v>0.16657908666553584</v>
      </c>
      <c r="F92" s="809">
        <f t="shared" si="17"/>
        <v>0.18171043929780439</v>
      </c>
      <c r="G92" s="809">
        <f t="shared" si="17"/>
        <v>0.14427510630169338</v>
      </c>
      <c r="H92" s="809">
        <f t="shared" si="17"/>
        <v>0.23157993847135466</v>
      </c>
      <c r="I92" s="809">
        <f t="shared" si="17"/>
        <v>0.30718676336539191</v>
      </c>
      <c r="J92" s="809">
        <f t="shared" si="17"/>
        <v>0.33579825474627684</v>
      </c>
      <c r="K92" s="809">
        <f t="shared" si="17"/>
        <v>0.28412329523411617</v>
      </c>
      <c r="L92" s="809">
        <f t="shared" ca="1" si="17"/>
        <v>0.21880070157727269</v>
      </c>
      <c r="M92" s="809">
        <f t="shared" ref="M92:O92" ca="1" si="18">+M90/M91</f>
        <v>0.21522044329037959</v>
      </c>
      <c r="N92" s="809">
        <f t="shared" ca="1" si="18"/>
        <v>0.16934689630477781</v>
      </c>
      <c r="O92" s="809">
        <f t="shared" ca="1" si="18"/>
        <v>0.14822840268818238</v>
      </c>
    </row>
    <row r="93" spans="2:15" x14ac:dyDescent="0.25">
      <c r="B93" s="448" t="s">
        <v>1527</v>
      </c>
      <c r="C93" s="809">
        <f>+Consol!G16/AVERAGE(Consol!F117:G117)</f>
        <v>0.42217063547747063</v>
      </c>
      <c r="D93" s="809">
        <f>+Consol!H16/AVERAGE(Consol!G117:H117)</f>
        <v>0.21523071742998004</v>
      </c>
      <c r="E93" s="809">
        <f>+Consol!I16/AVERAGE(Consol!H117:I117)</f>
        <v>0.20078244440242932</v>
      </c>
      <c r="F93" s="809">
        <f>+Consol!J16/AVERAGE(Consol!I117:J117)</f>
        <v>0.23049974351832062</v>
      </c>
      <c r="G93" s="809">
        <f>+Consol!K16/AVERAGE(Consol!J117:K117)</f>
        <v>0.27265315296412396</v>
      </c>
      <c r="H93" s="809">
        <f>+Consol!L16/AVERAGE(Consol!K117:L117)</f>
        <v>0.3605448903690554</v>
      </c>
      <c r="I93" s="809">
        <f>+Consol!M16/AVERAGE(Consol!L117:M117)</f>
        <v>0.34060692179932944</v>
      </c>
      <c r="J93" s="809">
        <f>+Consol!N16/AVERAGE(Consol!M117:N117)</f>
        <v>0.30884308212443723</v>
      </c>
      <c r="K93" s="809">
        <f>+Consol!O16/AVERAGE(Consol!N117:O117)</f>
        <v>0.30950978965914577</v>
      </c>
      <c r="L93" s="809">
        <f ca="1">+Consol!P16/AVERAGE(Consol!O117:P117)</f>
        <v>0.29302043916456921</v>
      </c>
      <c r="M93" s="809">
        <f ca="1">+Consol!Q16/AVERAGE(Consol!P117:Q117)</f>
        <v>0.32471344617775616</v>
      </c>
      <c r="N93" s="809">
        <f ca="1">+Consol!R16/AVERAGE(Consol!Q117:R117)</f>
        <v>0.3866874960535383</v>
      </c>
      <c r="O93" s="809">
        <f ca="1">+Consol!S16/AVERAGE(Consol!R117:S117)</f>
        <v>0.46279869129762086</v>
      </c>
    </row>
    <row r="94" spans="2:15" x14ac:dyDescent="0.25">
      <c r="B94" s="448" t="s">
        <v>1528</v>
      </c>
      <c r="C94" s="810">
        <f>C92*C93</f>
        <v>0.1187777360557965</v>
      </c>
      <c r="D94" s="810">
        <f t="shared" ref="D94:L94" si="19">D92*D93</f>
        <v>5.3142089255978311E-2</v>
      </c>
      <c r="E94" s="810">
        <f t="shared" si="19"/>
        <v>3.3446156207030404E-2</v>
      </c>
      <c r="F94" s="810">
        <f t="shared" si="19"/>
        <v>4.188420965274528E-2</v>
      </c>
      <c r="G94" s="810">
        <f t="shared" si="19"/>
        <v>3.9337062627390847E-2</v>
      </c>
      <c r="H94" s="810">
        <f t="shared" si="19"/>
        <v>8.3494963527827162E-2</v>
      </c>
      <c r="I94" s="810">
        <f t="shared" si="19"/>
        <v>0.10462993788738516</v>
      </c>
      <c r="J94" s="810">
        <f t="shared" si="19"/>
        <v>0.10370896796784707</v>
      </c>
      <c r="K94" s="810">
        <f t="shared" si="19"/>
        <v>8.7938941345174673E-2</v>
      </c>
      <c r="L94" s="810">
        <f t="shared" ca="1" si="19"/>
        <v>6.4113077665688301E-2</v>
      </c>
      <c r="M94" s="810">
        <f t="shared" ref="M94:O94" ca="1" si="20">M92*M93</f>
        <v>6.9884971828723497E-2</v>
      </c>
      <c r="N94" s="810">
        <f t="shared" ca="1" si="20"/>
        <v>6.5484327296532724E-2</v>
      </c>
      <c r="O94" s="810">
        <f t="shared" ca="1" si="20"/>
        <v>6.8599910777227546E-2</v>
      </c>
    </row>
    <row r="95" spans="2:15" x14ac:dyDescent="0.25">
      <c r="B95" s="448" t="s">
        <v>1529</v>
      </c>
      <c r="C95" s="811">
        <f>+AVERAGE(Consol!F117:G117)/AVERAGE(SUM(Consol!G65:G66),SUM(Consol!F65:F66))</f>
        <v>1.8095138759491367</v>
      </c>
      <c r="D95" s="811">
        <f>+AVERAGE(Consol!G117:H117)/AVERAGE(SUM(Consol!H65:H66),SUM(Consol!G65:G66))</f>
        <v>1.8248756175672909</v>
      </c>
      <c r="E95" s="811">
        <f>+AVERAGE(Consol!H117:I117)/AVERAGE(SUM(Consol!I65:I66),SUM(Consol!H65:H66))</f>
        <v>2.0947672178536365</v>
      </c>
      <c r="F95" s="811">
        <f>+AVERAGE(Consol!I117:J117)/AVERAGE(SUM(Consol!J65:J66),SUM(Consol!I65:I66))</f>
        <v>2.5579844254052375</v>
      </c>
      <c r="G95" s="811">
        <f>+AVERAGE(Consol!J117:K117)/AVERAGE(SUM(Consol!K65:K66),SUM(Consol!J65:J66))</f>
        <v>2.7053148758632974</v>
      </c>
      <c r="H95" s="811">
        <f>+AVERAGE(Consol!K117:L117)/AVERAGE(SUM(Consol!L65:L66),SUM(Consol!K65:K66))</f>
        <v>2.4387445654813993</v>
      </c>
      <c r="I95" s="811">
        <f>+AVERAGE(Consol!L117:M117)/AVERAGE(SUM(Consol!M65:M66),SUM(Consol!L65:L66))</f>
        <v>1.8380528467509112</v>
      </c>
      <c r="J95" s="811">
        <f>+AVERAGE(Consol!M117:N117)/AVERAGE(SUM(Consol!N65:N66),SUM(Consol!M65:M66))</f>
        <v>1.6355061089212706</v>
      </c>
      <c r="K95" s="811">
        <f>+AVERAGE(Consol!N117:O117)/AVERAGE(SUM(Consol!O65:O66),SUM(Consol!N65:N66))</f>
        <v>1.6838751069289992</v>
      </c>
      <c r="L95" s="811">
        <f ca="1">+AVERAGE(Consol!O117:P117)/AVERAGE(SUM(Consol!P65:P66),SUM(Consol!O65:O66))</f>
        <v>1.6684360071925026</v>
      </c>
      <c r="M95" s="811">
        <f ca="1">+AVERAGE(Consol!P117:Q117)/AVERAGE(SUM(Consol!Q65:Q66),SUM(Consol!P65:P66))</f>
        <v>1.6742841222203064</v>
      </c>
      <c r="N95" s="811">
        <f ca="1">+AVERAGE(Consol!Q117:R117)/AVERAGE(SUM(Consol!R65:R66),SUM(Consol!Q65:Q66))</f>
        <v>1.6896326614856563</v>
      </c>
      <c r="O95" s="811">
        <f ca="1">+AVERAGE(Consol!R117:S117)/AVERAGE(SUM(Consol!S65:S66),SUM(Consol!R65:R66))</f>
        <v>1.669797906182392</v>
      </c>
    </row>
    <row r="96" spans="2:15" x14ac:dyDescent="0.25">
      <c r="B96" s="812" t="s">
        <v>906</v>
      </c>
      <c r="C96" s="809">
        <f>C94*C95</f>
        <v>0.21492996154678784</v>
      </c>
      <c r="D96" s="809">
        <f t="shared" ref="D96:L96" si="21">D94*D95</f>
        <v>9.6977702949819514E-2</v>
      </c>
      <c r="E96" s="809">
        <f t="shared" si="21"/>
        <v>7.0061911585699216E-2</v>
      </c>
      <c r="F96" s="809">
        <f t="shared" si="21"/>
        <v>0.10713915596213014</v>
      </c>
      <c r="G96" s="809">
        <f t="shared" si="21"/>
        <v>0.10641914069864662</v>
      </c>
      <c r="H96" s="809">
        <f t="shared" si="21"/>
        <v>0.20362288854855615</v>
      </c>
      <c r="I96" s="809">
        <f t="shared" si="21"/>
        <v>0.19231535518927931</v>
      </c>
      <c r="J96" s="809">
        <f t="shared" si="21"/>
        <v>0.16961665066133425</v>
      </c>
      <c r="K96" s="809">
        <f t="shared" si="21"/>
        <v>0.14807819426082899</v>
      </c>
      <c r="L96" s="809">
        <f t="shared" ca="1" si="21"/>
        <v>0.1069685673093638</v>
      </c>
      <c r="M96" s="809">
        <f t="shared" ref="M96:O96" ca="1" si="22">M94*M95</f>
        <v>0.11700729871464516</v>
      </c>
      <c r="N96" s="809">
        <f t="shared" ca="1" si="22"/>
        <v>0.1106444582156384</v>
      </c>
      <c r="O96" s="809">
        <f t="shared" ca="1" si="22"/>
        <v>0.11454798738011346</v>
      </c>
    </row>
    <row r="98" spans="2:3" x14ac:dyDescent="0.25">
      <c r="B98" s="419" t="s">
        <v>1818</v>
      </c>
    </row>
    <row r="99" spans="2:3" x14ac:dyDescent="0.25">
      <c r="B99" s="417" t="s">
        <v>1819</v>
      </c>
      <c r="C99" s="417">
        <v>12120</v>
      </c>
    </row>
    <row r="100" spans="2:3" x14ac:dyDescent="0.25">
      <c r="B100" s="417" t="s">
        <v>1820</v>
      </c>
      <c r="C100" s="417">
        <f>2150+3310</f>
        <v>5460</v>
      </c>
    </row>
    <row r="101" spans="2:3" x14ac:dyDescent="0.25">
      <c r="B101" s="417" t="s">
        <v>1821</v>
      </c>
      <c r="C101" s="417">
        <f>C99-C100</f>
        <v>6660</v>
      </c>
    </row>
  </sheetData>
  <mergeCells count="2">
    <mergeCell ref="K6:L6"/>
    <mergeCell ref="R19:W19"/>
  </mergeCells>
  <phoneticPr fontId="24" type="noConversion"/>
  <pageMargins left="0.7" right="0.7" top="0.75" bottom="0.75" header="0.3" footer="0.3"/>
  <pageSetup orientation="portrait" r:id="rId1"/>
  <ignoredErrors>
    <ignoredError sqref="C95:O95 L9"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5EB11-A6F6-4FA2-BD25-BF309026DA94}">
  <dimension ref="B1:BM217"/>
  <sheetViews>
    <sheetView showGridLines="0" zoomScaleNormal="100" workbookViewId="0">
      <pane xSplit="2" ySplit="2" topLeftCell="AC3" activePane="bottomRight" state="frozen"/>
      <selection pane="topRight" activeCell="C1" sqref="C1"/>
      <selection pane="bottomLeft" activeCell="A3" sqref="A3"/>
      <selection pane="bottomRight" activeCell="AP16" sqref="AP16"/>
    </sheetView>
  </sheetViews>
  <sheetFormatPr defaultColWidth="8.28515625" defaultRowHeight="12" customHeight="1" x14ac:dyDescent="0.25"/>
  <cols>
    <col min="1" max="1" width="3.5703125" style="2" customWidth="1"/>
    <col min="2" max="2" width="58.42578125" style="2" customWidth="1"/>
    <col min="3" max="3" width="9" style="2" customWidth="1"/>
    <col min="4" max="4" width="8.5703125" style="2" customWidth="1"/>
    <col min="5" max="8" width="8.28515625" style="2" customWidth="1"/>
    <col min="9" max="9" width="8.85546875" style="2" bestFit="1" customWidth="1"/>
    <col min="10" max="10" width="54.7109375" style="2" customWidth="1"/>
    <col min="11" max="12" width="8.28515625" style="2"/>
    <col min="13" max="13" width="7.7109375" style="2" customWidth="1"/>
    <col min="14" max="18" width="10" style="2" bestFit="1" customWidth="1"/>
    <col min="19" max="19" width="2.7109375" style="2" customWidth="1"/>
    <col min="20" max="20" width="41.42578125" style="2" customWidth="1"/>
    <col min="21" max="21" width="8.28515625" style="2"/>
    <col min="22" max="22" width="7.7109375" style="2" customWidth="1"/>
    <col min="23" max="27" width="8.28515625" style="2"/>
    <col min="28" max="28" width="2.7109375" style="2" customWidth="1"/>
    <col min="29" max="29" width="44" style="2" customWidth="1"/>
    <col min="30" max="36" width="8.28515625" style="2"/>
    <col min="37" max="37" width="2.7109375" style="2" customWidth="1"/>
    <col min="38" max="38" width="30.28515625" style="2" bestFit="1" customWidth="1"/>
    <col min="39" max="46" width="8.28515625" style="2"/>
    <col min="47" max="47" width="25" style="2" customWidth="1"/>
    <col min="48" max="54" width="8.28515625" style="2"/>
    <col min="55" max="55" width="9" style="2" bestFit="1" customWidth="1"/>
    <col min="56" max="56" width="26.7109375" style="2" customWidth="1"/>
    <col min="57" max="58" width="10" style="2" bestFit="1" customWidth="1"/>
    <col min="59" max="16384" width="8.28515625" style="2"/>
  </cols>
  <sheetData>
    <row r="1" spans="2:65" ht="12" customHeight="1" x14ac:dyDescent="0.25">
      <c r="B1" s="1" t="s">
        <v>1799</v>
      </c>
      <c r="J1" s="1" t="s">
        <v>1591</v>
      </c>
      <c r="K1" s="932">
        <v>0.70369999999999999</v>
      </c>
      <c r="N1" s="14"/>
      <c r="T1" s="1" t="s">
        <v>1804</v>
      </c>
      <c r="AC1" s="1" t="s">
        <v>1803</v>
      </c>
      <c r="AH1" s="33">
        <f>+AH5+Y5+AQ5</f>
        <v>60</v>
      </c>
      <c r="AL1" s="1" t="s">
        <v>1802</v>
      </c>
      <c r="AU1" s="1" t="s">
        <v>1944</v>
      </c>
      <c r="BD1" s="1" t="s">
        <v>1961</v>
      </c>
    </row>
    <row r="2" spans="2:65" ht="12" customHeight="1" x14ac:dyDescent="0.25">
      <c r="B2" s="3" t="s">
        <v>17</v>
      </c>
      <c r="C2" s="4" t="s">
        <v>347</v>
      </c>
      <c r="D2" s="227" t="s">
        <v>177</v>
      </c>
      <c r="E2" s="227" t="s">
        <v>178</v>
      </c>
      <c r="F2" s="227" t="s">
        <v>179</v>
      </c>
      <c r="G2" s="227" t="s">
        <v>231</v>
      </c>
      <c r="H2" s="227" t="s">
        <v>232</v>
      </c>
      <c r="J2" s="3" t="s">
        <v>17</v>
      </c>
      <c r="K2" s="4" t="s">
        <v>27</v>
      </c>
      <c r="L2" s="4" t="s">
        <v>273</v>
      </c>
      <c r="M2" s="4" t="s">
        <v>347</v>
      </c>
      <c r="N2" s="4" t="s">
        <v>348</v>
      </c>
      <c r="O2" s="227" t="s">
        <v>178</v>
      </c>
      <c r="P2" s="227" t="s">
        <v>179</v>
      </c>
      <c r="Q2" s="227" t="s">
        <v>231</v>
      </c>
      <c r="R2" s="227" t="s">
        <v>232</v>
      </c>
      <c r="S2" s="932"/>
      <c r="T2" s="3" t="s">
        <v>17</v>
      </c>
      <c r="U2" s="4" t="s">
        <v>273</v>
      </c>
      <c r="V2" s="4" t="s">
        <v>347</v>
      </c>
      <c r="W2" s="227" t="s">
        <v>177</v>
      </c>
      <c r="X2" s="227" t="s">
        <v>178</v>
      </c>
      <c r="Y2" s="227" t="s">
        <v>179</v>
      </c>
      <c r="Z2" s="227" t="s">
        <v>231</v>
      </c>
      <c r="AA2" s="227" t="s">
        <v>232</v>
      </c>
      <c r="AC2" s="3" t="s">
        <v>17</v>
      </c>
      <c r="AD2" s="4" t="s">
        <v>273</v>
      </c>
      <c r="AE2" s="4" t="s">
        <v>347</v>
      </c>
      <c r="AF2" s="227" t="s">
        <v>177</v>
      </c>
      <c r="AG2" s="227" t="s">
        <v>178</v>
      </c>
      <c r="AH2" s="227" t="s">
        <v>179</v>
      </c>
      <c r="AI2" s="227" t="s">
        <v>231</v>
      </c>
      <c r="AJ2" s="227" t="s">
        <v>232</v>
      </c>
      <c r="AL2" s="3" t="s">
        <v>17</v>
      </c>
      <c r="AM2" s="4" t="s">
        <v>273</v>
      </c>
      <c r="AN2" s="4" t="s">
        <v>347</v>
      </c>
      <c r="AO2" s="227" t="s">
        <v>177</v>
      </c>
      <c r="AP2" s="227" t="s">
        <v>178</v>
      </c>
      <c r="AQ2" s="227" t="s">
        <v>179</v>
      </c>
      <c r="AR2" s="227" t="s">
        <v>231</v>
      </c>
      <c r="AS2" s="227" t="s">
        <v>232</v>
      </c>
      <c r="AU2" s="3" t="s">
        <v>17</v>
      </c>
      <c r="AV2" s="4" t="s">
        <v>273</v>
      </c>
      <c r="AW2" s="4" t="s">
        <v>347</v>
      </c>
      <c r="AX2" s="227" t="s">
        <v>177</v>
      </c>
      <c r="AY2" s="227" t="s">
        <v>178</v>
      </c>
      <c r="AZ2" s="227" t="s">
        <v>179</v>
      </c>
      <c r="BA2" s="227" t="s">
        <v>231</v>
      </c>
      <c r="BB2" s="227" t="s">
        <v>232</v>
      </c>
      <c r="BD2" s="3" t="s">
        <v>17</v>
      </c>
      <c r="BE2" s="4" t="s">
        <v>273</v>
      </c>
      <c r="BF2" s="4" t="s">
        <v>347</v>
      </c>
      <c r="BG2" s="227" t="s">
        <v>177</v>
      </c>
      <c r="BH2" s="227" t="s">
        <v>178</v>
      </c>
      <c r="BI2" s="227" t="s">
        <v>179</v>
      </c>
      <c r="BJ2" s="227" t="s">
        <v>231</v>
      </c>
      <c r="BK2" s="227" t="s">
        <v>232</v>
      </c>
    </row>
    <row r="3" spans="2:65" ht="12" customHeight="1" x14ac:dyDescent="0.25">
      <c r="B3" s="6"/>
      <c r="C3" s="7"/>
      <c r="D3" s="8"/>
      <c r="E3" s="8"/>
      <c r="F3" s="8"/>
      <c r="G3" s="8"/>
      <c r="H3" s="8"/>
      <c r="J3" s="6"/>
      <c r="K3" s="7"/>
      <c r="L3" s="7"/>
      <c r="M3" s="7"/>
      <c r="N3" s="7"/>
      <c r="O3" s="8"/>
      <c r="P3" s="8"/>
      <c r="Q3" s="8"/>
      <c r="R3" s="8"/>
      <c r="T3" s="6"/>
      <c r="U3" s="7"/>
      <c r="V3" s="7"/>
      <c r="W3" s="8"/>
      <c r="X3" s="8"/>
      <c r="Y3" s="8"/>
      <c r="Z3" s="8"/>
      <c r="AA3" s="8"/>
      <c r="AC3" s="6"/>
      <c r="AD3" s="7"/>
      <c r="AE3" s="7"/>
      <c r="AF3" s="8"/>
      <c r="AG3" s="8"/>
      <c r="AH3" s="8"/>
      <c r="AI3" s="8"/>
      <c r="AJ3" s="8"/>
      <c r="AL3" s="6"/>
      <c r="AM3" s="7"/>
      <c r="AN3" s="7"/>
      <c r="AO3" s="8"/>
      <c r="AP3" s="8"/>
      <c r="AQ3" s="8"/>
      <c r="AR3" s="8"/>
      <c r="AS3" s="8"/>
      <c r="AU3" s="6"/>
      <c r="AV3" s="7"/>
      <c r="AW3" s="7"/>
      <c r="AX3" s="8"/>
      <c r="AY3" s="8"/>
      <c r="AZ3" s="8"/>
      <c r="BA3" s="8"/>
      <c r="BB3" s="8"/>
      <c r="BD3" s="6"/>
      <c r="BE3" s="7"/>
      <c r="BF3" s="7"/>
      <c r="BG3" s="8"/>
      <c r="BH3" s="8"/>
      <c r="BI3" s="8"/>
      <c r="BJ3" s="8"/>
      <c r="BK3" s="8"/>
    </row>
    <row r="4" spans="2:65" ht="12" customHeight="1" x14ac:dyDescent="0.25">
      <c r="B4" s="6"/>
      <c r="C4" s="123"/>
      <c r="D4" s="8"/>
      <c r="E4" s="8"/>
      <c r="F4" s="8"/>
      <c r="G4" s="8"/>
      <c r="H4" s="8"/>
      <c r="J4" s="6"/>
      <c r="K4" s="123"/>
      <c r="L4" s="123"/>
      <c r="M4" s="123"/>
      <c r="N4" s="123"/>
      <c r="O4" s="8"/>
      <c r="P4" s="8"/>
      <c r="Q4" s="8"/>
      <c r="R4" s="8"/>
      <c r="T4" s="6"/>
      <c r="U4" s="123"/>
      <c r="V4" s="123"/>
      <c r="W4" s="8"/>
      <c r="X4" s="8"/>
      <c r="Y4" s="8"/>
      <c r="Z4" s="8"/>
      <c r="AA4" s="8"/>
      <c r="AC4" s="6"/>
      <c r="AD4" s="123"/>
      <c r="AE4" s="123"/>
      <c r="AF4" s="8"/>
      <c r="AG4" s="8"/>
      <c r="AH4" s="8"/>
      <c r="AI4" s="8"/>
      <c r="AJ4" s="8"/>
      <c r="AL4" s="6"/>
      <c r="AM4" s="123"/>
      <c r="AN4" s="123"/>
      <c r="AO4" s="8"/>
      <c r="AP4" s="8"/>
      <c r="AQ4" s="8"/>
      <c r="AR4" s="8"/>
      <c r="AS4" s="8"/>
      <c r="AU4" s="6"/>
      <c r="AV4" s="123"/>
      <c r="AW4" s="123"/>
      <c r="AX4" s="8"/>
      <c r="AY4" s="8"/>
      <c r="AZ4" s="8"/>
      <c r="BA4" s="8"/>
      <c r="BB4" s="8"/>
      <c r="BD4" s="6"/>
      <c r="BE4" s="123"/>
      <c r="BF4" s="123"/>
      <c r="BG4" s="8"/>
      <c r="BH4" s="8"/>
      <c r="BI4" s="8"/>
      <c r="BJ4" s="8"/>
      <c r="BK4" s="8"/>
    </row>
    <row r="5" spans="2:65" ht="12" customHeight="1" x14ac:dyDescent="0.25">
      <c r="B5" s="6"/>
      <c r="C5" s="123"/>
      <c r="D5" s="8"/>
      <c r="E5" s="8"/>
      <c r="F5" s="8"/>
      <c r="G5" s="8"/>
      <c r="H5" s="947"/>
      <c r="J5" s="6" t="s">
        <v>1817</v>
      </c>
      <c r="K5" s="123"/>
      <c r="L5" s="123">
        <v>225</v>
      </c>
      <c r="M5" s="123">
        <v>274</v>
      </c>
      <c r="N5" s="123">
        <v>331</v>
      </c>
      <c r="O5" s="8">
        <f>N5*(1+O6)</f>
        <v>347.55</v>
      </c>
      <c r="P5" s="8">
        <f>O5*(1+P6)</f>
        <v>357.97650000000004</v>
      </c>
      <c r="Q5" s="8">
        <f>P5*(1+Q6)</f>
        <v>368.71579500000007</v>
      </c>
      <c r="R5" s="8">
        <f>Q5*(1+R6)</f>
        <v>405.58737450000012</v>
      </c>
      <c r="T5" s="6" t="s">
        <v>1800</v>
      </c>
      <c r="U5" s="123"/>
      <c r="V5" s="123">
        <v>6</v>
      </c>
      <c r="W5" s="8">
        <v>6</v>
      </c>
      <c r="X5" s="8">
        <f>W5</f>
        <v>6</v>
      </c>
      <c r="Y5" s="8">
        <f t="shared" ref="Y5:AA5" si="0">X5</f>
        <v>6</v>
      </c>
      <c r="Z5" s="8">
        <f t="shared" si="0"/>
        <v>6</v>
      </c>
      <c r="AA5" s="8">
        <f t="shared" si="0"/>
        <v>6</v>
      </c>
      <c r="AC5" s="6" t="s">
        <v>1861</v>
      </c>
      <c r="AD5" s="123"/>
      <c r="AE5" s="123">
        <v>8</v>
      </c>
      <c r="AF5" s="8">
        <v>15</v>
      </c>
      <c r="AG5" s="8">
        <v>19</v>
      </c>
      <c r="AH5" s="8">
        <f t="shared" ref="AH5:AJ5" si="1">AG5</f>
        <v>19</v>
      </c>
      <c r="AI5" s="8">
        <f t="shared" si="1"/>
        <v>19</v>
      </c>
      <c r="AJ5" s="8">
        <f t="shared" si="1"/>
        <v>19</v>
      </c>
      <c r="AL5" s="6" t="s">
        <v>1800</v>
      </c>
      <c r="AM5" s="123"/>
      <c r="AN5" s="123">
        <v>0</v>
      </c>
      <c r="AO5" s="8">
        <v>0</v>
      </c>
      <c r="AP5" s="8">
        <v>20</v>
      </c>
      <c r="AQ5" s="8">
        <f>AP5+15</f>
        <v>35</v>
      </c>
      <c r="AR5" s="8">
        <f>AQ5+20</f>
        <v>55</v>
      </c>
      <c r="AS5" s="8">
        <f>AR5+15</f>
        <v>70</v>
      </c>
      <c r="AU5" s="6" t="s">
        <v>1945</v>
      </c>
      <c r="AV5" s="123"/>
      <c r="AW5" s="123"/>
      <c r="AX5" s="8"/>
      <c r="AY5" s="8">
        <v>2</v>
      </c>
      <c r="AZ5" s="8">
        <f>AY5+4</f>
        <v>6</v>
      </c>
      <c r="BA5" s="8">
        <f>AZ5+10</f>
        <v>16</v>
      </c>
      <c r="BB5" s="8">
        <f>BA5+6</f>
        <v>22</v>
      </c>
      <c r="BD5" s="6"/>
      <c r="BE5" s="123"/>
      <c r="BF5" s="123"/>
      <c r="BG5" s="8"/>
      <c r="BH5" s="8"/>
      <c r="BI5" s="8"/>
      <c r="BJ5" s="8"/>
      <c r="BK5" s="8"/>
      <c r="BM5" s="14">
        <f>(100/17)^(1/4)-1</f>
        <v>0.55735553113710345</v>
      </c>
    </row>
    <row r="6" spans="2:65" ht="12" customHeight="1" x14ac:dyDescent="0.25">
      <c r="B6" s="6"/>
      <c r="C6" s="123"/>
      <c r="D6" s="8"/>
      <c r="E6" s="8"/>
      <c r="F6" s="8"/>
      <c r="G6" s="8"/>
      <c r="H6" s="8"/>
      <c r="J6" s="9"/>
      <c r="K6" s="123"/>
      <c r="L6" s="12"/>
      <c r="M6" s="12">
        <f>M5/L5-1</f>
        <v>0.21777777777777785</v>
      </c>
      <c r="N6" s="12">
        <f>N5/M5-1</f>
        <v>0.20802919708029188</v>
      </c>
      <c r="O6" s="200">
        <v>0.05</v>
      </c>
      <c r="P6" s="200">
        <v>0.03</v>
      </c>
      <c r="Q6" s="200">
        <v>0.03</v>
      </c>
      <c r="R6" s="200">
        <v>0.1</v>
      </c>
      <c r="T6" s="6" t="s">
        <v>1801</v>
      </c>
      <c r="U6" s="123"/>
      <c r="V6" s="12">
        <f>V12/V5</f>
        <v>160.89449999999999</v>
      </c>
      <c r="W6" s="8">
        <f>W12/W5</f>
        <v>216.66666666666666</v>
      </c>
      <c r="X6" s="8">
        <f>W6*(1+X7)</f>
        <v>223.16666666666666</v>
      </c>
      <c r="Y6" s="8">
        <f t="shared" ref="Y6:AA6" si="2">X6*(1+Y7)</f>
        <v>229.86166666666665</v>
      </c>
      <c r="Z6" s="8">
        <f t="shared" si="2"/>
        <v>236.75751666666665</v>
      </c>
      <c r="AA6" s="8">
        <f t="shared" si="2"/>
        <v>243.86024216666667</v>
      </c>
      <c r="AC6" s="6" t="s">
        <v>1801</v>
      </c>
      <c r="AD6" s="123"/>
      <c r="AE6" s="123">
        <f>AE12/AE5</f>
        <v>38.839500000000001</v>
      </c>
      <c r="AF6" s="8">
        <v>47</v>
      </c>
      <c r="AG6" s="8">
        <f>AF6*(1+AG7)</f>
        <v>48.410000000000004</v>
      </c>
      <c r="AH6" s="8">
        <f t="shared" ref="AH6" si="3">AG6*(1+AH7)</f>
        <v>49.862300000000005</v>
      </c>
      <c r="AI6" s="8">
        <f t="shared" ref="AI6" si="4">AH6*(1+AI7)</f>
        <v>51.358169000000004</v>
      </c>
      <c r="AJ6" s="8">
        <f t="shared" ref="AJ6" si="5">AI6*(1+AJ7)</f>
        <v>52.898914070000004</v>
      </c>
      <c r="AL6" s="6" t="s">
        <v>1801</v>
      </c>
      <c r="AM6" s="123"/>
      <c r="AN6" s="123">
        <v>0</v>
      </c>
      <c r="AO6" s="8">
        <f>W6</f>
        <v>216.66666666666666</v>
      </c>
      <c r="AP6" s="8">
        <f t="shared" ref="AP6:AS6" si="6">X6</f>
        <v>223.16666666666666</v>
      </c>
      <c r="AQ6" s="8">
        <f t="shared" si="6"/>
        <v>229.86166666666665</v>
      </c>
      <c r="AR6" s="8">
        <f t="shared" si="6"/>
        <v>236.75751666666665</v>
      </c>
      <c r="AS6" s="8">
        <f t="shared" si="6"/>
        <v>243.86024216666667</v>
      </c>
      <c r="AU6" s="6" t="s">
        <v>1949</v>
      </c>
      <c r="AV6" s="123"/>
      <c r="AW6" s="123"/>
      <c r="AX6" s="8"/>
      <c r="AY6" s="8">
        <f>AY5-AX5</f>
        <v>2</v>
      </c>
      <c r="AZ6" s="8">
        <f>AZ5-AY5</f>
        <v>4</v>
      </c>
      <c r="BA6" s="8">
        <f>BA5-AZ5</f>
        <v>10</v>
      </c>
      <c r="BB6" s="8">
        <f>BB5-BA5</f>
        <v>6</v>
      </c>
      <c r="BD6" s="6"/>
      <c r="BE6" s="123"/>
      <c r="BF6" s="123"/>
      <c r="BG6" s="8"/>
      <c r="BH6" s="8"/>
      <c r="BI6" s="8"/>
      <c r="BJ6" s="8"/>
      <c r="BK6" s="8"/>
    </row>
    <row r="7" spans="2:65" ht="12" customHeight="1" x14ac:dyDescent="0.25">
      <c r="B7" s="6"/>
      <c r="C7" s="123"/>
      <c r="D7" s="8"/>
      <c r="E7" s="8"/>
      <c r="F7" s="8"/>
      <c r="G7" s="8"/>
      <c r="H7" s="8"/>
      <c r="J7" s="9" t="s">
        <v>1816</v>
      </c>
      <c r="K7" s="123"/>
      <c r="L7" s="7">
        <f>(L12*1000)/L5</f>
        <v>19327.608888888888</v>
      </c>
      <c r="M7" s="7">
        <f>(M12*1000)/M5</f>
        <v>17682.262773722632</v>
      </c>
      <c r="N7" s="7">
        <f>(N12*1000)/N5</f>
        <v>20769.151057401814</v>
      </c>
      <c r="O7" s="8">
        <f>N7*(1+O8)</f>
        <v>21392.225589123867</v>
      </c>
      <c r="P7" s="8">
        <f>O7*(1+P8)</f>
        <v>21392.225589123867</v>
      </c>
      <c r="Q7" s="8">
        <f>P7*(1+Q8)</f>
        <v>21392.225589123867</v>
      </c>
      <c r="R7" s="8">
        <f>Q7*(1+R8)</f>
        <v>21392.225589123867</v>
      </c>
      <c r="T7" s="6"/>
      <c r="U7" s="123"/>
      <c r="V7" s="7"/>
      <c r="W7" s="8"/>
      <c r="X7" s="787">
        <v>0.03</v>
      </c>
      <c r="Y7" s="787">
        <v>0.03</v>
      </c>
      <c r="Z7" s="787">
        <v>0.03</v>
      </c>
      <c r="AA7" s="787">
        <v>0.03</v>
      </c>
      <c r="AC7" s="6"/>
      <c r="AD7" s="123"/>
      <c r="AE7" s="123"/>
      <c r="AF7" s="8"/>
      <c r="AG7" s="787">
        <v>0.03</v>
      </c>
      <c r="AH7" s="787">
        <v>0.03</v>
      </c>
      <c r="AI7" s="787">
        <v>0.03</v>
      </c>
      <c r="AJ7" s="787">
        <v>0.03</v>
      </c>
      <c r="AL7" s="6"/>
      <c r="AM7" s="123"/>
      <c r="AN7" s="123"/>
      <c r="AO7" s="8"/>
      <c r="AP7" s="787">
        <v>0.05</v>
      </c>
      <c r="AQ7" s="787">
        <v>0.03</v>
      </c>
      <c r="AR7" s="787">
        <v>0.03</v>
      </c>
      <c r="AS7" s="787">
        <v>0.03</v>
      </c>
      <c r="AU7" s="6"/>
      <c r="AV7" s="123"/>
      <c r="AW7" s="123"/>
      <c r="AX7" s="8"/>
      <c r="AY7" s="787"/>
      <c r="AZ7" s="787"/>
      <c r="BA7" s="787"/>
      <c r="BB7" s="787"/>
      <c r="BD7" s="6"/>
      <c r="BE7" s="123"/>
      <c r="BF7" s="123"/>
      <c r="BG7" s="8"/>
      <c r="BH7" s="787"/>
      <c r="BI7" s="787"/>
      <c r="BJ7" s="787"/>
      <c r="BK7" s="787"/>
    </row>
    <row r="8" spans="2:65" ht="12" customHeight="1" x14ac:dyDescent="0.25">
      <c r="B8" s="6"/>
      <c r="C8" s="123"/>
      <c r="D8" s="8"/>
      <c r="E8" s="8"/>
      <c r="F8" s="8"/>
      <c r="G8" s="8"/>
      <c r="H8" s="8"/>
      <c r="J8" s="6"/>
      <c r="K8" s="123"/>
      <c r="L8" s="123"/>
      <c r="M8" s="12">
        <f>M7/L7-1</f>
        <v>-8.5129315510525272E-2</v>
      </c>
      <c r="N8" s="12">
        <f>N7/M7-1</f>
        <v>0.17457541057847892</v>
      </c>
      <c r="O8" s="200">
        <v>0.03</v>
      </c>
      <c r="P8" s="200">
        <v>0</v>
      </c>
      <c r="Q8" s="200">
        <v>0</v>
      </c>
      <c r="R8" s="200">
        <v>0</v>
      </c>
      <c r="T8" s="6"/>
      <c r="U8" s="123"/>
      <c r="V8" s="12"/>
      <c r="W8" s="8"/>
      <c r="X8" s="8"/>
      <c r="Y8" s="8"/>
      <c r="Z8" s="8"/>
      <c r="AA8" s="8"/>
      <c r="AC8" s="6"/>
      <c r="AD8" s="123"/>
      <c r="AE8" s="123"/>
      <c r="AF8" s="8"/>
      <c r="AG8" s="8"/>
      <c r="AH8" s="8"/>
      <c r="AI8" s="8"/>
      <c r="AJ8" s="8"/>
      <c r="AL8" s="6"/>
      <c r="AM8" s="123"/>
      <c r="AN8" s="123"/>
      <c r="AO8" s="8"/>
      <c r="AP8" s="8"/>
      <c r="AQ8" s="8"/>
      <c r="AR8" s="8"/>
      <c r="AS8" s="8"/>
      <c r="AU8" s="6" t="s">
        <v>1947</v>
      </c>
      <c r="AV8" s="123"/>
      <c r="AW8" s="123"/>
      <c r="AX8" s="8"/>
      <c r="AY8" s="229">
        <v>1000</v>
      </c>
      <c r="AZ8" s="229">
        <v>1000</v>
      </c>
      <c r="BA8" s="229">
        <v>1000</v>
      </c>
      <c r="BB8" s="229">
        <v>1000</v>
      </c>
      <c r="BD8" s="6"/>
      <c r="BE8" s="123"/>
      <c r="BF8" s="123"/>
      <c r="BG8" s="8"/>
      <c r="BH8" s="229"/>
      <c r="BI8" s="229"/>
      <c r="BJ8" s="229"/>
      <c r="BK8" s="229"/>
    </row>
    <row r="9" spans="2:65" ht="12" customHeight="1" x14ac:dyDescent="0.25">
      <c r="B9" s="6"/>
      <c r="C9" s="123"/>
      <c r="D9" s="8"/>
      <c r="E9" s="8"/>
      <c r="F9" s="8"/>
      <c r="G9" s="8"/>
      <c r="H9" s="8"/>
      <c r="J9" s="6"/>
      <c r="K9" s="123"/>
      <c r="L9" s="123"/>
      <c r="M9" s="123"/>
      <c r="N9" s="123"/>
      <c r="O9" s="8"/>
      <c r="P9" s="8"/>
      <c r="Q9" s="8"/>
      <c r="R9" s="8"/>
      <c r="T9" s="6"/>
      <c r="U9" s="123"/>
      <c r="V9" s="123"/>
      <c r="W9" s="8"/>
      <c r="X9" s="8"/>
      <c r="Y9" s="8"/>
      <c r="Z9" s="8"/>
      <c r="AA9" s="8"/>
      <c r="AC9" s="6"/>
      <c r="AD9" s="123"/>
      <c r="AE9" s="123"/>
      <c r="AF9" s="8"/>
      <c r="AG9" s="8"/>
      <c r="AH9" s="8"/>
      <c r="AI9" s="8"/>
      <c r="AJ9" s="8"/>
      <c r="AL9" s="6"/>
      <c r="AM9" s="123"/>
      <c r="AN9" s="123"/>
      <c r="AO9" s="8"/>
      <c r="AP9" s="8"/>
      <c r="AQ9" s="8"/>
      <c r="AR9" s="8"/>
      <c r="AS9" s="8"/>
      <c r="AU9" s="6" t="s">
        <v>1948</v>
      </c>
      <c r="AV9" s="123"/>
      <c r="AW9" s="123"/>
      <c r="AX9" s="8"/>
      <c r="AY9" s="229">
        <f>AY8*AY6</f>
        <v>2000</v>
      </c>
      <c r="AZ9" s="229">
        <f t="shared" ref="AZ9:BB9" si="7">AZ8*AZ6</f>
        <v>4000</v>
      </c>
      <c r="BA9" s="229">
        <f t="shared" si="7"/>
        <v>10000</v>
      </c>
      <c r="BB9" s="229">
        <f t="shared" si="7"/>
        <v>6000</v>
      </c>
      <c r="BD9" s="6"/>
      <c r="BE9" s="123"/>
      <c r="BF9" s="123"/>
      <c r="BG9" s="8"/>
      <c r="BH9" s="229"/>
      <c r="BI9" s="229"/>
      <c r="BJ9" s="229"/>
      <c r="BK9" s="229"/>
    </row>
    <row r="10" spans="2:65" ht="12" customHeight="1" x14ac:dyDescent="0.25">
      <c r="B10" s="6"/>
      <c r="C10" s="123"/>
      <c r="D10" s="8"/>
      <c r="E10" s="8"/>
      <c r="F10" s="8"/>
      <c r="G10" s="8"/>
      <c r="H10" s="8"/>
      <c r="J10" s="6"/>
      <c r="K10" s="123"/>
      <c r="L10" s="123"/>
      <c r="M10" s="123"/>
      <c r="N10" s="123"/>
      <c r="O10" s="8"/>
      <c r="P10" s="8"/>
      <c r="Q10" s="8"/>
      <c r="R10" s="8"/>
      <c r="T10" s="6"/>
      <c r="U10" s="123"/>
      <c r="V10" s="123"/>
      <c r="W10" s="8"/>
      <c r="X10" s="8"/>
      <c r="Y10" s="8"/>
      <c r="Z10" s="8"/>
      <c r="AA10" s="8"/>
      <c r="AC10" s="6"/>
      <c r="AD10" s="123"/>
      <c r="AE10" s="123"/>
      <c r="AF10" s="8"/>
      <c r="AG10" s="8"/>
      <c r="AH10" s="8"/>
      <c r="AI10" s="8"/>
      <c r="AJ10" s="8"/>
      <c r="AL10" s="6"/>
      <c r="AM10" s="123"/>
      <c r="AN10" s="123"/>
      <c r="AO10" s="8"/>
      <c r="AP10" s="8"/>
      <c r="AQ10" s="8"/>
      <c r="AR10" s="8"/>
      <c r="AS10" s="8"/>
      <c r="AU10" s="6" t="s">
        <v>1950</v>
      </c>
      <c r="AV10" s="123"/>
      <c r="AW10" s="123"/>
      <c r="AX10" s="8"/>
      <c r="AY10" s="1169">
        <v>1</v>
      </c>
      <c r="AZ10" s="1169">
        <v>2</v>
      </c>
      <c r="BA10" s="1169">
        <v>2</v>
      </c>
      <c r="BB10" s="1169">
        <v>3</v>
      </c>
      <c r="BC10" s="895"/>
      <c r="BD10" s="6"/>
      <c r="BE10" s="123"/>
      <c r="BF10" s="123"/>
      <c r="BG10" s="8"/>
      <c r="BH10" s="1169"/>
      <c r="BI10" s="1169"/>
      <c r="BJ10" s="1169"/>
      <c r="BK10" s="1169"/>
    </row>
    <row r="11" spans="2:65" ht="12" customHeight="1" x14ac:dyDescent="0.25">
      <c r="B11" s="6"/>
      <c r="C11" s="123"/>
      <c r="D11" s="8"/>
      <c r="E11" s="8"/>
      <c r="F11" s="8"/>
      <c r="G11" s="8"/>
      <c r="H11" s="8"/>
      <c r="J11" s="6"/>
      <c r="K11" s="123"/>
      <c r="L11" s="123"/>
      <c r="M11" s="123"/>
      <c r="N11" s="123"/>
      <c r="O11" s="8"/>
      <c r="P11" s="8"/>
      <c r="Q11" s="8"/>
      <c r="R11" s="8"/>
      <c r="T11" s="6"/>
      <c r="U11" s="123"/>
      <c r="V11" s="123"/>
      <c r="W11" s="8"/>
      <c r="X11" s="8"/>
      <c r="Y11" s="8"/>
      <c r="Z11" s="8"/>
      <c r="AA11" s="8"/>
      <c r="AC11" s="6"/>
      <c r="AD11" s="123"/>
      <c r="AE11" s="123"/>
      <c r="AF11" s="8"/>
      <c r="AG11" s="8"/>
      <c r="AH11" s="8"/>
      <c r="AI11" s="8"/>
      <c r="AJ11" s="8"/>
      <c r="AL11" s="6"/>
      <c r="AM11" s="123"/>
      <c r="AN11" s="123"/>
      <c r="AO11" s="8"/>
      <c r="AP11" s="8"/>
      <c r="AQ11" s="8"/>
      <c r="AR11" s="8"/>
      <c r="AS11" s="8"/>
      <c r="AU11" s="6"/>
      <c r="AV11" s="123"/>
      <c r="AW11" s="123"/>
      <c r="AX11" s="8"/>
      <c r="AY11" s="8"/>
      <c r="AZ11" s="8"/>
      <c r="BA11" s="8"/>
      <c r="BB11" s="8"/>
      <c r="BC11" s="895"/>
      <c r="BD11" s="6"/>
      <c r="BE11" s="123"/>
      <c r="BF11" s="123"/>
      <c r="BG11" s="8"/>
      <c r="BH11" s="8"/>
      <c r="BI11" s="8"/>
      <c r="BJ11" s="8"/>
      <c r="BK11" s="8"/>
    </row>
    <row r="12" spans="2:65" ht="12" customHeight="1" x14ac:dyDescent="0.25">
      <c r="B12" s="6" t="s">
        <v>797</v>
      </c>
      <c r="C12" s="123">
        <f>C16</f>
        <v>2497.3000000000002</v>
      </c>
      <c r="D12" s="8">
        <f t="shared" ref="D12:H12" si="8">D16</f>
        <v>7145.2999999999993</v>
      </c>
      <c r="E12" s="8">
        <f t="shared" si="8"/>
        <v>16156.991336833333</v>
      </c>
      <c r="F12" s="8">
        <f t="shared" si="8"/>
        <v>28029.626076938333</v>
      </c>
      <c r="G12" s="8">
        <f t="shared" si="8"/>
        <v>53305.665192579821</v>
      </c>
      <c r="H12" s="8">
        <f t="shared" si="8"/>
        <v>76214.874383401126</v>
      </c>
      <c r="J12" s="6" t="s">
        <v>797</v>
      </c>
      <c r="K12" s="123">
        <v>4415.2020000000002</v>
      </c>
      <c r="L12" s="123">
        <v>4348.7120000000004</v>
      </c>
      <c r="M12" s="123">
        <v>4844.9400000000005</v>
      </c>
      <c r="N12" s="123">
        <v>6874.5889999999999</v>
      </c>
      <c r="O12" s="8">
        <f>(O5/1000)*O7</f>
        <v>7434.8680035000007</v>
      </c>
      <c r="P12" s="8">
        <f>(P5/1000)*P7</f>
        <v>7657.9140436050011</v>
      </c>
      <c r="Q12" s="8">
        <f>(Q5/1000)*Q7</f>
        <v>7887.6514649131514</v>
      </c>
      <c r="R12" s="8">
        <f>(R5/1000)*R7</f>
        <v>8676.4166114044674</v>
      </c>
      <c r="T12" s="6" t="s">
        <v>797</v>
      </c>
      <c r="U12" s="123">
        <v>60</v>
      </c>
      <c r="V12" s="123">
        <v>965.36699999999996</v>
      </c>
      <c r="W12" s="8">
        <f>650*2</f>
        <v>1300</v>
      </c>
      <c r="X12" s="8">
        <f>X5*X6</f>
        <v>1339</v>
      </c>
      <c r="Y12" s="8">
        <f t="shared" ref="Y12:AA12" si="9">Y5*Y6</f>
        <v>1379.1699999999998</v>
      </c>
      <c r="Z12" s="8">
        <f t="shared" si="9"/>
        <v>1420.5450999999998</v>
      </c>
      <c r="AA12" s="8">
        <f t="shared" si="9"/>
        <v>1463.1614529999999</v>
      </c>
      <c r="AC12" s="6" t="s">
        <v>797</v>
      </c>
      <c r="AD12" s="123">
        <v>0</v>
      </c>
      <c r="AE12" s="123">
        <v>310.71600000000001</v>
      </c>
      <c r="AF12" s="8">
        <f>AF5*AF6</f>
        <v>705</v>
      </c>
      <c r="AG12" s="8">
        <f t="shared" ref="AG12:AJ12" si="10">AG5*AG6</f>
        <v>919.79000000000008</v>
      </c>
      <c r="AH12" s="8">
        <f t="shared" si="10"/>
        <v>947.38370000000009</v>
      </c>
      <c r="AI12" s="8">
        <f t="shared" si="10"/>
        <v>975.8052110000001</v>
      </c>
      <c r="AJ12" s="8">
        <f t="shared" si="10"/>
        <v>1005.0793673300001</v>
      </c>
      <c r="AL12" s="6" t="s">
        <v>797</v>
      </c>
      <c r="AM12" s="123">
        <v>0</v>
      </c>
      <c r="AN12" s="123">
        <v>2.1999999999999999E-2</v>
      </c>
      <c r="AO12" s="8">
        <f>AO5*AO6</f>
        <v>0</v>
      </c>
      <c r="AP12" s="8">
        <f>AP5*AP6</f>
        <v>4463.333333333333</v>
      </c>
      <c r="AQ12" s="8">
        <f t="shared" ref="AQ12:AS12" si="11">AQ5*AQ6</f>
        <v>8045.1583333333328</v>
      </c>
      <c r="AR12" s="8">
        <f t="shared" si="11"/>
        <v>13021.663416666666</v>
      </c>
      <c r="AS12" s="8">
        <f t="shared" si="11"/>
        <v>17070.216951666665</v>
      </c>
      <c r="AU12" s="6" t="s">
        <v>797</v>
      </c>
      <c r="AV12" s="123">
        <v>0</v>
      </c>
      <c r="AW12" s="123">
        <v>0</v>
      </c>
      <c r="AX12" s="8">
        <f>AX5*AX6</f>
        <v>0</v>
      </c>
      <c r="AY12" s="8">
        <f>AY9*AY10</f>
        <v>2000</v>
      </c>
      <c r="AZ12" s="8">
        <f>AY12+AZ10*AZ9</f>
        <v>10000</v>
      </c>
      <c r="BA12" s="8">
        <f t="shared" ref="BA12:BB12" si="12">AZ12+BA10*BA9</f>
        <v>30000</v>
      </c>
      <c r="BB12" s="8">
        <f t="shared" si="12"/>
        <v>48000</v>
      </c>
      <c r="BD12" s="6"/>
      <c r="BE12" s="123"/>
      <c r="BF12" s="123"/>
      <c r="BG12" s="8"/>
      <c r="BH12" s="8"/>
      <c r="BI12" s="8"/>
      <c r="BJ12" s="8"/>
      <c r="BK12" s="8"/>
    </row>
    <row r="13" spans="2:65" ht="12" customHeight="1" x14ac:dyDescent="0.25">
      <c r="B13" s="6"/>
      <c r="C13" s="123"/>
      <c r="D13" s="8"/>
      <c r="E13" s="8"/>
      <c r="F13" s="8"/>
      <c r="G13" s="8"/>
      <c r="H13" s="8"/>
      <c r="J13" s="6"/>
      <c r="K13" s="123"/>
      <c r="L13" s="123"/>
      <c r="M13" s="123"/>
      <c r="N13" s="123"/>
      <c r="O13" s="8"/>
      <c r="P13" s="8"/>
      <c r="Q13" s="8"/>
      <c r="R13" s="8"/>
      <c r="T13" s="6"/>
      <c r="U13" s="123"/>
      <c r="V13" s="123"/>
      <c r="W13" s="8"/>
      <c r="X13" s="8"/>
      <c r="Y13" s="8"/>
      <c r="Z13" s="8"/>
      <c r="AA13" s="8"/>
      <c r="AC13" s="6"/>
      <c r="AD13" s="123"/>
      <c r="AE13" s="123"/>
      <c r="AF13" s="8"/>
      <c r="AG13" s="8"/>
      <c r="AH13" s="8"/>
      <c r="AI13" s="8"/>
      <c r="AJ13" s="8"/>
      <c r="AL13" s="6"/>
      <c r="AM13" s="123"/>
      <c r="AN13" s="123"/>
      <c r="AO13" s="8"/>
      <c r="AP13" s="8"/>
      <c r="AQ13" s="8"/>
      <c r="AR13" s="8"/>
      <c r="AS13" s="8"/>
      <c r="AU13" s="6"/>
      <c r="AV13" s="123"/>
      <c r="AW13" s="123"/>
      <c r="AX13" s="8"/>
      <c r="AY13" s="8"/>
      <c r="AZ13" s="8"/>
      <c r="BA13" s="8"/>
      <c r="BB13" s="8"/>
      <c r="BD13" s="6"/>
      <c r="BE13" s="123"/>
      <c r="BF13" s="123"/>
      <c r="BG13" s="8"/>
      <c r="BH13" s="8"/>
      <c r="BI13" s="8"/>
      <c r="BJ13" s="8"/>
      <c r="BK13" s="8"/>
    </row>
    <row r="14" spans="2:65" ht="12" customHeight="1" x14ac:dyDescent="0.25">
      <c r="B14" s="6"/>
      <c r="C14" s="123"/>
      <c r="D14" s="8"/>
      <c r="E14" s="8"/>
      <c r="F14" s="8"/>
      <c r="G14" s="8"/>
      <c r="H14" s="8"/>
      <c r="J14" s="6"/>
      <c r="K14" s="123"/>
      <c r="L14" s="123"/>
      <c r="M14" s="123"/>
      <c r="N14" s="123"/>
      <c r="O14" s="8"/>
      <c r="P14" s="8"/>
      <c r="Q14" s="8"/>
      <c r="R14" s="8"/>
      <c r="T14" s="6"/>
      <c r="U14" s="123"/>
      <c r="V14" s="123"/>
      <c r="W14" s="8"/>
      <c r="X14" s="8"/>
      <c r="Y14" s="8"/>
      <c r="Z14" s="8"/>
      <c r="AA14" s="8"/>
      <c r="AC14" s="6"/>
      <c r="AD14" s="123"/>
      <c r="AE14" s="123"/>
      <c r="AF14" s="8"/>
      <c r="AG14" s="8"/>
      <c r="AH14" s="8"/>
      <c r="AI14" s="8"/>
      <c r="AJ14" s="8"/>
      <c r="AL14" s="6"/>
      <c r="AM14" s="123"/>
      <c r="AN14" s="123"/>
      <c r="AO14" s="8"/>
      <c r="AP14" s="8"/>
      <c r="AQ14" s="8"/>
      <c r="AR14" s="8"/>
      <c r="AS14" s="8"/>
      <c r="AU14" s="6"/>
      <c r="AV14" s="123"/>
      <c r="AW14" s="123"/>
      <c r="AX14" s="8"/>
      <c r="AY14" s="8"/>
      <c r="AZ14" s="8"/>
      <c r="BA14" s="8"/>
      <c r="BB14" s="8"/>
      <c r="BD14" s="6"/>
      <c r="BE14" s="123"/>
      <c r="BF14" s="123"/>
      <c r="BG14" s="8"/>
      <c r="BH14" s="8"/>
      <c r="BI14" s="8"/>
      <c r="BJ14" s="8"/>
      <c r="BK14" s="8"/>
    </row>
    <row r="15" spans="2:65" ht="12" customHeight="1" x14ac:dyDescent="0.25">
      <c r="B15" s="6"/>
      <c r="C15" s="7"/>
      <c r="D15" s="8"/>
      <c r="E15" s="8"/>
      <c r="F15" s="8"/>
      <c r="G15" s="8"/>
      <c r="H15" s="8"/>
      <c r="J15" s="6"/>
      <c r="K15" s="7"/>
      <c r="L15" s="7"/>
      <c r="M15" s="7"/>
      <c r="N15" s="7"/>
      <c r="O15" s="8"/>
      <c r="P15" s="8"/>
      <c r="Q15" s="8"/>
      <c r="R15" s="8"/>
      <c r="T15" s="6"/>
      <c r="U15" s="7"/>
      <c r="V15" s="7"/>
      <c r="W15" s="8"/>
      <c r="X15" s="8"/>
      <c r="Y15" s="8"/>
      <c r="Z15" s="8"/>
      <c r="AA15" s="8"/>
      <c r="AC15" s="6"/>
      <c r="AD15" s="7"/>
      <c r="AE15" s="7"/>
      <c r="AF15" s="8"/>
      <c r="AG15" s="8"/>
      <c r="AH15" s="8"/>
      <c r="AI15" s="8"/>
      <c r="AJ15" s="8"/>
      <c r="AL15" s="6"/>
      <c r="AM15" s="7"/>
      <c r="AN15" s="7"/>
      <c r="AO15" s="8"/>
      <c r="AP15" s="8"/>
      <c r="AQ15" s="8"/>
      <c r="AR15" s="8"/>
      <c r="AS15" s="8"/>
      <c r="AU15" s="6"/>
      <c r="AV15" s="7"/>
      <c r="AW15" s="7"/>
      <c r="AX15" s="8"/>
      <c r="AY15" s="8"/>
      <c r="AZ15" s="8"/>
      <c r="BA15" s="8"/>
      <c r="BB15" s="8"/>
      <c r="BD15" s="6"/>
      <c r="BE15" s="7"/>
      <c r="BF15" s="7"/>
      <c r="BG15" s="8"/>
      <c r="BH15" s="8"/>
      <c r="BI15" s="8"/>
      <c r="BJ15" s="8"/>
      <c r="BK15" s="8"/>
    </row>
    <row r="16" spans="2:65" ht="12" customHeight="1" x14ac:dyDescent="0.25">
      <c r="B16" s="9" t="s">
        <v>29</v>
      </c>
      <c r="C16" s="10">
        <f>SUM(Qtrly!Q108:T108)</f>
        <v>2497.3000000000002</v>
      </c>
      <c r="D16" s="5">
        <f>Qtrly!AN108</f>
        <v>7145.2999999999993</v>
      </c>
      <c r="E16" s="5">
        <f>O16+X16+AG16+AP16+AY16</f>
        <v>16156.991336833333</v>
      </c>
      <c r="F16" s="5">
        <f>P16+Y16+AH16+AQ16+AZ16</f>
        <v>28029.626076938333</v>
      </c>
      <c r="G16" s="5">
        <f t="shared" ref="G16" si="13">Q16+Z16+AI16+AR16+BA16</f>
        <v>53305.665192579821</v>
      </c>
      <c r="H16" s="5">
        <f>R16+AA16+AJ16+AS16+BB16</f>
        <v>76214.874383401126</v>
      </c>
      <c r="J16" s="9" t="s">
        <v>29</v>
      </c>
      <c r="K16" s="10">
        <f>SUM(K12:K15)</f>
        <v>4415.2020000000002</v>
      </c>
      <c r="L16" s="10">
        <f t="shared" ref="L16:R16" si="14">SUM(L12:L15)</f>
        <v>4348.7120000000004</v>
      </c>
      <c r="M16" s="10">
        <f t="shared" si="14"/>
        <v>4844.9400000000005</v>
      </c>
      <c r="N16" s="10">
        <f t="shared" ref="N16" si="15">SUM(N12:N15)</f>
        <v>6874.5889999999999</v>
      </c>
      <c r="O16" s="5">
        <f t="shared" si="14"/>
        <v>7434.8680035000007</v>
      </c>
      <c r="P16" s="5">
        <f t="shared" si="14"/>
        <v>7657.9140436050011</v>
      </c>
      <c r="Q16" s="5">
        <f t="shared" si="14"/>
        <v>7887.6514649131514</v>
      </c>
      <c r="R16" s="5">
        <f t="shared" si="14"/>
        <v>8676.4166114044674</v>
      </c>
      <c r="S16" s="895"/>
      <c r="T16" s="9" t="s">
        <v>29</v>
      </c>
      <c r="U16" s="10">
        <f>SUM(U12:U15)</f>
        <v>60</v>
      </c>
      <c r="V16" s="10">
        <f t="shared" ref="V16" si="16">SUM(V12:V15)</f>
        <v>965.36699999999996</v>
      </c>
      <c r="W16" s="5">
        <f t="shared" ref="W16:AA16" si="17">SUM(W12:W15)</f>
        <v>1300</v>
      </c>
      <c r="X16" s="5">
        <f t="shared" si="17"/>
        <v>1339</v>
      </c>
      <c r="Y16" s="5">
        <f t="shared" si="17"/>
        <v>1379.1699999999998</v>
      </c>
      <c r="Z16" s="5">
        <f t="shared" si="17"/>
        <v>1420.5450999999998</v>
      </c>
      <c r="AA16" s="5">
        <f t="shared" si="17"/>
        <v>1463.1614529999999</v>
      </c>
      <c r="AC16" s="9" t="s">
        <v>29</v>
      </c>
      <c r="AD16" s="10">
        <f>SUM(AD12:AD15)</f>
        <v>0</v>
      </c>
      <c r="AE16" s="10">
        <f t="shared" ref="AE16" si="18">SUM(AE12:AE15)</f>
        <v>310.71600000000001</v>
      </c>
      <c r="AF16" s="5">
        <f t="shared" ref="AF16" si="19">SUM(AF12:AF15)</f>
        <v>705</v>
      </c>
      <c r="AG16" s="5">
        <f t="shared" ref="AG16" si="20">SUM(AG12:AG15)</f>
        <v>919.79000000000008</v>
      </c>
      <c r="AH16" s="5">
        <f t="shared" ref="AH16" si="21">SUM(AH12:AH15)</f>
        <v>947.38370000000009</v>
      </c>
      <c r="AI16" s="5">
        <f t="shared" ref="AI16" si="22">SUM(AI12:AI15)</f>
        <v>975.8052110000001</v>
      </c>
      <c r="AJ16" s="5">
        <f t="shared" ref="AJ16" si="23">SUM(AJ12:AJ15)</f>
        <v>1005.0793673300001</v>
      </c>
      <c r="AL16" s="9" t="s">
        <v>29</v>
      </c>
      <c r="AM16" s="10">
        <f>SUM(AM12:AM15)</f>
        <v>0</v>
      </c>
      <c r="AN16" s="10">
        <f t="shared" ref="AN16" si="24">SUM(AN12:AN15)</f>
        <v>2.1999999999999999E-2</v>
      </c>
      <c r="AO16" s="5">
        <f t="shared" ref="AO16" si="25">SUM(AO12:AO15)</f>
        <v>0</v>
      </c>
      <c r="AP16" s="5">
        <f t="shared" ref="AP16" si="26">SUM(AP12:AP15)</f>
        <v>4463.333333333333</v>
      </c>
      <c r="AQ16" s="5">
        <f t="shared" ref="AQ16" si="27">SUM(AQ12:AQ15)</f>
        <v>8045.1583333333328</v>
      </c>
      <c r="AR16" s="5">
        <f t="shared" ref="AR16" si="28">SUM(AR12:AR15)</f>
        <v>13021.663416666666</v>
      </c>
      <c r="AS16" s="5">
        <f t="shared" ref="AS16" si="29">SUM(AS12:AS15)</f>
        <v>17070.216951666665</v>
      </c>
      <c r="AU16" s="9" t="s">
        <v>29</v>
      </c>
      <c r="AV16" s="10">
        <f>SUM(AV12:AV15)</f>
        <v>0</v>
      </c>
      <c r="AW16" s="10">
        <f t="shared" ref="AW16:BB16" si="30">SUM(AW12:AW15)</f>
        <v>0</v>
      </c>
      <c r="AX16" s="5">
        <f t="shared" si="30"/>
        <v>0</v>
      </c>
      <c r="AY16" s="5">
        <f t="shared" si="30"/>
        <v>2000</v>
      </c>
      <c r="AZ16" s="5">
        <f t="shared" si="30"/>
        <v>10000</v>
      </c>
      <c r="BA16" s="5">
        <f t="shared" si="30"/>
        <v>30000</v>
      </c>
      <c r="BB16" s="5">
        <f t="shared" si="30"/>
        <v>48000</v>
      </c>
      <c r="BD16" s="9" t="s">
        <v>29</v>
      </c>
      <c r="BE16" s="10">
        <f>SUM(BE12:BE15)</f>
        <v>0</v>
      </c>
      <c r="BF16" s="10">
        <f t="shared" ref="BF16" si="31">SUM(BF12:BF15)</f>
        <v>0</v>
      </c>
      <c r="BG16" s="5">
        <f t="shared" ref="BG16:BK16" si="32">SUM(BG12:BG15)</f>
        <v>0</v>
      </c>
      <c r="BH16" s="5">
        <f t="shared" si="32"/>
        <v>0</v>
      </c>
      <c r="BI16" s="5">
        <f t="shared" si="32"/>
        <v>0</v>
      </c>
      <c r="BJ16" s="5">
        <f t="shared" si="32"/>
        <v>0</v>
      </c>
      <c r="BK16" s="5">
        <f t="shared" si="32"/>
        <v>0</v>
      </c>
    </row>
    <row r="17" spans="2:63" s="14" customFormat="1" ht="12" customHeight="1" x14ac:dyDescent="0.25">
      <c r="B17" s="11" t="s">
        <v>30</v>
      </c>
      <c r="C17" s="12" t="str">
        <f>IF(ISERROR(C16/B16-1)," ",C16/B16-1)</f>
        <v xml:space="preserve"> </v>
      </c>
      <c r="D17" s="13">
        <f>D16/C16-1</f>
        <v>1.8612101069154683</v>
      </c>
      <c r="E17" s="200">
        <f t="shared" ref="E17" si="33">E16/D16-1</f>
        <v>1.261205454891094</v>
      </c>
      <c r="F17" s="200">
        <f t="shared" ref="F17" si="34">F16/E16-1</f>
        <v>0.73482955412860673</v>
      </c>
      <c r="G17" s="200">
        <f t="shared" ref="G17" si="35">G16/F16-1</f>
        <v>0.90176155208997288</v>
      </c>
      <c r="H17" s="200">
        <f t="shared" ref="H17" si="36">H16/G16-1</f>
        <v>0.42977062771951458</v>
      </c>
      <c r="J17" s="11" t="s">
        <v>30</v>
      </c>
      <c r="K17" s="12" t="str">
        <f>IF(ISERROR(K16/#REF!-1)," ",K16/#REF!-1)</f>
        <v xml:space="preserve"> </v>
      </c>
      <c r="L17" s="12">
        <f>IF(ISERROR(L16/K16-1)," ",L16/K16-1)</f>
        <v>-1.5059333638642092E-2</v>
      </c>
      <c r="M17" s="12">
        <f>IF(ISERROR(M16/L16-1)," ",M16/L16-1)</f>
        <v>0.1141091891116266</v>
      </c>
      <c r="N17" s="12">
        <f>IF(ISERROR(N16/M16-1)," ",N16/M16-1)</f>
        <v>0.4189213901513742</v>
      </c>
      <c r="O17" s="200">
        <f t="shared" ref="O17:R17" si="37">O16/N16-1</f>
        <v>8.1500000000000128E-2</v>
      </c>
      <c r="P17" s="200">
        <f t="shared" si="37"/>
        <v>3.0000000000000027E-2</v>
      </c>
      <c r="Q17" s="200">
        <f t="shared" si="37"/>
        <v>3.0000000000000027E-2</v>
      </c>
      <c r="R17" s="200">
        <f t="shared" si="37"/>
        <v>0.10000000000000009</v>
      </c>
      <c r="S17" s="244"/>
      <c r="T17" s="11" t="s">
        <v>30</v>
      </c>
      <c r="U17" s="12" t="str">
        <f>IF(ISERROR(U16/#REF!-1)," ",U16/#REF!-1)</f>
        <v xml:space="preserve"> </v>
      </c>
      <c r="V17" s="12">
        <f>IF(ISERROR(V16/U16-1)," ",V16/U16-1)</f>
        <v>15.089449999999999</v>
      </c>
      <c r="W17" s="13">
        <f t="shared" ref="W17:AA17" si="38">IF(ISERROR(W16/V16-1)," ",W16/V16-1)</f>
        <v>0.34663811793856647</v>
      </c>
      <c r="X17" s="13">
        <f t="shared" si="38"/>
        <v>3.0000000000000027E-2</v>
      </c>
      <c r="Y17" s="13">
        <f t="shared" si="38"/>
        <v>2.9999999999999805E-2</v>
      </c>
      <c r="Z17" s="13">
        <f t="shared" si="38"/>
        <v>3.0000000000000027E-2</v>
      </c>
      <c r="AA17" s="13">
        <f t="shared" si="38"/>
        <v>3.0000000000000027E-2</v>
      </c>
      <c r="AC17" s="11" t="s">
        <v>30</v>
      </c>
      <c r="AD17" s="12" t="str">
        <f>IF(ISERROR(AD16/#REF!-1)," ",AD16/#REF!-1)</f>
        <v xml:space="preserve"> </v>
      </c>
      <c r="AE17" s="12" t="str">
        <f>IF(ISERROR(AE16/AD16-1)," ",AE16/AD16-1)</f>
        <v xml:space="preserve"> </v>
      </c>
      <c r="AF17" s="13">
        <f t="shared" ref="AF17" si="39">IF(ISERROR(AF16/AE16-1)," ",AF16/AE16-1)</f>
        <v>1.2689529988800059</v>
      </c>
      <c r="AG17" s="13">
        <f t="shared" ref="AG17" si="40">IF(ISERROR(AG16/AF16-1)," ",AG16/AF16-1)</f>
        <v>0.30466666666666686</v>
      </c>
      <c r="AH17" s="13">
        <f t="shared" ref="AH17" si="41">IF(ISERROR(AH16/AG16-1)," ",AH16/AG16-1)</f>
        <v>3.0000000000000027E-2</v>
      </c>
      <c r="AI17" s="13">
        <f t="shared" ref="AI17" si="42">IF(ISERROR(AI16/AH16-1)," ",AI16/AH16-1)</f>
        <v>3.0000000000000027E-2</v>
      </c>
      <c r="AJ17" s="13">
        <f t="shared" ref="AJ17" si="43">IF(ISERROR(AJ16/AI16-1)," ",AJ16/AI16-1)</f>
        <v>3.0000000000000027E-2</v>
      </c>
      <c r="AL17" s="11" t="s">
        <v>30</v>
      </c>
      <c r="AM17" s="12" t="str">
        <f>IF(ISERROR(AM16/#REF!-1)," ",AM16/#REF!-1)</f>
        <v xml:space="preserve"> </v>
      </c>
      <c r="AN17" s="12" t="str">
        <f>IF(ISERROR(AN16/AM16-1)," ",AN16/AM16-1)</f>
        <v xml:space="preserve"> </v>
      </c>
      <c r="AO17" s="13">
        <f t="shared" ref="AO17" si="44">IF(ISERROR(AO16/AN16-1)," ",AO16/AN16-1)</f>
        <v>-1</v>
      </c>
      <c r="AP17" s="13" t="str">
        <f t="shared" ref="AP17" si="45">IF(ISERROR(AP16/AO16-1)," ",AP16/AO16-1)</f>
        <v xml:space="preserve"> </v>
      </c>
      <c r="AQ17" s="13">
        <f t="shared" ref="AQ17" si="46">IF(ISERROR(AQ16/AP16-1)," ",AQ16/AP16-1)</f>
        <v>0.80249999999999999</v>
      </c>
      <c r="AR17" s="13">
        <f t="shared" ref="AR17" si="47">IF(ISERROR(AR16/AQ16-1)," ",AR16/AQ16-1)</f>
        <v>0.61857142857142855</v>
      </c>
      <c r="AS17" s="13">
        <f t="shared" ref="AS17" si="48">IF(ISERROR(AS16/AR16-1)," ",AS16/AR16-1)</f>
        <v>0.3109090909090908</v>
      </c>
      <c r="AU17" s="11" t="s">
        <v>30</v>
      </c>
      <c r="AV17" s="12" t="str">
        <f>IF(ISERROR(AV16/#REF!-1)," ",AV16/#REF!-1)</f>
        <v xml:space="preserve"> </v>
      </c>
      <c r="AW17" s="12" t="str">
        <f>IF(ISERROR(AW16/AV16-1)," ",AW16/AV16-1)</f>
        <v xml:space="preserve"> </v>
      </c>
      <c r="AX17" s="13" t="str">
        <f t="shared" ref="AX17" si="49">IF(ISERROR(AX16/AW16-1)," ",AX16/AW16-1)</f>
        <v xml:space="preserve"> </v>
      </c>
      <c r="AY17" s="13" t="str">
        <f t="shared" ref="AY17" si="50">IF(ISERROR(AY16/AX16-1)," ",AY16/AX16-1)</f>
        <v xml:space="preserve"> </v>
      </c>
      <c r="AZ17" s="13">
        <f t="shared" ref="AZ17" si="51">IF(ISERROR(AZ16/AY16-1)," ",AZ16/AY16-1)</f>
        <v>4</v>
      </c>
      <c r="BA17" s="13">
        <f t="shared" ref="BA17" si="52">IF(ISERROR(BA16/AZ16-1)," ",BA16/AZ16-1)</f>
        <v>2</v>
      </c>
      <c r="BB17" s="13">
        <f t="shared" ref="BB17" si="53">IF(ISERROR(BB16/BA16-1)," ",BB16/BA16-1)</f>
        <v>0.60000000000000009</v>
      </c>
      <c r="BD17" s="11" t="s">
        <v>30</v>
      </c>
      <c r="BE17" s="12" t="str">
        <f>IF(ISERROR(BE16/#REF!-1)," ",BE16/#REF!-1)</f>
        <v xml:space="preserve"> </v>
      </c>
      <c r="BF17" s="12" t="str">
        <f>IF(ISERROR(BF16/BE16-1)," ",BF16/BE16-1)</f>
        <v xml:space="preserve"> </v>
      </c>
      <c r="BG17" s="13" t="str">
        <f t="shared" ref="BG17" si="54">IF(ISERROR(BG16/BF16-1)," ",BG16/BF16-1)</f>
        <v xml:space="preserve"> </v>
      </c>
      <c r="BH17" s="13" t="str">
        <f t="shared" ref="BH17" si="55">IF(ISERROR(BH16/BG16-1)," ",BH16/BG16-1)</f>
        <v xml:space="preserve"> </v>
      </c>
      <c r="BI17" s="13" t="str">
        <f t="shared" ref="BI17" si="56">IF(ISERROR(BI16/BH16-1)," ",BI16/BH16-1)</f>
        <v xml:space="preserve"> </v>
      </c>
      <c r="BJ17" s="13" t="str">
        <f t="shared" ref="BJ17" si="57">IF(ISERROR(BJ16/BI16-1)," ",BJ16/BI16-1)</f>
        <v xml:space="preserve"> </v>
      </c>
      <c r="BK17" s="13" t="str">
        <f t="shared" ref="BK17" si="58">IF(ISERROR(BK16/BJ16-1)," ",BK16/BJ16-1)</f>
        <v xml:space="preserve"> </v>
      </c>
    </row>
    <row r="18" spans="2:63" ht="12" customHeight="1" x14ac:dyDescent="0.25">
      <c r="B18" s="6"/>
      <c r="C18" s="7"/>
      <c r="D18" s="8"/>
      <c r="E18" s="8"/>
      <c r="F18" s="8"/>
      <c r="G18" s="8"/>
      <c r="H18" s="8"/>
      <c r="J18" s="6"/>
      <c r="K18" s="7"/>
      <c r="L18" s="7"/>
      <c r="M18" s="7"/>
      <c r="N18" s="7"/>
      <c r="O18" s="8"/>
      <c r="P18" s="8"/>
      <c r="Q18" s="8"/>
      <c r="R18" s="8"/>
      <c r="T18" s="6"/>
      <c r="U18" s="7"/>
      <c r="V18" s="7"/>
      <c r="W18" s="8"/>
      <c r="X18" s="8"/>
      <c r="Y18" s="8"/>
      <c r="Z18" s="8"/>
      <c r="AA18" s="8"/>
      <c r="AC18" s="6"/>
      <c r="AD18" s="7"/>
      <c r="AE18" s="7"/>
      <c r="AF18" s="8"/>
      <c r="AG18" s="8"/>
      <c r="AH18" s="8"/>
      <c r="AI18" s="8"/>
      <c r="AJ18" s="8"/>
      <c r="AL18" s="6"/>
      <c r="AM18" s="7"/>
      <c r="AN18" s="7"/>
      <c r="AO18" s="8"/>
      <c r="AP18" s="8"/>
      <c r="AQ18" s="8"/>
      <c r="AR18" s="8"/>
      <c r="AS18" s="8"/>
      <c r="AU18" s="6"/>
      <c r="AV18" s="7"/>
      <c r="AW18" s="7"/>
      <c r="AX18" s="8"/>
      <c r="AY18" s="8"/>
      <c r="AZ18" s="8"/>
      <c r="BA18" s="8"/>
      <c r="BB18" s="8"/>
      <c r="BD18" s="6"/>
      <c r="BE18" s="7"/>
      <c r="BF18" s="7"/>
      <c r="BG18" s="8"/>
      <c r="BH18" s="8"/>
      <c r="BI18" s="8"/>
      <c r="BJ18" s="8"/>
      <c r="BK18" s="8"/>
    </row>
    <row r="19" spans="2:63" ht="12" customHeight="1" x14ac:dyDescent="0.25">
      <c r="B19" s="6" t="s">
        <v>31</v>
      </c>
      <c r="C19" s="7"/>
      <c r="D19" s="8"/>
      <c r="E19" s="8"/>
      <c r="F19" s="8"/>
      <c r="G19" s="947"/>
      <c r="H19" s="8"/>
      <c r="J19" s="6" t="s">
        <v>31</v>
      </c>
      <c r="K19" s="7">
        <v>2824.9459999999999</v>
      </c>
      <c r="L19" s="7">
        <v>2829.826</v>
      </c>
      <c r="M19" s="7">
        <v>3899.7550000000001</v>
      </c>
      <c r="N19" s="7">
        <v>4924.9669999999996</v>
      </c>
      <c r="O19" s="8"/>
      <c r="P19" s="8"/>
      <c r="Q19" s="8"/>
      <c r="R19" s="8"/>
      <c r="T19" s="6" t="s">
        <v>31</v>
      </c>
      <c r="U19" s="7">
        <f>U16-U23</f>
        <v>50</v>
      </c>
      <c r="V19" s="7">
        <v>726.58900000000006</v>
      </c>
      <c r="W19" s="8">
        <f t="shared" ref="W19:AA19" si="59">W16-W23</f>
        <v>900</v>
      </c>
      <c r="X19" s="8">
        <f t="shared" si="59"/>
        <v>937.3</v>
      </c>
      <c r="Y19" s="8">
        <f t="shared" si="59"/>
        <v>965.41899999999987</v>
      </c>
      <c r="Z19" s="8">
        <f t="shared" si="59"/>
        <v>994.3815699999999</v>
      </c>
      <c r="AA19" s="8">
        <f t="shared" si="59"/>
        <v>1024.2130170999999</v>
      </c>
      <c r="AC19" s="6" t="s">
        <v>31</v>
      </c>
      <c r="AD19" s="7">
        <f>AD16-AD23</f>
        <v>1</v>
      </c>
      <c r="AE19" s="7">
        <v>27.923999999999999</v>
      </c>
      <c r="AF19" s="8">
        <f t="shared" ref="AF19:AJ19" si="60">AF16-AF23</f>
        <v>70.5</v>
      </c>
      <c r="AG19" s="8">
        <f t="shared" si="60"/>
        <v>229.94749999999999</v>
      </c>
      <c r="AH19" s="8">
        <f t="shared" si="60"/>
        <v>189.47673999999995</v>
      </c>
      <c r="AI19" s="8">
        <f t="shared" si="60"/>
        <v>195.1610422</v>
      </c>
      <c r="AJ19" s="8">
        <f t="shared" si="60"/>
        <v>201.01587346600002</v>
      </c>
      <c r="AL19" s="6" t="s">
        <v>31</v>
      </c>
      <c r="AM19" s="7">
        <f>AM16-AM23</f>
        <v>0</v>
      </c>
      <c r="AN19" s="7">
        <v>0.61</v>
      </c>
      <c r="AO19" s="8">
        <f t="shared" ref="AO19:AS19" si="61">AO16-AO23</f>
        <v>0</v>
      </c>
      <c r="AP19" s="8">
        <f t="shared" si="61"/>
        <v>3124.333333333333</v>
      </c>
      <c r="AQ19" s="8">
        <f t="shared" si="61"/>
        <v>5631.6108333333332</v>
      </c>
      <c r="AR19" s="8">
        <f t="shared" si="61"/>
        <v>8984.9477575000001</v>
      </c>
      <c r="AS19" s="8">
        <f t="shared" si="61"/>
        <v>11607.747527133331</v>
      </c>
      <c r="AU19" s="6" t="s">
        <v>31</v>
      </c>
      <c r="AV19" s="7">
        <f>AV16-AV23</f>
        <v>0</v>
      </c>
      <c r="AW19" s="7">
        <f>AW16-AW23</f>
        <v>0</v>
      </c>
      <c r="AX19" s="8">
        <f t="shared" ref="AX19:BB19" si="62">AX16-AX23</f>
        <v>0</v>
      </c>
      <c r="AY19" s="8">
        <f t="shared" si="62"/>
        <v>1700</v>
      </c>
      <c r="AZ19" s="8">
        <f t="shared" si="62"/>
        <v>8500</v>
      </c>
      <c r="BA19" s="8">
        <f t="shared" si="62"/>
        <v>25500</v>
      </c>
      <c r="BB19" s="8">
        <f t="shared" si="62"/>
        <v>40320</v>
      </c>
      <c r="BD19" s="6" t="s">
        <v>31</v>
      </c>
      <c r="BE19" s="7"/>
      <c r="BF19" s="7"/>
      <c r="BG19" s="8"/>
      <c r="BH19" s="8"/>
      <c r="BI19" s="8"/>
      <c r="BJ19" s="8"/>
      <c r="BK19" s="8"/>
    </row>
    <row r="20" spans="2:63" ht="12" customHeight="1" x14ac:dyDescent="0.25">
      <c r="B20" s="6" t="s">
        <v>32</v>
      </c>
      <c r="C20" s="7"/>
      <c r="D20" s="8"/>
      <c r="E20" s="947"/>
      <c r="F20" s="947"/>
      <c r="G20" s="8"/>
      <c r="H20" s="8"/>
      <c r="J20" s="6" t="s">
        <v>32</v>
      </c>
      <c r="K20" s="7">
        <v>246.78800000000001</v>
      </c>
      <c r="L20" s="7">
        <v>399.03800000000001</v>
      </c>
      <c r="M20" s="7">
        <v>452.05699999999996</v>
      </c>
      <c r="N20" s="7">
        <v>481.58</v>
      </c>
      <c r="O20" s="8"/>
      <c r="P20" s="8"/>
      <c r="Q20" s="8"/>
      <c r="R20" s="8"/>
      <c r="T20" s="6" t="s">
        <v>32</v>
      </c>
      <c r="U20" s="7"/>
      <c r="V20" s="7"/>
      <c r="W20" s="8"/>
      <c r="X20" s="8"/>
      <c r="Y20" s="8"/>
      <c r="Z20" s="8"/>
      <c r="AA20" s="8"/>
      <c r="AC20" s="6" t="s">
        <v>32</v>
      </c>
      <c r="AD20" s="7"/>
      <c r="AE20" s="7"/>
      <c r="AF20" s="8"/>
      <c r="AG20" s="8"/>
      <c r="AH20" s="8"/>
      <c r="AI20" s="8"/>
      <c r="AJ20" s="8"/>
      <c r="AL20" s="6" t="s">
        <v>32</v>
      </c>
      <c r="AM20" s="7"/>
      <c r="AN20" s="7"/>
      <c r="AO20" s="8"/>
      <c r="AP20" s="8"/>
      <c r="AQ20" s="8"/>
      <c r="AR20" s="8"/>
      <c r="AS20" s="8"/>
      <c r="AU20" s="6" t="s">
        <v>32</v>
      </c>
      <c r="AV20" s="7"/>
      <c r="AW20" s="7"/>
      <c r="AX20" s="8"/>
      <c r="AY20" s="8"/>
      <c r="AZ20" s="8"/>
      <c r="BA20" s="8"/>
      <c r="BB20" s="8"/>
      <c r="BD20" s="6" t="s">
        <v>32</v>
      </c>
      <c r="BE20" s="7"/>
      <c r="BF20" s="7"/>
      <c r="BG20" s="8"/>
      <c r="BH20" s="8"/>
      <c r="BI20" s="8"/>
      <c r="BJ20" s="8"/>
      <c r="BK20" s="8"/>
    </row>
    <row r="21" spans="2:63" ht="12" customHeight="1" x14ac:dyDescent="0.25">
      <c r="B21" s="6" t="s">
        <v>33</v>
      </c>
      <c r="C21" s="7"/>
      <c r="D21" s="8"/>
      <c r="E21" s="8"/>
      <c r="F21" s="8"/>
      <c r="G21" s="8"/>
      <c r="H21" s="8"/>
      <c r="J21" s="6" t="s">
        <v>33</v>
      </c>
      <c r="K21" s="7">
        <f>475.91</f>
        <v>475.91</v>
      </c>
      <c r="L21" s="7">
        <f>502.211</f>
        <v>502.21100000000001</v>
      </c>
      <c r="M21" s="7">
        <v>438.03000000000003</v>
      </c>
      <c r="N21" s="7">
        <v>286.40300000000002</v>
      </c>
      <c r="O21" s="8"/>
      <c r="P21" s="8"/>
      <c r="Q21" s="8"/>
      <c r="R21" s="8"/>
      <c r="T21" s="6" t="s">
        <v>33</v>
      </c>
      <c r="U21" s="7"/>
      <c r="V21" s="7"/>
      <c r="W21" s="8"/>
      <c r="X21" s="8"/>
      <c r="Y21" s="8"/>
      <c r="Z21" s="8"/>
      <c r="AA21" s="8"/>
      <c r="AC21" s="6" t="s">
        <v>33</v>
      </c>
      <c r="AD21" s="7"/>
      <c r="AE21" s="7"/>
      <c r="AF21" s="8"/>
      <c r="AG21" s="8"/>
      <c r="AH21" s="8"/>
      <c r="AI21" s="8"/>
      <c r="AJ21" s="8"/>
      <c r="AL21" s="6" t="s">
        <v>33</v>
      </c>
      <c r="AM21" s="7"/>
      <c r="AN21" s="7"/>
      <c r="AO21" s="8"/>
      <c r="AP21" s="8"/>
      <c r="AQ21" s="8"/>
      <c r="AR21" s="8"/>
      <c r="AS21" s="8"/>
      <c r="AU21" s="6" t="s">
        <v>33</v>
      </c>
      <c r="AV21" s="7"/>
      <c r="AW21" s="7"/>
      <c r="AX21" s="8"/>
      <c r="AY21" s="8"/>
      <c r="AZ21" s="8"/>
      <c r="BA21" s="8"/>
      <c r="BB21" s="8"/>
      <c r="BD21" s="6" t="s">
        <v>33</v>
      </c>
      <c r="BE21" s="7"/>
      <c r="BF21" s="7">
        <v>9.6000000000000002E-2</v>
      </c>
      <c r="BG21" s="8"/>
      <c r="BH21" s="8"/>
      <c r="BI21" s="8"/>
      <c r="BJ21" s="8"/>
      <c r="BK21" s="8"/>
    </row>
    <row r="22" spans="2:63" ht="12" customHeight="1" x14ac:dyDescent="0.25">
      <c r="B22" s="6"/>
      <c r="C22" s="7"/>
      <c r="D22" s="8"/>
      <c r="E22" s="8"/>
      <c r="F22" s="8"/>
      <c r="G22" s="8"/>
      <c r="H22" s="8"/>
      <c r="J22" s="6"/>
      <c r="K22" s="7"/>
      <c r="L22" s="7"/>
      <c r="M22" s="7"/>
      <c r="N22" s="7"/>
      <c r="O22" s="8"/>
      <c r="P22" s="8"/>
      <c r="Q22" s="8"/>
      <c r="R22" s="8"/>
      <c r="T22" s="6"/>
      <c r="U22" s="7"/>
      <c r="V22" s="7"/>
      <c r="W22" s="8"/>
      <c r="X22" s="8"/>
      <c r="Y22" s="8"/>
      <c r="Z22" s="8"/>
      <c r="AA22" s="8"/>
      <c r="AC22" s="6"/>
      <c r="AD22" s="7"/>
      <c r="AE22" s="7"/>
      <c r="AF22" s="8"/>
      <c r="AG22" s="8"/>
      <c r="AH22" s="8"/>
      <c r="AI22" s="8"/>
      <c r="AJ22" s="8"/>
      <c r="AL22" s="6"/>
      <c r="AM22" s="7"/>
      <c r="AN22" s="7"/>
      <c r="AO22" s="8"/>
      <c r="AP22" s="8"/>
      <c r="AQ22" s="8"/>
      <c r="AR22" s="8"/>
      <c r="AS22" s="8"/>
      <c r="AU22" s="6"/>
      <c r="AV22" s="7"/>
      <c r="AW22" s="7"/>
      <c r="AX22" s="8"/>
      <c r="AY22" s="8"/>
      <c r="AZ22" s="8"/>
      <c r="BA22" s="8"/>
      <c r="BB22" s="8"/>
      <c r="BC22" s="895"/>
      <c r="BD22" s="6"/>
      <c r="BE22" s="7"/>
      <c r="BF22" s="7"/>
      <c r="BG22" s="8"/>
      <c r="BH22" s="8"/>
      <c r="BI22" s="8"/>
      <c r="BJ22" s="8"/>
      <c r="BK22" s="8"/>
    </row>
    <row r="23" spans="2:63" ht="12" customHeight="1" x14ac:dyDescent="0.25">
      <c r="B23" s="9" t="s">
        <v>34</v>
      </c>
      <c r="C23" s="10">
        <f>SUM(Qtrly!Q119:T119)</f>
        <v>311</v>
      </c>
      <c r="D23" s="5">
        <f>Qtrly!AN119</f>
        <v>1417.5</v>
      </c>
      <c r="E23" s="5">
        <f>O23+X23+AG23+AP23+AY23</f>
        <v>3934.1363984650006</v>
      </c>
      <c r="F23" s="5">
        <f t="shared" ref="F23" si="63">P23+Y23+AH23+AQ23+AZ23</f>
        <v>6554.6445967271002</v>
      </c>
      <c r="G23" s="5">
        <f t="shared" ref="G23" si="64">Q23+Z23+AI23+AR23+BA23</f>
        <v>11414.798698093844</v>
      </c>
      <c r="H23" s="5">
        <f>R23+AA23+AJ23+AS23+BB23</f>
        <v>16310.648394551272</v>
      </c>
      <c r="I23" s="14">
        <f>(H23/D23)^(1/4)-1</f>
        <v>0.84177697599552781</v>
      </c>
      <c r="J23" s="9" t="s">
        <v>34</v>
      </c>
      <c r="K23" s="10">
        <f>K16-SUM(K19:K21)</f>
        <v>867.55800000000045</v>
      </c>
      <c r="L23" s="10">
        <f>L16-SUM(L19:L21)</f>
        <v>617.63700000000063</v>
      </c>
      <c r="M23" s="10">
        <f>M16-SUM(M19:M21)</f>
        <v>55.098000000000866</v>
      </c>
      <c r="N23" s="10">
        <f>N16-SUM(N19:N21)</f>
        <v>1181.6390000000001</v>
      </c>
      <c r="O23" s="5">
        <f t="shared" ref="O23:R23" si="65">O16*O24</f>
        <v>1203.5938984650004</v>
      </c>
      <c r="P23" s="5">
        <f t="shared" si="65"/>
        <v>1469.4391367271003</v>
      </c>
      <c r="Q23" s="5">
        <f t="shared" si="65"/>
        <v>1671.2753401271764</v>
      </c>
      <c r="R23" s="5">
        <f t="shared" si="65"/>
        <v>1925.1670402539389</v>
      </c>
      <c r="T23" s="9" t="s">
        <v>34</v>
      </c>
      <c r="U23" s="10">
        <v>10</v>
      </c>
      <c r="V23" s="10">
        <f>V16-SUM(V19:V21)</f>
        <v>238.77799999999991</v>
      </c>
      <c r="W23" s="5">
        <f>200*2</f>
        <v>400</v>
      </c>
      <c r="X23" s="5">
        <f>X24*X16</f>
        <v>401.7</v>
      </c>
      <c r="Y23" s="5">
        <f t="shared" ref="Y23:Z23" si="66">Y24*Y16</f>
        <v>413.75099999999992</v>
      </c>
      <c r="Z23" s="5">
        <f t="shared" si="66"/>
        <v>426.16352999999992</v>
      </c>
      <c r="AA23" s="5">
        <f>AA24*AA16</f>
        <v>438.94843589999999</v>
      </c>
      <c r="AC23" s="9" t="s">
        <v>34</v>
      </c>
      <c r="AD23" s="10">
        <v>-1</v>
      </c>
      <c r="AE23" s="10">
        <f>AE16-SUM(AE19:AE21)</f>
        <v>282.79200000000003</v>
      </c>
      <c r="AF23" s="5">
        <f>AF24*AF16</f>
        <v>634.5</v>
      </c>
      <c r="AG23" s="5">
        <f t="shared" ref="AG23:AJ23" si="67">AG16*AG24</f>
        <v>689.84250000000009</v>
      </c>
      <c r="AH23" s="5">
        <f t="shared" si="67"/>
        <v>757.90696000000014</v>
      </c>
      <c r="AI23" s="5">
        <f t="shared" si="67"/>
        <v>780.6441688000001</v>
      </c>
      <c r="AJ23" s="5">
        <f t="shared" si="67"/>
        <v>804.06349386400007</v>
      </c>
      <c r="AL23" s="9" t="s">
        <v>34</v>
      </c>
      <c r="AM23" s="10">
        <v>0</v>
      </c>
      <c r="AN23" s="10">
        <f>AN16-SUM(AN19:AN21)</f>
        <v>-0.58799999999999997</v>
      </c>
      <c r="AO23" s="5">
        <v>0</v>
      </c>
      <c r="AP23" s="5">
        <f t="shared" ref="AP23:AS23" si="68">AP16*AP24</f>
        <v>1338.9999999999998</v>
      </c>
      <c r="AQ23" s="5">
        <f t="shared" si="68"/>
        <v>2413.5474999999997</v>
      </c>
      <c r="AR23" s="5">
        <f t="shared" si="68"/>
        <v>4036.7156591666667</v>
      </c>
      <c r="AS23" s="5">
        <f t="shared" si="68"/>
        <v>5462.469424533333</v>
      </c>
      <c r="AU23" s="9" t="s">
        <v>34</v>
      </c>
      <c r="AV23" s="10">
        <v>0</v>
      </c>
      <c r="AW23" s="10">
        <v>0</v>
      </c>
      <c r="AX23" s="5">
        <v>0</v>
      </c>
      <c r="AY23" s="5">
        <f t="shared" ref="AY23:BB23" si="69">AY16*AY24</f>
        <v>300</v>
      </c>
      <c r="AZ23" s="5">
        <f t="shared" si="69"/>
        <v>1500</v>
      </c>
      <c r="BA23" s="5">
        <f t="shared" si="69"/>
        <v>4500</v>
      </c>
      <c r="BB23" s="5">
        <f t="shared" si="69"/>
        <v>7680</v>
      </c>
      <c r="BC23" s="1168"/>
      <c r="BD23" s="9" t="s">
        <v>34</v>
      </c>
      <c r="BE23" s="10">
        <v>0</v>
      </c>
      <c r="BF23" s="10">
        <f>BF16-SUM(BF19:BF21)</f>
        <v>-9.6000000000000002E-2</v>
      </c>
      <c r="BG23" s="5">
        <v>0</v>
      </c>
      <c r="BH23" s="5">
        <f t="shared" ref="BH23:BK23" si="70">BH16*BH24</f>
        <v>0</v>
      </c>
      <c r="BI23" s="5">
        <f t="shared" si="70"/>
        <v>0</v>
      </c>
      <c r="BJ23" s="5">
        <f t="shared" si="70"/>
        <v>0</v>
      </c>
      <c r="BK23" s="5">
        <f t="shared" si="70"/>
        <v>0</v>
      </c>
    </row>
    <row r="24" spans="2:63" ht="12" customHeight="1" x14ac:dyDescent="0.25">
      <c r="B24" s="15" t="s">
        <v>35</v>
      </c>
      <c r="C24" s="16">
        <f t="shared" ref="C24:G24" si="71">IF(ISERROR(C23/C16)," ",C23/C16)</f>
        <v>0.12453449725703759</v>
      </c>
      <c r="D24" s="13">
        <f t="shared" si="71"/>
        <v>0.1983821533035702</v>
      </c>
      <c r="E24" s="13">
        <f t="shared" si="71"/>
        <v>0.243494368255078</v>
      </c>
      <c r="F24" s="13">
        <f t="shared" si="71"/>
        <v>0.23384702238750171</v>
      </c>
      <c r="G24" s="13">
        <f t="shared" si="71"/>
        <v>0.21413856588891775</v>
      </c>
      <c r="H24" s="13">
        <f>IF(ISERROR(H23/H16)," ",H23/H16)</f>
        <v>0.2140087289588655</v>
      </c>
      <c r="J24" s="15" t="s">
        <v>35</v>
      </c>
      <c r="K24" s="16">
        <f t="shared" ref="K24:M24" si="72">IF(ISERROR(K23/K16)," ",K23/K16)</f>
        <v>0.19649338807148584</v>
      </c>
      <c r="L24" s="16">
        <f t="shared" si="72"/>
        <v>0.14202757046224274</v>
      </c>
      <c r="M24" s="16">
        <f t="shared" si="72"/>
        <v>1.1372277056062792E-2</v>
      </c>
      <c r="N24" s="16">
        <f t="shared" ref="N24" si="73">IF(ISERROR(N23/N16)," ",N23/N16)</f>
        <v>0.17188503923652748</v>
      </c>
      <c r="O24" s="198">
        <f>N24-1%</f>
        <v>0.16188503923652747</v>
      </c>
      <c r="P24" s="198">
        <f>O24+3%</f>
        <v>0.19188503923652747</v>
      </c>
      <c r="Q24" s="198">
        <f>P24+2%</f>
        <v>0.21188503923652746</v>
      </c>
      <c r="R24" s="198">
        <f>Q24+1%</f>
        <v>0.22188503923652747</v>
      </c>
      <c r="T24" s="15" t="s">
        <v>35</v>
      </c>
      <c r="U24" s="16">
        <f t="shared" ref="U24:W24" si="74">IF(ISERROR(U23/U16)," ",U23/U16)</f>
        <v>0.16666666666666666</v>
      </c>
      <c r="V24" s="16">
        <f t="shared" si="74"/>
        <v>0.24734427425010375</v>
      </c>
      <c r="W24" s="198">
        <f t="shared" si="74"/>
        <v>0.30769230769230771</v>
      </c>
      <c r="X24" s="198">
        <v>0.3</v>
      </c>
      <c r="Y24" s="198">
        <v>0.3</v>
      </c>
      <c r="Z24" s="198">
        <v>0.3</v>
      </c>
      <c r="AA24" s="198">
        <v>0.3</v>
      </c>
      <c r="AC24" s="15" t="s">
        <v>35</v>
      </c>
      <c r="AD24" s="16" t="str">
        <f t="shared" ref="AD24:AE24" si="75">IF(ISERROR(AD23/AD16)," ",AD23/AD16)</f>
        <v xml:space="preserve"> </v>
      </c>
      <c r="AE24" s="16">
        <f t="shared" si="75"/>
        <v>0.91013015100606354</v>
      </c>
      <c r="AF24" s="198">
        <v>0.9</v>
      </c>
      <c r="AG24" s="198">
        <v>0.75</v>
      </c>
      <c r="AH24" s="198">
        <v>0.8</v>
      </c>
      <c r="AI24" s="198">
        <v>0.8</v>
      </c>
      <c r="AJ24" s="198">
        <v>0.8</v>
      </c>
      <c r="AL24" s="15" t="s">
        <v>35</v>
      </c>
      <c r="AM24" s="16" t="str">
        <f t="shared" ref="AM24:AN24" si="76">IF(ISERROR(AM23/AM16)," ",AM23/AM16)</f>
        <v xml:space="preserve"> </v>
      </c>
      <c r="AN24" s="16">
        <f t="shared" si="76"/>
        <v>-26.727272727272727</v>
      </c>
      <c r="AO24" s="198">
        <f>W24</f>
        <v>0.30769230769230771</v>
      </c>
      <c r="AP24" s="198">
        <f>X24</f>
        <v>0.3</v>
      </c>
      <c r="AQ24" s="198">
        <f>Y24</f>
        <v>0.3</v>
      </c>
      <c r="AR24" s="198">
        <f>AQ24+1%</f>
        <v>0.31</v>
      </c>
      <c r="AS24" s="198">
        <f>AR24+1%</f>
        <v>0.32</v>
      </c>
      <c r="AU24" s="15" t="s">
        <v>35</v>
      </c>
      <c r="AV24" s="16" t="str">
        <f t="shared" ref="AV24:AW24" si="77">IF(ISERROR(AV23/AV16)," ",AV23/AV16)</f>
        <v xml:space="preserve"> </v>
      </c>
      <c r="AW24" s="16" t="str">
        <f t="shared" si="77"/>
        <v xml:space="preserve"> </v>
      </c>
      <c r="AX24" s="198"/>
      <c r="AY24" s="198">
        <v>0.15</v>
      </c>
      <c r="AZ24" s="198">
        <v>0.15</v>
      </c>
      <c r="BA24" s="198">
        <v>0.15</v>
      </c>
      <c r="BB24" s="198">
        <v>0.16</v>
      </c>
      <c r="BD24" s="15" t="s">
        <v>35</v>
      </c>
      <c r="BE24" s="16" t="str">
        <f t="shared" ref="BE24:BF24" si="78">IF(ISERROR(BE23/BE16)," ",BE23/BE16)</f>
        <v xml:space="preserve"> </v>
      </c>
      <c r="BF24" s="16" t="str">
        <f t="shared" si="78"/>
        <v xml:space="preserve"> </v>
      </c>
      <c r="BG24" s="198"/>
      <c r="BH24" s="198">
        <v>0.21</v>
      </c>
      <c r="BI24" s="198">
        <v>0.21</v>
      </c>
      <c r="BJ24" s="198">
        <v>0.21</v>
      </c>
      <c r="BK24" s="198">
        <v>0.21</v>
      </c>
    </row>
    <row r="25" spans="2:63" s="14" customFormat="1" ht="12" customHeight="1" x14ac:dyDescent="0.25">
      <c r="B25" s="11" t="s">
        <v>30</v>
      </c>
      <c r="C25" s="12" t="str">
        <f>IF(ISERROR(C23/#REF!-1)," ",C23/#REF!-1)</f>
        <v xml:space="preserve"> </v>
      </c>
      <c r="D25" s="13">
        <f t="shared" ref="D25:H25" si="79">IF(ISERROR(D23/C23-1)," ",D23/C23-1)</f>
        <v>3.557877813504823</v>
      </c>
      <c r="E25" s="13">
        <f t="shared" si="79"/>
        <v>1.7754048666419759</v>
      </c>
      <c r="F25" s="13">
        <f t="shared" si="79"/>
        <v>0.66609490186577025</v>
      </c>
      <c r="G25" s="13">
        <f t="shared" si="79"/>
        <v>0.74148247546381718</v>
      </c>
      <c r="H25" s="13">
        <f t="shared" si="79"/>
        <v>0.42890372628953899</v>
      </c>
      <c r="J25" s="11" t="s">
        <v>30</v>
      </c>
      <c r="K25" s="12" t="str">
        <f>IF(ISERROR(K23/#REF!-1)," ",K23/#REF!-1)</f>
        <v xml:space="preserve"> </v>
      </c>
      <c r="L25" s="12">
        <f>IF(ISERROR(L23/K23-1)," ",L23/K23-1)</f>
        <v>-0.2880741114715093</v>
      </c>
      <c r="M25" s="12">
        <f>IF(ISERROR(M23/L23-1)," ",M23/L23-1)</f>
        <v>-0.9107922614739713</v>
      </c>
      <c r="N25" s="12">
        <f>IF(ISERROR(N23/M23-1)," ",N23/M23-1)</f>
        <v>20.446132346001335</v>
      </c>
      <c r="O25" s="13">
        <f t="shared" ref="O25:R25" si="80">IF(ISERROR(O23/N23-1)," ",O23/N23-1)</f>
        <v>1.8580038797805676E-2</v>
      </c>
      <c r="P25" s="13">
        <f t="shared" si="80"/>
        <v>0.22087619304247452</v>
      </c>
      <c r="Q25" s="13">
        <f t="shared" si="80"/>
        <v>0.13735594646650573</v>
      </c>
      <c r="R25" s="13">
        <f t="shared" si="80"/>
        <v>0.15191494425295748</v>
      </c>
      <c r="S25" s="2"/>
      <c r="T25" s="11" t="s">
        <v>30</v>
      </c>
      <c r="U25" s="12" t="str">
        <f>IF(ISERROR(U23/#REF!-1)," ",U23/#REF!-1)</f>
        <v xml:space="preserve"> </v>
      </c>
      <c r="V25" s="12">
        <f>IF(ISERROR(V23/U23-1)," ",V23/U23-1)</f>
        <v>22.87779999999999</v>
      </c>
      <c r="W25" s="13">
        <f t="shared" ref="W25:AA25" si="81">IF(ISERROR(W23/V23-1)," ",W23/V23-1)</f>
        <v>0.67519620735578711</v>
      </c>
      <c r="X25" s="13">
        <f t="shared" si="81"/>
        <v>4.249999999999865E-3</v>
      </c>
      <c r="Y25" s="13">
        <f t="shared" si="81"/>
        <v>2.9999999999999805E-2</v>
      </c>
      <c r="Z25" s="13">
        <f t="shared" si="81"/>
        <v>3.0000000000000027E-2</v>
      </c>
      <c r="AA25" s="13">
        <f t="shared" si="81"/>
        <v>3.0000000000000249E-2</v>
      </c>
      <c r="AC25" s="11" t="s">
        <v>30</v>
      </c>
      <c r="AD25" s="12" t="str">
        <f>IF(ISERROR(AD23/#REF!-1)," ",AD23/#REF!-1)</f>
        <v xml:space="preserve"> </v>
      </c>
      <c r="AE25" s="12">
        <f>IF(ISERROR(AE23/AD23-1)," ",AE23/AD23-1)</f>
        <v>-283.79200000000003</v>
      </c>
      <c r="AF25" s="13">
        <f t="shared" ref="AF25:AJ25" si="82">IF(ISERROR(AF23/AE23-1)," ",AF23/AE23-1)</f>
        <v>1.243698548756683</v>
      </c>
      <c r="AG25" s="13">
        <f t="shared" si="82"/>
        <v>8.7222222222222312E-2</v>
      </c>
      <c r="AH25" s="13">
        <f t="shared" si="82"/>
        <v>9.866666666666668E-2</v>
      </c>
      <c r="AI25" s="13">
        <f t="shared" si="82"/>
        <v>3.0000000000000027E-2</v>
      </c>
      <c r="AJ25" s="13">
        <f t="shared" si="82"/>
        <v>3.0000000000000027E-2</v>
      </c>
      <c r="AL25" s="11" t="s">
        <v>30</v>
      </c>
      <c r="AM25" s="12" t="str">
        <f>IF(ISERROR(AM23/#REF!-1)," ",AM23/#REF!-1)</f>
        <v xml:space="preserve"> </v>
      </c>
      <c r="AN25" s="12" t="str">
        <f>IF(ISERROR(AN23/AM23-1)," ",AN23/AM23-1)</f>
        <v xml:space="preserve"> </v>
      </c>
      <c r="AO25" s="13">
        <f t="shared" ref="AO25" si="83">IF(ISERROR(AO23/AN23-1)," ",AO23/AN23-1)</f>
        <v>-1</v>
      </c>
      <c r="AP25" s="13" t="str">
        <f t="shared" ref="AP25" si="84">IF(ISERROR(AP23/AO23-1)," ",AP23/AO23-1)</f>
        <v xml:space="preserve"> </v>
      </c>
      <c r="AQ25" s="13">
        <f t="shared" ref="AQ25" si="85">IF(ISERROR(AQ23/AP23-1)," ",AQ23/AP23-1)</f>
        <v>0.80249999999999999</v>
      </c>
      <c r="AR25" s="13">
        <f t="shared" ref="AR25" si="86">IF(ISERROR(AR23/AQ23-1)," ",AR23/AQ23-1)</f>
        <v>0.67252380952380975</v>
      </c>
      <c r="AS25" s="13">
        <f t="shared" ref="AS25" si="87">IF(ISERROR(AS23/AR23-1)," ",AS23/AR23-1)</f>
        <v>0.35319648093841627</v>
      </c>
      <c r="AU25" s="11" t="s">
        <v>30</v>
      </c>
      <c r="AV25" s="12" t="str">
        <f>IF(ISERROR(AV23/#REF!-1)," ",AV23/#REF!-1)</f>
        <v xml:space="preserve"> </v>
      </c>
      <c r="AW25" s="12" t="str">
        <f>IF(ISERROR(AW23/AV23-1)," ",AW23/AV23-1)</f>
        <v xml:space="preserve"> </v>
      </c>
      <c r="AX25" s="13" t="str">
        <f t="shared" ref="AX25" si="88">IF(ISERROR(AX23/AW23-1)," ",AX23/AW23-1)</f>
        <v xml:space="preserve"> </v>
      </c>
      <c r="AY25" s="13" t="str">
        <f t="shared" ref="AY25" si="89">IF(ISERROR(AY23/AX23-1)," ",AY23/AX23-1)</f>
        <v xml:space="preserve"> </v>
      </c>
      <c r="AZ25" s="13">
        <f t="shared" ref="AZ25" si="90">IF(ISERROR(AZ23/AY23-1)," ",AZ23/AY23-1)</f>
        <v>4</v>
      </c>
      <c r="BA25" s="13">
        <f t="shared" ref="BA25" si="91">IF(ISERROR(BA23/AZ23-1)," ",BA23/AZ23-1)</f>
        <v>2</v>
      </c>
      <c r="BB25" s="13">
        <f t="shared" ref="BB25" si="92">IF(ISERROR(BB23/BA23-1)," ",BB23/BA23-1)</f>
        <v>0.70666666666666678</v>
      </c>
      <c r="BD25" s="11" t="s">
        <v>30</v>
      </c>
      <c r="BE25" s="12" t="str">
        <f>IF(ISERROR(BE23/#REF!-1)," ",BE23/#REF!-1)</f>
        <v xml:space="preserve"> </v>
      </c>
      <c r="BF25" s="12" t="str">
        <f>IF(ISERROR(BF23/BE23-1)," ",BF23/BE23-1)</f>
        <v xml:space="preserve"> </v>
      </c>
      <c r="BG25" s="13">
        <f t="shared" ref="BG25" si="93">IF(ISERROR(BG23/BF23-1)," ",BG23/BF23-1)</f>
        <v>-1</v>
      </c>
      <c r="BH25" s="13" t="str">
        <f t="shared" ref="BH25" si="94">IF(ISERROR(BH23/BG23-1)," ",BH23/BG23-1)</f>
        <v xml:space="preserve"> </v>
      </c>
      <c r="BI25" s="13" t="str">
        <f t="shared" ref="BI25" si="95">IF(ISERROR(BI23/BH23-1)," ",BI23/BH23-1)</f>
        <v xml:space="preserve"> </v>
      </c>
      <c r="BJ25" s="13" t="str">
        <f t="shared" ref="BJ25" si="96">IF(ISERROR(BJ23/BI23-1)," ",BJ23/BI23-1)</f>
        <v xml:space="preserve"> </v>
      </c>
      <c r="BK25" s="13" t="str">
        <f t="shared" ref="BK25" si="97">IF(ISERROR(BK23/BJ23-1)," ",BK23/BJ23-1)</f>
        <v xml:space="preserve"> </v>
      </c>
    </row>
    <row r="26" spans="2:63" s="14" customFormat="1" ht="12" customHeight="1" x14ac:dyDescent="0.25">
      <c r="B26" s="11"/>
      <c r="C26" s="12"/>
      <c r="D26" s="13"/>
      <c r="E26" s="13"/>
      <c r="F26" s="13"/>
      <c r="G26" s="13"/>
      <c r="H26" s="13"/>
      <c r="J26" s="11"/>
      <c r="K26" s="12"/>
      <c r="L26" s="12"/>
      <c r="M26" s="12"/>
      <c r="N26" s="12"/>
      <c r="O26" s="13"/>
      <c r="P26" s="13"/>
      <c r="Q26" s="13"/>
      <c r="R26" s="13"/>
      <c r="S26" s="2"/>
      <c r="T26" s="11"/>
      <c r="U26" s="12"/>
      <c r="V26" s="12"/>
      <c r="W26" s="13"/>
      <c r="X26" s="13"/>
      <c r="Y26" s="13"/>
      <c r="Z26" s="13"/>
      <c r="AA26" s="13"/>
      <c r="AC26" s="11"/>
      <c r="AD26" s="12"/>
      <c r="AE26" s="12"/>
      <c r="AF26" s="13"/>
      <c r="AG26" s="13"/>
      <c r="AH26" s="13"/>
      <c r="AI26" s="13"/>
      <c r="AJ26" s="13"/>
      <c r="AL26" s="11"/>
      <c r="AM26" s="12"/>
      <c r="AN26" s="12"/>
      <c r="AO26" s="13"/>
      <c r="AP26" s="13"/>
      <c r="AQ26" s="13"/>
      <c r="AR26" s="13"/>
      <c r="AS26" s="13"/>
      <c r="AU26" s="11"/>
      <c r="AV26" s="12"/>
      <c r="AW26" s="12"/>
      <c r="AX26" s="13"/>
      <c r="AY26" s="13"/>
      <c r="AZ26" s="13"/>
      <c r="BA26" s="13"/>
      <c r="BB26" s="13"/>
      <c r="BD26" s="11"/>
      <c r="BE26" s="12"/>
      <c r="BF26" s="12"/>
      <c r="BG26" s="13"/>
      <c r="BH26" s="13"/>
      <c r="BI26" s="13"/>
      <c r="BJ26" s="13"/>
      <c r="BK26" s="13"/>
    </row>
    <row r="27" spans="2:63" ht="12" customHeight="1" x14ac:dyDescent="0.25">
      <c r="B27" s="15"/>
      <c r="C27" s="16">
        <f>C30/AVERAGE(B109:C109)</f>
        <v>0.50628987753387555</v>
      </c>
      <c r="D27" s="198">
        <v>0.08</v>
      </c>
      <c r="E27" s="198">
        <f>D27</f>
        <v>0.08</v>
      </c>
      <c r="F27" s="198">
        <f>E27</f>
        <v>0.08</v>
      </c>
      <c r="G27" s="198">
        <f>F27</f>
        <v>0.08</v>
      </c>
      <c r="H27" s="198">
        <f>G27</f>
        <v>0.08</v>
      </c>
      <c r="J27" s="15"/>
      <c r="K27" s="16"/>
      <c r="L27" s="16">
        <f>L30/AVERAGE(K109:L109)</f>
        <v>0.12320966279080564</v>
      </c>
      <c r="M27" s="16">
        <f>M30/AVERAGE(L109:M109)</f>
        <v>1.1350029095454643</v>
      </c>
      <c r="N27" s="16">
        <f>N30/AVERAGE(M109:N109)</f>
        <v>0.26768049102473979</v>
      </c>
      <c r="O27" s="198">
        <f>N27</f>
        <v>0.26768049102473979</v>
      </c>
      <c r="P27" s="198">
        <f>O27</f>
        <v>0.26768049102473979</v>
      </c>
      <c r="Q27" s="198">
        <f>P27</f>
        <v>0.26768049102473979</v>
      </c>
      <c r="R27" s="198">
        <f>Q27</f>
        <v>0.26768049102473979</v>
      </c>
      <c r="T27" s="15"/>
      <c r="U27" s="16"/>
      <c r="V27" s="16">
        <f>V30/AVERAGE(U109:V109)</f>
        <v>0.16654981197017019</v>
      </c>
      <c r="W27" s="198"/>
      <c r="X27" s="198"/>
      <c r="Y27" s="198"/>
      <c r="Z27" s="198"/>
      <c r="AA27" s="198"/>
      <c r="AC27" s="15"/>
      <c r="AD27" s="16"/>
      <c r="AE27" s="16">
        <f>AE30/AVERAGE(AD109:AE109)</f>
        <v>0.55656623081296197</v>
      </c>
      <c r="AF27" s="198"/>
      <c r="AG27" s="198"/>
      <c r="AH27" s="198"/>
      <c r="AI27" s="198"/>
      <c r="AJ27" s="198"/>
      <c r="AL27" s="15"/>
      <c r="AM27" s="16"/>
      <c r="AN27" s="16">
        <f>AN30/AVERAGE(AM109:AN109)</f>
        <v>6.2796103934320099E-2</v>
      </c>
      <c r="AO27" s="198"/>
      <c r="AP27" s="198"/>
      <c r="AQ27" s="198"/>
      <c r="AR27" s="198"/>
      <c r="AS27" s="198"/>
      <c r="AU27" s="15"/>
      <c r="AV27" s="16"/>
      <c r="AW27" s="16"/>
      <c r="AX27" s="198"/>
      <c r="AY27" s="198"/>
      <c r="AZ27" s="198"/>
      <c r="BA27" s="198"/>
      <c r="BB27" s="198"/>
      <c r="BD27" s="15"/>
      <c r="BE27" s="16"/>
      <c r="BF27" s="16">
        <f>BF30/AVERAGE(BE109:BF109)</f>
        <v>0.88972297329348715</v>
      </c>
      <c r="BG27" s="198"/>
      <c r="BH27" s="198"/>
      <c r="BI27" s="198"/>
      <c r="BJ27" s="198"/>
      <c r="BK27" s="198"/>
    </row>
    <row r="28" spans="2:63" ht="12" customHeight="1" x14ac:dyDescent="0.25">
      <c r="B28" s="6"/>
      <c r="C28" s="1009">
        <f>C31/C91</f>
        <v>2.3851904391707378E-2</v>
      </c>
      <c r="D28" s="198">
        <v>2.5000000000000001E-2</v>
      </c>
      <c r="E28" s="198">
        <f t="shared" ref="E28" si="98">D28</f>
        <v>2.5000000000000001E-2</v>
      </c>
      <c r="F28" s="198">
        <f t="shared" ref="F28" si="99">E28</f>
        <v>2.5000000000000001E-2</v>
      </c>
      <c r="G28" s="198">
        <f t="shared" ref="G28" si="100">F28</f>
        <v>2.5000000000000001E-2</v>
      </c>
      <c r="H28" s="198">
        <f t="shared" ref="H28" si="101">G28</f>
        <v>2.5000000000000001E-2</v>
      </c>
      <c r="J28" s="6"/>
      <c r="K28" s="7"/>
      <c r="L28" s="1009">
        <f>L31/L91</f>
        <v>1.9889856627619305E-2</v>
      </c>
      <c r="M28" s="1009">
        <f>M31/M91</f>
        <v>2.3950401593086586E-2</v>
      </c>
      <c r="N28" s="1009">
        <f>N31/N91</f>
        <v>2.596379149831838E-2</v>
      </c>
      <c r="O28" s="198">
        <f t="shared" ref="O28:R28" si="102">N28</f>
        <v>2.596379149831838E-2</v>
      </c>
      <c r="P28" s="198">
        <f t="shared" si="102"/>
        <v>2.596379149831838E-2</v>
      </c>
      <c r="Q28" s="198">
        <f t="shared" si="102"/>
        <v>2.596379149831838E-2</v>
      </c>
      <c r="R28" s="198">
        <f t="shared" si="102"/>
        <v>2.596379149831838E-2</v>
      </c>
      <c r="T28" s="6"/>
      <c r="U28" s="1009"/>
      <c r="V28" s="1009">
        <f>V31/V91</f>
        <v>2.3898875861645713E-2</v>
      </c>
      <c r="W28" s="198"/>
      <c r="X28" s="198"/>
      <c r="Y28" s="198"/>
      <c r="Z28" s="198"/>
      <c r="AA28" s="198"/>
      <c r="AC28" s="6"/>
      <c r="AD28" s="1009"/>
      <c r="AE28" s="1009">
        <f>AE31/AE91</f>
        <v>2.2794833320804852E-2</v>
      </c>
      <c r="AF28" s="198"/>
      <c r="AG28" s="198"/>
      <c r="AH28" s="198"/>
      <c r="AI28" s="198"/>
      <c r="AJ28" s="198"/>
      <c r="AL28" s="6"/>
      <c r="AM28" s="1009"/>
      <c r="AN28" s="1009" t="e">
        <f>AN31/AN91</f>
        <v>#DIV/0!</v>
      </c>
      <c r="AO28" s="198"/>
      <c r="AP28" s="198"/>
      <c r="AQ28" s="198"/>
      <c r="AR28" s="198"/>
      <c r="AS28" s="198"/>
      <c r="AU28" s="6"/>
      <c r="AV28" s="1009"/>
      <c r="AW28" s="1009"/>
      <c r="AX28" s="198"/>
      <c r="AY28" s="198"/>
      <c r="AZ28" s="198"/>
      <c r="BA28" s="198"/>
      <c r="BB28" s="198"/>
      <c r="BD28" s="6"/>
      <c r="BE28" s="1009"/>
      <c r="BF28" s="1009" t="e">
        <f>BF31/BF91</f>
        <v>#DIV/0!</v>
      </c>
      <c r="BG28" s="198"/>
      <c r="BH28" s="198"/>
      <c r="BI28" s="198"/>
      <c r="BJ28" s="198"/>
      <c r="BK28" s="198"/>
    </row>
    <row r="29" spans="2:63" ht="12" customHeight="1" x14ac:dyDescent="0.25">
      <c r="B29" s="6"/>
      <c r="C29" s="945"/>
      <c r="D29" s="198"/>
      <c r="E29" s="198"/>
      <c r="F29" s="198"/>
      <c r="G29" s="198"/>
      <c r="H29" s="198"/>
      <c r="J29" s="6"/>
      <c r="K29" s="7"/>
      <c r="L29" s="945"/>
      <c r="M29" s="945"/>
      <c r="N29" s="945"/>
      <c r="O29" s="198"/>
      <c r="P29" s="198"/>
      <c r="Q29" s="198"/>
      <c r="R29" s="198"/>
      <c r="T29" s="6"/>
      <c r="U29" s="945"/>
      <c r="V29" s="945"/>
      <c r="W29" s="198"/>
      <c r="X29" s="198"/>
      <c r="Y29" s="198"/>
      <c r="Z29" s="198"/>
      <c r="AA29" s="198"/>
      <c r="AC29" s="6"/>
      <c r="AD29" s="945"/>
      <c r="AE29" s="945"/>
      <c r="AF29" s="198"/>
      <c r="AG29" s="198"/>
      <c r="AH29" s="198"/>
      <c r="AI29" s="198"/>
      <c r="AJ29" s="198"/>
      <c r="AL29" s="6"/>
      <c r="AM29" s="945"/>
      <c r="AN29" s="945"/>
      <c r="AO29" s="198"/>
      <c r="AP29" s="198"/>
      <c r="AQ29" s="198"/>
      <c r="AR29" s="198"/>
      <c r="AS29" s="198"/>
      <c r="AU29" s="6"/>
      <c r="AV29" s="945"/>
      <c r="AW29" s="945"/>
      <c r="AX29" s="198"/>
      <c r="AY29" s="198"/>
      <c r="AZ29" s="198"/>
      <c r="BA29" s="198"/>
      <c r="BB29" s="198"/>
      <c r="BD29" s="6"/>
      <c r="BE29" s="945"/>
      <c r="BF29" s="945"/>
      <c r="BG29" s="198"/>
      <c r="BH29" s="198"/>
      <c r="BI29" s="198"/>
      <c r="BJ29" s="198"/>
      <c r="BK29" s="198"/>
    </row>
    <row r="30" spans="2:63" ht="12" customHeight="1" x14ac:dyDescent="0.25">
      <c r="B30" s="6" t="s">
        <v>36</v>
      </c>
      <c r="C30" s="7">
        <f t="shared" ref="C30:C31" si="103">+M30+V30+AE30+AN30+BF30</f>
        <v>139.816</v>
      </c>
      <c r="D30" s="8">
        <f t="shared" ref="D30" ca="1" si="104">D27*AVERAGE(C109:D109)</f>
        <v>84.690616603881097</v>
      </c>
      <c r="E30" s="8">
        <f t="shared" ref="E30" ca="1" si="105">E27*AVERAGE(D109:E109)</f>
        <v>162.40890896292879</v>
      </c>
      <c r="F30" s="8">
        <f t="shared" ref="F30" ca="1" si="106">F27*AVERAGE(E109:F109)</f>
        <v>154.06702181417083</v>
      </c>
      <c r="G30" s="8">
        <f t="shared" ref="G30" ca="1" si="107">G27*AVERAGE(F109:G109)</f>
        <v>128.75523168883214</v>
      </c>
      <c r="H30" s="8">
        <f t="shared" ref="H30" ca="1" si="108">H27*AVERAGE(G109:H109)</f>
        <v>215.92809262474719</v>
      </c>
      <c r="J30" s="6" t="s">
        <v>36</v>
      </c>
      <c r="K30" s="7">
        <v>81.555999999999997</v>
      </c>
      <c r="L30" s="7">
        <v>59.704999999999998</v>
      </c>
      <c r="M30" s="7">
        <v>52.662999999999997</v>
      </c>
      <c r="N30" s="7">
        <v>31.225999999999999</v>
      </c>
      <c r="O30" s="8">
        <f t="shared" ref="O30:R30" ca="1" si="109">O27*AVERAGE(N109:O109)</f>
        <v>171.34123159845842</v>
      </c>
      <c r="P30" s="8">
        <f t="shared" ca="1" si="109"/>
        <v>470.69486701155199</v>
      </c>
      <c r="Q30" s="8">
        <f t="shared" ca="1" si="109"/>
        <v>894.51186950026727</v>
      </c>
      <c r="R30" s="8">
        <f t="shared" ca="1" si="109"/>
        <v>1449.8992996828504</v>
      </c>
      <c r="T30" s="6" t="s">
        <v>36</v>
      </c>
      <c r="U30" s="7"/>
      <c r="V30" s="7">
        <v>2.613</v>
      </c>
      <c r="W30" s="8">
        <f>W23/W5</f>
        <v>66.666666666666671</v>
      </c>
      <c r="X30" s="8">
        <f t="shared" ref="X30:AA30" si="110">X23/X5</f>
        <v>66.95</v>
      </c>
      <c r="Y30" s="8">
        <f t="shared" si="110"/>
        <v>68.958499999999987</v>
      </c>
      <c r="Z30" s="8">
        <f t="shared" si="110"/>
        <v>71.027254999999982</v>
      </c>
      <c r="AA30" s="8">
        <f t="shared" si="110"/>
        <v>73.158072649999994</v>
      </c>
      <c r="AC30" s="6" t="s">
        <v>36</v>
      </c>
      <c r="AD30" s="7"/>
      <c r="AE30" s="7">
        <v>0.97899999999999998</v>
      </c>
      <c r="AF30" s="8">
        <f>AF23/AF5</f>
        <v>42.3</v>
      </c>
      <c r="AG30" s="8">
        <f t="shared" ref="AG30:AJ30" si="111">AG23/AG5</f>
        <v>36.307500000000005</v>
      </c>
      <c r="AH30" s="8">
        <f t="shared" si="111"/>
        <v>39.889840000000007</v>
      </c>
      <c r="AI30" s="8">
        <f t="shared" si="111"/>
        <v>41.086535200000007</v>
      </c>
      <c r="AJ30" s="8">
        <f t="shared" si="111"/>
        <v>42.319131256000006</v>
      </c>
      <c r="AL30" s="6" t="s">
        <v>36</v>
      </c>
      <c r="AM30" s="7"/>
      <c r="AN30" s="7">
        <v>8.5359999999999996</v>
      </c>
      <c r="AO30" s="8" t="e">
        <f>AO23/AO5</f>
        <v>#DIV/0!</v>
      </c>
      <c r="AP30" s="8">
        <f t="shared" ref="AP30:AS30" si="112">AP23/AP5</f>
        <v>66.949999999999989</v>
      </c>
      <c r="AQ30" s="8">
        <f t="shared" si="112"/>
        <v>68.958499999999987</v>
      </c>
      <c r="AR30" s="8">
        <f t="shared" si="112"/>
        <v>73.394830166666665</v>
      </c>
      <c r="AS30" s="8">
        <f t="shared" si="112"/>
        <v>78.035277493333325</v>
      </c>
      <c r="AU30" s="6"/>
      <c r="AV30" s="7"/>
      <c r="AW30" s="7"/>
      <c r="AX30" s="8"/>
      <c r="AY30" s="8"/>
      <c r="AZ30" s="8"/>
      <c r="BA30" s="8"/>
      <c r="BB30" s="8"/>
      <c r="BD30" s="6" t="s">
        <v>36</v>
      </c>
      <c r="BE30" s="7"/>
      <c r="BF30" s="7">
        <v>75.025000000000006</v>
      </c>
      <c r="BG30" s="8"/>
      <c r="BH30" s="8"/>
      <c r="BI30" s="8"/>
      <c r="BJ30" s="8"/>
      <c r="BK30" s="8"/>
    </row>
    <row r="31" spans="2:63" ht="12" customHeight="1" x14ac:dyDescent="0.25">
      <c r="B31" s="6" t="s">
        <v>37</v>
      </c>
      <c r="C31" s="7">
        <f t="shared" si="103"/>
        <v>592.38999999999987</v>
      </c>
      <c r="D31" s="8">
        <f t="shared" ref="D31:H31" si="113">D28*D91</f>
        <v>995.90430000000015</v>
      </c>
      <c r="E31" s="8">
        <f t="shared" si="113"/>
        <v>1433.4043000000001</v>
      </c>
      <c r="F31" s="8">
        <f t="shared" si="113"/>
        <v>1870.9043000000001</v>
      </c>
      <c r="G31" s="8">
        <f t="shared" si="113"/>
        <v>2245.9043000000001</v>
      </c>
      <c r="H31" s="8">
        <f t="shared" si="113"/>
        <v>2620.9043000000001</v>
      </c>
      <c r="J31" s="6" t="s">
        <v>37</v>
      </c>
      <c r="K31" s="7">
        <v>267.93700000000001</v>
      </c>
      <c r="L31" s="7">
        <v>417.053</v>
      </c>
      <c r="M31" s="7">
        <v>509.08599999999996</v>
      </c>
      <c r="N31" s="7">
        <v>567.34199999999998</v>
      </c>
      <c r="O31" s="8">
        <f t="shared" ref="O31:R31" si="114">O28*O91</f>
        <v>567.34199999999998</v>
      </c>
      <c r="P31" s="8">
        <f t="shared" si="114"/>
        <v>567.34199999999998</v>
      </c>
      <c r="Q31" s="8">
        <f t="shared" si="114"/>
        <v>567.34199999999998</v>
      </c>
      <c r="R31" s="8">
        <f t="shared" si="114"/>
        <v>567.34199999999998</v>
      </c>
      <c r="T31" s="6" t="s">
        <v>37</v>
      </c>
      <c r="U31" s="7"/>
      <c r="V31" s="7">
        <v>36.604999999999997</v>
      </c>
      <c r="W31" s="8"/>
      <c r="X31" s="8"/>
      <c r="Y31" s="8"/>
      <c r="Z31" s="8"/>
      <c r="AA31" s="8"/>
      <c r="AC31" s="6" t="s">
        <v>37</v>
      </c>
      <c r="AD31" s="7"/>
      <c r="AE31" s="7">
        <v>46.698999999999998</v>
      </c>
      <c r="AF31" s="8"/>
      <c r="AG31" s="8"/>
      <c r="AH31" s="8"/>
      <c r="AI31" s="8"/>
      <c r="AJ31" s="8"/>
      <c r="AL31" s="6" t="s">
        <v>37</v>
      </c>
      <c r="AM31" s="7"/>
      <c r="AN31" s="7"/>
      <c r="AO31" s="8"/>
      <c r="AP31" s="8"/>
      <c r="AQ31" s="8"/>
      <c r="AR31" s="8"/>
      <c r="AS31" s="8"/>
      <c r="AU31" s="6"/>
      <c r="AV31" s="7"/>
      <c r="AW31" s="7"/>
      <c r="AX31" s="8"/>
      <c r="AY31" s="8"/>
      <c r="AZ31" s="8"/>
      <c r="BA31" s="8"/>
      <c r="BB31" s="8"/>
      <c r="BD31" s="6" t="s">
        <v>37</v>
      </c>
      <c r="BE31" s="7"/>
      <c r="BF31" s="7"/>
      <c r="BG31" s="8"/>
      <c r="BH31" s="8"/>
      <c r="BI31" s="8"/>
      <c r="BJ31" s="8"/>
      <c r="BK31" s="8"/>
    </row>
    <row r="32" spans="2:63" ht="12" customHeight="1" x14ac:dyDescent="0.25">
      <c r="B32" s="6"/>
      <c r="C32" s="945"/>
      <c r="D32" s="8"/>
      <c r="E32" s="8"/>
      <c r="F32" s="8"/>
      <c r="G32" s="8"/>
      <c r="H32" s="8"/>
      <c r="J32" s="6"/>
      <c r="K32" s="7"/>
      <c r="L32" s="945"/>
      <c r="M32" s="945"/>
      <c r="N32" s="945"/>
      <c r="O32" s="8"/>
      <c r="P32" s="8"/>
      <c r="Q32" s="8"/>
      <c r="R32" s="8"/>
      <c r="T32" s="6"/>
      <c r="U32" s="945"/>
      <c r="V32" s="945"/>
      <c r="W32" s="8"/>
      <c r="X32" s="8"/>
      <c r="Y32" s="8"/>
      <c r="Z32" s="8"/>
      <c r="AA32" s="8"/>
      <c r="AC32" s="6"/>
      <c r="AD32" s="945"/>
      <c r="AE32" s="945"/>
      <c r="AF32" s="8"/>
      <c r="AG32" s="8"/>
      <c r="AH32" s="8"/>
      <c r="AI32" s="8"/>
      <c r="AJ32" s="8"/>
      <c r="AL32" s="6"/>
      <c r="AM32" s="945"/>
      <c r="AN32" s="945"/>
      <c r="AO32" s="8"/>
      <c r="AP32" s="8"/>
      <c r="AQ32" s="8"/>
      <c r="AR32" s="8"/>
      <c r="AS32" s="8"/>
      <c r="AU32" s="6"/>
      <c r="AV32" s="945"/>
      <c r="AW32" s="945"/>
      <c r="AX32" s="8"/>
      <c r="AY32" s="8"/>
      <c r="AZ32" s="8"/>
      <c r="BA32" s="8"/>
      <c r="BB32" s="8"/>
      <c r="BD32" s="6"/>
      <c r="BE32" s="945"/>
      <c r="BF32" s="945"/>
      <c r="BG32" s="8"/>
      <c r="BH32" s="8"/>
      <c r="BI32" s="8"/>
      <c r="BJ32" s="8"/>
      <c r="BK32" s="8"/>
    </row>
    <row r="33" spans="2:63" ht="12" customHeight="1" x14ac:dyDescent="0.25">
      <c r="B33" s="9" t="s">
        <v>38</v>
      </c>
      <c r="C33" s="10">
        <f t="shared" ref="C33:H33" si="115">C23+C30-C31</f>
        <v>-141.57399999999984</v>
      </c>
      <c r="D33" s="5">
        <f t="shared" ca="1" si="115"/>
        <v>506.286316603881</v>
      </c>
      <c r="E33" s="5">
        <f t="shared" ca="1" si="115"/>
        <v>2663.1410074279293</v>
      </c>
      <c r="F33" s="5">
        <f t="shared" ca="1" si="115"/>
        <v>4837.8073185412704</v>
      </c>
      <c r="G33" s="5">
        <f t="shared" ca="1" si="115"/>
        <v>9297.6496297826761</v>
      </c>
      <c r="H33" s="5">
        <f t="shared" ca="1" si="115"/>
        <v>13905.672187176018</v>
      </c>
      <c r="J33" s="9" t="s">
        <v>38</v>
      </c>
      <c r="K33" s="10">
        <f t="shared" ref="K33:R33" si="116">K23+K30-K31</f>
        <v>681.17700000000048</v>
      </c>
      <c r="L33" s="10">
        <f t="shared" si="116"/>
        <v>260.28900000000067</v>
      </c>
      <c r="M33" s="10">
        <f t="shared" si="116"/>
        <v>-401.32499999999908</v>
      </c>
      <c r="N33" s="10">
        <f t="shared" ref="N33" si="117">N23+N30-N31</f>
        <v>645.52300000000025</v>
      </c>
      <c r="O33" s="5">
        <f t="shared" ca="1" si="116"/>
        <v>807.59313006345894</v>
      </c>
      <c r="P33" s="5">
        <f t="shared" ca="1" si="116"/>
        <v>1372.7920037386521</v>
      </c>
      <c r="Q33" s="5">
        <f t="shared" ca="1" si="116"/>
        <v>1998.4452096274435</v>
      </c>
      <c r="R33" s="5">
        <f t="shared" ca="1" si="116"/>
        <v>2807.7243399367894</v>
      </c>
      <c r="T33" s="9" t="s">
        <v>38</v>
      </c>
      <c r="U33" s="10"/>
      <c r="V33" s="10">
        <f t="shared" ref="V33" si="118">V23+V30-V31</f>
        <v>204.78599999999992</v>
      </c>
      <c r="W33" s="5"/>
      <c r="X33" s="5"/>
      <c r="Y33" s="5"/>
      <c r="Z33" s="5"/>
      <c r="AA33" s="5"/>
      <c r="AC33" s="9" t="s">
        <v>38</v>
      </c>
      <c r="AD33" s="10"/>
      <c r="AE33" s="10">
        <f t="shared" ref="AE33" si="119">AE23+AE30-AE31</f>
        <v>237.072</v>
      </c>
      <c r="AF33" s="5"/>
      <c r="AG33" s="5"/>
      <c r="AH33" s="5"/>
      <c r="AI33" s="5"/>
      <c r="AJ33" s="5"/>
      <c r="AL33" s="9" t="s">
        <v>38</v>
      </c>
      <c r="AM33" s="10"/>
      <c r="AN33" s="10">
        <f t="shared" ref="AN33" si="120">AN23+AN30-AN31</f>
        <v>7.9479999999999995</v>
      </c>
      <c r="AO33" s="5"/>
      <c r="AP33" s="5"/>
      <c r="AQ33" s="5"/>
      <c r="AR33" s="5"/>
      <c r="AS33" s="5"/>
      <c r="AU33" s="9"/>
      <c r="AV33" s="10"/>
      <c r="AW33" s="10"/>
      <c r="AX33" s="5"/>
      <c r="AY33" s="5"/>
      <c r="AZ33" s="5"/>
      <c r="BA33" s="5"/>
      <c r="BB33" s="5"/>
      <c r="BD33" s="9" t="s">
        <v>38</v>
      </c>
      <c r="BE33" s="10"/>
      <c r="BF33" s="10">
        <f t="shared" ref="BF33" si="121">BF23+BF30-BF31</f>
        <v>74.929000000000002</v>
      </c>
      <c r="BG33" s="5"/>
      <c r="BH33" s="5"/>
      <c r="BI33" s="5"/>
      <c r="BJ33" s="5"/>
      <c r="BK33" s="5"/>
    </row>
    <row r="34" spans="2:63" ht="12" customHeight="1" x14ac:dyDescent="0.25">
      <c r="B34" s="9"/>
      <c r="C34" s="10"/>
      <c r="D34" s="23"/>
      <c r="E34" s="23"/>
      <c r="F34" s="23"/>
      <c r="G34" s="23"/>
      <c r="H34" s="23"/>
      <c r="J34" s="9"/>
      <c r="K34" s="10"/>
      <c r="L34" s="10"/>
      <c r="M34" s="10"/>
      <c r="N34" s="10"/>
      <c r="O34" s="5"/>
      <c r="P34" s="5"/>
      <c r="Q34" s="5"/>
      <c r="R34" s="5"/>
      <c r="T34" s="9"/>
      <c r="U34" s="10"/>
      <c r="V34" s="10"/>
      <c r="W34" s="5"/>
      <c r="X34" s="5"/>
      <c r="Y34" s="5"/>
      <c r="Z34" s="5"/>
      <c r="AA34" s="5"/>
      <c r="AC34" s="9"/>
      <c r="AD34" s="10"/>
      <c r="AE34" s="10"/>
      <c r="AF34" s="5"/>
      <c r="AG34" s="5"/>
      <c r="AH34" s="5"/>
      <c r="AI34" s="5"/>
      <c r="AJ34" s="5"/>
      <c r="AL34" s="9"/>
      <c r="AM34" s="10"/>
      <c r="AN34" s="10"/>
      <c r="AO34" s="5"/>
      <c r="AP34" s="5"/>
      <c r="AQ34" s="5"/>
      <c r="AR34" s="5"/>
      <c r="AS34" s="5"/>
      <c r="AU34" s="9"/>
      <c r="AV34" s="10"/>
      <c r="AW34" s="10"/>
      <c r="AX34" s="5"/>
      <c r="AY34" s="5"/>
      <c r="AZ34" s="5"/>
      <c r="BA34" s="5"/>
      <c r="BB34" s="5"/>
      <c r="BD34" s="9"/>
      <c r="BE34" s="10"/>
      <c r="BF34" s="10"/>
      <c r="BG34" s="5"/>
      <c r="BH34" s="5"/>
      <c r="BI34" s="5"/>
      <c r="BJ34" s="5"/>
      <c r="BK34" s="5"/>
    </row>
    <row r="35" spans="2:63" ht="12" customHeight="1" x14ac:dyDescent="0.25">
      <c r="B35" s="6"/>
      <c r="C35" s="945">
        <f>C36/AVERAGE(B82:C82)</f>
        <v>0.17656432408901032</v>
      </c>
      <c r="D35" s="787">
        <v>0.09</v>
      </c>
      <c r="E35" s="787">
        <v>0.09</v>
      </c>
      <c r="F35" s="787">
        <v>0.09</v>
      </c>
      <c r="G35" s="787">
        <v>0.09</v>
      </c>
      <c r="H35" s="787">
        <v>0.09</v>
      </c>
      <c r="J35" s="6"/>
      <c r="K35" s="7"/>
      <c r="L35" s="945">
        <f>L36/AVERAGE(K82:L82)</f>
        <v>0.10872315194064557</v>
      </c>
      <c r="M35" s="945">
        <f>M36/AVERAGE(L82:M82)</f>
        <v>0.11213421261978482</v>
      </c>
      <c r="N35" s="945">
        <f>N36/AVERAGE(M82:N82)</f>
        <v>9.792529481743284E-2</v>
      </c>
      <c r="O35" s="787">
        <v>0.1</v>
      </c>
      <c r="P35" s="787">
        <f>O35</f>
        <v>0.1</v>
      </c>
      <c r="Q35" s="787">
        <f>P35</f>
        <v>0.1</v>
      </c>
      <c r="R35" s="787">
        <f>Q35</f>
        <v>0.1</v>
      </c>
      <c r="T35" s="6"/>
      <c r="U35" s="945"/>
      <c r="V35" s="945">
        <f>V36/AVERAGE(U82:V82)</f>
        <v>5.4851545367668231E-2</v>
      </c>
      <c r="W35" s="787"/>
      <c r="X35" s="787"/>
      <c r="Y35" s="787"/>
      <c r="Z35" s="787"/>
      <c r="AA35" s="787"/>
      <c r="AC35" s="6"/>
      <c r="AD35" s="945"/>
      <c r="AE35" s="945">
        <f>AE36/AVERAGE(AD82:AE82)</f>
        <v>5.5743009804557028E-2</v>
      </c>
      <c r="AF35" s="787"/>
      <c r="AG35" s="787"/>
      <c r="AH35" s="787"/>
      <c r="AI35" s="787"/>
      <c r="AJ35" s="787"/>
      <c r="AL35" s="6"/>
      <c r="AM35" s="945"/>
      <c r="AN35" s="945" t="e">
        <f>AN36/AVERAGE(AM82:AN82)</f>
        <v>#DIV/0!</v>
      </c>
      <c r="AO35" s="787"/>
      <c r="AP35" s="787"/>
      <c r="AQ35" s="787"/>
      <c r="AR35" s="787"/>
      <c r="AS35" s="787"/>
      <c r="AU35" s="6"/>
      <c r="AV35" s="945"/>
      <c r="AW35" s="945"/>
      <c r="AX35" s="787"/>
      <c r="AY35" s="787"/>
      <c r="AZ35" s="787"/>
      <c r="BA35" s="787"/>
      <c r="BB35" s="787"/>
      <c r="BD35" s="6"/>
      <c r="BE35" s="945"/>
      <c r="BF35" s="945"/>
      <c r="BG35" s="787"/>
      <c r="BH35" s="787"/>
      <c r="BI35" s="787"/>
      <c r="BJ35" s="787"/>
      <c r="BK35" s="787"/>
    </row>
    <row r="36" spans="2:63" ht="12" customHeight="1" x14ac:dyDescent="0.25">
      <c r="B36" s="6" t="s">
        <v>39</v>
      </c>
      <c r="C36" s="7">
        <f t="shared" ref="C36:C37" si="122">+M36+V36+AE36+AN36+BF36</f>
        <v>783.59299999999996</v>
      </c>
      <c r="D36" s="8">
        <f>D35*AVERAGE(C82)</f>
        <v>399.42026999999996</v>
      </c>
      <c r="E36" s="8">
        <f>E35*AVERAGE(D82)</f>
        <v>1749.4202700000001</v>
      </c>
      <c r="F36" s="8">
        <f t="shared" ref="F36" si="123">F35*AVERAGE(E82:F82)</f>
        <v>3924.4202700000001</v>
      </c>
      <c r="G36" s="8">
        <f t="shared" ref="G36" si="124">G35*AVERAGE(F82:G82)</f>
        <v>5139.4202699999996</v>
      </c>
      <c r="H36" s="8">
        <f t="shared" ref="H36" si="125">H35*AVERAGE(G82:H82)</f>
        <v>6144.4202700000005</v>
      </c>
      <c r="J36" s="6" t="s">
        <v>39</v>
      </c>
      <c r="K36" s="7">
        <v>189.56800000000001</v>
      </c>
      <c r="L36" s="7">
        <v>140.18100000000001</v>
      </c>
      <c r="M36" s="7">
        <v>206.99600000000001</v>
      </c>
      <c r="N36" s="7">
        <v>158.70400000000001</v>
      </c>
      <c r="O36" s="8">
        <f>O35*AVERAGE(N82)</f>
        <v>168.49600000000001</v>
      </c>
      <c r="P36" s="8">
        <f t="shared" ref="P36:R36" si="126">P35*AVERAGE(O82:P82)</f>
        <v>164.28360000000001</v>
      </c>
      <c r="Q36" s="8">
        <f t="shared" si="126"/>
        <v>155.8588</v>
      </c>
      <c r="R36" s="8">
        <f t="shared" si="126"/>
        <v>147.64462</v>
      </c>
      <c r="T36" s="6" t="s">
        <v>39</v>
      </c>
      <c r="U36" s="7"/>
      <c r="V36" s="7">
        <v>68.36</v>
      </c>
      <c r="W36" s="8"/>
      <c r="X36" s="8"/>
      <c r="Y36" s="8"/>
      <c r="Z36" s="8"/>
      <c r="AA36" s="8"/>
      <c r="AC36" s="6" t="s">
        <v>39</v>
      </c>
      <c r="AD36" s="7"/>
      <c r="AE36" s="7">
        <v>91.16</v>
      </c>
      <c r="AF36" s="8"/>
      <c r="AG36" s="8"/>
      <c r="AH36" s="8"/>
      <c r="AI36" s="8"/>
      <c r="AJ36" s="8"/>
      <c r="AL36" s="6" t="s">
        <v>39</v>
      </c>
      <c r="AM36" s="7"/>
      <c r="AN36" s="7"/>
      <c r="AO36" s="8"/>
      <c r="AP36" s="8"/>
      <c r="AQ36" s="8"/>
      <c r="AR36" s="8"/>
      <c r="AS36" s="8"/>
      <c r="AU36" s="6"/>
      <c r="AV36" s="7"/>
      <c r="AW36" s="7"/>
      <c r="AX36" s="8"/>
      <c r="AY36" s="8"/>
      <c r="AZ36" s="8"/>
      <c r="BA36" s="8"/>
      <c r="BB36" s="8"/>
      <c r="BD36" s="6" t="s">
        <v>39</v>
      </c>
      <c r="BE36" s="7"/>
      <c r="BF36" s="7">
        <v>417.077</v>
      </c>
      <c r="BG36" s="8"/>
      <c r="BH36" s="8"/>
      <c r="BI36" s="8"/>
      <c r="BJ36" s="8"/>
      <c r="BK36" s="8"/>
    </row>
    <row r="37" spans="2:63" ht="12" customHeight="1" x14ac:dyDescent="0.25">
      <c r="B37" s="6" t="s">
        <v>307</v>
      </c>
      <c r="C37" s="7">
        <f t="shared" si="122"/>
        <v>61.109000000000002</v>
      </c>
      <c r="D37" s="8"/>
      <c r="E37" s="8"/>
      <c r="F37" s="8"/>
      <c r="G37" s="8"/>
      <c r="H37" s="8"/>
      <c r="J37" s="6" t="s">
        <v>307</v>
      </c>
      <c r="K37" s="7">
        <v>-190.642</v>
      </c>
      <c r="L37" s="7"/>
      <c r="M37" s="7">
        <v>61.109000000000002</v>
      </c>
      <c r="N37" s="7">
        <v>0</v>
      </c>
      <c r="O37" s="8"/>
      <c r="P37" s="8"/>
      <c r="Q37" s="8"/>
      <c r="R37" s="8"/>
      <c r="T37" s="6" t="s">
        <v>307</v>
      </c>
      <c r="U37" s="7"/>
      <c r="V37" s="7"/>
      <c r="W37" s="8"/>
      <c r="X37" s="8"/>
      <c r="Y37" s="8"/>
      <c r="Z37" s="8"/>
      <c r="AA37" s="8"/>
      <c r="AC37" s="6" t="s">
        <v>307</v>
      </c>
      <c r="AD37" s="7"/>
      <c r="AE37" s="7"/>
      <c r="AF37" s="8"/>
      <c r="AG37" s="8"/>
      <c r="AH37" s="8"/>
      <c r="AI37" s="8"/>
      <c r="AJ37" s="8"/>
      <c r="AL37" s="6" t="s">
        <v>307</v>
      </c>
      <c r="AM37" s="7"/>
      <c r="AN37" s="7"/>
      <c r="AO37" s="8"/>
      <c r="AP37" s="8"/>
      <c r="AQ37" s="8"/>
      <c r="AR37" s="8"/>
      <c r="AS37" s="8"/>
      <c r="AU37" s="6"/>
      <c r="AV37" s="7"/>
      <c r="AW37" s="7"/>
      <c r="AX37" s="8"/>
      <c r="AY37" s="8"/>
      <c r="AZ37" s="8"/>
      <c r="BA37" s="8"/>
      <c r="BB37" s="8"/>
      <c r="BD37" s="6" t="s">
        <v>307</v>
      </c>
      <c r="BE37" s="7"/>
      <c r="BF37" s="7"/>
      <c r="BG37" s="8"/>
      <c r="BH37" s="8"/>
      <c r="BI37" s="8"/>
      <c r="BJ37" s="8"/>
      <c r="BK37" s="8"/>
    </row>
    <row r="38" spans="2:63" ht="12" customHeight="1" x14ac:dyDescent="0.25">
      <c r="B38" s="6"/>
      <c r="C38" s="7"/>
      <c r="D38" s="8"/>
      <c r="E38" s="8"/>
      <c r="F38" s="8"/>
      <c r="G38" s="8"/>
      <c r="H38" s="8"/>
      <c r="J38" s="6"/>
      <c r="K38" s="7"/>
      <c r="L38" s="7"/>
      <c r="M38" s="7"/>
      <c r="N38" s="7"/>
      <c r="O38" s="8"/>
      <c r="P38" s="8"/>
      <c r="Q38" s="8"/>
      <c r="R38" s="8"/>
      <c r="T38" s="6"/>
      <c r="U38" s="7"/>
      <c r="V38" s="7"/>
      <c r="W38" s="8"/>
      <c r="X38" s="8"/>
      <c r="Y38" s="8"/>
      <c r="Z38" s="8"/>
      <c r="AA38" s="8"/>
      <c r="AC38" s="6"/>
      <c r="AD38" s="7"/>
      <c r="AE38" s="7"/>
      <c r="AF38" s="8"/>
      <c r="AG38" s="8"/>
      <c r="AH38" s="8"/>
      <c r="AI38" s="8"/>
      <c r="AJ38" s="8"/>
      <c r="AL38" s="6"/>
      <c r="AM38" s="7"/>
      <c r="AN38" s="7"/>
      <c r="AO38" s="8"/>
      <c r="AP38" s="8"/>
      <c r="AQ38" s="8"/>
      <c r="AR38" s="8"/>
      <c r="AS38" s="8"/>
      <c r="AU38" s="6"/>
      <c r="AV38" s="7"/>
      <c r="AW38" s="7"/>
      <c r="AX38" s="8"/>
      <c r="AY38" s="8"/>
      <c r="AZ38" s="8"/>
      <c r="BA38" s="8"/>
      <c r="BB38" s="8"/>
      <c r="BD38" s="6"/>
      <c r="BE38" s="7"/>
      <c r="BF38" s="7"/>
      <c r="BG38" s="8"/>
      <c r="BH38" s="8"/>
      <c r="BI38" s="8"/>
      <c r="BJ38" s="8"/>
      <c r="BK38" s="8"/>
    </row>
    <row r="39" spans="2:63" ht="12" customHeight="1" x14ac:dyDescent="0.25">
      <c r="B39" s="9" t="s">
        <v>40</v>
      </c>
      <c r="C39" s="10">
        <f t="shared" ref="C39:H39" si="127">C33-C36-C37</f>
        <v>-986.27599999999984</v>
      </c>
      <c r="D39" s="5">
        <f t="shared" ca="1" si="127"/>
        <v>106.86604660388105</v>
      </c>
      <c r="E39" s="5">
        <f t="shared" ca="1" si="127"/>
        <v>913.72073742792918</v>
      </c>
      <c r="F39" s="5">
        <f t="shared" ca="1" si="127"/>
        <v>913.38704854127036</v>
      </c>
      <c r="G39" s="5">
        <f t="shared" ca="1" si="127"/>
        <v>4158.2293597826765</v>
      </c>
      <c r="H39" s="5">
        <f t="shared" ca="1" si="127"/>
        <v>7761.2519171760177</v>
      </c>
      <c r="J39" s="9" t="s">
        <v>40</v>
      </c>
      <c r="K39" s="10">
        <f t="shared" ref="K39:R39" si="128">K33-K36-K37</f>
        <v>682.25100000000043</v>
      </c>
      <c r="L39" s="10">
        <f t="shared" si="128"/>
        <v>120.10800000000066</v>
      </c>
      <c r="M39" s="10">
        <f t="shared" si="128"/>
        <v>-669.42999999999915</v>
      </c>
      <c r="N39" s="10">
        <f t="shared" ref="N39" si="129">N33-N36-N37</f>
        <v>486.81900000000024</v>
      </c>
      <c r="O39" s="5">
        <f t="shared" ca="1" si="128"/>
        <v>639.09713006345896</v>
      </c>
      <c r="P39" s="5">
        <f t="shared" ca="1" si="128"/>
        <v>1208.5084037386521</v>
      </c>
      <c r="Q39" s="5">
        <f t="shared" ca="1" si="128"/>
        <v>1842.5864096274436</v>
      </c>
      <c r="R39" s="5">
        <f t="shared" ca="1" si="128"/>
        <v>2660.0797199367894</v>
      </c>
      <c r="T39" s="9" t="s">
        <v>40</v>
      </c>
      <c r="U39" s="10"/>
      <c r="V39" s="10">
        <f t="shared" ref="V39" si="130">V33-V36-V37</f>
        <v>136.42599999999993</v>
      </c>
      <c r="W39" s="5"/>
      <c r="X39" s="5"/>
      <c r="Y39" s="5"/>
      <c r="Z39" s="5"/>
      <c r="AA39" s="5"/>
      <c r="AC39" s="9" t="s">
        <v>40</v>
      </c>
      <c r="AD39" s="10"/>
      <c r="AE39" s="10">
        <f t="shared" ref="AE39" si="131">AE33-AE36-AE37</f>
        <v>145.91200000000001</v>
      </c>
      <c r="AF39" s="5"/>
      <c r="AG39" s="5"/>
      <c r="AH39" s="5"/>
      <c r="AI39" s="5"/>
      <c r="AJ39" s="5"/>
      <c r="AL39" s="9" t="s">
        <v>40</v>
      </c>
      <c r="AM39" s="10"/>
      <c r="AN39" s="10">
        <f t="shared" ref="AN39" si="132">AN33-AN36-AN37</f>
        <v>7.9479999999999995</v>
      </c>
      <c r="AO39" s="5"/>
      <c r="AP39" s="5"/>
      <c r="AQ39" s="5"/>
      <c r="AR39" s="5"/>
      <c r="AS39" s="5"/>
      <c r="AU39" s="9"/>
      <c r="AV39" s="10"/>
      <c r="AW39" s="10"/>
      <c r="AX39" s="5"/>
      <c r="AY39" s="5"/>
      <c r="AZ39" s="5"/>
      <c r="BA39" s="5"/>
      <c r="BB39" s="5"/>
      <c r="BD39" s="9" t="s">
        <v>40</v>
      </c>
      <c r="BE39" s="10"/>
      <c r="BF39" s="10">
        <f t="shared" ref="BF39" si="133">BF33-BF36-BF37</f>
        <v>-342.14800000000002</v>
      </c>
      <c r="BG39" s="5"/>
      <c r="BH39" s="5"/>
      <c r="BI39" s="5"/>
      <c r="BJ39" s="5"/>
      <c r="BK39" s="5"/>
    </row>
    <row r="40" spans="2:63" ht="12" customHeight="1" x14ac:dyDescent="0.25">
      <c r="B40" s="6"/>
      <c r="C40" s="7"/>
      <c r="D40" s="8"/>
      <c r="E40" s="8"/>
      <c r="F40" s="8"/>
      <c r="G40" s="8"/>
      <c r="H40" s="8"/>
      <c r="J40" s="6"/>
      <c r="K40" s="7"/>
      <c r="L40" s="7"/>
      <c r="M40" s="7"/>
      <c r="N40" s="7"/>
      <c r="O40" s="8"/>
      <c r="P40" s="8"/>
      <c r="Q40" s="8"/>
      <c r="R40" s="8"/>
      <c r="T40" s="9"/>
      <c r="U40" s="7"/>
      <c r="V40" s="7"/>
      <c r="W40" s="8"/>
      <c r="X40" s="8"/>
      <c r="Y40" s="8"/>
      <c r="Z40" s="8"/>
      <c r="AA40" s="8"/>
      <c r="AC40" s="9"/>
      <c r="AD40" s="7"/>
      <c r="AE40" s="7"/>
      <c r="AF40" s="8"/>
      <c r="AG40" s="8"/>
      <c r="AH40" s="8"/>
      <c r="AI40" s="8"/>
      <c r="AJ40" s="8"/>
      <c r="AL40" s="9"/>
      <c r="AM40" s="7"/>
      <c r="AN40" s="7"/>
      <c r="AO40" s="8"/>
      <c r="AP40" s="8"/>
      <c r="AQ40" s="8"/>
      <c r="AR40" s="8"/>
      <c r="AS40" s="8"/>
      <c r="AU40" s="6"/>
      <c r="AV40" s="7"/>
      <c r="AW40" s="7"/>
      <c r="AX40" s="8"/>
      <c r="AY40" s="8"/>
      <c r="AZ40" s="8"/>
      <c r="BA40" s="8"/>
      <c r="BB40" s="8"/>
      <c r="BD40" s="9"/>
      <c r="BE40" s="7"/>
      <c r="BF40" s="7"/>
      <c r="BG40" s="8"/>
      <c r="BH40" s="8"/>
      <c r="BI40" s="8"/>
      <c r="BJ40" s="8"/>
      <c r="BK40" s="8"/>
    </row>
    <row r="41" spans="2:63" ht="12" customHeight="1" x14ac:dyDescent="0.25">
      <c r="B41" s="6" t="s">
        <v>41</v>
      </c>
      <c r="C41" s="7"/>
      <c r="D41" s="8"/>
      <c r="E41" s="8"/>
      <c r="F41" s="8"/>
      <c r="G41" s="8"/>
      <c r="H41" s="8"/>
      <c r="J41" s="6" t="s">
        <v>41</v>
      </c>
      <c r="K41" s="7"/>
      <c r="L41" s="7"/>
      <c r="M41" s="7"/>
      <c r="N41" s="7"/>
      <c r="O41" s="8"/>
      <c r="P41" s="8"/>
      <c r="Q41" s="8"/>
      <c r="R41" s="8"/>
      <c r="T41" s="6" t="s">
        <v>41</v>
      </c>
      <c r="U41" s="7"/>
      <c r="V41" s="7"/>
      <c r="W41" s="8"/>
      <c r="X41" s="8"/>
      <c r="Y41" s="8"/>
      <c r="Z41" s="8"/>
      <c r="AA41" s="8"/>
      <c r="AC41" s="6" t="s">
        <v>41</v>
      </c>
      <c r="AD41" s="7"/>
      <c r="AE41" s="7"/>
      <c r="AF41" s="8"/>
      <c r="AG41" s="8"/>
      <c r="AH41" s="8"/>
      <c r="AI41" s="8"/>
      <c r="AJ41" s="8"/>
      <c r="AL41" s="6" t="s">
        <v>41</v>
      </c>
      <c r="AM41" s="7"/>
      <c r="AN41" s="7"/>
      <c r="AO41" s="8"/>
      <c r="AP41" s="8"/>
      <c r="AQ41" s="8"/>
      <c r="AR41" s="8"/>
      <c r="AS41" s="8"/>
      <c r="AU41" s="6"/>
      <c r="AV41" s="7"/>
      <c r="AW41" s="7"/>
      <c r="AX41" s="8"/>
      <c r="AY41" s="8"/>
      <c r="AZ41" s="8"/>
      <c r="BA41" s="8"/>
      <c r="BB41" s="8"/>
      <c r="BD41" s="6" t="s">
        <v>41</v>
      </c>
      <c r="BE41" s="7"/>
      <c r="BF41" s="7"/>
      <c r="BG41" s="8"/>
      <c r="BH41" s="8"/>
      <c r="BI41" s="8"/>
      <c r="BJ41" s="8"/>
      <c r="BK41" s="8"/>
    </row>
    <row r="42" spans="2:63" ht="12" customHeight="1" x14ac:dyDescent="0.25">
      <c r="B42" s="6" t="s">
        <v>42</v>
      </c>
      <c r="C42" s="7">
        <f t="shared" ref="C42:C44" si="134">+M42+V42+AE42+AN42+BF42</f>
        <v>2.0049999999999999</v>
      </c>
      <c r="D42" s="8"/>
      <c r="E42" s="8"/>
      <c r="F42" s="8"/>
      <c r="G42" s="8"/>
      <c r="H42" s="8"/>
      <c r="J42" s="6" t="s">
        <v>42</v>
      </c>
      <c r="K42" s="7">
        <v>185.91200000000001</v>
      </c>
      <c r="L42" s="7">
        <v>19.401</v>
      </c>
      <c r="M42" s="7"/>
      <c r="N42" s="7">
        <v>83.930999999999997</v>
      </c>
      <c r="O42" s="8"/>
      <c r="P42" s="8"/>
      <c r="Q42" s="8"/>
      <c r="R42" s="8"/>
      <c r="T42" s="6" t="s">
        <v>42</v>
      </c>
      <c r="U42" s="7"/>
      <c r="V42" s="7"/>
      <c r="W42" s="8"/>
      <c r="X42" s="8"/>
      <c r="Y42" s="8"/>
      <c r="Z42" s="8"/>
      <c r="AA42" s="8"/>
      <c r="AC42" s="6" t="s">
        <v>42</v>
      </c>
      <c r="AD42" s="7"/>
      <c r="AE42" s="7"/>
      <c r="AF42" s="8"/>
      <c r="AG42" s="8"/>
      <c r="AH42" s="8"/>
      <c r="AI42" s="8"/>
      <c r="AJ42" s="8"/>
      <c r="AL42" s="6" t="s">
        <v>42</v>
      </c>
      <c r="AM42" s="7"/>
      <c r="AN42" s="7">
        <v>2.0049999999999999</v>
      </c>
      <c r="AO42" s="8"/>
      <c r="AP42" s="8"/>
      <c r="AQ42" s="8"/>
      <c r="AR42" s="8"/>
      <c r="AS42" s="8"/>
      <c r="AU42" s="6"/>
      <c r="AV42" s="7"/>
      <c r="AW42" s="7"/>
      <c r="AX42" s="8"/>
      <c r="AY42" s="8"/>
      <c r="AZ42" s="8"/>
      <c r="BA42" s="8"/>
      <c r="BB42" s="8"/>
      <c r="BD42" s="6" t="s">
        <v>42</v>
      </c>
      <c r="BE42" s="7"/>
      <c r="BF42" s="7"/>
      <c r="BG42" s="8"/>
      <c r="BH42" s="8"/>
      <c r="BI42" s="8"/>
      <c r="BJ42" s="8"/>
      <c r="BK42" s="8"/>
    </row>
    <row r="43" spans="2:63" ht="12" customHeight="1" x14ac:dyDescent="0.25">
      <c r="B43" s="6" t="s">
        <v>43</v>
      </c>
      <c r="C43" s="7">
        <f t="shared" si="134"/>
        <v>-141.73599999999999</v>
      </c>
      <c r="D43" s="8"/>
      <c r="E43" s="8"/>
      <c r="F43" s="8"/>
      <c r="G43" s="8"/>
      <c r="H43" s="8"/>
      <c r="J43" s="6" t="s">
        <v>43</v>
      </c>
      <c r="K43" s="7">
        <v>-237.42099999999999</v>
      </c>
      <c r="L43" s="7">
        <v>22.05</v>
      </c>
      <c r="M43" s="7">
        <v>-212.79499999999999</v>
      </c>
      <c r="N43" s="7">
        <v>101.432</v>
      </c>
      <c r="O43" s="8"/>
      <c r="P43" s="8"/>
      <c r="Q43" s="8"/>
      <c r="R43" s="8"/>
      <c r="T43" s="6" t="s">
        <v>43</v>
      </c>
      <c r="U43" s="7"/>
      <c r="V43" s="7">
        <v>34.335999999999999</v>
      </c>
      <c r="W43" s="8"/>
      <c r="X43" s="8"/>
      <c r="Y43" s="8"/>
      <c r="Z43" s="8"/>
      <c r="AA43" s="8"/>
      <c r="AC43" s="6" t="s">
        <v>43</v>
      </c>
      <c r="AD43" s="7"/>
      <c r="AE43" s="7">
        <v>36.722999999999999</v>
      </c>
      <c r="AF43" s="8"/>
      <c r="AG43" s="8"/>
      <c r="AH43" s="8"/>
      <c r="AI43" s="8"/>
      <c r="AJ43" s="8"/>
      <c r="AL43" s="6" t="s">
        <v>43</v>
      </c>
      <c r="AM43" s="7"/>
      <c r="AN43" s="7"/>
      <c r="AO43" s="8"/>
      <c r="AP43" s="8"/>
      <c r="AQ43" s="8"/>
      <c r="AR43" s="8"/>
      <c r="AS43" s="8"/>
      <c r="AU43" s="6"/>
      <c r="AV43" s="7"/>
      <c r="AW43" s="7"/>
      <c r="AX43" s="8"/>
      <c r="AY43" s="8"/>
      <c r="AZ43" s="8"/>
      <c r="BA43" s="8"/>
      <c r="BB43" s="8"/>
      <c r="BD43" s="6" t="s">
        <v>43</v>
      </c>
      <c r="BE43" s="7"/>
      <c r="BF43" s="7"/>
      <c r="BG43" s="8"/>
      <c r="BH43" s="8"/>
      <c r="BI43" s="8"/>
      <c r="BJ43" s="8"/>
      <c r="BK43" s="8"/>
    </row>
    <row r="44" spans="2:63" ht="12" customHeight="1" x14ac:dyDescent="0.25">
      <c r="B44" s="6" t="s">
        <v>44</v>
      </c>
      <c r="C44" s="7">
        <f t="shared" si="134"/>
        <v>-3.6149999999999998</v>
      </c>
      <c r="D44" s="8"/>
      <c r="E44" s="8"/>
      <c r="F44" s="8"/>
      <c r="G44" s="8"/>
      <c r="H44" s="8"/>
      <c r="J44" s="6" t="s">
        <v>44</v>
      </c>
      <c r="K44" s="7">
        <v>3.8079999999999998</v>
      </c>
      <c r="L44" s="7">
        <v>22.67</v>
      </c>
      <c r="M44" s="7">
        <v>-3.6149999999999998</v>
      </c>
      <c r="N44" s="7"/>
      <c r="O44" s="8"/>
      <c r="P44" s="8"/>
      <c r="Q44" s="8"/>
      <c r="R44" s="8"/>
      <c r="T44" s="6" t="s">
        <v>44</v>
      </c>
      <c r="U44" s="7"/>
      <c r="V44" s="7"/>
      <c r="W44" s="8"/>
      <c r="X44" s="8"/>
      <c r="Y44" s="8"/>
      <c r="Z44" s="8"/>
      <c r="AA44" s="8"/>
      <c r="AC44" s="6" t="s">
        <v>44</v>
      </c>
      <c r="AD44" s="7"/>
      <c r="AE44" s="7"/>
      <c r="AF44" s="8"/>
      <c r="AG44" s="8"/>
      <c r="AH44" s="8"/>
      <c r="AI44" s="8"/>
      <c r="AJ44" s="8"/>
      <c r="AL44" s="6" t="s">
        <v>44</v>
      </c>
      <c r="AM44" s="7"/>
      <c r="AN44" s="7"/>
      <c r="AO44" s="8"/>
      <c r="AP44" s="8"/>
      <c r="AQ44" s="8"/>
      <c r="AR44" s="8"/>
      <c r="AS44" s="8"/>
      <c r="AU44" s="6"/>
      <c r="AV44" s="7"/>
      <c r="AW44" s="7"/>
      <c r="AX44" s="8"/>
      <c r="AY44" s="8"/>
      <c r="AZ44" s="8"/>
      <c r="BA44" s="8"/>
      <c r="BB44" s="8"/>
      <c r="BD44" s="6" t="s">
        <v>44</v>
      </c>
      <c r="BE44" s="7"/>
      <c r="BF44" s="7"/>
      <c r="BG44" s="8"/>
      <c r="BH44" s="8"/>
      <c r="BI44" s="8"/>
      <c r="BJ44" s="8"/>
      <c r="BK44" s="8"/>
    </row>
    <row r="45" spans="2:63" s="18" customFormat="1" ht="12" customHeight="1" x14ac:dyDescent="0.25">
      <c r="B45" s="9" t="s">
        <v>45</v>
      </c>
      <c r="C45" s="10">
        <f>SUM(C42:C44)</f>
        <v>-143.346</v>
      </c>
      <c r="D45" s="5">
        <f t="shared" ref="D45" si="135">SUM(D42:D44)</f>
        <v>0</v>
      </c>
      <c r="E45" s="5">
        <f ca="1">E39*E46</f>
        <v>228.43018435698229</v>
      </c>
      <c r="F45" s="5">
        <f t="shared" ref="F45:H45" ca="1" si="136">F39*F46</f>
        <v>228.34676213531759</v>
      </c>
      <c r="G45" s="5">
        <f t="shared" ca="1" si="136"/>
        <v>1039.5573399456691</v>
      </c>
      <c r="H45" s="5">
        <f t="shared" ca="1" si="136"/>
        <v>1940.3129792940044</v>
      </c>
      <c r="J45" s="9" t="s">
        <v>45</v>
      </c>
      <c r="K45" s="10">
        <f t="shared" ref="K45" si="137">SUM(K42:K44)</f>
        <v>-47.700999999999986</v>
      </c>
      <c r="L45" s="10">
        <f>SUM(L42:L44)</f>
        <v>64.121000000000009</v>
      </c>
      <c r="M45" s="10">
        <f>SUM(M42:M44)</f>
        <v>-216.41</v>
      </c>
      <c r="N45" s="10">
        <f>SUM(N42:N44)</f>
        <v>185.363</v>
      </c>
      <c r="O45" s="5">
        <f ca="1">O39*O46</f>
        <v>159.77428251586474</v>
      </c>
      <c r="P45" s="5">
        <f ca="1">P39*P46</f>
        <v>302.12710093466302</v>
      </c>
      <c r="Q45" s="5">
        <f ca="1">Q39*Q46</f>
        <v>460.64660240686089</v>
      </c>
      <c r="R45" s="5">
        <f ca="1">R39*R46</f>
        <v>665.01992998419735</v>
      </c>
      <c r="T45" s="9" t="s">
        <v>45</v>
      </c>
      <c r="U45" s="10"/>
      <c r="V45" s="10">
        <f>SUM(V42:V44)</f>
        <v>34.335999999999999</v>
      </c>
      <c r="W45" s="5"/>
      <c r="X45" s="5"/>
      <c r="Y45" s="5"/>
      <c r="Z45" s="5"/>
      <c r="AA45" s="5"/>
      <c r="AC45" s="9" t="s">
        <v>45</v>
      </c>
      <c r="AD45" s="10"/>
      <c r="AE45" s="10">
        <f>SUM(AE42:AE44)</f>
        <v>36.722999999999999</v>
      </c>
      <c r="AF45" s="5"/>
      <c r="AG45" s="5"/>
      <c r="AH45" s="5"/>
      <c r="AI45" s="5"/>
      <c r="AJ45" s="5"/>
      <c r="AL45" s="9" t="s">
        <v>45</v>
      </c>
      <c r="AM45" s="10"/>
      <c r="AN45" s="10">
        <f>SUM(AN42:AN44)</f>
        <v>2.0049999999999999</v>
      </c>
      <c r="AO45" s="5"/>
      <c r="AP45" s="5"/>
      <c r="AQ45" s="5"/>
      <c r="AR45" s="5"/>
      <c r="AS45" s="5"/>
      <c r="AU45" s="9"/>
      <c r="AV45" s="10"/>
      <c r="AW45" s="10"/>
      <c r="AX45" s="5"/>
      <c r="AY45" s="5"/>
      <c r="AZ45" s="5"/>
      <c r="BA45" s="5"/>
      <c r="BB45" s="5"/>
      <c r="BD45" s="9" t="s">
        <v>45</v>
      </c>
      <c r="BE45" s="10"/>
      <c r="BF45" s="10">
        <f>SUM(BF42:BF44)</f>
        <v>0</v>
      </c>
      <c r="BG45" s="5"/>
      <c r="BH45" s="5"/>
      <c r="BI45" s="5"/>
      <c r="BJ45" s="5"/>
      <c r="BK45" s="5"/>
    </row>
    <row r="46" spans="2:63" ht="12" customHeight="1" x14ac:dyDescent="0.25">
      <c r="B46" s="19" t="s">
        <v>46</v>
      </c>
      <c r="C46" s="12"/>
      <c r="D46" s="787">
        <v>0.25</v>
      </c>
      <c r="E46" s="787">
        <v>0.25</v>
      </c>
      <c r="F46" s="787">
        <v>0.25</v>
      </c>
      <c r="G46" s="787">
        <v>0.25</v>
      </c>
      <c r="H46" s="787">
        <v>0.25</v>
      </c>
      <c r="J46" s="19" t="s">
        <v>46</v>
      </c>
      <c r="K46" s="12">
        <f t="shared" ref="K46:M46" si="138">IF(ISERROR(K45/K39)," ",K45/K39)</f>
        <v>-6.9917083302186378E-2</v>
      </c>
      <c r="L46" s="12">
        <f t="shared" si="138"/>
        <v>0.53386119159422896</v>
      </c>
      <c r="M46" s="12">
        <f t="shared" si="138"/>
        <v>0.32327502502128719</v>
      </c>
      <c r="N46" s="12">
        <f t="shared" ref="N46" si="139">IF(ISERROR(N45/N39)," ",N45/N39)</f>
        <v>0.3807636924606474</v>
      </c>
      <c r="O46" s="13">
        <v>0.25</v>
      </c>
      <c r="P46" s="13">
        <v>0.25</v>
      </c>
      <c r="Q46" s="13">
        <v>0.25</v>
      </c>
      <c r="R46" s="13">
        <v>0.25</v>
      </c>
      <c r="T46" s="19" t="s">
        <v>46</v>
      </c>
      <c r="U46" s="12"/>
      <c r="V46" s="12">
        <f t="shared" ref="V46" si="140">IF(ISERROR(V45/V39)," ",V45/V39)</f>
        <v>0.25168223065984502</v>
      </c>
      <c r="W46" s="13"/>
      <c r="X46" s="13"/>
      <c r="Y46" s="13"/>
      <c r="Z46" s="13"/>
      <c r="AA46" s="13"/>
      <c r="AC46" s="19" t="s">
        <v>46</v>
      </c>
      <c r="AD46" s="12"/>
      <c r="AE46" s="12">
        <f t="shared" ref="AE46" si="141">IF(ISERROR(AE45/AE39)," ",AE45/AE39)</f>
        <v>0.2516790942485882</v>
      </c>
      <c r="AF46" s="13"/>
      <c r="AG46" s="13"/>
      <c r="AH46" s="13"/>
      <c r="AI46" s="13"/>
      <c r="AJ46" s="13"/>
      <c r="AL46" s="19" t="s">
        <v>46</v>
      </c>
      <c r="AM46" s="12"/>
      <c r="AN46" s="12">
        <f t="shared" ref="AN46" si="142">IF(ISERROR(AN45/AN39)," ",AN45/AN39)</f>
        <v>0.25226472068444894</v>
      </c>
      <c r="AO46" s="13"/>
      <c r="AP46" s="13"/>
      <c r="AQ46" s="13"/>
      <c r="AR46" s="13"/>
      <c r="AS46" s="13"/>
      <c r="AU46" s="19"/>
      <c r="AV46" s="12"/>
      <c r="AW46" s="12"/>
      <c r="AX46" s="13"/>
      <c r="AY46" s="13"/>
      <c r="AZ46" s="13"/>
      <c r="BA46" s="13"/>
      <c r="BB46" s="13"/>
      <c r="BD46" s="19" t="s">
        <v>46</v>
      </c>
      <c r="BE46" s="12"/>
      <c r="BF46" s="12">
        <f t="shared" ref="BF46" si="143">IF(ISERROR(BF45/BF39)," ",BF45/BF39)</f>
        <v>0</v>
      </c>
      <c r="BG46" s="13"/>
      <c r="BH46" s="13"/>
      <c r="BI46" s="13"/>
      <c r="BJ46" s="13"/>
      <c r="BK46" s="13"/>
    </row>
    <row r="47" spans="2:63" ht="12" customHeight="1" x14ac:dyDescent="0.25">
      <c r="B47" s="19"/>
      <c r="C47" s="12"/>
      <c r="D47" s="13"/>
      <c r="E47" s="13"/>
      <c r="F47" s="13"/>
      <c r="G47" s="13"/>
      <c r="H47" s="13"/>
      <c r="J47" s="19"/>
      <c r="K47" s="12"/>
      <c r="L47" s="12"/>
      <c r="M47" s="12"/>
      <c r="N47" s="12"/>
      <c r="O47" s="13"/>
      <c r="P47" s="13"/>
      <c r="Q47" s="13"/>
      <c r="R47" s="13"/>
      <c r="T47" s="19"/>
      <c r="U47" s="12"/>
      <c r="V47" s="12"/>
      <c r="W47" s="13"/>
      <c r="X47" s="13"/>
      <c r="Y47" s="13"/>
      <c r="Z47" s="13"/>
      <c r="AA47" s="13"/>
      <c r="AC47" s="19"/>
      <c r="AD47" s="12"/>
      <c r="AE47" s="12"/>
      <c r="AF47" s="13"/>
      <c r="AG47" s="13"/>
      <c r="AH47" s="13"/>
      <c r="AI47" s="13"/>
      <c r="AJ47" s="13"/>
      <c r="AL47" s="19"/>
      <c r="AM47" s="12"/>
      <c r="AN47" s="12"/>
      <c r="AO47" s="13"/>
      <c r="AP47" s="13"/>
      <c r="AQ47" s="13"/>
      <c r="AR47" s="13"/>
      <c r="AS47" s="13"/>
      <c r="AU47" s="19"/>
      <c r="AV47" s="12"/>
      <c r="AW47" s="12"/>
      <c r="AX47" s="13"/>
      <c r="AY47" s="13"/>
      <c r="AZ47" s="13"/>
      <c r="BA47" s="13"/>
      <c r="BB47" s="13"/>
      <c r="BD47" s="19"/>
      <c r="BE47" s="12"/>
      <c r="BF47" s="12"/>
      <c r="BG47" s="13"/>
      <c r="BH47" s="13"/>
      <c r="BI47" s="13"/>
      <c r="BJ47" s="13"/>
      <c r="BK47" s="13"/>
    </row>
    <row r="48" spans="2:63" ht="12" customHeight="1" x14ac:dyDescent="0.25">
      <c r="B48" s="9" t="s">
        <v>47</v>
      </c>
      <c r="C48" s="10">
        <f t="shared" ref="C48:H48" si="144">C39-C40-C45</f>
        <v>-842.92999999999984</v>
      </c>
      <c r="D48" s="5">
        <f t="shared" ca="1" si="144"/>
        <v>106.86604660388105</v>
      </c>
      <c r="E48" s="5">
        <f t="shared" ca="1" si="144"/>
        <v>685.29055307094688</v>
      </c>
      <c r="F48" s="5">
        <f t="shared" ca="1" si="144"/>
        <v>685.04028640595277</v>
      </c>
      <c r="G48" s="5">
        <f t="shared" ca="1" si="144"/>
        <v>3118.6720198370076</v>
      </c>
      <c r="H48" s="5">
        <f t="shared" ca="1" si="144"/>
        <v>5820.9389378820133</v>
      </c>
      <c r="J48" s="9" t="s">
        <v>47</v>
      </c>
      <c r="K48" s="10">
        <f t="shared" ref="K48:R48" si="145">K39-K40-K45</f>
        <v>729.95200000000045</v>
      </c>
      <c r="L48" s="10">
        <f t="shared" si="145"/>
        <v>55.987000000000648</v>
      </c>
      <c r="M48" s="10">
        <f t="shared" si="145"/>
        <v>-453.01999999999919</v>
      </c>
      <c r="N48" s="10">
        <f t="shared" ref="N48" si="146">N39-N40-N45</f>
        <v>301.45600000000024</v>
      </c>
      <c r="O48" s="5">
        <f t="shared" ca="1" si="145"/>
        <v>479.32284754759422</v>
      </c>
      <c r="P48" s="5">
        <f t="shared" ca="1" si="145"/>
        <v>906.381302803989</v>
      </c>
      <c r="Q48" s="5">
        <f t="shared" ca="1" si="145"/>
        <v>1381.9398072205827</v>
      </c>
      <c r="R48" s="5">
        <f t="shared" ca="1" si="145"/>
        <v>1995.0597899525919</v>
      </c>
      <c r="T48" s="9" t="s">
        <v>47</v>
      </c>
      <c r="U48" s="10"/>
      <c r="V48" s="10">
        <f t="shared" ref="V48" si="147">V39-V40-V45</f>
        <v>102.08999999999993</v>
      </c>
      <c r="W48" s="5"/>
      <c r="X48" s="5"/>
      <c r="Y48" s="5"/>
      <c r="Z48" s="5"/>
      <c r="AA48" s="5"/>
      <c r="AC48" s="9" t="s">
        <v>47</v>
      </c>
      <c r="AD48" s="10"/>
      <c r="AE48" s="10">
        <f t="shared" ref="AE48" si="148">AE39-AE40-AE45</f>
        <v>109.18900000000001</v>
      </c>
      <c r="AF48" s="5"/>
      <c r="AG48" s="5"/>
      <c r="AH48" s="5"/>
      <c r="AI48" s="5"/>
      <c r="AJ48" s="5"/>
      <c r="AL48" s="9" t="s">
        <v>47</v>
      </c>
      <c r="AM48" s="10"/>
      <c r="AN48" s="10">
        <f t="shared" ref="AN48" si="149">AN39-AN40-AN45</f>
        <v>5.9429999999999996</v>
      </c>
      <c r="AO48" s="5"/>
      <c r="AP48" s="5"/>
      <c r="AQ48" s="5"/>
      <c r="AR48" s="5"/>
      <c r="AS48" s="5"/>
      <c r="AU48" s="9"/>
      <c r="AV48" s="10"/>
      <c r="AW48" s="10"/>
      <c r="AX48" s="5"/>
      <c r="AY48" s="5"/>
      <c r="AZ48" s="5"/>
      <c r="BA48" s="5"/>
      <c r="BB48" s="5"/>
      <c r="BD48" s="9" t="s">
        <v>47</v>
      </c>
      <c r="BE48" s="10"/>
      <c r="BF48" s="10">
        <f t="shared" ref="BF48" si="150">BF39-BF40-BF45</f>
        <v>-342.14800000000002</v>
      </c>
      <c r="BG48" s="5"/>
      <c r="BH48" s="5"/>
      <c r="BI48" s="5"/>
      <c r="BJ48" s="5"/>
      <c r="BK48" s="5"/>
    </row>
    <row r="49" spans="2:63" ht="12" customHeight="1" x14ac:dyDescent="0.25">
      <c r="B49" s="6"/>
      <c r="C49" s="7"/>
      <c r="D49" s="8"/>
      <c r="E49" s="8"/>
      <c r="F49" s="8"/>
      <c r="G49" s="8"/>
      <c r="H49" s="8"/>
      <c r="J49" s="6"/>
      <c r="K49" s="7"/>
      <c r="L49" s="7"/>
      <c r="M49" s="7"/>
      <c r="N49" s="7"/>
      <c r="O49" s="8"/>
      <c r="P49" s="8"/>
      <c r="Q49" s="8"/>
      <c r="R49" s="8"/>
      <c r="T49" s="6"/>
      <c r="U49" s="7"/>
      <c r="V49" s="7"/>
      <c r="W49" s="8"/>
      <c r="X49" s="8"/>
      <c r="Y49" s="8"/>
      <c r="Z49" s="8"/>
      <c r="AA49" s="8"/>
      <c r="AC49" s="6"/>
      <c r="AD49" s="7"/>
      <c r="AE49" s="7"/>
      <c r="AF49" s="8"/>
      <c r="AG49" s="8"/>
      <c r="AH49" s="8"/>
      <c r="AI49" s="8"/>
      <c r="AJ49" s="8"/>
      <c r="AL49" s="6"/>
      <c r="AM49" s="7"/>
      <c r="AN49" s="7"/>
      <c r="AO49" s="8"/>
      <c r="AP49" s="8"/>
      <c r="AQ49" s="8"/>
      <c r="AR49" s="8"/>
      <c r="AS49" s="8"/>
      <c r="AU49" s="6"/>
      <c r="AV49" s="7"/>
      <c r="AW49" s="7"/>
      <c r="AX49" s="8"/>
      <c r="AY49" s="8"/>
      <c r="AZ49" s="8"/>
      <c r="BA49" s="8"/>
      <c r="BB49" s="8"/>
      <c r="BD49" s="6"/>
      <c r="BE49" s="7"/>
      <c r="BF49" s="7"/>
      <c r="BG49" s="8"/>
      <c r="BH49" s="8"/>
      <c r="BI49" s="8"/>
      <c r="BJ49" s="8"/>
      <c r="BK49" s="8"/>
    </row>
    <row r="50" spans="2:63" ht="12" customHeight="1" x14ac:dyDescent="0.25">
      <c r="B50" s="6" t="s">
        <v>48</v>
      </c>
      <c r="C50" s="7">
        <f t="shared" ref="C50:C51" si="151">+M50+V50+AE50+AN50+BF50</f>
        <v>0</v>
      </c>
      <c r="D50" s="8"/>
      <c r="E50" s="8"/>
      <c r="F50" s="8"/>
      <c r="G50" s="8"/>
      <c r="H50" s="8"/>
      <c r="J50" s="6" t="s">
        <v>48</v>
      </c>
      <c r="K50" s="7"/>
      <c r="L50" s="7"/>
      <c r="M50" s="7"/>
      <c r="N50" s="7"/>
      <c r="O50" s="8"/>
      <c r="P50" s="8"/>
      <c r="Q50" s="8"/>
      <c r="R50" s="8"/>
      <c r="T50" s="6" t="s">
        <v>48</v>
      </c>
      <c r="U50" s="7"/>
      <c r="V50" s="7"/>
      <c r="W50" s="8"/>
      <c r="X50" s="8"/>
      <c r="Y50" s="8"/>
      <c r="Z50" s="8"/>
      <c r="AA50" s="8"/>
      <c r="AC50" s="6" t="s">
        <v>48</v>
      </c>
      <c r="AD50" s="7"/>
      <c r="AE50" s="7"/>
      <c r="AF50" s="8"/>
      <c r="AG50" s="8"/>
      <c r="AH50" s="8"/>
      <c r="AI50" s="8"/>
      <c r="AJ50" s="8"/>
      <c r="AL50" s="6" t="s">
        <v>48</v>
      </c>
      <c r="AM50" s="7"/>
      <c r="AN50" s="7"/>
      <c r="AO50" s="8"/>
      <c r="AP50" s="8"/>
      <c r="AQ50" s="8"/>
      <c r="AR50" s="8"/>
      <c r="AS50" s="8"/>
      <c r="AU50" s="6"/>
      <c r="AV50" s="7"/>
      <c r="AW50" s="7"/>
      <c r="AX50" s="8"/>
      <c r="AY50" s="8"/>
      <c r="AZ50" s="8"/>
      <c r="BA50" s="8"/>
      <c r="BB50" s="8"/>
      <c r="BD50" s="6" t="s">
        <v>48</v>
      </c>
      <c r="BE50" s="7"/>
      <c r="BF50" s="7"/>
      <c r="BG50" s="8"/>
      <c r="BH50" s="8"/>
      <c r="BI50" s="8"/>
      <c r="BJ50" s="8"/>
      <c r="BK50" s="8"/>
    </row>
    <row r="51" spans="2:63" ht="12" customHeight="1" x14ac:dyDescent="0.25">
      <c r="B51" s="6" t="s">
        <v>1592</v>
      </c>
      <c r="C51" s="7">
        <f t="shared" si="151"/>
        <v>0</v>
      </c>
      <c r="D51" s="8"/>
      <c r="E51" s="8"/>
      <c r="F51" s="8"/>
      <c r="G51" s="8"/>
      <c r="H51" s="8"/>
      <c r="J51" s="6" t="s">
        <v>1592</v>
      </c>
      <c r="K51" s="7">
        <v>194.959</v>
      </c>
      <c r="L51" s="7">
        <f>-73.097</f>
        <v>-73.096999999999994</v>
      </c>
      <c r="M51" s="7"/>
      <c r="N51" s="7"/>
      <c r="O51" s="8"/>
      <c r="P51" s="8"/>
      <c r="Q51" s="8"/>
      <c r="R51" s="8"/>
      <c r="T51" s="6" t="s">
        <v>1592</v>
      </c>
      <c r="U51" s="7"/>
      <c r="V51" s="7"/>
      <c r="W51" s="8"/>
      <c r="X51" s="8"/>
      <c r="Y51" s="8"/>
      <c r="Z51" s="8"/>
      <c r="AA51" s="8"/>
      <c r="AC51" s="6" t="s">
        <v>1592</v>
      </c>
      <c r="AD51" s="7"/>
      <c r="AE51" s="7"/>
      <c r="AF51" s="8"/>
      <c r="AG51" s="8"/>
      <c r="AH51" s="8"/>
      <c r="AI51" s="8"/>
      <c r="AJ51" s="8"/>
      <c r="AL51" s="6" t="s">
        <v>1592</v>
      </c>
      <c r="AM51" s="7"/>
      <c r="AN51" s="7"/>
      <c r="AO51" s="8"/>
      <c r="AP51" s="8"/>
      <c r="AQ51" s="8"/>
      <c r="AR51" s="8"/>
      <c r="AS51" s="8"/>
      <c r="AU51" s="6"/>
      <c r="AV51" s="7"/>
      <c r="AW51" s="7"/>
      <c r="AX51" s="8"/>
      <c r="AY51" s="8"/>
      <c r="AZ51" s="8"/>
      <c r="BA51" s="8"/>
      <c r="BB51" s="8"/>
      <c r="BD51" s="6" t="s">
        <v>1592</v>
      </c>
      <c r="BE51" s="7"/>
      <c r="BF51" s="7"/>
      <c r="BG51" s="8"/>
      <c r="BH51" s="8"/>
      <c r="BI51" s="8"/>
      <c r="BJ51" s="8"/>
      <c r="BK51" s="8"/>
    </row>
    <row r="52" spans="2:63" ht="12" customHeight="1" x14ac:dyDescent="0.25">
      <c r="B52" s="6"/>
      <c r="C52" s="7"/>
      <c r="D52" s="8"/>
      <c r="E52" s="8"/>
      <c r="F52" s="8"/>
      <c r="G52" s="8"/>
      <c r="H52" s="8"/>
      <c r="J52" s="6"/>
      <c r="K52" s="7"/>
      <c r="L52" s="7"/>
      <c r="M52" s="7"/>
      <c r="N52" s="7"/>
      <c r="O52" s="8"/>
      <c r="P52" s="8"/>
      <c r="Q52" s="8"/>
      <c r="R52" s="8"/>
      <c r="T52" s="6"/>
      <c r="U52" s="7"/>
      <c r="V52" s="7"/>
      <c r="W52" s="8"/>
      <c r="X52" s="8"/>
      <c r="Y52" s="8"/>
      <c r="Z52" s="8"/>
      <c r="AA52" s="8"/>
      <c r="AC52" s="6"/>
      <c r="AD52" s="7"/>
      <c r="AE52" s="7"/>
      <c r="AF52" s="8"/>
      <c r="AG52" s="8"/>
      <c r="AH52" s="8"/>
      <c r="AI52" s="8"/>
      <c r="AJ52" s="8"/>
      <c r="AL52" s="6"/>
      <c r="AM52" s="7"/>
      <c r="AN52" s="7"/>
      <c r="AO52" s="8"/>
      <c r="AP52" s="8"/>
      <c r="AQ52" s="8"/>
      <c r="AR52" s="8"/>
      <c r="AS52" s="8"/>
      <c r="AU52" s="6"/>
      <c r="AV52" s="7"/>
      <c r="AW52" s="7"/>
      <c r="AX52" s="8"/>
      <c r="AY52" s="8"/>
      <c r="AZ52" s="8"/>
      <c r="BA52" s="8"/>
      <c r="BB52" s="8"/>
      <c r="BD52" s="6"/>
      <c r="BE52" s="7"/>
      <c r="BF52" s="7"/>
      <c r="BG52" s="8"/>
      <c r="BH52" s="8"/>
      <c r="BI52" s="8"/>
      <c r="BJ52" s="8"/>
      <c r="BK52" s="8"/>
    </row>
    <row r="53" spans="2:63" ht="12" customHeight="1" x14ac:dyDescent="0.25">
      <c r="B53" s="9" t="s">
        <v>50</v>
      </c>
      <c r="C53" s="10">
        <f t="shared" ref="C53:H53" si="152">C48-C50+C51</f>
        <v>-842.92999999999984</v>
      </c>
      <c r="D53" s="5">
        <f t="shared" ca="1" si="152"/>
        <v>106.86604660388105</v>
      </c>
      <c r="E53" s="5">
        <f t="shared" ca="1" si="152"/>
        <v>685.29055307094688</v>
      </c>
      <c r="F53" s="5">
        <f t="shared" ca="1" si="152"/>
        <v>685.04028640595277</v>
      </c>
      <c r="G53" s="5">
        <f t="shared" ca="1" si="152"/>
        <v>3118.6720198370076</v>
      </c>
      <c r="H53" s="5">
        <f t="shared" ca="1" si="152"/>
        <v>5820.9389378820133</v>
      </c>
      <c r="J53" s="9" t="s">
        <v>50</v>
      </c>
      <c r="K53" s="10">
        <f t="shared" ref="K53:R53" si="153">K48-K50+K51</f>
        <v>924.91100000000051</v>
      </c>
      <c r="L53" s="10">
        <f t="shared" si="153"/>
        <v>-17.109999999999346</v>
      </c>
      <c r="M53" s="10">
        <f t="shared" si="153"/>
        <v>-453.01999999999919</v>
      </c>
      <c r="N53" s="10">
        <f t="shared" ref="N53" si="154">N48-N50+N51</f>
        <v>301.45600000000024</v>
      </c>
      <c r="O53" s="5">
        <f t="shared" ca="1" si="153"/>
        <v>479.32284754759422</v>
      </c>
      <c r="P53" s="5">
        <f t="shared" ca="1" si="153"/>
        <v>906.381302803989</v>
      </c>
      <c r="Q53" s="5">
        <f t="shared" ca="1" si="153"/>
        <v>1381.9398072205827</v>
      </c>
      <c r="R53" s="5">
        <f t="shared" ca="1" si="153"/>
        <v>1995.0597899525919</v>
      </c>
      <c r="T53" s="9" t="s">
        <v>50</v>
      </c>
      <c r="U53" s="10"/>
      <c r="V53" s="10">
        <f t="shared" ref="V53" si="155">V48-V50+V51</f>
        <v>102.08999999999993</v>
      </c>
      <c r="W53" s="5"/>
      <c r="X53" s="5"/>
      <c r="Y53" s="5"/>
      <c r="Z53" s="5"/>
      <c r="AA53" s="5"/>
      <c r="AC53" s="9" t="s">
        <v>50</v>
      </c>
      <c r="AD53" s="10"/>
      <c r="AE53" s="10">
        <f t="shared" ref="AE53" si="156">AE48-AE50+AE51</f>
        <v>109.18900000000001</v>
      </c>
      <c r="AF53" s="5"/>
      <c r="AG53" s="5"/>
      <c r="AH53" s="5"/>
      <c r="AI53" s="5"/>
      <c r="AJ53" s="5"/>
      <c r="AL53" s="9" t="s">
        <v>50</v>
      </c>
      <c r="AM53" s="10"/>
      <c r="AN53" s="10">
        <f t="shared" ref="AN53" si="157">AN48-AN50+AN51</f>
        <v>5.9429999999999996</v>
      </c>
      <c r="AO53" s="5"/>
      <c r="AP53" s="5"/>
      <c r="AQ53" s="5"/>
      <c r="AR53" s="5"/>
      <c r="AS53" s="5"/>
      <c r="AU53" s="9"/>
      <c r="AV53" s="10"/>
      <c r="AW53" s="10"/>
      <c r="AX53" s="5"/>
      <c r="AY53" s="5"/>
      <c r="AZ53" s="5"/>
      <c r="BA53" s="5"/>
      <c r="BB53" s="5"/>
      <c r="BD53" s="9" t="s">
        <v>50</v>
      </c>
      <c r="BE53" s="10"/>
      <c r="BF53" s="10">
        <f t="shared" ref="BF53" si="158">BF48-BF50+BF51</f>
        <v>-342.14800000000002</v>
      </c>
      <c r="BG53" s="5"/>
      <c r="BH53" s="5"/>
      <c r="BI53" s="5"/>
      <c r="BJ53" s="5"/>
      <c r="BK53" s="5"/>
    </row>
    <row r="54" spans="2:63" ht="12" customHeight="1" x14ac:dyDescent="0.25">
      <c r="B54" s="15" t="s">
        <v>35</v>
      </c>
      <c r="C54" s="16">
        <f t="shared" ref="C54:H54" si="159">IF(ISERROR(C53/C16)," ",C53/C16)</f>
        <v>-0.33753653946261952</v>
      </c>
      <c r="D54" s="17">
        <f t="shared" ca="1" si="159"/>
        <v>1.4956131527560921E-2</v>
      </c>
      <c r="E54" s="17">
        <f t="shared" ca="1" si="159"/>
        <v>4.2414490345654879E-2</v>
      </c>
      <c r="F54" s="17">
        <f t="shared" ca="1" si="159"/>
        <v>2.4439865324124919E-2</v>
      </c>
      <c r="G54" s="17">
        <f t="shared" ca="1" si="159"/>
        <v>5.8505451692048828E-2</v>
      </c>
      <c r="H54" s="17">
        <f t="shared" ca="1" si="159"/>
        <v>7.6375366160148894E-2</v>
      </c>
      <c r="J54" s="15" t="s">
        <v>35</v>
      </c>
      <c r="K54" s="16">
        <f t="shared" ref="K54:R54" si="160">IF(ISERROR(K53/K16)," ",K53/K16)</f>
        <v>0.20948328071965913</v>
      </c>
      <c r="L54" s="16">
        <f t="shared" si="160"/>
        <v>-3.9344983066248911E-3</v>
      </c>
      <c r="M54" s="16">
        <f t="shared" si="160"/>
        <v>-9.3503737920386867E-2</v>
      </c>
      <c r="N54" s="16">
        <f t="shared" ref="N54" si="161">IF(ISERROR(N53/N16)," ",N53/N16)</f>
        <v>4.385076693312142E-2</v>
      </c>
      <c r="O54" s="17">
        <f t="shared" ca="1" si="160"/>
        <v>6.4469584035917071E-2</v>
      </c>
      <c r="P54" s="17">
        <f t="shared" ca="1" si="160"/>
        <v>0.11835877206807946</v>
      </c>
      <c r="Q54" s="17">
        <f t="shared" ca="1" si="160"/>
        <v>0.17520295025305088</v>
      </c>
      <c r="R54" s="17">
        <f t="shared" ca="1" si="160"/>
        <v>0.22994052490866365</v>
      </c>
      <c r="T54" s="15" t="s">
        <v>35</v>
      </c>
      <c r="U54" s="16"/>
      <c r="V54" s="16">
        <f t="shared" ref="V54" si="162">IF(ISERROR(V53/V16)," ",V53/V16)</f>
        <v>0.10575252727719089</v>
      </c>
      <c r="W54" s="17"/>
      <c r="X54" s="17"/>
      <c r="Y54" s="17"/>
      <c r="Z54" s="17"/>
      <c r="AA54" s="17"/>
      <c r="AC54" s="15" t="s">
        <v>35</v>
      </c>
      <c r="AD54" s="16"/>
      <c r="AE54" s="16">
        <f t="shared" ref="AE54" si="163">IF(ISERROR(AE53/AE16)," ",AE53/AE16)</f>
        <v>0.3514109347442681</v>
      </c>
      <c r="AF54" s="17"/>
      <c r="AG54" s="17"/>
      <c r="AH54" s="17"/>
      <c r="AI54" s="17"/>
      <c r="AJ54" s="17"/>
      <c r="AL54" s="15" t="s">
        <v>35</v>
      </c>
      <c r="AM54" s="16"/>
      <c r="AN54" s="16">
        <f t="shared" ref="AN54" si="164">IF(ISERROR(AN53/AN16)," ",AN53/AN16)</f>
        <v>270.13636363636363</v>
      </c>
      <c r="AO54" s="17"/>
      <c r="AP54" s="17"/>
      <c r="AQ54" s="17"/>
      <c r="AR54" s="17"/>
      <c r="AS54" s="17"/>
      <c r="AU54" s="15"/>
      <c r="AV54" s="16"/>
      <c r="AW54" s="16"/>
      <c r="AX54" s="17"/>
      <c r="AY54" s="17"/>
      <c r="AZ54" s="17"/>
      <c r="BA54" s="17"/>
      <c r="BB54" s="17"/>
      <c r="BD54" s="15" t="s">
        <v>35</v>
      </c>
      <c r="BE54" s="16"/>
      <c r="BF54" s="16" t="str">
        <f t="shared" ref="BF54" si="165">IF(ISERROR(BF53/BF16)," ",BF53/BF16)</f>
        <v xml:space="preserve"> </v>
      </c>
      <c r="BG54" s="17"/>
      <c r="BH54" s="17"/>
      <c r="BI54" s="17"/>
      <c r="BJ54" s="17"/>
      <c r="BK54" s="17"/>
    </row>
    <row r="55" spans="2:63" s="14" customFormat="1" ht="12" customHeight="1" x14ac:dyDescent="0.25">
      <c r="B55" s="11" t="s">
        <v>30</v>
      </c>
      <c r="C55" s="12" t="str">
        <f t="shared" ref="C55" si="166">IF(ISERROR(C53/B53-1)," ",C53/B53-1)</f>
        <v xml:space="preserve"> </v>
      </c>
      <c r="D55" s="13"/>
      <c r="E55" s="13"/>
      <c r="F55" s="13"/>
      <c r="G55" s="13"/>
      <c r="H55" s="13"/>
      <c r="J55" s="11" t="s">
        <v>30</v>
      </c>
      <c r="K55" s="12" t="str">
        <f t="shared" ref="K55:R55" si="167">IF(ISERROR(K53/J53-1)," ",K53/J53-1)</f>
        <v xml:space="preserve"> </v>
      </c>
      <c r="L55" s="12">
        <f t="shared" si="167"/>
        <v>-1.0184990772085092</v>
      </c>
      <c r="M55" s="12">
        <f t="shared" si="167"/>
        <v>25.476914085331181</v>
      </c>
      <c r="N55" s="12">
        <f t="shared" si="167"/>
        <v>-1.6654364045737511</v>
      </c>
      <c r="O55" s="13">
        <f t="shared" ca="1" si="167"/>
        <v>0.59002589945993389</v>
      </c>
      <c r="P55" s="13">
        <f t="shared" ca="1" si="167"/>
        <v>0.8909620257857418</v>
      </c>
      <c r="Q55" s="13">
        <f t="shared" ca="1" si="167"/>
        <v>0.52467819332261345</v>
      </c>
      <c r="R55" s="13">
        <f t="shared" ca="1" si="167"/>
        <v>0.44366619987967693</v>
      </c>
      <c r="T55" s="11" t="s">
        <v>30</v>
      </c>
      <c r="U55" s="12"/>
      <c r="V55" s="12" t="str">
        <f t="shared" ref="V55" si="168">IF(ISERROR(V53/U53-1)," ",V53/U53-1)</f>
        <v xml:space="preserve"> </v>
      </c>
      <c r="W55" s="13"/>
      <c r="X55" s="13"/>
      <c r="Y55" s="13"/>
      <c r="Z55" s="13"/>
      <c r="AA55" s="13"/>
      <c r="AC55" s="11" t="s">
        <v>30</v>
      </c>
      <c r="AD55" s="12"/>
      <c r="AE55" s="12" t="str">
        <f t="shared" ref="AE55" si="169">IF(ISERROR(AE53/AD53-1)," ",AE53/AD53-1)</f>
        <v xml:space="preserve"> </v>
      </c>
      <c r="AF55" s="13"/>
      <c r="AG55" s="13"/>
      <c r="AH55" s="13"/>
      <c r="AI55" s="13"/>
      <c r="AJ55" s="13"/>
      <c r="AL55" s="11" t="s">
        <v>30</v>
      </c>
      <c r="AM55" s="12"/>
      <c r="AN55" s="12" t="str">
        <f t="shared" ref="AN55" si="170">IF(ISERROR(AN53/AM53-1)," ",AN53/AM53-1)</f>
        <v xml:space="preserve"> </v>
      </c>
      <c r="AO55" s="13"/>
      <c r="AP55" s="13"/>
      <c r="AQ55" s="13"/>
      <c r="AR55" s="13"/>
      <c r="AS55" s="13"/>
      <c r="AU55" s="11"/>
      <c r="AV55" s="12"/>
      <c r="AW55" s="12"/>
      <c r="AX55" s="13"/>
      <c r="AY55" s="13"/>
      <c r="AZ55" s="13"/>
      <c r="BA55" s="13"/>
      <c r="BB55" s="13"/>
      <c r="BD55" s="11" t="s">
        <v>30</v>
      </c>
      <c r="BE55" s="12"/>
      <c r="BF55" s="12" t="str">
        <f t="shared" ref="BF55" si="171">IF(ISERROR(BF53/BE53-1)," ",BF53/BE53-1)</f>
        <v xml:space="preserve"> </v>
      </c>
      <c r="BG55" s="13"/>
      <c r="BH55" s="13"/>
      <c r="BI55" s="13"/>
      <c r="BJ55" s="13"/>
      <c r="BK55" s="13"/>
    </row>
    <row r="56" spans="2:63" ht="12" customHeight="1" x14ac:dyDescent="0.25">
      <c r="B56" s="15"/>
      <c r="C56" s="16"/>
      <c r="D56" s="17"/>
      <c r="E56" s="17"/>
      <c r="F56" s="17"/>
      <c r="G56" s="17"/>
      <c r="H56" s="17"/>
      <c r="J56" s="15"/>
      <c r="K56" s="16"/>
      <c r="L56" s="16"/>
      <c r="M56" s="16"/>
      <c r="N56" s="16"/>
      <c r="O56" s="17"/>
      <c r="P56" s="17"/>
      <c r="Q56" s="17"/>
      <c r="R56" s="17"/>
      <c r="T56" s="15"/>
      <c r="U56" s="16"/>
      <c r="V56" s="16"/>
      <c r="W56" s="17"/>
      <c r="X56" s="17"/>
      <c r="Y56" s="17"/>
      <c r="Z56" s="17"/>
      <c r="AA56" s="17"/>
      <c r="AC56" s="15"/>
      <c r="AD56" s="16"/>
      <c r="AE56" s="16"/>
      <c r="AF56" s="17"/>
      <c r="AG56" s="17"/>
      <c r="AH56" s="17"/>
      <c r="AI56" s="17"/>
      <c r="AJ56" s="17"/>
      <c r="AL56" s="15"/>
      <c r="AM56" s="16"/>
      <c r="AN56" s="16"/>
      <c r="AO56" s="17"/>
      <c r="AP56" s="17"/>
      <c r="AQ56" s="17"/>
      <c r="AR56" s="17"/>
      <c r="AS56" s="17"/>
      <c r="AU56" s="15"/>
      <c r="AV56" s="16"/>
      <c r="AW56" s="16"/>
      <c r="AX56" s="17"/>
      <c r="AY56" s="17"/>
      <c r="AZ56" s="17"/>
      <c r="BA56" s="17"/>
      <c r="BB56" s="17"/>
      <c r="BD56" s="15"/>
      <c r="BE56" s="16"/>
      <c r="BF56" s="16"/>
      <c r="BG56" s="17"/>
      <c r="BH56" s="17"/>
      <c r="BI56" s="17"/>
      <c r="BJ56" s="17"/>
      <c r="BK56" s="17"/>
    </row>
    <row r="57" spans="2:63" ht="12" customHeight="1" x14ac:dyDescent="0.25">
      <c r="B57" s="9" t="s">
        <v>51</v>
      </c>
      <c r="C57" s="10"/>
      <c r="D57" s="5"/>
      <c r="E57" s="5"/>
      <c r="F57" s="5"/>
      <c r="G57" s="5"/>
      <c r="H57" s="5"/>
      <c r="J57" s="9" t="s">
        <v>51</v>
      </c>
      <c r="K57" s="10"/>
      <c r="L57" s="10"/>
      <c r="M57" s="10"/>
      <c r="N57" s="10"/>
      <c r="O57" s="5"/>
      <c r="P57" s="5"/>
      <c r="Q57" s="5"/>
      <c r="R57" s="5"/>
      <c r="T57" s="9" t="s">
        <v>51</v>
      </c>
      <c r="U57" s="10"/>
      <c r="V57" s="10"/>
      <c r="W57" s="5"/>
      <c r="X57" s="5"/>
      <c r="Y57" s="5"/>
      <c r="Z57" s="5"/>
      <c r="AA57" s="5"/>
      <c r="AC57" s="9" t="s">
        <v>51</v>
      </c>
      <c r="AD57" s="10"/>
      <c r="AE57" s="10"/>
      <c r="AF57" s="5"/>
      <c r="AG57" s="5"/>
      <c r="AH57" s="5"/>
      <c r="AI57" s="5"/>
      <c r="AJ57" s="5"/>
      <c r="AL57" s="9" t="s">
        <v>51</v>
      </c>
      <c r="AM57" s="10"/>
      <c r="AN57" s="10"/>
      <c r="AO57" s="5"/>
      <c r="AP57" s="5"/>
      <c r="AQ57" s="5"/>
      <c r="AR57" s="5"/>
      <c r="AS57" s="5"/>
      <c r="AU57" s="9"/>
      <c r="AV57" s="10"/>
      <c r="AW57" s="10"/>
      <c r="AX57" s="5"/>
      <c r="AY57" s="5"/>
      <c r="AZ57" s="5"/>
      <c r="BA57" s="5"/>
      <c r="BB57" s="5"/>
      <c r="BD57" s="9" t="s">
        <v>51</v>
      </c>
      <c r="BE57" s="10"/>
      <c r="BF57" s="10"/>
      <c r="BG57" s="5"/>
      <c r="BH57" s="5"/>
      <c r="BI57" s="5"/>
      <c r="BJ57" s="5"/>
      <c r="BK57" s="5"/>
    </row>
    <row r="58" spans="2:63" ht="12" customHeight="1" x14ac:dyDescent="0.25">
      <c r="B58" s="9" t="s">
        <v>52</v>
      </c>
      <c r="C58" s="20"/>
      <c r="D58" s="21"/>
      <c r="E58" s="21"/>
      <c r="F58" s="21"/>
      <c r="G58" s="21"/>
      <c r="H58" s="21"/>
      <c r="J58" s="9" t="s">
        <v>52</v>
      </c>
      <c r="K58" s="20"/>
      <c r="L58" s="20"/>
      <c r="M58" s="20"/>
      <c r="N58" s="20"/>
      <c r="O58" s="21"/>
      <c r="P58" s="21"/>
      <c r="Q58" s="21"/>
      <c r="R58" s="21"/>
      <c r="T58" s="9" t="s">
        <v>52</v>
      </c>
      <c r="U58" s="20"/>
      <c r="V58" s="20"/>
      <c r="W58" s="21"/>
      <c r="X58" s="21"/>
      <c r="Y58" s="21"/>
      <c r="Z58" s="21"/>
      <c r="AA58" s="21"/>
      <c r="AC58" s="9" t="s">
        <v>52</v>
      </c>
      <c r="AD58" s="20"/>
      <c r="AE58" s="20"/>
      <c r="AF58" s="21"/>
      <c r="AG58" s="21"/>
      <c r="AH58" s="21"/>
      <c r="AI58" s="21"/>
      <c r="AJ58" s="21"/>
      <c r="AL58" s="9" t="s">
        <v>52</v>
      </c>
      <c r="AM58" s="20"/>
      <c r="AN58" s="20"/>
      <c r="AO58" s="21"/>
      <c r="AP58" s="21"/>
      <c r="AQ58" s="21"/>
      <c r="AR58" s="21"/>
      <c r="AS58" s="21"/>
      <c r="AU58" s="9"/>
      <c r="AV58" s="20"/>
      <c r="AW58" s="20"/>
      <c r="AX58" s="21"/>
      <c r="AY58" s="21"/>
      <c r="AZ58" s="21"/>
      <c r="BA58" s="21"/>
      <c r="BB58" s="21"/>
      <c r="BD58" s="9" t="s">
        <v>52</v>
      </c>
      <c r="BE58" s="20"/>
      <c r="BF58" s="20"/>
      <c r="BG58" s="21"/>
      <c r="BH58" s="21"/>
      <c r="BI58" s="21"/>
      <c r="BJ58" s="21"/>
      <c r="BK58" s="21"/>
    </row>
    <row r="59" spans="2:63" ht="12" customHeight="1" x14ac:dyDescent="0.25">
      <c r="B59" s="9" t="s">
        <v>53</v>
      </c>
      <c r="C59" s="20"/>
      <c r="D59" s="21"/>
      <c r="E59" s="21"/>
      <c r="F59" s="21"/>
      <c r="G59" s="21"/>
      <c r="H59" s="21"/>
      <c r="J59" s="9" t="s">
        <v>53</v>
      </c>
      <c r="K59" s="20"/>
      <c r="L59" s="20"/>
      <c r="M59" s="20"/>
      <c r="N59" s="20"/>
      <c r="O59" s="21"/>
      <c r="P59" s="21"/>
      <c r="Q59" s="21"/>
      <c r="R59" s="21"/>
      <c r="T59" s="9" t="s">
        <v>53</v>
      </c>
      <c r="U59" s="20"/>
      <c r="V59" s="20"/>
      <c r="W59" s="21"/>
      <c r="X59" s="21"/>
      <c r="Y59" s="21"/>
      <c r="Z59" s="21"/>
      <c r="AA59" s="21"/>
      <c r="AC59" s="9" t="s">
        <v>53</v>
      </c>
      <c r="AD59" s="20"/>
      <c r="AE59" s="20"/>
      <c r="AF59" s="21"/>
      <c r="AG59" s="21"/>
      <c r="AH59" s="21"/>
      <c r="AI59" s="21"/>
      <c r="AJ59" s="21"/>
      <c r="AL59" s="9" t="s">
        <v>53</v>
      </c>
      <c r="AM59" s="20"/>
      <c r="AN59" s="20"/>
      <c r="AO59" s="21"/>
      <c r="AP59" s="21"/>
      <c r="AQ59" s="21"/>
      <c r="AR59" s="21"/>
      <c r="AS59" s="21"/>
      <c r="AU59" s="9"/>
      <c r="AV59" s="20"/>
      <c r="AW59" s="20"/>
      <c r="AX59" s="21"/>
      <c r="AY59" s="21"/>
      <c r="AZ59" s="21"/>
      <c r="BA59" s="21"/>
      <c r="BB59" s="21"/>
      <c r="BD59" s="9" t="s">
        <v>53</v>
      </c>
      <c r="BE59" s="20"/>
      <c r="BF59" s="20"/>
      <c r="BG59" s="21"/>
      <c r="BH59" s="21"/>
      <c r="BI59" s="21"/>
      <c r="BJ59" s="21"/>
      <c r="BK59" s="21"/>
    </row>
    <row r="60" spans="2:63" ht="12" customHeight="1" x14ac:dyDescent="0.25">
      <c r="B60" s="9" t="s">
        <v>54</v>
      </c>
      <c r="C60" s="20"/>
      <c r="D60" s="21"/>
      <c r="E60" s="21"/>
      <c r="F60" s="21"/>
      <c r="G60" s="21"/>
      <c r="H60" s="21"/>
      <c r="J60" s="9" t="s">
        <v>54</v>
      </c>
      <c r="K60" s="20"/>
      <c r="L60" s="20"/>
      <c r="M60" s="20"/>
      <c r="N60" s="20"/>
      <c r="O60" s="21"/>
      <c r="P60" s="21"/>
      <c r="Q60" s="21"/>
      <c r="R60" s="21"/>
      <c r="T60" s="9" t="s">
        <v>54</v>
      </c>
      <c r="U60" s="20"/>
      <c r="V60" s="20"/>
      <c r="W60" s="21"/>
      <c r="X60" s="21"/>
      <c r="Y60" s="21"/>
      <c r="Z60" s="21"/>
      <c r="AA60" s="21"/>
      <c r="AC60" s="9" t="s">
        <v>54</v>
      </c>
      <c r="AD60" s="20"/>
      <c r="AE60" s="20"/>
      <c r="AF60" s="21"/>
      <c r="AG60" s="21"/>
      <c r="AH60" s="21"/>
      <c r="AI60" s="21"/>
      <c r="AJ60" s="21"/>
      <c r="AL60" s="9" t="s">
        <v>54</v>
      </c>
      <c r="AM60" s="20"/>
      <c r="AN60" s="20"/>
      <c r="AO60" s="21"/>
      <c r="AP60" s="21"/>
      <c r="AQ60" s="21"/>
      <c r="AR60" s="21"/>
      <c r="AS60" s="21"/>
      <c r="AU60" s="9"/>
      <c r="AV60" s="20"/>
      <c r="AW60" s="20"/>
      <c r="AX60" s="21"/>
      <c r="AY60" s="21"/>
      <c r="AZ60" s="21"/>
      <c r="BA60" s="21"/>
      <c r="BB60" s="21"/>
      <c r="BD60" s="9" t="s">
        <v>54</v>
      </c>
      <c r="BE60" s="20"/>
      <c r="BF60" s="20"/>
      <c r="BG60" s="21"/>
      <c r="BH60" s="21"/>
      <c r="BI60" s="21"/>
      <c r="BJ60" s="21"/>
      <c r="BK60" s="21"/>
    </row>
    <row r="61" spans="2:63" ht="12" customHeight="1" x14ac:dyDescent="0.25">
      <c r="B61" s="9" t="s">
        <v>55</v>
      </c>
      <c r="C61" s="20"/>
      <c r="D61" s="21"/>
      <c r="E61" s="21"/>
      <c r="F61" s="21"/>
      <c r="G61" s="21"/>
      <c r="H61" s="21"/>
      <c r="J61" s="9" t="s">
        <v>55</v>
      </c>
      <c r="K61" s="20"/>
      <c r="L61" s="20"/>
      <c r="M61" s="20"/>
      <c r="N61" s="20"/>
      <c r="O61" s="21"/>
      <c r="P61" s="21"/>
      <c r="Q61" s="21"/>
      <c r="R61" s="21"/>
      <c r="T61" s="9" t="s">
        <v>55</v>
      </c>
      <c r="U61" s="20"/>
      <c r="V61" s="20"/>
      <c r="W61" s="21"/>
      <c r="X61" s="21"/>
      <c r="Y61" s="21"/>
      <c r="Z61" s="21"/>
      <c r="AA61" s="21"/>
      <c r="AC61" s="9" t="s">
        <v>55</v>
      </c>
      <c r="AD61" s="20"/>
      <c r="AE61" s="20"/>
      <c r="AF61" s="21"/>
      <c r="AG61" s="21"/>
      <c r="AH61" s="21"/>
      <c r="AI61" s="21"/>
      <c r="AJ61" s="21"/>
      <c r="AL61" s="9" t="s">
        <v>55</v>
      </c>
      <c r="AM61" s="20"/>
      <c r="AN61" s="20"/>
      <c r="AO61" s="21"/>
      <c r="AP61" s="21"/>
      <c r="AQ61" s="21"/>
      <c r="AR61" s="21"/>
      <c r="AS61" s="21"/>
      <c r="AU61" s="9"/>
      <c r="AV61" s="20"/>
      <c r="AW61" s="20"/>
      <c r="AX61" s="21"/>
      <c r="AY61" s="21"/>
      <c r="AZ61" s="21"/>
      <c r="BA61" s="21"/>
      <c r="BB61" s="21"/>
      <c r="BD61" s="9" t="s">
        <v>55</v>
      </c>
      <c r="BE61" s="20"/>
      <c r="BF61" s="20"/>
      <c r="BG61" s="21"/>
      <c r="BH61" s="21"/>
      <c r="BI61" s="21"/>
      <c r="BJ61" s="21"/>
      <c r="BK61" s="21"/>
    </row>
    <row r="62" spans="2:63" ht="12" customHeight="1" x14ac:dyDescent="0.25">
      <c r="B62" s="9" t="s">
        <v>56</v>
      </c>
      <c r="C62" s="20"/>
      <c r="D62" s="21"/>
      <c r="E62" s="21"/>
      <c r="F62" s="21"/>
      <c r="G62" s="21"/>
      <c r="H62" s="21"/>
      <c r="J62" s="9" t="s">
        <v>56</v>
      </c>
      <c r="K62" s="20"/>
      <c r="L62" s="20"/>
      <c r="M62" s="20"/>
      <c r="N62" s="20"/>
      <c r="O62" s="21"/>
      <c r="P62" s="21"/>
      <c r="Q62" s="21"/>
      <c r="R62" s="21"/>
      <c r="T62" s="9" t="s">
        <v>56</v>
      </c>
      <c r="U62" s="20"/>
      <c r="V62" s="20"/>
      <c r="W62" s="21"/>
      <c r="X62" s="21"/>
      <c r="Y62" s="21"/>
      <c r="Z62" s="21"/>
      <c r="AA62" s="21"/>
      <c r="AC62" s="9" t="s">
        <v>56</v>
      </c>
      <c r="AD62" s="20"/>
      <c r="AE62" s="20"/>
      <c r="AF62" s="21"/>
      <c r="AG62" s="21"/>
      <c r="AH62" s="21"/>
      <c r="AI62" s="21"/>
      <c r="AJ62" s="21"/>
      <c r="AL62" s="9" t="s">
        <v>56</v>
      </c>
      <c r="AM62" s="20"/>
      <c r="AN62" s="20"/>
      <c r="AO62" s="21"/>
      <c r="AP62" s="21"/>
      <c r="AQ62" s="21"/>
      <c r="AR62" s="21"/>
      <c r="AS62" s="21"/>
      <c r="AU62" s="9"/>
      <c r="AV62" s="20"/>
      <c r="AW62" s="20"/>
      <c r="AX62" s="21"/>
      <c r="AY62" s="21"/>
      <c r="AZ62" s="21"/>
      <c r="BA62" s="21"/>
      <c r="BB62" s="21"/>
      <c r="BD62" s="9" t="s">
        <v>56</v>
      </c>
      <c r="BE62" s="20"/>
      <c r="BF62" s="20"/>
      <c r="BG62" s="21"/>
      <c r="BH62" s="21"/>
      <c r="BI62" s="21"/>
      <c r="BJ62" s="21"/>
      <c r="BK62" s="21"/>
    </row>
    <row r="63" spans="2:63" ht="12" customHeight="1" x14ac:dyDescent="0.25">
      <c r="B63" s="9" t="s">
        <v>57</v>
      </c>
      <c r="C63" s="22"/>
      <c r="D63" s="23"/>
      <c r="E63" s="23"/>
      <c r="F63" s="23"/>
      <c r="G63" s="23"/>
      <c r="H63" s="23"/>
      <c r="J63" s="9" t="s">
        <v>57</v>
      </c>
      <c r="K63" s="22"/>
      <c r="L63" s="22"/>
      <c r="M63" s="22"/>
      <c r="N63" s="22"/>
      <c r="O63" s="23"/>
      <c r="P63" s="23"/>
      <c r="Q63" s="23"/>
      <c r="R63" s="23"/>
      <c r="T63" s="9" t="s">
        <v>57</v>
      </c>
      <c r="U63" s="22"/>
      <c r="V63" s="22"/>
      <c r="W63" s="23"/>
      <c r="X63" s="23"/>
      <c r="Y63" s="23"/>
      <c r="Z63" s="23"/>
      <c r="AA63" s="23"/>
      <c r="AC63" s="9" t="s">
        <v>57</v>
      </c>
      <c r="AD63" s="22"/>
      <c r="AE63" s="22"/>
      <c r="AF63" s="23"/>
      <c r="AG63" s="23"/>
      <c r="AH63" s="23"/>
      <c r="AI63" s="23"/>
      <c r="AJ63" s="23"/>
      <c r="AL63" s="9" t="s">
        <v>57</v>
      </c>
      <c r="AM63" s="22"/>
      <c r="AN63" s="22"/>
      <c r="AO63" s="23"/>
      <c r="AP63" s="23"/>
      <c r="AQ63" s="23"/>
      <c r="AR63" s="23"/>
      <c r="AS63" s="23"/>
      <c r="AU63" s="9"/>
      <c r="AV63" s="22"/>
      <c r="AW63" s="22"/>
      <c r="AX63" s="23"/>
      <c r="AY63" s="23"/>
      <c r="AZ63" s="23"/>
      <c r="BA63" s="23"/>
      <c r="BB63" s="23"/>
      <c r="BD63" s="9" t="s">
        <v>57</v>
      </c>
      <c r="BE63" s="22"/>
      <c r="BF63" s="22"/>
      <c r="BG63" s="23"/>
      <c r="BH63" s="23"/>
      <c r="BI63" s="23"/>
      <c r="BJ63" s="23"/>
      <c r="BK63" s="23"/>
    </row>
    <row r="64" spans="2:63" ht="12" customHeight="1" x14ac:dyDescent="0.25">
      <c r="B64" s="9" t="s">
        <v>58</v>
      </c>
      <c r="C64" s="10"/>
      <c r="D64" s="5"/>
      <c r="E64" s="5"/>
      <c r="F64" s="5"/>
      <c r="G64" s="5"/>
      <c r="H64" s="5"/>
      <c r="J64" s="9" t="s">
        <v>58</v>
      </c>
      <c r="K64" s="10"/>
      <c r="L64" s="10"/>
      <c r="M64" s="10"/>
      <c r="N64" s="10"/>
      <c r="O64" s="5"/>
      <c r="P64" s="5"/>
      <c r="Q64" s="5"/>
      <c r="R64" s="5"/>
      <c r="T64" s="9" t="s">
        <v>58</v>
      </c>
      <c r="U64" s="10"/>
      <c r="V64" s="10"/>
      <c r="W64" s="5"/>
      <c r="X64" s="5"/>
      <c r="Y64" s="5"/>
      <c r="Z64" s="5"/>
      <c r="AA64" s="5"/>
      <c r="AC64" s="9" t="s">
        <v>58</v>
      </c>
      <c r="AD64" s="10"/>
      <c r="AE64" s="10"/>
      <c r="AF64" s="5"/>
      <c r="AG64" s="5"/>
      <c r="AH64" s="5"/>
      <c r="AI64" s="5"/>
      <c r="AJ64" s="5"/>
      <c r="AL64" s="9" t="s">
        <v>58</v>
      </c>
      <c r="AM64" s="10"/>
      <c r="AN64" s="10"/>
      <c r="AO64" s="5"/>
      <c r="AP64" s="5"/>
      <c r="AQ64" s="5"/>
      <c r="AR64" s="5"/>
      <c r="AS64" s="5"/>
      <c r="AU64" s="9"/>
      <c r="AV64" s="10"/>
      <c r="AW64" s="10"/>
      <c r="AX64" s="5"/>
      <c r="AY64" s="5"/>
      <c r="AZ64" s="5"/>
      <c r="BA64" s="5"/>
      <c r="BB64" s="5"/>
      <c r="BD64" s="9" t="s">
        <v>58</v>
      </c>
      <c r="BE64" s="10"/>
      <c r="BF64" s="10"/>
      <c r="BG64" s="5"/>
      <c r="BH64" s="5"/>
      <c r="BI64" s="5"/>
      <c r="BJ64" s="5"/>
      <c r="BK64" s="5"/>
    </row>
    <row r="65" spans="2:63" ht="12" customHeight="1" x14ac:dyDescent="0.25">
      <c r="B65" s="9"/>
      <c r="C65" s="10"/>
      <c r="D65" s="5"/>
      <c r="E65" s="5"/>
      <c r="F65" s="5"/>
      <c r="G65" s="5"/>
      <c r="H65" s="5"/>
      <c r="J65" s="9"/>
      <c r="K65" s="10"/>
      <c r="L65" s="10"/>
      <c r="M65" s="10"/>
      <c r="N65" s="10"/>
      <c r="O65" s="5"/>
      <c r="P65" s="5"/>
      <c r="Q65" s="5"/>
      <c r="R65" s="5"/>
      <c r="T65" s="9"/>
      <c r="U65" s="10"/>
      <c r="V65" s="10"/>
      <c r="W65" s="5"/>
      <c r="X65" s="5"/>
      <c r="Y65" s="5"/>
      <c r="Z65" s="5"/>
      <c r="AA65" s="5"/>
      <c r="AC65" s="9"/>
      <c r="AD65" s="10"/>
      <c r="AE65" s="10"/>
      <c r="AF65" s="5"/>
      <c r="AG65" s="5"/>
      <c r="AH65" s="5"/>
      <c r="AI65" s="5"/>
      <c r="AJ65" s="5"/>
      <c r="AL65" s="9"/>
      <c r="AM65" s="10"/>
      <c r="AN65" s="10"/>
      <c r="AO65" s="5"/>
      <c r="AP65" s="5"/>
      <c r="AQ65" s="5"/>
      <c r="AR65" s="5"/>
      <c r="AS65" s="5"/>
      <c r="AU65" s="9"/>
      <c r="AV65" s="10"/>
      <c r="AW65" s="10"/>
      <c r="AX65" s="5"/>
      <c r="AY65" s="5"/>
      <c r="AZ65" s="5"/>
      <c r="BA65" s="5"/>
      <c r="BB65" s="5"/>
      <c r="BD65" s="9"/>
      <c r="BE65" s="10"/>
      <c r="BF65" s="10"/>
      <c r="BG65" s="5"/>
      <c r="BH65" s="5"/>
      <c r="BI65" s="5"/>
      <c r="BJ65" s="5"/>
      <c r="BK65" s="5"/>
    </row>
    <row r="66" spans="2:63" s="26" customFormat="1" ht="12" customHeight="1" x14ac:dyDescent="0.25">
      <c r="B66" s="24"/>
      <c r="C66" s="25"/>
      <c r="D66" s="25"/>
      <c r="E66" s="25"/>
      <c r="F66" s="25"/>
      <c r="G66" s="25"/>
      <c r="H66" s="25"/>
      <c r="J66" s="24"/>
      <c r="K66" s="25"/>
      <c r="L66" s="25"/>
      <c r="M66" s="25"/>
      <c r="N66" s="25"/>
      <c r="O66" s="25"/>
      <c r="P66" s="25"/>
      <c r="Q66" s="25"/>
      <c r="R66" s="25"/>
      <c r="T66" s="24"/>
      <c r="U66" s="25"/>
      <c r="V66" s="25"/>
      <c r="W66" s="25"/>
      <c r="X66" s="25"/>
      <c r="Y66" s="25"/>
      <c r="Z66" s="25"/>
      <c r="AA66" s="25"/>
      <c r="AC66" s="24"/>
      <c r="AD66" s="25"/>
      <c r="AE66" s="25"/>
      <c r="AF66" s="25"/>
      <c r="AG66" s="25"/>
      <c r="AH66" s="25"/>
      <c r="AI66" s="25"/>
      <c r="AJ66" s="25"/>
      <c r="AL66" s="24"/>
      <c r="AM66" s="25"/>
      <c r="AN66" s="25"/>
      <c r="AO66" s="25"/>
      <c r="AP66" s="25"/>
      <c r="AQ66" s="25"/>
      <c r="AR66" s="25"/>
      <c r="AS66" s="25"/>
      <c r="AU66" s="24"/>
      <c r="AV66" s="25"/>
      <c r="AW66" s="25"/>
      <c r="AX66" s="25"/>
      <c r="AY66" s="25"/>
      <c r="AZ66" s="25"/>
      <c r="BA66" s="25"/>
      <c r="BB66" s="25"/>
      <c r="BD66" s="24"/>
      <c r="BE66" s="25"/>
      <c r="BF66" s="25"/>
      <c r="BG66" s="25"/>
      <c r="BH66" s="25"/>
      <c r="BI66" s="25"/>
      <c r="BJ66" s="25"/>
      <c r="BK66" s="25"/>
    </row>
    <row r="67" spans="2:63" ht="12" customHeight="1" x14ac:dyDescent="0.25">
      <c r="B67" s="3" t="s">
        <v>59</v>
      </c>
      <c r="C67" s="4"/>
      <c r="D67" s="227"/>
      <c r="E67" s="227"/>
      <c r="F67" s="227"/>
      <c r="G67" s="227"/>
      <c r="H67" s="227"/>
      <c r="J67" s="3" t="s">
        <v>59</v>
      </c>
      <c r="K67" s="4" t="s">
        <v>27</v>
      </c>
      <c r="L67" s="4" t="s">
        <v>273</v>
      </c>
      <c r="M67" s="4" t="s">
        <v>347</v>
      </c>
      <c r="N67" s="4" t="s">
        <v>348</v>
      </c>
      <c r="O67" s="227" t="str">
        <f t="shared" ref="O67:R67" si="172">O2</f>
        <v>FY27E</v>
      </c>
      <c r="P67" s="227" t="str">
        <f t="shared" si="172"/>
        <v>FY28E</v>
      </c>
      <c r="Q67" s="227" t="str">
        <f t="shared" si="172"/>
        <v>FY29E</v>
      </c>
      <c r="R67" s="227" t="str">
        <f t="shared" si="172"/>
        <v>FY30E</v>
      </c>
      <c r="T67" s="3" t="s">
        <v>59</v>
      </c>
      <c r="U67" s="4"/>
      <c r="V67" s="4" t="s">
        <v>347</v>
      </c>
      <c r="W67" s="227"/>
      <c r="X67" s="227"/>
      <c r="Y67" s="227"/>
      <c r="Z67" s="227"/>
      <c r="AA67" s="227"/>
      <c r="AC67" s="3" t="s">
        <v>59</v>
      </c>
      <c r="AD67" s="4"/>
      <c r="AE67" s="4"/>
      <c r="AF67" s="227"/>
      <c r="AG67" s="227"/>
      <c r="AH67" s="227"/>
      <c r="AI67" s="227"/>
      <c r="AJ67" s="227"/>
      <c r="AL67" s="3" t="s">
        <v>59</v>
      </c>
      <c r="AM67" s="4"/>
      <c r="AN67" s="4"/>
      <c r="AO67" s="227"/>
      <c r="AP67" s="227"/>
      <c r="AQ67" s="227"/>
      <c r="AR67" s="227"/>
      <c r="AS67" s="227"/>
      <c r="AU67" s="3"/>
      <c r="AV67" s="4"/>
      <c r="AW67" s="4"/>
      <c r="AX67" s="227"/>
      <c r="AY67" s="227"/>
      <c r="AZ67" s="227"/>
      <c r="BA67" s="227"/>
      <c r="BB67" s="227"/>
      <c r="BD67" s="3" t="s">
        <v>59</v>
      </c>
      <c r="BE67" s="4"/>
      <c r="BF67" s="4"/>
      <c r="BG67" s="227"/>
      <c r="BH67" s="227"/>
      <c r="BI67" s="227"/>
      <c r="BJ67" s="227"/>
      <c r="BK67" s="227"/>
    </row>
    <row r="68" spans="2:63" ht="12" customHeight="1" x14ac:dyDescent="0.25">
      <c r="B68" s="6" t="s">
        <v>376</v>
      </c>
      <c r="C68" s="7"/>
      <c r="D68" s="8"/>
      <c r="E68" s="8"/>
      <c r="F68" s="8"/>
      <c r="G68" s="8"/>
      <c r="H68" s="8"/>
      <c r="J68" s="6" t="s">
        <v>376</v>
      </c>
      <c r="K68" s="7"/>
      <c r="L68" s="7"/>
      <c r="M68" s="7"/>
      <c r="N68" s="7"/>
      <c r="O68" s="8"/>
      <c r="P68" s="8"/>
      <c r="Q68" s="8"/>
      <c r="R68" s="8"/>
      <c r="T68" s="6" t="s">
        <v>376</v>
      </c>
      <c r="U68" s="7"/>
      <c r="V68" s="7"/>
      <c r="W68" s="8"/>
      <c r="X68" s="8"/>
      <c r="Y68" s="8"/>
      <c r="Z68" s="8"/>
      <c r="AA68" s="8"/>
      <c r="AC68" s="6" t="s">
        <v>376</v>
      </c>
      <c r="AD68" s="7"/>
      <c r="AE68" s="7"/>
      <c r="AF68" s="8"/>
      <c r="AG68" s="8"/>
      <c r="AH68" s="8"/>
      <c r="AI68" s="8"/>
      <c r="AJ68" s="8"/>
      <c r="AL68" s="6" t="s">
        <v>376</v>
      </c>
      <c r="AM68" s="7"/>
      <c r="AN68" s="7"/>
      <c r="AO68" s="8"/>
      <c r="AP68" s="8"/>
      <c r="AQ68" s="8"/>
      <c r="AR68" s="8"/>
      <c r="AS68" s="8"/>
      <c r="AU68" s="6"/>
      <c r="AV68" s="7"/>
      <c r="AW68" s="7"/>
      <c r="AX68" s="8"/>
      <c r="AY68" s="8"/>
      <c r="AZ68" s="8"/>
      <c r="BA68" s="8"/>
      <c r="BB68" s="8"/>
      <c r="BD68" s="6" t="s">
        <v>376</v>
      </c>
      <c r="BE68" s="7"/>
      <c r="BF68" s="7"/>
      <c r="BG68" s="8"/>
      <c r="BH68" s="8"/>
      <c r="BI68" s="8"/>
      <c r="BJ68" s="8"/>
      <c r="BK68" s="8"/>
    </row>
    <row r="69" spans="2:63" ht="12" customHeight="1" x14ac:dyDescent="0.25">
      <c r="B69" s="6" t="s">
        <v>60</v>
      </c>
      <c r="C69" s="7">
        <f>+M69+V69+AE69+AN69+BF69</f>
        <v>7623.5919999999996</v>
      </c>
      <c r="D69" s="8">
        <f>C69</f>
        <v>7623.5919999999996</v>
      </c>
      <c r="E69" s="8">
        <f t="shared" ref="E69:H69" si="173">D69</f>
        <v>7623.5919999999996</v>
      </c>
      <c r="F69" s="8">
        <f t="shared" si="173"/>
        <v>7623.5919999999996</v>
      </c>
      <c r="G69" s="8">
        <f t="shared" si="173"/>
        <v>7623.5919999999996</v>
      </c>
      <c r="H69" s="8">
        <f t="shared" si="173"/>
        <v>7623.5919999999996</v>
      </c>
      <c r="J69" s="6" t="s">
        <v>60</v>
      </c>
      <c r="K69" s="7">
        <v>1505.192</v>
      </c>
      <c r="L69" s="7">
        <v>1505.192</v>
      </c>
      <c r="M69" s="7">
        <v>1505.192</v>
      </c>
      <c r="N69" s="7">
        <v>1505.192</v>
      </c>
      <c r="O69" s="8">
        <f t="shared" ref="O69:R69" si="174">N69</f>
        <v>1505.192</v>
      </c>
      <c r="P69" s="8">
        <f t="shared" si="174"/>
        <v>1505.192</v>
      </c>
      <c r="Q69" s="8">
        <f t="shared" si="174"/>
        <v>1505.192</v>
      </c>
      <c r="R69" s="8">
        <f t="shared" si="174"/>
        <v>1505.192</v>
      </c>
      <c r="T69" s="6" t="s">
        <v>60</v>
      </c>
      <c r="U69" s="7"/>
      <c r="V69" s="7">
        <v>485.5</v>
      </c>
      <c r="W69" s="8"/>
      <c r="X69" s="8"/>
      <c r="Y69" s="8"/>
      <c r="Z69" s="8"/>
      <c r="AA69" s="8"/>
      <c r="AC69" s="6" t="s">
        <v>60</v>
      </c>
      <c r="AD69" s="7"/>
      <c r="AE69" s="7">
        <v>1104.5</v>
      </c>
      <c r="AF69" s="8"/>
      <c r="AG69" s="8"/>
      <c r="AH69" s="8"/>
      <c r="AI69" s="8"/>
      <c r="AJ69" s="8"/>
      <c r="AL69" s="6" t="s">
        <v>60</v>
      </c>
      <c r="AM69" s="7"/>
      <c r="AN69" s="7">
        <v>128</v>
      </c>
      <c r="AO69" s="8"/>
      <c r="AP69" s="8"/>
      <c r="AQ69" s="8"/>
      <c r="AR69" s="8"/>
      <c r="AS69" s="8"/>
      <c r="AU69" s="6"/>
      <c r="AV69" s="7"/>
      <c r="AW69" s="7"/>
      <c r="AX69" s="8"/>
      <c r="AY69" s="8"/>
      <c r="AZ69" s="8"/>
      <c r="BA69" s="8"/>
      <c r="BB69" s="8"/>
      <c r="BD69" s="6" t="s">
        <v>60</v>
      </c>
      <c r="BE69" s="7"/>
      <c r="BF69" s="7">
        <v>4400.3999999999996</v>
      </c>
      <c r="BG69" s="8"/>
      <c r="BH69" s="8"/>
      <c r="BI69" s="8"/>
      <c r="BJ69" s="8"/>
      <c r="BK69" s="8"/>
    </row>
    <row r="70" spans="2:63" ht="12" customHeight="1" x14ac:dyDescent="0.25">
      <c r="B70" s="6" t="s">
        <v>61</v>
      </c>
      <c r="C70" s="7">
        <f t="shared" ref="C70" si="175">+M70+V70+AE70+AN70+BF70</f>
        <v>23547.206999999995</v>
      </c>
      <c r="D70" s="8">
        <f ca="1">C70+D53</f>
        <v>23654.073046603877</v>
      </c>
      <c r="E70" s="8">
        <f t="shared" ref="E70:H70" ca="1" si="176">D70+E53</f>
        <v>24339.363599674823</v>
      </c>
      <c r="F70" s="8">
        <f t="shared" ca="1" si="176"/>
        <v>25024.403886080778</v>
      </c>
      <c r="G70" s="8">
        <f t="shared" ca="1" si="176"/>
        <v>28143.075905917787</v>
      </c>
      <c r="H70" s="8">
        <f t="shared" ca="1" si="176"/>
        <v>33964.0148437998</v>
      </c>
      <c r="J70" s="6" t="s">
        <v>61</v>
      </c>
      <c r="K70" s="7">
        <v>18260.037</v>
      </c>
      <c r="L70" s="7">
        <v>18239.861000000001</v>
      </c>
      <c r="M70" s="7">
        <v>17779.667999999998</v>
      </c>
      <c r="N70" s="7">
        <v>18074.358</v>
      </c>
      <c r="O70" s="8">
        <f t="shared" ref="O70:R70" ca="1" si="177">N70+O53-O64</f>
        <v>18553.680847547595</v>
      </c>
      <c r="P70" s="8">
        <f t="shared" ca="1" si="177"/>
        <v>19460.062150351583</v>
      </c>
      <c r="Q70" s="8">
        <f t="shared" ca="1" si="177"/>
        <v>20842.001957572167</v>
      </c>
      <c r="R70" s="8">
        <f t="shared" ca="1" si="177"/>
        <v>22837.06174752476</v>
      </c>
      <c r="T70" s="6" t="s">
        <v>61</v>
      </c>
      <c r="U70" s="7"/>
      <c r="V70" s="7">
        <v>101.22799999999999</v>
      </c>
      <c r="W70" s="8"/>
      <c r="X70" s="8"/>
      <c r="Y70" s="8"/>
      <c r="Z70" s="8"/>
      <c r="AA70" s="8"/>
      <c r="AC70" s="6" t="s">
        <v>61</v>
      </c>
      <c r="AD70" s="7"/>
      <c r="AE70" s="7">
        <v>89.117999999999995</v>
      </c>
      <c r="AF70" s="8"/>
      <c r="AG70" s="8"/>
      <c r="AH70" s="8"/>
      <c r="AI70" s="8"/>
      <c r="AJ70" s="8"/>
      <c r="AL70" s="6" t="s">
        <v>61</v>
      </c>
      <c r="AM70" s="7"/>
      <c r="AN70" s="7">
        <v>9.3190000000000008</v>
      </c>
      <c r="AO70" s="8"/>
      <c r="AP70" s="8"/>
      <c r="AQ70" s="8"/>
      <c r="AR70" s="8"/>
      <c r="AS70" s="8"/>
      <c r="AU70" s="6"/>
      <c r="AV70" s="7"/>
      <c r="AW70" s="7"/>
      <c r="AX70" s="8"/>
      <c r="AY70" s="8"/>
      <c r="AZ70" s="8"/>
      <c r="BA70" s="8"/>
      <c r="BB70" s="8"/>
      <c r="BD70" s="6" t="s">
        <v>61</v>
      </c>
      <c r="BE70" s="7"/>
      <c r="BF70" s="7">
        <v>5567.8739999999998</v>
      </c>
      <c r="BG70" s="8"/>
      <c r="BH70" s="8"/>
      <c r="BI70" s="8"/>
      <c r="BJ70" s="8"/>
      <c r="BK70" s="8"/>
    </row>
    <row r="71" spans="2:63" ht="12" customHeight="1" x14ac:dyDescent="0.25">
      <c r="B71" s="6" t="s">
        <v>62</v>
      </c>
      <c r="C71" s="7"/>
      <c r="D71" s="8"/>
      <c r="E71" s="8"/>
      <c r="F71" s="8"/>
      <c r="G71" s="8"/>
      <c r="H71" s="8"/>
      <c r="J71" s="6" t="s">
        <v>62</v>
      </c>
      <c r="K71" s="7"/>
      <c r="L71" s="7"/>
      <c r="M71" s="7"/>
      <c r="N71" s="7"/>
      <c r="O71" s="8"/>
      <c r="P71" s="8"/>
      <c r="Q71" s="8"/>
      <c r="R71" s="8"/>
      <c r="T71" s="6" t="s">
        <v>62</v>
      </c>
      <c r="U71" s="7"/>
      <c r="V71" s="7"/>
      <c r="W71" s="8"/>
      <c r="X71" s="8"/>
      <c r="Y71" s="8"/>
      <c r="Z71" s="8"/>
      <c r="AA71" s="8"/>
      <c r="AC71" s="6" t="s">
        <v>62</v>
      </c>
      <c r="AD71" s="7"/>
      <c r="AE71" s="7"/>
      <c r="AF71" s="8"/>
      <c r="AG71" s="8"/>
      <c r="AH71" s="8"/>
      <c r="AI71" s="8"/>
      <c r="AJ71" s="8"/>
      <c r="AL71" s="6" t="s">
        <v>62</v>
      </c>
      <c r="AM71" s="7"/>
      <c r="AN71" s="7"/>
      <c r="AO71" s="8"/>
      <c r="AP71" s="8"/>
      <c r="AQ71" s="8"/>
      <c r="AR71" s="8"/>
      <c r="AS71" s="8"/>
      <c r="AU71" s="6"/>
      <c r="AV71" s="7"/>
      <c r="AW71" s="7"/>
      <c r="AX71" s="8"/>
      <c r="AY71" s="8"/>
      <c r="AZ71" s="8"/>
      <c r="BA71" s="8"/>
      <c r="BB71" s="8"/>
      <c r="BD71" s="6" t="s">
        <v>62</v>
      </c>
      <c r="BE71" s="7"/>
      <c r="BF71" s="7"/>
      <c r="BG71" s="8"/>
      <c r="BH71" s="8"/>
      <c r="BI71" s="8"/>
      <c r="BJ71" s="8"/>
      <c r="BK71" s="8"/>
    </row>
    <row r="72" spans="2:63" ht="12" customHeight="1" x14ac:dyDescent="0.25">
      <c r="B72" s="6"/>
      <c r="C72" s="7"/>
      <c r="D72" s="8"/>
      <c r="E72" s="8"/>
      <c r="F72" s="8"/>
      <c r="G72" s="8"/>
      <c r="H72" s="8"/>
      <c r="J72" s="6"/>
      <c r="K72" s="7"/>
      <c r="L72" s="7"/>
      <c r="M72" s="7"/>
      <c r="N72" s="7"/>
      <c r="O72" s="8"/>
      <c r="P72" s="8"/>
      <c r="Q72" s="8"/>
      <c r="R72" s="8"/>
      <c r="T72" s="6"/>
      <c r="U72" s="7"/>
      <c r="V72" s="7"/>
      <c r="W72" s="8"/>
      <c r="X72" s="8"/>
      <c r="Y72" s="8"/>
      <c r="Z72" s="8"/>
      <c r="AA72" s="8"/>
      <c r="AC72" s="6"/>
      <c r="AD72" s="7"/>
      <c r="AE72" s="7"/>
      <c r="AF72" s="8"/>
      <c r="AG72" s="8"/>
      <c r="AH72" s="8"/>
      <c r="AI72" s="8"/>
      <c r="AJ72" s="8"/>
      <c r="AL72" s="6"/>
      <c r="AM72" s="7"/>
      <c r="AN72" s="7"/>
      <c r="AO72" s="8"/>
      <c r="AP72" s="8"/>
      <c r="AQ72" s="8"/>
      <c r="AR72" s="8"/>
      <c r="AS72" s="8"/>
      <c r="AU72" s="6"/>
      <c r="AV72" s="7"/>
      <c r="AW72" s="7"/>
      <c r="AX72" s="8"/>
      <c r="AY72" s="8"/>
      <c r="AZ72" s="8"/>
      <c r="BA72" s="8"/>
      <c r="BB72" s="8"/>
      <c r="BD72" s="6"/>
      <c r="BE72" s="7"/>
      <c r="BF72" s="7"/>
      <c r="BG72" s="8"/>
      <c r="BH72" s="8"/>
      <c r="BI72" s="8"/>
      <c r="BJ72" s="8"/>
      <c r="BK72" s="8"/>
    </row>
    <row r="73" spans="2:63" ht="12" customHeight="1" x14ac:dyDescent="0.25">
      <c r="B73" s="6" t="s">
        <v>63</v>
      </c>
      <c r="C73" s="7"/>
      <c r="D73" s="8"/>
      <c r="E73" s="8"/>
      <c r="F73" s="8"/>
      <c r="G73" s="8"/>
      <c r="H73" s="8"/>
      <c r="J73" s="6" t="s">
        <v>63</v>
      </c>
      <c r="K73" s="7"/>
      <c r="L73" s="7"/>
      <c r="M73" s="7"/>
      <c r="N73" s="7"/>
      <c r="O73" s="8"/>
      <c r="P73" s="8"/>
      <c r="Q73" s="8"/>
      <c r="R73" s="8"/>
      <c r="T73" s="6" t="s">
        <v>63</v>
      </c>
      <c r="U73" s="7"/>
      <c r="V73" s="7"/>
      <c r="W73" s="8"/>
      <c r="X73" s="8"/>
      <c r="Y73" s="8"/>
      <c r="Z73" s="8"/>
      <c r="AA73" s="8"/>
      <c r="AC73" s="6" t="s">
        <v>63</v>
      </c>
      <c r="AD73" s="7"/>
      <c r="AE73" s="7"/>
      <c r="AF73" s="8"/>
      <c r="AG73" s="8"/>
      <c r="AH73" s="8"/>
      <c r="AI73" s="8"/>
      <c r="AJ73" s="8"/>
      <c r="AL73" s="6" t="s">
        <v>63</v>
      </c>
      <c r="AM73" s="7"/>
      <c r="AN73" s="7"/>
      <c r="AO73" s="8"/>
      <c r="AP73" s="8"/>
      <c r="AQ73" s="8"/>
      <c r="AR73" s="8"/>
      <c r="AS73" s="8"/>
      <c r="AU73" s="6"/>
      <c r="AV73" s="7"/>
      <c r="AW73" s="7"/>
      <c r="AX73" s="8"/>
      <c r="AY73" s="8"/>
      <c r="AZ73" s="8"/>
      <c r="BA73" s="8"/>
      <c r="BB73" s="8"/>
      <c r="BD73" s="6" t="s">
        <v>63</v>
      </c>
      <c r="BE73" s="7"/>
      <c r="BF73" s="7"/>
      <c r="BG73" s="8"/>
      <c r="BH73" s="8"/>
      <c r="BI73" s="8"/>
      <c r="BJ73" s="8"/>
      <c r="BK73" s="8"/>
    </row>
    <row r="74" spans="2:63" ht="12" customHeight="1" x14ac:dyDescent="0.25">
      <c r="B74" s="6"/>
      <c r="C74" s="7"/>
      <c r="D74" s="8"/>
      <c r="E74" s="8"/>
      <c r="F74" s="8"/>
      <c r="G74" s="8"/>
      <c r="H74" s="8"/>
      <c r="J74" s="6"/>
      <c r="K74" s="7"/>
      <c r="L74" s="7"/>
      <c r="M74" s="7"/>
      <c r="N74" s="7"/>
      <c r="O74" s="8"/>
      <c r="P74" s="8"/>
      <c r="Q74" s="8"/>
      <c r="R74" s="8"/>
      <c r="T74" s="6"/>
      <c r="U74" s="7"/>
      <c r="V74" s="7"/>
      <c r="W74" s="8"/>
      <c r="X74" s="8"/>
      <c r="Y74" s="8"/>
      <c r="Z74" s="8"/>
      <c r="AA74" s="8"/>
      <c r="AC74" s="6"/>
      <c r="AD74" s="7"/>
      <c r="AE74" s="7"/>
      <c r="AF74" s="8"/>
      <c r="AG74" s="8"/>
      <c r="AH74" s="8"/>
      <c r="AI74" s="8"/>
      <c r="AJ74" s="8"/>
      <c r="AL74" s="6"/>
      <c r="AM74" s="7"/>
      <c r="AN74" s="7"/>
      <c r="AO74" s="8"/>
      <c r="AP74" s="8"/>
      <c r="AQ74" s="8"/>
      <c r="AR74" s="8"/>
      <c r="AS74" s="8"/>
      <c r="AU74" s="6"/>
      <c r="AV74" s="7"/>
      <c r="AW74" s="7"/>
      <c r="AX74" s="8"/>
      <c r="AY74" s="8"/>
      <c r="AZ74" s="8"/>
      <c r="BA74" s="8"/>
      <c r="BB74" s="8"/>
      <c r="BD74" s="6"/>
      <c r="BE74" s="7"/>
      <c r="BF74" s="7"/>
      <c r="BG74" s="8"/>
      <c r="BH74" s="8"/>
      <c r="BI74" s="8"/>
      <c r="BJ74" s="8"/>
      <c r="BK74" s="8"/>
    </row>
    <row r="75" spans="2:63" ht="12" customHeight="1" x14ac:dyDescent="0.25">
      <c r="B75" s="6" t="s">
        <v>64</v>
      </c>
      <c r="C75" s="7">
        <f t="shared" ref="C75:C76" si="178">+M75+V75+AE75+AN75+BF75</f>
        <v>3736.2889999999998</v>
      </c>
      <c r="D75" s="8"/>
      <c r="E75" s="8"/>
      <c r="F75" s="8"/>
      <c r="G75" s="8"/>
      <c r="H75" s="8"/>
      <c r="J75" s="6" t="s">
        <v>64</v>
      </c>
      <c r="K75" s="7">
        <v>439.16300000000001</v>
      </c>
      <c r="L75" s="7">
        <v>1376.934</v>
      </c>
      <c r="M75" s="7">
        <v>1050.3790000000001</v>
      </c>
      <c r="N75" s="7">
        <v>926.47699999999998</v>
      </c>
      <c r="O75" s="8"/>
      <c r="P75" s="8"/>
      <c r="Q75" s="8"/>
      <c r="R75" s="8"/>
      <c r="T75" s="6" t="s">
        <v>64</v>
      </c>
      <c r="U75" s="7"/>
      <c r="V75" s="7">
        <v>1130.5540000000001</v>
      </c>
      <c r="W75" s="8"/>
      <c r="X75" s="8"/>
      <c r="Y75" s="8"/>
      <c r="Z75" s="8"/>
      <c r="AA75" s="8"/>
      <c r="AC75" s="6" t="s">
        <v>64</v>
      </c>
      <c r="AD75" s="7"/>
      <c r="AE75" s="7">
        <v>1555.356</v>
      </c>
      <c r="AF75" s="8"/>
      <c r="AG75" s="8"/>
      <c r="AH75" s="8"/>
      <c r="AI75" s="8"/>
      <c r="AJ75" s="8"/>
      <c r="AL75" s="6" t="s">
        <v>64</v>
      </c>
      <c r="AM75" s="7"/>
      <c r="AN75" s="7"/>
      <c r="AO75" s="8"/>
      <c r="AP75" s="8"/>
      <c r="AQ75" s="8"/>
      <c r="AR75" s="8"/>
      <c r="AS75" s="8"/>
      <c r="AU75" s="6"/>
      <c r="AV75" s="7"/>
      <c r="AW75" s="7"/>
      <c r="AX75" s="8"/>
      <c r="AY75" s="8"/>
      <c r="AZ75" s="8"/>
      <c r="BA75" s="8"/>
      <c r="BB75" s="8"/>
      <c r="BD75" s="6" t="s">
        <v>64</v>
      </c>
      <c r="BE75" s="7"/>
      <c r="BF75" s="7"/>
      <c r="BG75" s="8"/>
      <c r="BH75" s="8"/>
      <c r="BI75" s="8"/>
      <c r="BJ75" s="8"/>
      <c r="BK75" s="8"/>
    </row>
    <row r="76" spans="2:63" ht="12" customHeight="1" x14ac:dyDescent="0.25">
      <c r="B76" s="6" t="s">
        <v>65</v>
      </c>
      <c r="C76" s="7">
        <f t="shared" si="178"/>
        <v>701.71400000000006</v>
      </c>
      <c r="D76" s="8"/>
      <c r="E76" s="8"/>
      <c r="F76" s="8"/>
      <c r="G76" s="8"/>
      <c r="H76" s="8"/>
      <c r="J76" s="6" t="s">
        <v>65</v>
      </c>
      <c r="K76" s="7">
        <v>3.95</v>
      </c>
      <c r="L76" s="7">
        <v>758.63099999999997</v>
      </c>
      <c r="M76" s="7">
        <v>505.98900000000003</v>
      </c>
      <c r="N76" s="7">
        <v>758.48299999999995</v>
      </c>
      <c r="O76" s="8"/>
      <c r="P76" s="8"/>
      <c r="Q76" s="8"/>
      <c r="R76" s="8"/>
      <c r="T76" s="6" t="s">
        <v>65</v>
      </c>
      <c r="U76" s="7"/>
      <c r="V76" s="7">
        <v>115.71899999999999</v>
      </c>
      <c r="W76" s="8"/>
      <c r="X76" s="8"/>
      <c r="Y76" s="8"/>
      <c r="Z76" s="8"/>
      <c r="AA76" s="8"/>
      <c r="AC76" s="6" t="s">
        <v>65</v>
      </c>
      <c r="AD76" s="7"/>
      <c r="AE76" s="7">
        <v>80.006</v>
      </c>
      <c r="AF76" s="8"/>
      <c r="AG76" s="8"/>
      <c r="AH76" s="8"/>
      <c r="AI76" s="8"/>
      <c r="AJ76" s="8"/>
      <c r="AL76" s="6" t="s">
        <v>65</v>
      </c>
      <c r="AM76" s="7"/>
      <c r="AN76" s="7"/>
      <c r="AO76" s="8"/>
      <c r="AP76" s="8"/>
      <c r="AQ76" s="8"/>
      <c r="AR76" s="8"/>
      <c r="AS76" s="8"/>
      <c r="AU76" s="6"/>
      <c r="AV76" s="7"/>
      <c r="AW76" s="7"/>
      <c r="AX76" s="8"/>
      <c r="AY76" s="8"/>
      <c r="AZ76" s="8"/>
      <c r="BA76" s="8"/>
      <c r="BB76" s="8"/>
      <c r="BD76" s="6" t="s">
        <v>65</v>
      </c>
      <c r="BE76" s="7"/>
      <c r="BF76" s="7"/>
      <c r="BG76" s="8"/>
      <c r="BH76" s="8"/>
      <c r="BI76" s="8"/>
      <c r="BJ76" s="8"/>
      <c r="BK76" s="8"/>
    </row>
    <row r="77" spans="2:63" ht="12" customHeight="1" x14ac:dyDescent="0.25">
      <c r="B77" s="6" t="s">
        <v>66</v>
      </c>
      <c r="C77" s="7"/>
      <c r="D77" s="8"/>
      <c r="E77" s="8"/>
      <c r="F77" s="8"/>
      <c r="G77" s="8"/>
      <c r="H77" s="8"/>
      <c r="J77" s="6" t="s">
        <v>66</v>
      </c>
      <c r="K77" s="7"/>
      <c r="L77" s="7"/>
      <c r="M77" s="7"/>
      <c r="N77" s="7"/>
      <c r="O77" s="8"/>
      <c r="P77" s="8"/>
      <c r="Q77" s="8"/>
      <c r="R77" s="8"/>
      <c r="T77" s="6" t="s">
        <v>66</v>
      </c>
      <c r="U77" s="7"/>
      <c r="V77" s="7"/>
      <c r="W77" s="8"/>
      <c r="X77" s="8"/>
      <c r="Y77" s="8"/>
      <c r="Z77" s="8"/>
      <c r="AA77" s="8"/>
      <c r="AC77" s="6" t="s">
        <v>66</v>
      </c>
      <c r="AD77" s="7"/>
      <c r="AE77" s="7"/>
      <c r="AF77" s="8"/>
      <c r="AG77" s="8"/>
      <c r="AH77" s="8"/>
      <c r="AI77" s="8"/>
      <c r="AJ77" s="8"/>
      <c r="AL77" s="6" t="s">
        <v>66</v>
      </c>
      <c r="AM77" s="7"/>
      <c r="AN77" s="7"/>
      <c r="AO77" s="8"/>
      <c r="AP77" s="8"/>
      <c r="AQ77" s="8"/>
      <c r="AR77" s="8"/>
      <c r="AS77" s="8"/>
      <c r="AU77" s="6"/>
      <c r="AV77" s="7"/>
      <c r="AW77" s="7"/>
      <c r="AX77" s="8"/>
      <c r="AY77" s="8"/>
      <c r="AZ77" s="8"/>
      <c r="BA77" s="8"/>
      <c r="BB77" s="8"/>
      <c r="BD77" s="6" t="s">
        <v>66</v>
      </c>
      <c r="BE77" s="7"/>
      <c r="BF77" s="7"/>
      <c r="BG77" s="8"/>
      <c r="BH77" s="8"/>
      <c r="BI77" s="8"/>
      <c r="BJ77" s="8"/>
      <c r="BK77" s="8"/>
    </row>
    <row r="78" spans="2:63" ht="12" customHeight="1" x14ac:dyDescent="0.25">
      <c r="B78" s="27" t="s">
        <v>67</v>
      </c>
      <c r="C78" s="28">
        <f t="shared" ref="C78" si="179">C75+C76+C77</f>
        <v>4438.0029999999997</v>
      </c>
      <c r="D78" s="221">
        <f>C81</f>
        <v>4438.0029999999997</v>
      </c>
      <c r="E78" s="221">
        <f t="shared" ref="E78:H78" si="180">D81</f>
        <v>19438.003000000001</v>
      </c>
      <c r="F78" s="221">
        <f t="shared" si="180"/>
        <v>35938.002999999997</v>
      </c>
      <c r="G78" s="221">
        <f t="shared" si="180"/>
        <v>51271.336333333333</v>
      </c>
      <c r="H78" s="221">
        <f t="shared" si="180"/>
        <v>62938.003000000004</v>
      </c>
      <c r="J78" s="27" t="s">
        <v>67</v>
      </c>
      <c r="K78" s="28">
        <f t="shared" ref="K78:M78" si="181">K75+K76+K77</f>
        <v>443.113</v>
      </c>
      <c r="L78" s="28">
        <f t="shared" si="181"/>
        <v>2135.5650000000001</v>
      </c>
      <c r="M78" s="28">
        <f t="shared" si="181"/>
        <v>1556.3680000000002</v>
      </c>
      <c r="N78" s="28">
        <f t="shared" ref="N78" si="182">N75+N76+N77</f>
        <v>1684.96</v>
      </c>
      <c r="O78" s="221">
        <f t="shared" ref="O78:R78" si="183">N82</f>
        <v>1684.96</v>
      </c>
      <c r="P78" s="221">
        <f t="shared" si="183"/>
        <v>1684.96</v>
      </c>
      <c r="Q78" s="221">
        <f t="shared" si="183"/>
        <v>1600.712</v>
      </c>
      <c r="R78" s="221">
        <f t="shared" si="183"/>
        <v>1516.4639999999999</v>
      </c>
      <c r="T78" s="27" t="s">
        <v>67</v>
      </c>
      <c r="U78" s="28"/>
      <c r="V78" s="28">
        <f t="shared" ref="V78" si="184">V75+V76+V77</f>
        <v>1246.2730000000001</v>
      </c>
      <c r="W78" s="221"/>
      <c r="X78" s="221"/>
      <c r="Y78" s="221"/>
      <c r="Z78" s="221"/>
      <c r="AA78" s="221"/>
      <c r="AC78" s="27" t="s">
        <v>67</v>
      </c>
      <c r="AD78" s="28"/>
      <c r="AE78" s="28">
        <f t="shared" ref="AE78" si="185">AE75+AE76+AE77</f>
        <v>1635.3620000000001</v>
      </c>
      <c r="AF78" s="221"/>
      <c r="AG78" s="221"/>
      <c r="AH78" s="221"/>
      <c r="AI78" s="221"/>
      <c r="AJ78" s="221"/>
      <c r="AL78" s="27" t="s">
        <v>67</v>
      </c>
      <c r="AM78" s="28"/>
      <c r="AN78" s="28">
        <f t="shared" ref="AN78" si="186">AN75+AN76+AN77</f>
        <v>0</v>
      </c>
      <c r="AO78" s="221"/>
      <c r="AP78" s="221"/>
      <c r="AQ78" s="221"/>
      <c r="AR78" s="221"/>
      <c r="AS78" s="221"/>
      <c r="AU78" s="27"/>
      <c r="AV78" s="28"/>
      <c r="AW78" s="28"/>
      <c r="AX78" s="221"/>
      <c r="AY78" s="221"/>
      <c r="AZ78" s="221"/>
      <c r="BA78" s="221"/>
      <c r="BB78" s="221"/>
      <c r="BD78" s="27" t="s">
        <v>67</v>
      </c>
      <c r="BE78" s="28"/>
      <c r="BF78" s="28">
        <f t="shared" ref="BF78" si="187">BF75+BF76+BF77</f>
        <v>0</v>
      </c>
      <c r="BG78" s="221"/>
      <c r="BH78" s="221"/>
      <c r="BI78" s="221"/>
      <c r="BJ78" s="221"/>
      <c r="BK78" s="221"/>
    </row>
    <row r="79" spans="2:63" ht="12" customHeight="1" x14ac:dyDescent="0.25">
      <c r="B79" s="6" t="s">
        <v>68</v>
      </c>
      <c r="C79" s="7"/>
      <c r="D79" s="229">
        <f>D190-D193</f>
        <v>15000</v>
      </c>
      <c r="E79" s="229">
        <f t="shared" ref="E79:H79" si="188">E190-E193</f>
        <v>17500</v>
      </c>
      <c r="F79" s="229">
        <f t="shared" si="188"/>
        <v>17500</v>
      </c>
      <c r="G79" s="229">
        <f t="shared" si="188"/>
        <v>15000</v>
      </c>
      <c r="H79" s="229">
        <f t="shared" si="188"/>
        <v>15000</v>
      </c>
      <c r="J79" s="6" t="s">
        <v>68</v>
      </c>
      <c r="K79" s="7"/>
      <c r="L79" s="7"/>
      <c r="M79" s="7"/>
      <c r="N79" s="7"/>
      <c r="O79" s="229">
        <f t="shared" ref="O79:R79" si="189">O190*0.8</f>
        <v>0</v>
      </c>
      <c r="P79" s="229">
        <f t="shared" si="189"/>
        <v>0</v>
      </c>
      <c r="Q79" s="229">
        <f t="shared" si="189"/>
        <v>0</v>
      </c>
      <c r="R79" s="229">
        <f t="shared" si="189"/>
        <v>0</v>
      </c>
      <c r="T79" s="6" t="s">
        <v>68</v>
      </c>
      <c r="U79" s="7"/>
      <c r="V79" s="7"/>
      <c r="W79" s="229"/>
      <c r="X79" s="229"/>
      <c r="Y79" s="229"/>
      <c r="Z79" s="229"/>
      <c r="AA79" s="229"/>
      <c r="AC79" s="6" t="s">
        <v>68</v>
      </c>
      <c r="AD79" s="7"/>
      <c r="AE79" s="7"/>
      <c r="AF79" s="229"/>
      <c r="AG79" s="229"/>
      <c r="AH79" s="229"/>
      <c r="AI79" s="229"/>
      <c r="AJ79" s="229"/>
      <c r="AL79" s="6" t="s">
        <v>68</v>
      </c>
      <c r="AM79" s="7"/>
      <c r="AN79" s="7"/>
      <c r="AO79" s="229"/>
      <c r="AP79" s="229"/>
      <c r="AQ79" s="229"/>
      <c r="AR79" s="229"/>
      <c r="AS79" s="229"/>
      <c r="AU79" s="6"/>
      <c r="AV79" s="7"/>
      <c r="AW79" s="7"/>
      <c r="AX79" s="229"/>
      <c r="AY79" s="229"/>
      <c r="AZ79" s="229"/>
      <c r="BA79" s="229"/>
      <c r="BB79" s="229"/>
      <c r="BD79" s="6" t="s">
        <v>68</v>
      </c>
      <c r="BE79" s="7"/>
      <c r="BF79" s="7"/>
      <c r="BG79" s="229"/>
      <c r="BH79" s="229"/>
      <c r="BI79" s="229"/>
      <c r="BJ79" s="229"/>
      <c r="BK79" s="229"/>
    </row>
    <row r="80" spans="2:63" ht="12" customHeight="1" x14ac:dyDescent="0.25">
      <c r="B80" s="6" t="s">
        <v>69</v>
      </c>
      <c r="C80" s="7"/>
      <c r="D80" s="229"/>
      <c r="E80" s="229">
        <f>D79/15</f>
        <v>1000</v>
      </c>
      <c r="F80" s="229">
        <f>E80+E79/15</f>
        <v>2166.666666666667</v>
      </c>
      <c r="G80" s="229">
        <f>F80+F79/15</f>
        <v>3333.3333333333339</v>
      </c>
      <c r="H80" s="229">
        <f>G80+G79/15</f>
        <v>4333.3333333333339</v>
      </c>
      <c r="J80" s="6" t="s">
        <v>69</v>
      </c>
      <c r="K80" s="7"/>
      <c r="L80" s="7"/>
      <c r="M80" s="7"/>
      <c r="N80" s="7"/>
      <c r="O80" s="229"/>
      <c r="P80" s="229">
        <f>O78/20</f>
        <v>84.248000000000005</v>
      </c>
      <c r="Q80" s="229">
        <f>P78/20</f>
        <v>84.248000000000005</v>
      </c>
      <c r="R80" s="229">
        <f>Q78/20</f>
        <v>80.035600000000002</v>
      </c>
      <c r="T80" s="6" t="s">
        <v>69</v>
      </c>
      <c r="U80" s="7"/>
      <c r="V80" s="7"/>
      <c r="W80" s="229"/>
      <c r="X80" s="229"/>
      <c r="Y80" s="229"/>
      <c r="Z80" s="229"/>
      <c r="AA80" s="229"/>
      <c r="AC80" s="6" t="s">
        <v>69</v>
      </c>
      <c r="AD80" s="7"/>
      <c r="AE80" s="7"/>
      <c r="AF80" s="229"/>
      <c r="AG80" s="229"/>
      <c r="AH80" s="229"/>
      <c r="AI80" s="229"/>
      <c r="AJ80" s="229"/>
      <c r="AL80" s="6" t="s">
        <v>69</v>
      </c>
      <c r="AM80" s="7"/>
      <c r="AN80" s="7"/>
      <c r="AO80" s="229"/>
      <c r="AP80" s="229"/>
      <c r="AQ80" s="229"/>
      <c r="AR80" s="229"/>
      <c r="AS80" s="229"/>
      <c r="AU80" s="6"/>
      <c r="AV80" s="7"/>
      <c r="AW80" s="7"/>
      <c r="AX80" s="229"/>
      <c r="AY80" s="229"/>
      <c r="AZ80" s="229"/>
      <c r="BA80" s="229"/>
      <c r="BB80" s="229"/>
      <c r="BD80" s="6" t="s">
        <v>69</v>
      </c>
      <c r="BE80" s="7"/>
      <c r="BF80" s="7"/>
      <c r="BG80" s="229"/>
      <c r="BH80" s="229"/>
      <c r="BI80" s="229"/>
      <c r="BJ80" s="229"/>
      <c r="BK80" s="229"/>
    </row>
    <row r="81" spans="2:63" ht="12" customHeight="1" x14ac:dyDescent="0.25">
      <c r="B81" s="29" t="s">
        <v>70</v>
      </c>
      <c r="C81" s="30">
        <f t="shared" ref="C81:D81" si="190">C78+C79-C80</f>
        <v>4438.0029999999997</v>
      </c>
      <c r="D81" s="223">
        <f t="shared" si="190"/>
        <v>19438.003000000001</v>
      </c>
      <c r="E81" s="223">
        <f t="shared" ref="E81:H81" si="191">E78+E79-E80</f>
        <v>35938.002999999997</v>
      </c>
      <c r="F81" s="223">
        <f t="shared" si="191"/>
        <v>51271.336333333333</v>
      </c>
      <c r="G81" s="223">
        <f t="shared" si="191"/>
        <v>62938.003000000004</v>
      </c>
      <c r="H81" s="223">
        <f t="shared" si="191"/>
        <v>73604.669666666668</v>
      </c>
      <c r="J81" s="29" t="s">
        <v>70</v>
      </c>
      <c r="K81" s="30">
        <f t="shared" ref="K81:R81" si="192">K78+K79-K80</f>
        <v>443.113</v>
      </c>
      <c r="L81" s="30">
        <f t="shared" si="192"/>
        <v>2135.5650000000001</v>
      </c>
      <c r="M81" s="30">
        <f t="shared" si="192"/>
        <v>1556.3680000000002</v>
      </c>
      <c r="N81" s="30">
        <f t="shared" ref="N81" si="193">N78+N79-N80</f>
        <v>1684.96</v>
      </c>
      <c r="O81" s="223">
        <f t="shared" si="192"/>
        <v>1684.96</v>
      </c>
      <c r="P81" s="223">
        <f t="shared" si="192"/>
        <v>1600.712</v>
      </c>
      <c r="Q81" s="223">
        <f t="shared" si="192"/>
        <v>1516.4639999999999</v>
      </c>
      <c r="R81" s="223">
        <f t="shared" si="192"/>
        <v>1436.4284</v>
      </c>
      <c r="T81" s="29" t="s">
        <v>70</v>
      </c>
      <c r="U81" s="30"/>
      <c r="V81" s="30">
        <f t="shared" ref="V81" si="194">V78+V79-V80</f>
        <v>1246.2730000000001</v>
      </c>
      <c r="W81" s="223"/>
      <c r="X81" s="223"/>
      <c r="Y81" s="223"/>
      <c r="Z81" s="223"/>
      <c r="AA81" s="223"/>
      <c r="AC81" s="29" t="s">
        <v>70</v>
      </c>
      <c r="AD81" s="30"/>
      <c r="AE81" s="30">
        <f t="shared" ref="AE81" si="195">AE78+AE79-AE80</f>
        <v>1635.3620000000001</v>
      </c>
      <c r="AF81" s="223"/>
      <c r="AG81" s="223"/>
      <c r="AH81" s="223"/>
      <c r="AI81" s="223"/>
      <c r="AJ81" s="223"/>
      <c r="AL81" s="29" t="s">
        <v>70</v>
      </c>
      <c r="AM81" s="30"/>
      <c r="AN81" s="30">
        <f t="shared" ref="AN81" si="196">AN78+AN79-AN80</f>
        <v>0</v>
      </c>
      <c r="AO81" s="223"/>
      <c r="AP81" s="223"/>
      <c r="AQ81" s="223"/>
      <c r="AR81" s="223"/>
      <c r="AS81" s="223"/>
      <c r="AU81" s="29"/>
      <c r="AV81" s="30"/>
      <c r="AW81" s="30"/>
      <c r="AX81" s="223"/>
      <c r="AY81" s="223"/>
      <c r="AZ81" s="223"/>
      <c r="BA81" s="223"/>
      <c r="BB81" s="223"/>
      <c r="BD81" s="29" t="s">
        <v>70</v>
      </c>
      <c r="BE81" s="30"/>
      <c r="BF81" s="30">
        <f t="shared" ref="BF81" si="197">BF78+BF79-BF80</f>
        <v>0</v>
      </c>
      <c r="BG81" s="223"/>
      <c r="BH81" s="223"/>
      <c r="BI81" s="223"/>
      <c r="BJ81" s="223"/>
      <c r="BK81" s="223"/>
    </row>
    <row r="82" spans="2:63" ht="12" customHeight="1" x14ac:dyDescent="0.25">
      <c r="B82" s="6" t="s">
        <v>71</v>
      </c>
      <c r="C82" s="7">
        <f t="shared" ref="C82:D82" si="198">C81</f>
        <v>4438.0029999999997</v>
      </c>
      <c r="D82" s="8">
        <f t="shared" si="198"/>
        <v>19438.003000000001</v>
      </c>
      <c r="E82" s="8">
        <f t="shared" ref="E82:H82" si="199">E81</f>
        <v>35938.002999999997</v>
      </c>
      <c r="F82" s="8">
        <f t="shared" si="199"/>
        <v>51271.336333333333</v>
      </c>
      <c r="G82" s="8">
        <f t="shared" si="199"/>
        <v>62938.003000000004</v>
      </c>
      <c r="H82" s="8">
        <f t="shared" si="199"/>
        <v>73604.669666666668</v>
      </c>
      <c r="J82" s="6" t="s">
        <v>71</v>
      </c>
      <c r="K82" s="7">
        <f t="shared" ref="K82:R82" si="200">K81</f>
        <v>443.113</v>
      </c>
      <c r="L82" s="7">
        <f t="shared" si="200"/>
        <v>2135.5650000000001</v>
      </c>
      <c r="M82" s="7">
        <f t="shared" si="200"/>
        <v>1556.3680000000002</v>
      </c>
      <c r="N82" s="7">
        <f t="shared" ref="N82" si="201">N81</f>
        <v>1684.96</v>
      </c>
      <c r="O82" s="8">
        <f t="shared" si="200"/>
        <v>1684.96</v>
      </c>
      <c r="P82" s="8">
        <f t="shared" si="200"/>
        <v>1600.712</v>
      </c>
      <c r="Q82" s="8">
        <f t="shared" si="200"/>
        <v>1516.4639999999999</v>
      </c>
      <c r="R82" s="8">
        <f t="shared" si="200"/>
        <v>1436.4284</v>
      </c>
      <c r="T82" s="6" t="s">
        <v>71</v>
      </c>
      <c r="U82" s="7"/>
      <c r="V82" s="7">
        <f t="shared" ref="V82" si="202">V81</f>
        <v>1246.2730000000001</v>
      </c>
      <c r="W82" s="8"/>
      <c r="X82" s="8"/>
      <c r="Y82" s="8"/>
      <c r="Z82" s="8"/>
      <c r="AA82" s="8"/>
      <c r="AC82" s="6" t="s">
        <v>71</v>
      </c>
      <c r="AD82" s="7"/>
      <c r="AE82" s="7">
        <f t="shared" ref="AE82" si="203">AE81</f>
        <v>1635.3620000000001</v>
      </c>
      <c r="AF82" s="8"/>
      <c r="AG82" s="8"/>
      <c r="AH82" s="8"/>
      <c r="AI82" s="8"/>
      <c r="AJ82" s="8"/>
      <c r="AL82" s="6" t="s">
        <v>71</v>
      </c>
      <c r="AM82" s="7"/>
      <c r="AN82" s="7">
        <f t="shared" ref="AN82" si="204">AN81</f>
        <v>0</v>
      </c>
      <c r="AO82" s="8"/>
      <c r="AP82" s="8"/>
      <c r="AQ82" s="8"/>
      <c r="AR82" s="8"/>
      <c r="AS82" s="8"/>
      <c r="AU82" s="6"/>
      <c r="AV82" s="7"/>
      <c r="AW82" s="7"/>
      <c r="AX82" s="8"/>
      <c r="AY82" s="8"/>
      <c r="AZ82" s="8"/>
      <c r="BA82" s="8"/>
      <c r="BB82" s="8"/>
      <c r="BD82" s="6" t="s">
        <v>71</v>
      </c>
      <c r="BE82" s="7"/>
      <c r="BF82" s="7">
        <f t="shared" ref="BF82" si="205">BF81</f>
        <v>0</v>
      </c>
      <c r="BG82" s="8"/>
      <c r="BH82" s="8"/>
      <c r="BI82" s="8"/>
      <c r="BJ82" s="8"/>
      <c r="BK82" s="8"/>
    </row>
    <row r="83" spans="2:63" ht="12" customHeight="1" x14ac:dyDescent="0.25">
      <c r="B83" s="6" t="s">
        <v>72</v>
      </c>
      <c r="C83" s="7">
        <f t="shared" ref="C83:C85" si="206">+M83+V83+AE83+AN83+BF83</f>
        <v>71.978999999999999</v>
      </c>
      <c r="D83" s="8">
        <f>C83</f>
        <v>71.978999999999999</v>
      </c>
      <c r="E83" s="8">
        <f t="shared" ref="E83:H83" si="207">D83</f>
        <v>71.978999999999999</v>
      </c>
      <c r="F83" s="8">
        <f t="shared" si="207"/>
        <v>71.978999999999999</v>
      </c>
      <c r="G83" s="8">
        <f t="shared" si="207"/>
        <v>71.978999999999999</v>
      </c>
      <c r="H83" s="8">
        <f t="shared" si="207"/>
        <v>71.978999999999999</v>
      </c>
      <c r="J83" s="6" t="s">
        <v>72</v>
      </c>
      <c r="K83" s="7"/>
      <c r="L83" s="7"/>
      <c r="M83" s="7"/>
      <c r="N83" s="7"/>
      <c r="O83" s="8"/>
      <c r="P83" s="8"/>
      <c r="Q83" s="8"/>
      <c r="R83" s="8"/>
      <c r="T83" s="6" t="s">
        <v>72</v>
      </c>
      <c r="U83" s="7"/>
      <c r="V83" s="7">
        <v>35.256</v>
      </c>
      <c r="W83" s="8"/>
      <c r="X83" s="8"/>
      <c r="Y83" s="8"/>
      <c r="Z83" s="8"/>
      <c r="AA83" s="8"/>
      <c r="AC83" s="6" t="s">
        <v>72</v>
      </c>
      <c r="AD83" s="7"/>
      <c r="AE83" s="7">
        <v>36.722999999999999</v>
      </c>
      <c r="AF83" s="8"/>
      <c r="AG83" s="8"/>
      <c r="AH83" s="8"/>
      <c r="AI83" s="8"/>
      <c r="AJ83" s="8"/>
      <c r="AL83" s="6" t="s">
        <v>72</v>
      </c>
      <c r="AM83" s="7"/>
      <c r="AN83" s="7"/>
      <c r="AO83" s="8"/>
      <c r="AP83" s="8"/>
      <c r="AQ83" s="8"/>
      <c r="AR83" s="8"/>
      <c r="AS83" s="8"/>
      <c r="AU83" s="6"/>
      <c r="AV83" s="7"/>
      <c r="AW83" s="7"/>
      <c r="AX83" s="8"/>
      <c r="AY83" s="8"/>
      <c r="AZ83" s="8"/>
      <c r="BA83" s="8"/>
      <c r="BB83" s="8"/>
      <c r="BD83" s="6" t="s">
        <v>72</v>
      </c>
      <c r="BE83" s="7"/>
      <c r="BF83" s="7"/>
      <c r="BG83" s="8"/>
      <c r="BH83" s="8"/>
      <c r="BI83" s="8"/>
      <c r="BJ83" s="8"/>
      <c r="BK83" s="8"/>
    </row>
    <row r="84" spans="2:63" ht="12" customHeight="1" x14ac:dyDescent="0.25">
      <c r="B84" s="6" t="s">
        <v>73</v>
      </c>
      <c r="C84" s="7">
        <f t="shared" si="206"/>
        <v>84.328999999999994</v>
      </c>
      <c r="D84" s="8">
        <f>C84+D193</f>
        <v>84.328999999999994</v>
      </c>
      <c r="E84" s="8">
        <f t="shared" ref="E84:H84" si="208">D84+E193</f>
        <v>84.328999999999994</v>
      </c>
      <c r="F84" s="8">
        <f t="shared" si="208"/>
        <v>84.328999999999994</v>
      </c>
      <c r="G84" s="8">
        <f t="shared" si="208"/>
        <v>84.328999999999994</v>
      </c>
      <c r="H84" s="8">
        <f t="shared" si="208"/>
        <v>84.328999999999994</v>
      </c>
      <c r="J84" s="6" t="s">
        <v>73</v>
      </c>
      <c r="K84" s="7">
        <v>0</v>
      </c>
      <c r="L84" s="7">
        <f>39.208</f>
        <v>39.207999999999998</v>
      </c>
      <c r="M84" s="7">
        <v>84.328999999999994</v>
      </c>
      <c r="N84" s="7">
        <v>37.381</v>
      </c>
      <c r="O84" s="8">
        <f t="shared" ref="O84:R84" si="209">N84+O193</f>
        <v>37.381</v>
      </c>
      <c r="P84" s="8">
        <f t="shared" si="209"/>
        <v>37.381</v>
      </c>
      <c r="Q84" s="8">
        <f t="shared" si="209"/>
        <v>37.381</v>
      </c>
      <c r="R84" s="8">
        <f t="shared" si="209"/>
        <v>37.381</v>
      </c>
      <c r="T84" s="6" t="s">
        <v>73</v>
      </c>
      <c r="U84" s="7"/>
      <c r="V84" s="7"/>
      <c r="W84" s="8"/>
      <c r="X84" s="8"/>
      <c r="Y84" s="8"/>
      <c r="Z84" s="8"/>
      <c r="AA84" s="8"/>
      <c r="AC84" s="6" t="s">
        <v>73</v>
      </c>
      <c r="AD84" s="7"/>
      <c r="AE84" s="7"/>
      <c r="AF84" s="8"/>
      <c r="AG84" s="8"/>
      <c r="AH84" s="8"/>
      <c r="AI84" s="8"/>
      <c r="AJ84" s="8"/>
      <c r="AL84" s="6" t="s">
        <v>73</v>
      </c>
      <c r="AM84" s="7"/>
      <c r="AN84" s="7"/>
      <c r="AO84" s="8"/>
      <c r="AP84" s="8"/>
      <c r="AQ84" s="8"/>
      <c r="AR84" s="8"/>
      <c r="AS84" s="8"/>
      <c r="AU84" s="6"/>
      <c r="AV84" s="7"/>
      <c r="AW84" s="7"/>
      <c r="AX84" s="8"/>
      <c r="AY84" s="8"/>
      <c r="AZ84" s="8"/>
      <c r="BA84" s="8"/>
      <c r="BB84" s="8"/>
      <c r="BD84" s="6" t="s">
        <v>73</v>
      </c>
      <c r="BE84" s="7"/>
      <c r="BF84" s="7"/>
      <c r="BG84" s="8"/>
      <c r="BH84" s="8"/>
      <c r="BI84" s="8"/>
      <c r="BJ84" s="8"/>
      <c r="BK84" s="8"/>
    </row>
    <row r="85" spans="2:63" ht="12" customHeight="1" x14ac:dyDescent="0.25">
      <c r="B85" s="6" t="s">
        <v>74</v>
      </c>
      <c r="C85" s="7">
        <f t="shared" si="206"/>
        <v>111.455</v>
      </c>
      <c r="D85" s="8">
        <f t="shared" ref="D85:H85" si="210">C85</f>
        <v>111.455</v>
      </c>
      <c r="E85" s="8">
        <f t="shared" si="210"/>
        <v>111.455</v>
      </c>
      <c r="F85" s="8">
        <f t="shared" si="210"/>
        <v>111.455</v>
      </c>
      <c r="G85" s="8">
        <f t="shared" si="210"/>
        <v>111.455</v>
      </c>
      <c r="H85" s="8">
        <f t="shared" si="210"/>
        <v>111.455</v>
      </c>
      <c r="J85" s="6" t="s">
        <v>74</v>
      </c>
      <c r="K85" s="7">
        <f>72.834</f>
        <v>72.834000000000003</v>
      </c>
      <c r="L85" s="7">
        <f>85.464</f>
        <v>85.463999999999999</v>
      </c>
      <c r="M85" s="7">
        <v>111.455</v>
      </c>
      <c r="N85" s="7">
        <v>127.883</v>
      </c>
      <c r="O85" s="8">
        <f t="shared" ref="O85:R85" si="211">N85</f>
        <v>127.883</v>
      </c>
      <c r="P85" s="8">
        <f t="shared" si="211"/>
        <v>127.883</v>
      </c>
      <c r="Q85" s="8">
        <f t="shared" si="211"/>
        <v>127.883</v>
      </c>
      <c r="R85" s="8">
        <f t="shared" si="211"/>
        <v>127.883</v>
      </c>
      <c r="T85" s="6" t="s">
        <v>74</v>
      </c>
      <c r="U85" s="7"/>
      <c r="V85" s="7"/>
      <c r="W85" s="8"/>
      <c r="X85" s="8"/>
      <c r="Y85" s="8"/>
      <c r="Z85" s="8"/>
      <c r="AA85" s="8"/>
      <c r="AC85" s="6" t="s">
        <v>74</v>
      </c>
      <c r="AD85" s="7"/>
      <c r="AE85" s="7"/>
      <c r="AF85" s="8"/>
      <c r="AG85" s="8"/>
      <c r="AH85" s="8"/>
      <c r="AI85" s="8"/>
      <c r="AJ85" s="8"/>
      <c r="AL85" s="6" t="s">
        <v>74</v>
      </c>
      <c r="AM85" s="7"/>
      <c r="AN85" s="7"/>
      <c r="AO85" s="8"/>
      <c r="AP85" s="8"/>
      <c r="AQ85" s="8"/>
      <c r="AR85" s="8"/>
      <c r="AS85" s="8"/>
      <c r="AU85" s="6"/>
      <c r="AV85" s="7"/>
      <c r="AW85" s="7"/>
      <c r="AX85" s="8"/>
      <c r="AY85" s="8"/>
      <c r="AZ85" s="8"/>
      <c r="BA85" s="8"/>
      <c r="BB85" s="8"/>
      <c r="BD85" s="6" t="s">
        <v>74</v>
      </c>
      <c r="BE85" s="7"/>
      <c r="BF85" s="7"/>
      <c r="BG85" s="8"/>
      <c r="BH85" s="8"/>
      <c r="BI85" s="8"/>
      <c r="BJ85" s="8"/>
      <c r="BK85" s="8"/>
    </row>
    <row r="86" spans="2:63" ht="12" customHeight="1" x14ac:dyDescent="0.25">
      <c r="B86" s="6"/>
      <c r="C86" s="7"/>
      <c r="D86" s="8"/>
      <c r="E86" s="8"/>
      <c r="F86" s="8"/>
      <c r="G86" s="8"/>
      <c r="H86" s="8"/>
      <c r="J86" s="6"/>
      <c r="K86" s="7"/>
      <c r="L86" s="7"/>
      <c r="M86" s="7"/>
      <c r="N86" s="7"/>
      <c r="O86" s="8"/>
      <c r="P86" s="8"/>
      <c r="Q86" s="8"/>
      <c r="R86" s="8"/>
      <c r="T86" s="6"/>
      <c r="U86" s="7"/>
      <c r="V86" s="7"/>
      <c r="W86" s="8"/>
      <c r="X86" s="8"/>
      <c r="Y86" s="8"/>
      <c r="Z86" s="8"/>
      <c r="AA86" s="8"/>
      <c r="AC86" s="6"/>
      <c r="AD86" s="7"/>
      <c r="AE86" s="7"/>
      <c r="AF86" s="8"/>
      <c r="AG86" s="8"/>
      <c r="AH86" s="8"/>
      <c r="AI86" s="8"/>
      <c r="AJ86" s="8"/>
      <c r="AL86" s="6"/>
      <c r="AM86" s="7"/>
      <c r="AN86" s="7"/>
      <c r="AO86" s="8"/>
      <c r="AP86" s="8"/>
      <c r="AQ86" s="8"/>
      <c r="AR86" s="8"/>
      <c r="AS86" s="8"/>
      <c r="AU86" s="6"/>
      <c r="AV86" s="7"/>
      <c r="AW86" s="7"/>
      <c r="AX86" s="8"/>
      <c r="AY86" s="8"/>
      <c r="AZ86" s="8"/>
      <c r="BA86" s="8"/>
      <c r="BB86" s="8"/>
      <c r="BD86" s="6"/>
      <c r="BE86" s="7"/>
      <c r="BF86" s="7"/>
      <c r="BG86" s="8"/>
      <c r="BH86" s="8"/>
      <c r="BI86" s="8"/>
      <c r="BJ86" s="8"/>
      <c r="BK86" s="8"/>
    </row>
    <row r="87" spans="2:63" ht="12" customHeight="1" x14ac:dyDescent="0.25">
      <c r="B87" s="9" t="s">
        <v>75</v>
      </c>
      <c r="C87" s="10">
        <f t="shared" ref="C87:H87" si="212">SUM(C69:C70)+C73+SUM(C82:C85)</f>
        <v>35876.564999999995</v>
      </c>
      <c r="D87" s="5">
        <f t="shared" ca="1" si="212"/>
        <v>50983.431046603881</v>
      </c>
      <c r="E87" s="5">
        <f t="shared" ca="1" si="212"/>
        <v>68168.721599674813</v>
      </c>
      <c r="F87" s="5">
        <f t="shared" ca="1" si="212"/>
        <v>84187.095219414114</v>
      </c>
      <c r="G87" s="5">
        <f t="shared" ca="1" si="212"/>
        <v>98972.433905917787</v>
      </c>
      <c r="H87" s="5">
        <f t="shared" ca="1" si="212"/>
        <v>115460.03951046648</v>
      </c>
      <c r="J87" s="9" t="s">
        <v>75</v>
      </c>
      <c r="K87" s="10">
        <f t="shared" ref="K87:R87" si="213">SUM(K69:K70)+K73+SUM(K82:K85)</f>
        <v>20281.175999999999</v>
      </c>
      <c r="L87" s="10">
        <f t="shared" si="213"/>
        <v>22005.29</v>
      </c>
      <c r="M87" s="10">
        <f t="shared" ref="M87:N87" si="214">SUM(M69:M70)+M73+SUM(M82:M85)</f>
        <v>21037.011999999995</v>
      </c>
      <c r="N87" s="10">
        <f t="shared" si="214"/>
        <v>21429.773999999998</v>
      </c>
      <c r="O87" s="5">
        <f t="shared" ca="1" si="213"/>
        <v>21909.096847547597</v>
      </c>
      <c r="P87" s="5">
        <f t="shared" ca="1" si="213"/>
        <v>22731.230150351581</v>
      </c>
      <c r="Q87" s="5">
        <f t="shared" ca="1" si="213"/>
        <v>24028.921957572165</v>
      </c>
      <c r="R87" s="5">
        <f t="shared" ca="1" si="213"/>
        <v>25943.946147524759</v>
      </c>
      <c r="T87" s="9" t="s">
        <v>75</v>
      </c>
      <c r="U87" s="10"/>
      <c r="V87" s="10">
        <f t="shared" ref="V87" si="215">SUM(V69:V70)+V73+SUM(V82:V85)</f>
        <v>1868.2570000000001</v>
      </c>
      <c r="W87" s="5"/>
      <c r="X87" s="5"/>
      <c r="Y87" s="5"/>
      <c r="Z87" s="5"/>
      <c r="AA87" s="5"/>
      <c r="AC87" s="9" t="s">
        <v>75</v>
      </c>
      <c r="AD87" s="10"/>
      <c r="AE87" s="10">
        <f t="shared" ref="AE87" si="216">SUM(AE69:AE70)+AE73+SUM(AE82:AE85)</f>
        <v>2865.703</v>
      </c>
      <c r="AF87" s="5"/>
      <c r="AG87" s="5"/>
      <c r="AH87" s="5"/>
      <c r="AI87" s="5"/>
      <c r="AJ87" s="5"/>
      <c r="AL87" s="9" t="s">
        <v>75</v>
      </c>
      <c r="AM87" s="10"/>
      <c r="AN87" s="10">
        <f t="shared" ref="AN87" si="217">SUM(AN69:AN70)+AN73+SUM(AN82:AN85)</f>
        <v>137.31899999999999</v>
      </c>
      <c r="AO87" s="5"/>
      <c r="AP87" s="5"/>
      <c r="AQ87" s="5"/>
      <c r="AR87" s="5"/>
      <c r="AS87" s="5"/>
      <c r="AU87" s="9"/>
      <c r="AV87" s="10"/>
      <c r="AW87" s="10"/>
      <c r="AX87" s="5"/>
      <c r="AY87" s="5"/>
      <c r="AZ87" s="5"/>
      <c r="BA87" s="5"/>
      <c r="BB87" s="5"/>
      <c r="BD87" s="9" t="s">
        <v>75</v>
      </c>
      <c r="BE87" s="10"/>
      <c r="BF87" s="10">
        <f t="shared" ref="BF87" si="218">SUM(BF69:BF70)+BF73+SUM(BF82:BF85)</f>
        <v>9968.2739999999994</v>
      </c>
      <c r="BG87" s="5"/>
      <c r="BH87" s="5"/>
      <c r="BI87" s="5"/>
      <c r="BJ87" s="5"/>
      <c r="BK87" s="5"/>
    </row>
    <row r="88" spans="2:63" ht="12" customHeight="1" x14ac:dyDescent="0.25">
      <c r="B88" s="6"/>
      <c r="C88" s="7"/>
      <c r="D88" s="5"/>
      <c r="E88" s="5"/>
      <c r="F88" s="5"/>
      <c r="G88" s="5"/>
      <c r="H88" s="5"/>
      <c r="J88" s="6"/>
      <c r="K88" s="7"/>
      <c r="L88" s="7"/>
      <c r="M88" s="7"/>
      <c r="N88" s="7"/>
      <c r="O88" s="5"/>
      <c r="P88" s="5"/>
      <c r="Q88" s="5"/>
      <c r="R88" s="5"/>
      <c r="T88" s="6"/>
      <c r="U88" s="7"/>
      <c r="V88" s="7"/>
      <c r="W88" s="5"/>
      <c r="X88" s="5"/>
      <c r="Y88" s="5"/>
      <c r="Z88" s="5"/>
      <c r="AA88" s="5"/>
      <c r="AC88" s="6"/>
      <c r="AD88" s="7"/>
      <c r="AE88" s="7"/>
      <c r="AF88" s="5"/>
      <c r="AG88" s="5"/>
      <c r="AH88" s="5"/>
      <c r="AI88" s="5"/>
      <c r="AJ88" s="5"/>
      <c r="AL88" s="6"/>
      <c r="AM88" s="7"/>
      <c r="AN88" s="7"/>
      <c r="AO88" s="5"/>
      <c r="AP88" s="5"/>
      <c r="AQ88" s="5"/>
      <c r="AR88" s="5"/>
      <c r="AS88" s="5"/>
      <c r="AU88" s="6"/>
      <c r="AV88" s="7"/>
      <c r="AW88" s="7"/>
      <c r="AX88" s="5"/>
      <c r="AY88" s="5"/>
      <c r="AZ88" s="5"/>
      <c r="BA88" s="5"/>
      <c r="BB88" s="5"/>
      <c r="BD88" s="6"/>
      <c r="BE88" s="7"/>
      <c r="BF88" s="7"/>
      <c r="BG88" s="5"/>
      <c r="BH88" s="5"/>
      <c r="BI88" s="5"/>
      <c r="BJ88" s="5"/>
      <c r="BK88" s="5"/>
    </row>
    <row r="89" spans="2:63" ht="12" customHeight="1" x14ac:dyDescent="0.25">
      <c r="B89" s="6" t="s">
        <v>76</v>
      </c>
      <c r="C89" s="7"/>
      <c r="D89" s="198"/>
      <c r="E89" s="198"/>
      <c r="F89" s="198"/>
      <c r="G89" s="198"/>
      <c r="H89" s="198"/>
      <c r="J89" s="6" t="s">
        <v>76</v>
      </c>
      <c r="K89" s="7"/>
      <c r="L89" s="7"/>
      <c r="M89" s="7"/>
      <c r="N89" s="7"/>
      <c r="O89" s="198"/>
      <c r="P89" s="198"/>
      <c r="Q89" s="198"/>
      <c r="R89" s="198"/>
      <c r="T89" s="6" t="s">
        <v>76</v>
      </c>
      <c r="U89" s="7"/>
      <c r="V89" s="7"/>
      <c r="W89" s="198"/>
      <c r="X89" s="198"/>
      <c r="Y89" s="198"/>
      <c r="Z89" s="198"/>
      <c r="AA89" s="198"/>
      <c r="AC89" s="6" t="s">
        <v>76</v>
      </c>
      <c r="AD89" s="7"/>
      <c r="AE89" s="7"/>
      <c r="AF89" s="198"/>
      <c r="AG89" s="198"/>
      <c r="AH89" s="198"/>
      <c r="AI89" s="198"/>
      <c r="AJ89" s="198"/>
      <c r="AL89" s="6" t="s">
        <v>76</v>
      </c>
      <c r="AM89" s="7"/>
      <c r="AN89" s="7"/>
      <c r="AO89" s="198"/>
      <c r="AP89" s="198"/>
      <c r="AQ89" s="198"/>
      <c r="AR89" s="198"/>
      <c r="AS89" s="198"/>
      <c r="AU89" s="6"/>
      <c r="AV89" s="7"/>
      <c r="AW89" s="7"/>
      <c r="AX89" s="198"/>
      <c r="AY89" s="198"/>
      <c r="AZ89" s="198"/>
      <c r="BA89" s="198"/>
      <c r="BB89" s="198"/>
      <c r="BD89" s="6" t="s">
        <v>76</v>
      </c>
      <c r="BE89" s="7"/>
      <c r="BF89" s="7"/>
      <c r="BG89" s="198"/>
      <c r="BH89" s="198"/>
      <c r="BI89" s="198"/>
      <c r="BJ89" s="198"/>
      <c r="BK89" s="198"/>
    </row>
    <row r="90" spans="2:63" ht="12" customHeight="1" x14ac:dyDescent="0.25">
      <c r="B90" s="6" t="s">
        <v>77</v>
      </c>
      <c r="C90" s="7"/>
      <c r="D90" s="13"/>
      <c r="E90" s="13"/>
      <c r="F90" s="13"/>
      <c r="G90" s="13"/>
      <c r="H90" s="13"/>
      <c r="J90" s="6" t="s">
        <v>77</v>
      </c>
      <c r="K90" s="7"/>
      <c r="L90" s="7"/>
      <c r="M90" s="7"/>
      <c r="N90" s="7"/>
      <c r="O90" s="13"/>
      <c r="P90" s="13"/>
      <c r="Q90" s="13"/>
      <c r="R90" s="13"/>
      <c r="T90" s="6" t="s">
        <v>77</v>
      </c>
      <c r="U90" s="7"/>
      <c r="V90" s="7"/>
      <c r="W90" s="13"/>
      <c r="X90" s="13"/>
      <c r="Y90" s="13"/>
      <c r="Z90" s="13"/>
      <c r="AA90" s="13"/>
      <c r="AC90" s="6" t="s">
        <v>77</v>
      </c>
      <c r="AD90" s="7"/>
      <c r="AE90" s="7"/>
      <c r="AF90" s="13"/>
      <c r="AG90" s="13"/>
      <c r="AH90" s="13"/>
      <c r="AI90" s="13"/>
      <c r="AJ90" s="13"/>
      <c r="AL90" s="6" t="s">
        <v>77</v>
      </c>
      <c r="AM90" s="7"/>
      <c r="AN90" s="7"/>
      <c r="AO90" s="13"/>
      <c r="AP90" s="13"/>
      <c r="AQ90" s="13"/>
      <c r="AR90" s="13"/>
      <c r="AS90" s="13"/>
      <c r="AU90" s="6"/>
      <c r="AV90" s="7"/>
      <c r="AW90" s="7"/>
      <c r="AX90" s="13"/>
      <c r="AY90" s="13"/>
      <c r="AZ90" s="13"/>
      <c r="BA90" s="13"/>
      <c r="BB90" s="13"/>
      <c r="BD90" s="6" t="s">
        <v>77</v>
      </c>
      <c r="BE90" s="7"/>
      <c r="BF90" s="7"/>
      <c r="BG90" s="13"/>
      <c r="BH90" s="13"/>
      <c r="BI90" s="13"/>
      <c r="BJ90" s="13"/>
      <c r="BK90" s="13"/>
    </row>
    <row r="91" spans="2:63" ht="12" customHeight="1" x14ac:dyDescent="0.25">
      <c r="B91" s="6" t="s">
        <v>78</v>
      </c>
      <c r="C91" s="7">
        <f t="shared" ref="C91:C94" si="219">+M91+V91+AE91+AN91+BF91</f>
        <v>24836.172000000002</v>
      </c>
      <c r="D91" s="8">
        <f>C91+D190</f>
        <v>39836.172000000006</v>
      </c>
      <c r="E91" s="8">
        <f t="shared" ref="E91:H91" si="220">D91+E190</f>
        <v>57336.172000000006</v>
      </c>
      <c r="F91" s="8">
        <f t="shared" si="220"/>
        <v>74836.172000000006</v>
      </c>
      <c r="G91" s="8">
        <f t="shared" si="220"/>
        <v>89836.172000000006</v>
      </c>
      <c r="H91" s="8">
        <f t="shared" si="220"/>
        <v>104836.17200000001</v>
      </c>
      <c r="J91" s="6" t="s">
        <v>78</v>
      </c>
      <c r="K91" s="7">
        <v>17646.941999999999</v>
      </c>
      <c r="L91" s="7">
        <v>20968.125</v>
      </c>
      <c r="M91" s="7">
        <f>+M93+M92</f>
        <v>21255.844000000001</v>
      </c>
      <c r="N91" s="7">
        <f>+N93+N92</f>
        <v>21851.277000000002</v>
      </c>
      <c r="O91" s="8">
        <f t="shared" ref="O91:R91" si="221">N91+O190</f>
        <v>21851.277000000002</v>
      </c>
      <c r="P91" s="8">
        <f t="shared" si="221"/>
        <v>21851.277000000002</v>
      </c>
      <c r="Q91" s="8">
        <f t="shared" si="221"/>
        <v>21851.277000000002</v>
      </c>
      <c r="R91" s="8">
        <f t="shared" si="221"/>
        <v>21851.277000000002</v>
      </c>
      <c r="T91" s="6" t="s">
        <v>78</v>
      </c>
      <c r="U91" s="7"/>
      <c r="V91" s="7">
        <v>1531.662</v>
      </c>
      <c r="W91" s="8"/>
      <c r="X91" s="8"/>
      <c r="Y91" s="8"/>
      <c r="Z91" s="8"/>
      <c r="AA91" s="8"/>
      <c r="AC91" s="6" t="s">
        <v>78</v>
      </c>
      <c r="AD91" s="7"/>
      <c r="AE91" s="7">
        <v>2048.6660000000002</v>
      </c>
      <c r="AF91" s="8"/>
      <c r="AG91" s="8"/>
      <c r="AH91" s="8"/>
      <c r="AI91" s="8"/>
      <c r="AJ91" s="8"/>
      <c r="AL91" s="6" t="s">
        <v>78</v>
      </c>
      <c r="AM91" s="7"/>
      <c r="AN91" s="7"/>
      <c r="AO91" s="8"/>
      <c r="AP91" s="8"/>
      <c r="AQ91" s="8"/>
      <c r="AR91" s="8"/>
      <c r="AS91" s="8"/>
      <c r="AU91" s="6"/>
      <c r="AV91" s="7"/>
      <c r="AW91" s="7"/>
      <c r="AX91" s="8"/>
      <c r="AY91" s="8"/>
      <c r="AZ91" s="8"/>
      <c r="BA91" s="8"/>
      <c r="BB91" s="8"/>
      <c r="BD91" s="6" t="s">
        <v>78</v>
      </c>
      <c r="BE91" s="7"/>
      <c r="BF91" s="7"/>
      <c r="BG91" s="8"/>
      <c r="BH91" s="8"/>
      <c r="BI91" s="8"/>
      <c r="BJ91" s="8"/>
      <c r="BK91" s="8"/>
    </row>
    <row r="92" spans="2:63" ht="12" customHeight="1" x14ac:dyDescent="0.25">
      <c r="B92" s="6" t="s">
        <v>79</v>
      </c>
      <c r="C92" s="7">
        <f t="shared" si="219"/>
        <v>2752.6280000000006</v>
      </c>
      <c r="D92" s="8">
        <f>C92+D31</f>
        <v>3748.5323000000008</v>
      </c>
      <c r="E92" s="8">
        <f t="shared" ref="E92:H92" si="222">D92+E31</f>
        <v>5181.9366000000009</v>
      </c>
      <c r="F92" s="8">
        <f t="shared" si="222"/>
        <v>7052.8409000000011</v>
      </c>
      <c r="G92" s="8">
        <f t="shared" si="222"/>
        <v>9298.7452000000012</v>
      </c>
      <c r="H92" s="8">
        <f t="shared" si="222"/>
        <v>11919.649500000001</v>
      </c>
      <c r="J92" s="6" t="s">
        <v>79</v>
      </c>
      <c r="K92" s="7">
        <v>1849.9889999999996</v>
      </c>
      <c r="L92" s="7">
        <v>2218.0430000000001</v>
      </c>
      <c r="M92" s="7">
        <f>+L92+L31</f>
        <v>2635.096</v>
      </c>
      <c r="N92" s="7">
        <f>+M92+M31</f>
        <v>3144.1819999999998</v>
      </c>
      <c r="O92" s="8">
        <f t="shared" ref="O92:R92" si="223">N92+O31</f>
        <v>3711.5239999999999</v>
      </c>
      <c r="P92" s="8">
        <f t="shared" si="223"/>
        <v>4278.866</v>
      </c>
      <c r="Q92" s="8">
        <f t="shared" si="223"/>
        <v>4846.2079999999996</v>
      </c>
      <c r="R92" s="8">
        <f t="shared" si="223"/>
        <v>5413.5499999999993</v>
      </c>
      <c r="T92" s="6" t="s">
        <v>79</v>
      </c>
      <c r="U92" s="7"/>
      <c r="V92" s="7">
        <f>+V91-V93</f>
        <v>36.965000000000146</v>
      </c>
      <c r="W92" s="8"/>
      <c r="X92" s="8"/>
      <c r="Y92" s="8"/>
      <c r="Z92" s="8"/>
      <c r="AA92" s="8"/>
      <c r="AC92" s="6" t="s">
        <v>79</v>
      </c>
      <c r="AD92" s="7"/>
      <c r="AE92" s="7">
        <f>+AE91-AE93</f>
        <v>80.567000000000235</v>
      </c>
      <c r="AF92" s="8"/>
      <c r="AG92" s="8"/>
      <c r="AH92" s="8"/>
      <c r="AI92" s="8"/>
      <c r="AJ92" s="8"/>
      <c r="AL92" s="6" t="s">
        <v>79</v>
      </c>
      <c r="AM92" s="7"/>
      <c r="AN92" s="7">
        <f>+AN91-AN93</f>
        <v>0</v>
      </c>
      <c r="AO92" s="8"/>
      <c r="AP92" s="8"/>
      <c r="AQ92" s="8"/>
      <c r="AR92" s="8"/>
      <c r="AS92" s="8"/>
      <c r="AU92" s="6"/>
      <c r="AV92" s="7"/>
      <c r="AW92" s="7"/>
      <c r="AX92" s="8"/>
      <c r="AY92" s="8"/>
      <c r="AZ92" s="8"/>
      <c r="BA92" s="8"/>
      <c r="BB92" s="8"/>
      <c r="BD92" s="6" t="s">
        <v>79</v>
      </c>
      <c r="BE92" s="7"/>
      <c r="BF92" s="7">
        <f>+BF91-BF93</f>
        <v>0</v>
      </c>
      <c r="BG92" s="8"/>
      <c r="BH92" s="8"/>
      <c r="BI92" s="8"/>
      <c r="BJ92" s="8"/>
      <c r="BK92" s="8"/>
    </row>
    <row r="93" spans="2:63" ht="12" customHeight="1" x14ac:dyDescent="0.25">
      <c r="B93" s="6" t="s">
        <v>80</v>
      </c>
      <c r="C93" s="7">
        <f t="shared" si="219"/>
        <v>22083.543999999998</v>
      </c>
      <c r="D93" s="8">
        <f>D91-D92</f>
        <v>36087.639700000007</v>
      </c>
      <c r="E93" s="8">
        <f t="shared" ref="E93:H93" si="224">E91-E92</f>
        <v>52154.235400000005</v>
      </c>
      <c r="F93" s="8">
        <f t="shared" si="224"/>
        <v>67783.33110000001</v>
      </c>
      <c r="G93" s="8">
        <f t="shared" si="224"/>
        <v>80537.426800000001</v>
      </c>
      <c r="H93" s="8">
        <f t="shared" si="224"/>
        <v>92916.522500000006</v>
      </c>
      <c r="J93" s="6" t="s">
        <v>80</v>
      </c>
      <c r="K93" s="7">
        <f>15796.953</f>
        <v>15796.953</v>
      </c>
      <c r="L93" s="7">
        <f>18750.082</f>
        <v>18750.081999999999</v>
      </c>
      <c r="M93" s="7">
        <f>18494.684+126.064</f>
        <v>18620.748</v>
      </c>
      <c r="N93" s="7">
        <f>18603.554+103.541</f>
        <v>18707.095000000001</v>
      </c>
      <c r="O93" s="8">
        <f t="shared" ref="O93:R93" si="225">O91-O92</f>
        <v>18139.753000000001</v>
      </c>
      <c r="P93" s="8">
        <f t="shared" si="225"/>
        <v>17572.411</v>
      </c>
      <c r="Q93" s="8">
        <f t="shared" si="225"/>
        <v>17005.069000000003</v>
      </c>
      <c r="R93" s="8">
        <f t="shared" si="225"/>
        <v>16437.727000000003</v>
      </c>
      <c r="T93" s="6" t="s">
        <v>80</v>
      </c>
      <c r="U93" s="7"/>
      <c r="V93" s="7">
        <v>1494.6969999999999</v>
      </c>
      <c r="W93" s="8"/>
      <c r="X93" s="8"/>
      <c r="Y93" s="8"/>
      <c r="Z93" s="8"/>
      <c r="AA93" s="8"/>
      <c r="AC93" s="6" t="s">
        <v>80</v>
      </c>
      <c r="AD93" s="7"/>
      <c r="AE93" s="7">
        <v>1968.0989999999999</v>
      </c>
      <c r="AF93" s="8"/>
      <c r="AG93" s="8"/>
      <c r="AH93" s="8"/>
      <c r="AI93" s="8"/>
      <c r="AJ93" s="8"/>
      <c r="AL93" s="6" t="s">
        <v>80</v>
      </c>
      <c r="AM93" s="7"/>
      <c r="AN93" s="7"/>
      <c r="AO93" s="8"/>
      <c r="AP93" s="8"/>
      <c r="AQ93" s="8"/>
      <c r="AR93" s="8"/>
      <c r="AS93" s="8"/>
      <c r="AU93" s="6"/>
      <c r="AV93" s="7"/>
      <c r="AW93" s="7"/>
      <c r="AX93" s="8"/>
      <c r="AY93" s="8"/>
      <c r="AZ93" s="8"/>
      <c r="BA93" s="8"/>
      <c r="BB93" s="8"/>
      <c r="BD93" s="6" t="s">
        <v>80</v>
      </c>
      <c r="BE93" s="7"/>
      <c r="BF93" s="7"/>
      <c r="BG93" s="8"/>
      <c r="BH93" s="8"/>
      <c r="BI93" s="8"/>
      <c r="BJ93" s="8"/>
      <c r="BK93" s="8"/>
    </row>
    <row r="94" spans="2:63" ht="12" customHeight="1" x14ac:dyDescent="0.25">
      <c r="B94" s="6" t="s">
        <v>81</v>
      </c>
      <c r="C94" s="7">
        <f t="shared" si="219"/>
        <v>86.90100000000001</v>
      </c>
      <c r="D94" s="8">
        <f>C94</f>
        <v>86.90100000000001</v>
      </c>
      <c r="E94" s="8">
        <f t="shared" ref="E94:H94" si="226">D94</f>
        <v>86.90100000000001</v>
      </c>
      <c r="F94" s="8">
        <f t="shared" si="226"/>
        <v>86.90100000000001</v>
      </c>
      <c r="G94" s="8">
        <f t="shared" si="226"/>
        <v>86.90100000000001</v>
      </c>
      <c r="H94" s="8">
        <f t="shared" si="226"/>
        <v>86.90100000000001</v>
      </c>
      <c r="J94" s="6" t="s">
        <v>81</v>
      </c>
      <c r="K94" s="7">
        <f>537.692</f>
        <v>537.69200000000001</v>
      </c>
      <c r="L94" s="7">
        <f>228.818</f>
        <v>228.81800000000001</v>
      </c>
      <c r="M94" s="7">
        <v>53.033000000000001</v>
      </c>
      <c r="N94" s="7">
        <v>24.154</v>
      </c>
      <c r="O94" s="8">
        <f t="shared" ref="O94:R94" si="227">N94</f>
        <v>24.154</v>
      </c>
      <c r="P94" s="8">
        <f t="shared" si="227"/>
        <v>24.154</v>
      </c>
      <c r="Q94" s="8">
        <f t="shared" si="227"/>
        <v>24.154</v>
      </c>
      <c r="R94" s="8">
        <f t="shared" si="227"/>
        <v>24.154</v>
      </c>
      <c r="T94" s="6" t="s">
        <v>81</v>
      </c>
      <c r="U94" s="7"/>
      <c r="V94" s="7"/>
      <c r="W94" s="8"/>
      <c r="X94" s="8"/>
      <c r="Y94" s="8"/>
      <c r="Z94" s="8"/>
      <c r="AA94" s="8"/>
      <c r="AC94" s="6" t="s">
        <v>81</v>
      </c>
      <c r="AD94" s="7"/>
      <c r="AE94" s="7">
        <v>33.868000000000002</v>
      </c>
      <c r="AF94" s="8"/>
      <c r="AG94" s="8"/>
      <c r="AH94" s="8"/>
      <c r="AI94" s="8"/>
      <c r="AJ94" s="8"/>
      <c r="AL94" s="6" t="s">
        <v>81</v>
      </c>
      <c r="AM94" s="7"/>
      <c r="AN94" s="7"/>
      <c r="AO94" s="8"/>
      <c r="AP94" s="8"/>
      <c r="AQ94" s="8"/>
      <c r="AR94" s="8"/>
      <c r="AS94" s="8"/>
      <c r="AU94" s="6"/>
      <c r="AV94" s="7"/>
      <c r="AW94" s="7"/>
      <c r="AX94" s="8"/>
      <c r="AY94" s="8"/>
      <c r="AZ94" s="8"/>
      <c r="BA94" s="8"/>
      <c r="BB94" s="8"/>
      <c r="BD94" s="6" t="s">
        <v>81</v>
      </c>
      <c r="BE94" s="7"/>
      <c r="BF94" s="7"/>
      <c r="BG94" s="8"/>
      <c r="BH94" s="8"/>
      <c r="BI94" s="8"/>
      <c r="BJ94" s="8"/>
      <c r="BK94" s="8"/>
    </row>
    <row r="95" spans="2:63" ht="12" customHeight="1" x14ac:dyDescent="0.25">
      <c r="B95" s="6"/>
      <c r="C95" s="7"/>
      <c r="D95" s="5"/>
      <c r="E95" s="5"/>
      <c r="F95" s="5"/>
      <c r="G95" s="5"/>
      <c r="H95" s="5"/>
      <c r="J95" s="6"/>
      <c r="K95" s="7"/>
      <c r="L95" s="7"/>
      <c r="M95" s="7"/>
      <c r="N95" s="7"/>
      <c r="O95" s="5"/>
      <c r="P95" s="5"/>
      <c r="Q95" s="5"/>
      <c r="R95" s="5"/>
      <c r="T95" s="6"/>
      <c r="U95" s="7"/>
      <c r="V95" s="7"/>
      <c r="W95" s="5"/>
      <c r="X95" s="5"/>
      <c r="Y95" s="5"/>
      <c r="Z95" s="5"/>
      <c r="AA95" s="5"/>
      <c r="AC95" s="6"/>
      <c r="AD95" s="7"/>
      <c r="AE95" s="7"/>
      <c r="AF95" s="5"/>
      <c r="AG95" s="5"/>
      <c r="AH95" s="5"/>
      <c r="AI95" s="5"/>
      <c r="AJ95" s="5"/>
      <c r="AL95" s="6"/>
      <c r="AM95" s="7"/>
      <c r="AN95" s="7"/>
      <c r="AO95" s="5"/>
      <c r="AP95" s="5"/>
      <c r="AQ95" s="5"/>
      <c r="AR95" s="5"/>
      <c r="AS95" s="5"/>
      <c r="AU95" s="6"/>
      <c r="AV95" s="7"/>
      <c r="AW95" s="7"/>
      <c r="AX95" s="5"/>
      <c r="AY95" s="5"/>
      <c r="AZ95" s="5"/>
      <c r="BA95" s="5"/>
      <c r="BB95" s="5"/>
      <c r="BD95" s="6"/>
      <c r="BE95" s="7"/>
      <c r="BF95" s="7"/>
      <c r="BG95" s="5"/>
      <c r="BH95" s="5"/>
      <c r="BI95" s="5"/>
      <c r="BJ95" s="5"/>
      <c r="BK95" s="5"/>
    </row>
    <row r="96" spans="2:63" ht="12" customHeight="1" x14ac:dyDescent="0.25">
      <c r="B96" s="6" t="s">
        <v>82</v>
      </c>
      <c r="C96" s="7"/>
      <c r="D96" s="8"/>
      <c r="E96" s="8"/>
      <c r="F96" s="8"/>
      <c r="G96" s="8"/>
      <c r="H96" s="8"/>
      <c r="J96" s="6" t="s">
        <v>82</v>
      </c>
      <c r="K96" s="7"/>
      <c r="L96" s="7"/>
      <c r="M96" s="7"/>
      <c r="N96" s="7"/>
      <c r="O96" s="8"/>
      <c r="P96" s="8"/>
      <c r="Q96" s="8"/>
      <c r="R96" s="8"/>
      <c r="T96" s="6" t="s">
        <v>82</v>
      </c>
      <c r="U96" s="7"/>
      <c r="V96" s="7"/>
      <c r="W96" s="8"/>
      <c r="X96" s="8"/>
      <c r="Y96" s="8"/>
      <c r="Z96" s="8"/>
      <c r="AA96" s="8"/>
      <c r="AC96" s="6" t="s">
        <v>82</v>
      </c>
      <c r="AD96" s="7"/>
      <c r="AE96" s="7"/>
      <c r="AF96" s="8"/>
      <c r="AG96" s="8"/>
      <c r="AH96" s="8"/>
      <c r="AI96" s="8"/>
      <c r="AJ96" s="8"/>
      <c r="AL96" s="6" t="s">
        <v>82</v>
      </c>
      <c r="AM96" s="7"/>
      <c r="AN96" s="7"/>
      <c r="AO96" s="8"/>
      <c r="AP96" s="8"/>
      <c r="AQ96" s="8"/>
      <c r="AR96" s="8"/>
      <c r="AS96" s="8"/>
      <c r="AU96" s="6"/>
      <c r="AV96" s="7"/>
      <c r="AW96" s="7"/>
      <c r="AX96" s="8"/>
      <c r="AY96" s="8"/>
      <c r="AZ96" s="8"/>
      <c r="BA96" s="8"/>
      <c r="BB96" s="8"/>
      <c r="BD96" s="6" t="s">
        <v>82</v>
      </c>
      <c r="BE96" s="7"/>
      <c r="BF96" s="7"/>
      <c r="BG96" s="8"/>
      <c r="BH96" s="8"/>
      <c r="BI96" s="8"/>
      <c r="BJ96" s="8"/>
      <c r="BK96" s="8"/>
    </row>
    <row r="97" spans="2:63" ht="12" customHeight="1" x14ac:dyDescent="0.25">
      <c r="B97" s="6" t="s">
        <v>83</v>
      </c>
      <c r="C97" s="7">
        <f t="shared" ref="C97:C103" si="228">+M97+V97+AE97+AN97+BF97</f>
        <v>182.67500000000001</v>
      </c>
      <c r="D97" s="8">
        <f>C97</f>
        <v>182.67500000000001</v>
      </c>
      <c r="E97" s="8">
        <f t="shared" ref="E97:H97" si="229">D97</f>
        <v>182.67500000000001</v>
      </c>
      <c r="F97" s="8">
        <f t="shared" si="229"/>
        <v>182.67500000000001</v>
      </c>
      <c r="G97" s="8">
        <f t="shared" si="229"/>
        <v>182.67500000000001</v>
      </c>
      <c r="H97" s="8">
        <f t="shared" si="229"/>
        <v>182.67500000000001</v>
      </c>
      <c r="J97" s="6" t="s">
        <v>83</v>
      </c>
      <c r="K97" s="7">
        <f>242.097</f>
        <v>242.09700000000001</v>
      </c>
      <c r="L97" s="7">
        <f>214.859</f>
        <v>214.85900000000001</v>
      </c>
      <c r="M97" s="7">
        <v>182.67500000000001</v>
      </c>
      <c r="N97" s="7">
        <v>150.16200000000001</v>
      </c>
      <c r="O97" s="8">
        <f t="shared" ref="O97:R97" si="230">N97</f>
        <v>150.16200000000001</v>
      </c>
      <c r="P97" s="8">
        <f t="shared" si="230"/>
        <v>150.16200000000001</v>
      </c>
      <c r="Q97" s="8">
        <f t="shared" si="230"/>
        <v>150.16200000000001</v>
      </c>
      <c r="R97" s="8">
        <f t="shared" si="230"/>
        <v>150.16200000000001</v>
      </c>
      <c r="T97" s="6" t="s">
        <v>83</v>
      </c>
      <c r="U97" s="7"/>
      <c r="V97" s="7"/>
      <c r="W97" s="8"/>
      <c r="X97" s="8"/>
      <c r="Y97" s="8"/>
      <c r="Z97" s="8"/>
      <c r="AA97" s="8"/>
      <c r="AC97" s="6" t="s">
        <v>83</v>
      </c>
      <c r="AD97" s="7"/>
      <c r="AE97" s="7"/>
      <c r="AF97" s="8"/>
      <c r="AG97" s="8"/>
      <c r="AH97" s="8"/>
      <c r="AI97" s="8"/>
      <c r="AJ97" s="8"/>
      <c r="AL97" s="6" t="s">
        <v>83</v>
      </c>
      <c r="AM97" s="7"/>
      <c r="AN97" s="7"/>
      <c r="AO97" s="8"/>
      <c r="AP97" s="8"/>
      <c r="AQ97" s="8"/>
      <c r="AR97" s="8"/>
      <c r="AS97" s="8"/>
      <c r="AU97" s="6"/>
      <c r="AV97" s="7"/>
      <c r="AW97" s="7"/>
      <c r="AX97" s="8"/>
      <c r="AY97" s="8"/>
      <c r="AZ97" s="8"/>
      <c r="BA97" s="8"/>
      <c r="BB97" s="8"/>
      <c r="BD97" s="6" t="s">
        <v>83</v>
      </c>
      <c r="BE97" s="7"/>
      <c r="BF97" s="7"/>
      <c r="BG97" s="8"/>
      <c r="BH97" s="8"/>
      <c r="BI97" s="8"/>
      <c r="BJ97" s="8"/>
      <c r="BK97" s="8"/>
    </row>
    <row r="98" spans="2:63" ht="12" customHeight="1" x14ac:dyDescent="0.25">
      <c r="B98" s="6" t="s">
        <v>84</v>
      </c>
      <c r="C98" s="7"/>
      <c r="D98" s="8"/>
      <c r="E98" s="8"/>
      <c r="F98" s="8"/>
      <c r="G98" s="8"/>
      <c r="H98" s="8"/>
      <c r="J98" s="6" t="s">
        <v>84</v>
      </c>
      <c r="K98" s="7"/>
      <c r="L98" s="7"/>
      <c r="M98" s="7"/>
      <c r="N98" s="7"/>
      <c r="O98" s="8"/>
      <c r="P98" s="8"/>
      <c r="Q98" s="8"/>
      <c r="R98" s="8"/>
      <c r="T98" s="6" t="s">
        <v>84</v>
      </c>
      <c r="U98" s="7"/>
      <c r="V98" s="7"/>
      <c r="W98" s="8"/>
      <c r="X98" s="8"/>
      <c r="Y98" s="8"/>
      <c r="Z98" s="8"/>
      <c r="AA98" s="8"/>
      <c r="AC98" s="6" t="s">
        <v>84</v>
      </c>
      <c r="AD98" s="7"/>
      <c r="AE98" s="7"/>
      <c r="AF98" s="8"/>
      <c r="AG98" s="8"/>
      <c r="AH98" s="8"/>
      <c r="AI98" s="8"/>
      <c r="AJ98" s="8"/>
      <c r="AL98" s="6" t="s">
        <v>84</v>
      </c>
      <c r="AM98" s="7"/>
      <c r="AN98" s="7"/>
      <c r="AO98" s="8"/>
      <c r="AP98" s="8"/>
      <c r="AQ98" s="8"/>
      <c r="AR98" s="8"/>
      <c r="AS98" s="8"/>
      <c r="AU98" s="6"/>
      <c r="AV98" s="7"/>
      <c r="AW98" s="7"/>
      <c r="AX98" s="8"/>
      <c r="AY98" s="8"/>
      <c r="AZ98" s="8"/>
      <c r="BA98" s="8"/>
      <c r="BB98" s="8"/>
      <c r="BD98" s="6" t="s">
        <v>84</v>
      </c>
      <c r="BE98" s="7"/>
      <c r="BF98" s="7"/>
      <c r="BG98" s="8"/>
      <c r="BH98" s="8"/>
      <c r="BI98" s="8"/>
      <c r="BJ98" s="8"/>
      <c r="BK98" s="8"/>
    </row>
    <row r="99" spans="2:63" ht="12" customHeight="1" x14ac:dyDescent="0.25">
      <c r="B99" s="6"/>
      <c r="C99" s="7"/>
      <c r="D99" s="8"/>
      <c r="E99" s="8"/>
      <c r="F99" s="8"/>
      <c r="G99" s="8"/>
      <c r="H99" s="8"/>
      <c r="J99" s="6"/>
      <c r="K99" s="7"/>
      <c r="L99" s="7"/>
      <c r="M99" s="7"/>
      <c r="N99" s="7"/>
      <c r="O99" s="8"/>
      <c r="P99" s="8"/>
      <c r="Q99" s="8"/>
      <c r="R99" s="8"/>
      <c r="T99" s="6"/>
      <c r="U99" s="7"/>
      <c r="V99" s="7"/>
      <c r="W99" s="8"/>
      <c r="X99" s="8"/>
      <c r="Y99" s="8"/>
      <c r="Z99" s="8"/>
      <c r="AA99" s="8"/>
      <c r="AC99" s="6"/>
      <c r="AD99" s="7"/>
      <c r="AE99" s="7"/>
      <c r="AF99" s="8"/>
      <c r="AG99" s="8"/>
      <c r="AH99" s="8"/>
      <c r="AI99" s="8"/>
      <c r="AJ99" s="8"/>
      <c r="AL99" s="6"/>
      <c r="AM99" s="7"/>
      <c r="AN99" s="7"/>
      <c r="AO99" s="8"/>
      <c r="AP99" s="8"/>
      <c r="AQ99" s="8"/>
      <c r="AR99" s="8"/>
      <c r="AS99" s="8"/>
      <c r="AU99" s="6"/>
      <c r="AV99" s="7"/>
      <c r="AW99" s="7"/>
      <c r="AX99" s="8"/>
      <c r="AY99" s="8"/>
      <c r="AZ99" s="8"/>
      <c r="BA99" s="8"/>
      <c r="BB99" s="8"/>
      <c r="BD99" s="6"/>
      <c r="BE99" s="7"/>
      <c r="BF99" s="7"/>
      <c r="BG99" s="8"/>
      <c r="BH99" s="8"/>
      <c r="BI99" s="8"/>
      <c r="BJ99" s="8"/>
      <c r="BK99" s="8"/>
    </row>
    <row r="100" spans="2:63" ht="12" customHeight="1" x14ac:dyDescent="0.25">
      <c r="B100" s="6" t="s">
        <v>85</v>
      </c>
      <c r="C100" s="7">
        <f t="shared" si="228"/>
        <v>10160.003999999999</v>
      </c>
      <c r="D100" s="8">
        <f>C100</f>
        <v>10160.003999999999</v>
      </c>
      <c r="E100" s="8">
        <f t="shared" ref="E100:H103" si="231">D100</f>
        <v>10160.003999999999</v>
      </c>
      <c r="F100" s="8">
        <f t="shared" si="231"/>
        <v>10160.003999999999</v>
      </c>
      <c r="G100" s="8">
        <f t="shared" si="231"/>
        <v>10160.003999999999</v>
      </c>
      <c r="H100" s="8">
        <f t="shared" si="231"/>
        <v>10160.003999999999</v>
      </c>
      <c r="J100" s="6" t="s">
        <v>85</v>
      </c>
      <c r="K100" s="7">
        <f>491.612</f>
        <v>491.61200000000002</v>
      </c>
      <c r="L100" s="7">
        <f>491.612</f>
        <v>491.61200000000002</v>
      </c>
      <c r="M100" s="7">
        <v>491.61199999999997</v>
      </c>
      <c r="N100" s="7">
        <v>365.584</v>
      </c>
      <c r="O100" s="8">
        <f t="shared" ref="O100:R103" si="232">N100</f>
        <v>365.584</v>
      </c>
      <c r="P100" s="8">
        <f t="shared" si="232"/>
        <v>365.584</v>
      </c>
      <c r="Q100" s="8">
        <f t="shared" si="232"/>
        <v>365.584</v>
      </c>
      <c r="R100" s="8">
        <f t="shared" si="232"/>
        <v>365.584</v>
      </c>
      <c r="T100" s="6" t="s">
        <v>85</v>
      </c>
      <c r="U100" s="7"/>
      <c r="V100" s="7"/>
      <c r="W100" s="8"/>
      <c r="X100" s="8"/>
      <c r="Y100" s="8"/>
      <c r="Z100" s="8"/>
      <c r="AA100" s="8"/>
      <c r="AC100" s="6" t="s">
        <v>85</v>
      </c>
      <c r="AD100" s="7"/>
      <c r="AE100" s="7"/>
      <c r="AF100" s="8"/>
      <c r="AG100" s="8"/>
      <c r="AH100" s="8"/>
      <c r="AI100" s="8"/>
      <c r="AJ100" s="8"/>
      <c r="AL100" s="6" t="s">
        <v>85</v>
      </c>
      <c r="AM100" s="7"/>
      <c r="AN100" s="7"/>
      <c r="AO100" s="8"/>
      <c r="AP100" s="8"/>
      <c r="AQ100" s="8"/>
      <c r="AR100" s="8"/>
      <c r="AS100" s="8"/>
      <c r="AU100" s="6"/>
      <c r="AV100" s="7"/>
      <c r="AW100" s="7"/>
      <c r="AX100" s="8"/>
      <c r="AY100" s="8"/>
      <c r="AZ100" s="8"/>
      <c r="BA100" s="8"/>
      <c r="BB100" s="8"/>
      <c r="BD100" s="6" t="s">
        <v>85</v>
      </c>
      <c r="BE100" s="7"/>
      <c r="BF100" s="7">
        <v>9668.3919999999998</v>
      </c>
      <c r="BG100" s="8"/>
      <c r="BH100" s="8"/>
      <c r="BI100" s="8"/>
      <c r="BJ100" s="8"/>
      <c r="BK100" s="8"/>
    </row>
    <row r="101" spans="2:63" ht="12" customHeight="1" x14ac:dyDescent="0.25">
      <c r="B101" s="6" t="s">
        <v>86</v>
      </c>
      <c r="C101" s="7">
        <f t="shared" si="228"/>
        <v>450.55700000000002</v>
      </c>
      <c r="D101" s="8">
        <f>C101</f>
        <v>450.55700000000002</v>
      </c>
      <c r="E101" s="8">
        <f t="shared" si="231"/>
        <v>450.55700000000002</v>
      </c>
      <c r="F101" s="8">
        <f t="shared" si="231"/>
        <v>450.55700000000002</v>
      </c>
      <c r="G101" s="8">
        <f t="shared" si="231"/>
        <v>450.55700000000002</v>
      </c>
      <c r="H101" s="8">
        <f t="shared" si="231"/>
        <v>450.55700000000002</v>
      </c>
      <c r="J101" s="6" t="s">
        <v>86</v>
      </c>
      <c r="K101" s="7">
        <f>281.38</f>
        <v>281.38</v>
      </c>
      <c r="L101" s="7">
        <f>226.105</f>
        <v>226.10499999999999</v>
      </c>
      <c r="M101" s="7">
        <v>443.05500000000001</v>
      </c>
      <c r="N101" s="7">
        <v>343.89800000000002</v>
      </c>
      <c r="O101" s="8">
        <f t="shared" si="232"/>
        <v>343.89800000000002</v>
      </c>
      <c r="P101" s="8">
        <f t="shared" si="232"/>
        <v>343.89800000000002</v>
      </c>
      <c r="Q101" s="8">
        <f t="shared" si="232"/>
        <v>343.89800000000002</v>
      </c>
      <c r="R101" s="8">
        <f t="shared" si="232"/>
        <v>343.89800000000002</v>
      </c>
      <c r="T101" s="6" t="s">
        <v>86</v>
      </c>
      <c r="U101" s="7"/>
      <c r="V101" s="7"/>
      <c r="W101" s="8"/>
      <c r="X101" s="8"/>
      <c r="Y101" s="8"/>
      <c r="Z101" s="8"/>
      <c r="AA101" s="8"/>
      <c r="AC101" s="6" t="s">
        <v>86</v>
      </c>
      <c r="AD101" s="7"/>
      <c r="AE101" s="7"/>
      <c r="AF101" s="8"/>
      <c r="AG101" s="8"/>
      <c r="AH101" s="8"/>
      <c r="AI101" s="8"/>
      <c r="AJ101" s="8"/>
      <c r="AL101" s="6" t="s">
        <v>86</v>
      </c>
      <c r="AM101" s="7"/>
      <c r="AN101" s="7"/>
      <c r="AO101" s="8"/>
      <c r="AP101" s="8"/>
      <c r="AQ101" s="8"/>
      <c r="AR101" s="8"/>
      <c r="AS101" s="8"/>
      <c r="AU101" s="6"/>
      <c r="AV101" s="7"/>
      <c r="AW101" s="7"/>
      <c r="AX101" s="8"/>
      <c r="AY101" s="8"/>
      <c r="AZ101" s="8"/>
      <c r="BA101" s="8"/>
      <c r="BB101" s="8"/>
      <c r="BD101" s="6" t="s">
        <v>86</v>
      </c>
      <c r="BE101" s="7"/>
      <c r="BF101" s="7">
        <v>7.5019999999999998</v>
      </c>
      <c r="BG101" s="8"/>
      <c r="BH101" s="8"/>
      <c r="BI101" s="8"/>
      <c r="BJ101" s="8"/>
      <c r="BK101" s="8"/>
    </row>
    <row r="102" spans="2:63" ht="12" customHeight="1" x14ac:dyDescent="0.25">
      <c r="B102" s="6" t="s">
        <v>87</v>
      </c>
      <c r="C102" s="7">
        <f t="shared" si="228"/>
        <v>0</v>
      </c>
      <c r="D102" s="8">
        <f>C102</f>
        <v>0</v>
      </c>
      <c r="E102" s="8">
        <f t="shared" si="231"/>
        <v>0</v>
      </c>
      <c r="F102" s="8">
        <f t="shared" si="231"/>
        <v>0</v>
      </c>
      <c r="G102" s="8">
        <f t="shared" si="231"/>
        <v>0</v>
      </c>
      <c r="H102" s="8">
        <f t="shared" si="231"/>
        <v>0</v>
      </c>
      <c r="J102" s="6" t="s">
        <v>87</v>
      </c>
      <c r="K102" s="7">
        <f>26.025</f>
        <v>26.024999999999999</v>
      </c>
      <c r="L102" s="7">
        <f>43.262</f>
        <v>43.262</v>
      </c>
      <c r="M102" s="7"/>
      <c r="N102" s="7"/>
      <c r="O102" s="8">
        <f t="shared" si="232"/>
        <v>0</v>
      </c>
      <c r="P102" s="8">
        <f t="shared" si="232"/>
        <v>0</v>
      </c>
      <c r="Q102" s="8">
        <f t="shared" si="232"/>
        <v>0</v>
      </c>
      <c r="R102" s="8">
        <f t="shared" si="232"/>
        <v>0</v>
      </c>
      <c r="T102" s="6" t="s">
        <v>87</v>
      </c>
      <c r="U102" s="7"/>
      <c r="V102" s="7"/>
      <c r="W102" s="8"/>
      <c r="X102" s="8"/>
      <c r="Y102" s="8"/>
      <c r="Z102" s="8"/>
      <c r="AA102" s="8"/>
      <c r="AC102" s="6" t="s">
        <v>87</v>
      </c>
      <c r="AD102" s="7"/>
      <c r="AE102" s="7"/>
      <c r="AF102" s="8"/>
      <c r="AG102" s="8"/>
      <c r="AH102" s="8"/>
      <c r="AI102" s="8"/>
      <c r="AJ102" s="8"/>
      <c r="AL102" s="6" t="s">
        <v>87</v>
      </c>
      <c r="AM102" s="7"/>
      <c r="AN102" s="7"/>
      <c r="AO102" s="8"/>
      <c r="AP102" s="8"/>
      <c r="AQ102" s="8"/>
      <c r="AR102" s="8"/>
      <c r="AS102" s="8"/>
      <c r="AU102" s="6"/>
      <c r="AV102" s="7"/>
      <c r="AW102" s="7"/>
      <c r="AX102" s="8"/>
      <c r="AY102" s="8"/>
      <c r="AZ102" s="8"/>
      <c r="BA102" s="8"/>
      <c r="BB102" s="8"/>
      <c r="BD102" s="6" t="s">
        <v>87</v>
      </c>
      <c r="BE102" s="7"/>
      <c r="BF102" s="7"/>
      <c r="BG102" s="8"/>
      <c r="BH102" s="8"/>
      <c r="BI102" s="8"/>
      <c r="BJ102" s="8"/>
      <c r="BK102" s="8"/>
    </row>
    <row r="103" spans="2:63" ht="12" customHeight="1" x14ac:dyDescent="0.25">
      <c r="B103" s="6" t="s">
        <v>88</v>
      </c>
      <c r="C103" s="7">
        <f t="shared" si="228"/>
        <v>610.09699999999998</v>
      </c>
      <c r="D103" s="8">
        <f>C103</f>
        <v>610.09699999999998</v>
      </c>
      <c r="E103" s="8">
        <f t="shared" si="231"/>
        <v>610.09699999999998</v>
      </c>
      <c r="F103" s="8">
        <f t="shared" si="231"/>
        <v>610.09699999999998</v>
      </c>
      <c r="G103" s="8">
        <f t="shared" si="231"/>
        <v>610.09699999999998</v>
      </c>
      <c r="H103" s="8">
        <f t="shared" si="231"/>
        <v>610.09699999999998</v>
      </c>
      <c r="J103" s="6" t="s">
        <v>88</v>
      </c>
      <c r="K103" s="7">
        <f>1088.909+3.335</f>
        <v>1092.2440000000001</v>
      </c>
      <c r="L103" s="7">
        <f>71.332+0.895</f>
        <v>72.22699999999999</v>
      </c>
      <c r="M103" s="7">
        <f>44.194+85.576+27.057</f>
        <v>156.82699999999997</v>
      </c>
      <c r="N103" s="7">
        <f>78.003+115.795+20.219</f>
        <v>214.017</v>
      </c>
      <c r="O103" s="8">
        <f t="shared" si="232"/>
        <v>214.017</v>
      </c>
      <c r="P103" s="8">
        <f t="shared" si="232"/>
        <v>214.017</v>
      </c>
      <c r="Q103" s="8">
        <f t="shared" si="232"/>
        <v>214.017</v>
      </c>
      <c r="R103" s="8">
        <f t="shared" si="232"/>
        <v>214.017</v>
      </c>
      <c r="T103" s="6" t="s">
        <v>88</v>
      </c>
      <c r="U103" s="7"/>
      <c r="V103" s="7">
        <v>35.177999999999997</v>
      </c>
      <c r="W103" s="8"/>
      <c r="X103" s="8"/>
      <c r="Y103" s="8"/>
      <c r="Z103" s="8"/>
      <c r="AA103" s="8"/>
      <c r="AC103" s="6" t="s">
        <v>88</v>
      </c>
      <c r="AD103" s="7"/>
      <c r="AE103" s="7">
        <v>417.875</v>
      </c>
      <c r="AF103" s="8"/>
      <c r="AG103" s="8"/>
      <c r="AH103" s="8"/>
      <c r="AI103" s="8"/>
      <c r="AJ103" s="8"/>
      <c r="AL103" s="6" t="s">
        <v>88</v>
      </c>
      <c r="AM103" s="7"/>
      <c r="AN103" s="7">
        <v>0.217</v>
      </c>
      <c r="AO103" s="8"/>
      <c r="AP103" s="8"/>
      <c r="AQ103" s="8"/>
      <c r="AR103" s="8"/>
      <c r="AS103" s="8"/>
      <c r="AU103" s="6"/>
      <c r="AV103" s="7"/>
      <c r="AW103" s="7"/>
      <c r="AX103" s="8"/>
      <c r="AY103" s="8"/>
      <c r="AZ103" s="8"/>
      <c r="BA103" s="8"/>
      <c r="BB103" s="8"/>
      <c r="BD103" s="6" t="s">
        <v>88</v>
      </c>
      <c r="BE103" s="7"/>
      <c r="BF103" s="7"/>
      <c r="BG103" s="8"/>
      <c r="BH103" s="8"/>
      <c r="BI103" s="8"/>
      <c r="BJ103" s="8"/>
      <c r="BK103" s="8"/>
    </row>
    <row r="104" spans="2:63" ht="12" customHeight="1" x14ac:dyDescent="0.25">
      <c r="B104" s="6"/>
      <c r="C104" s="7"/>
      <c r="D104" s="8"/>
      <c r="E104" s="8"/>
      <c r="F104" s="8"/>
      <c r="G104" s="8"/>
      <c r="H104" s="8"/>
      <c r="J104" s="6"/>
      <c r="K104" s="7"/>
      <c r="L104" s="7"/>
      <c r="M104" s="7"/>
      <c r="N104" s="7"/>
      <c r="O104" s="8"/>
      <c r="P104" s="8"/>
      <c r="Q104" s="8"/>
      <c r="R104" s="8"/>
      <c r="T104" s="6"/>
      <c r="U104" s="7"/>
      <c r="V104" s="7"/>
      <c r="W104" s="8"/>
      <c r="X104" s="8"/>
      <c r="Y104" s="8"/>
      <c r="Z104" s="8"/>
      <c r="AA104" s="8"/>
      <c r="AC104" s="6"/>
      <c r="AD104" s="7"/>
      <c r="AE104" s="7"/>
      <c r="AF104" s="8"/>
      <c r="AG104" s="8"/>
      <c r="AH104" s="8"/>
      <c r="AI104" s="8"/>
      <c r="AJ104" s="8"/>
      <c r="AL104" s="6"/>
      <c r="AM104" s="7"/>
      <c r="AN104" s="7"/>
      <c r="AO104" s="8"/>
      <c r="AP104" s="8"/>
      <c r="AQ104" s="8"/>
      <c r="AR104" s="8"/>
      <c r="AS104" s="8"/>
      <c r="AU104" s="6"/>
      <c r="AV104" s="7"/>
      <c r="AW104" s="7"/>
      <c r="AX104" s="8"/>
      <c r="AY104" s="8"/>
      <c r="AZ104" s="8"/>
      <c r="BA104" s="8"/>
      <c r="BB104" s="8"/>
      <c r="BD104" s="6"/>
      <c r="BE104" s="7"/>
      <c r="BF104" s="7"/>
      <c r="BG104" s="8"/>
      <c r="BH104" s="8"/>
      <c r="BI104" s="8"/>
      <c r="BJ104" s="8"/>
      <c r="BK104" s="8"/>
    </row>
    <row r="105" spans="2:63" ht="12" customHeight="1" x14ac:dyDescent="0.25">
      <c r="B105" s="9" t="s">
        <v>377</v>
      </c>
      <c r="C105" s="10"/>
      <c r="D105" s="8"/>
      <c r="E105" s="8"/>
      <c r="F105" s="8"/>
      <c r="G105" s="8"/>
      <c r="H105" s="8"/>
      <c r="J105" s="9" t="s">
        <v>377</v>
      </c>
      <c r="K105" s="10"/>
      <c r="L105" s="10"/>
      <c r="M105" s="10"/>
      <c r="N105" s="10"/>
      <c r="O105" s="8"/>
      <c r="P105" s="8"/>
      <c r="Q105" s="8"/>
      <c r="R105" s="8"/>
      <c r="T105" s="9" t="s">
        <v>377</v>
      </c>
      <c r="U105" s="10"/>
      <c r="V105" s="10"/>
      <c r="W105" s="8"/>
      <c r="X105" s="8"/>
      <c r="Y105" s="8"/>
      <c r="Z105" s="8"/>
      <c r="AA105" s="8"/>
      <c r="AC105" s="9" t="s">
        <v>377</v>
      </c>
      <c r="AD105" s="10"/>
      <c r="AE105" s="10"/>
      <c r="AF105" s="8"/>
      <c r="AG105" s="8"/>
      <c r="AH105" s="8"/>
      <c r="AI105" s="8"/>
      <c r="AJ105" s="8"/>
      <c r="AL105" s="9" t="s">
        <v>377</v>
      </c>
      <c r="AM105" s="10"/>
      <c r="AN105" s="10"/>
      <c r="AO105" s="8"/>
      <c r="AP105" s="8"/>
      <c r="AQ105" s="8"/>
      <c r="AR105" s="8"/>
      <c r="AS105" s="8"/>
      <c r="AU105" s="9"/>
      <c r="AV105" s="10"/>
      <c r="AW105" s="10"/>
      <c r="AX105" s="8"/>
      <c r="AY105" s="8"/>
      <c r="AZ105" s="8"/>
      <c r="BA105" s="8"/>
      <c r="BB105" s="8"/>
      <c r="BD105" s="9" t="s">
        <v>377</v>
      </c>
      <c r="BE105" s="10"/>
      <c r="BF105" s="10"/>
      <c r="BG105" s="8"/>
      <c r="BH105" s="8"/>
      <c r="BI105" s="8"/>
      <c r="BJ105" s="8"/>
      <c r="BK105" s="8"/>
    </row>
    <row r="106" spans="2:63" ht="12" customHeight="1" x14ac:dyDescent="0.25">
      <c r="B106" s="6" t="s">
        <v>89</v>
      </c>
      <c r="C106" s="7">
        <f t="shared" ref="C106:C111" si="233">+M106+V106+AE106+AN106+BF106</f>
        <v>149.697</v>
      </c>
      <c r="D106" s="8">
        <f>C106</f>
        <v>149.697</v>
      </c>
      <c r="E106" s="8">
        <f t="shared" ref="E106:H107" si="234">D106</f>
        <v>149.697</v>
      </c>
      <c r="F106" s="8">
        <f t="shared" si="234"/>
        <v>149.697</v>
      </c>
      <c r="G106" s="8">
        <f t="shared" si="234"/>
        <v>149.697</v>
      </c>
      <c r="H106" s="8">
        <f t="shared" si="234"/>
        <v>149.697</v>
      </c>
      <c r="J106" s="6" t="s">
        <v>89</v>
      </c>
      <c r="K106" s="7">
        <v>0</v>
      </c>
      <c r="L106" s="7">
        <v>0</v>
      </c>
      <c r="M106" s="7"/>
      <c r="N106" s="7"/>
      <c r="O106" s="8">
        <f t="shared" ref="O106:R107" si="235">N106</f>
        <v>0</v>
      </c>
      <c r="P106" s="8">
        <f t="shared" si="235"/>
        <v>0</v>
      </c>
      <c r="Q106" s="8">
        <f t="shared" si="235"/>
        <v>0</v>
      </c>
      <c r="R106" s="8">
        <f t="shared" si="235"/>
        <v>0</v>
      </c>
      <c r="T106" s="6" t="s">
        <v>89</v>
      </c>
      <c r="U106" s="7"/>
      <c r="V106" s="7">
        <v>91.263000000000005</v>
      </c>
      <c r="W106" s="8"/>
      <c r="X106" s="8"/>
      <c r="Y106" s="8"/>
      <c r="Z106" s="8"/>
      <c r="AA106" s="8"/>
      <c r="AC106" s="6" t="s">
        <v>89</v>
      </c>
      <c r="AD106" s="7"/>
      <c r="AE106" s="7">
        <v>58.433999999999997</v>
      </c>
      <c r="AF106" s="8"/>
      <c r="AG106" s="8"/>
      <c r="AH106" s="8"/>
      <c r="AI106" s="8"/>
      <c r="AJ106" s="8"/>
      <c r="AL106" s="6" t="s">
        <v>89</v>
      </c>
      <c r="AM106" s="7"/>
      <c r="AN106" s="7"/>
      <c r="AO106" s="8"/>
      <c r="AP106" s="8"/>
      <c r="AQ106" s="8"/>
      <c r="AR106" s="8"/>
      <c r="AS106" s="8"/>
      <c r="AU106" s="6"/>
      <c r="AV106" s="7"/>
      <c r="AW106" s="7"/>
      <c r="AX106" s="8"/>
      <c r="AY106" s="8"/>
      <c r="AZ106" s="8"/>
      <c r="BA106" s="8"/>
      <c r="BB106" s="8"/>
      <c r="BD106" s="6" t="s">
        <v>89</v>
      </c>
      <c r="BE106" s="7"/>
      <c r="BF106" s="7"/>
      <c r="BG106" s="8"/>
      <c r="BH106" s="8"/>
      <c r="BI106" s="8"/>
      <c r="BJ106" s="8"/>
      <c r="BK106" s="8"/>
    </row>
    <row r="107" spans="2:63" ht="12" customHeight="1" x14ac:dyDescent="0.25">
      <c r="B107" s="6" t="s">
        <v>90</v>
      </c>
      <c r="C107" s="7">
        <f t="shared" si="233"/>
        <v>30.312000000000001</v>
      </c>
      <c r="D107" s="8">
        <f>C107</f>
        <v>30.312000000000001</v>
      </c>
      <c r="E107" s="8">
        <f t="shared" si="234"/>
        <v>30.312000000000001</v>
      </c>
      <c r="F107" s="8">
        <f t="shared" si="234"/>
        <v>30.312000000000001</v>
      </c>
      <c r="G107" s="8">
        <f t="shared" si="234"/>
        <v>30.312000000000001</v>
      </c>
      <c r="H107" s="8">
        <f t="shared" si="234"/>
        <v>30.312000000000001</v>
      </c>
      <c r="J107" s="6" t="s">
        <v>90</v>
      </c>
      <c r="K107" s="7">
        <f>19.809</f>
        <v>19.809000000000001</v>
      </c>
      <c r="L107" s="7">
        <f>34.655</f>
        <v>34.655000000000001</v>
      </c>
      <c r="M107" s="7">
        <v>30.312000000000001</v>
      </c>
      <c r="N107" s="7">
        <v>45.122</v>
      </c>
      <c r="O107" s="8">
        <f t="shared" si="235"/>
        <v>45.122</v>
      </c>
      <c r="P107" s="8">
        <f t="shared" si="235"/>
        <v>45.122</v>
      </c>
      <c r="Q107" s="8">
        <f t="shared" si="235"/>
        <v>45.122</v>
      </c>
      <c r="R107" s="8">
        <f t="shared" si="235"/>
        <v>45.122</v>
      </c>
      <c r="T107" s="6" t="s">
        <v>90</v>
      </c>
      <c r="U107" s="7"/>
      <c r="V107" s="7"/>
      <c r="W107" s="8"/>
      <c r="X107" s="8"/>
      <c r="Y107" s="8"/>
      <c r="Z107" s="8"/>
      <c r="AA107" s="8"/>
      <c r="AC107" s="6" t="s">
        <v>90</v>
      </c>
      <c r="AD107" s="7"/>
      <c r="AE107" s="7"/>
      <c r="AF107" s="8"/>
      <c r="AG107" s="8"/>
      <c r="AH107" s="8"/>
      <c r="AI107" s="8"/>
      <c r="AJ107" s="8"/>
      <c r="AL107" s="6" t="s">
        <v>90</v>
      </c>
      <c r="AM107" s="7"/>
      <c r="AN107" s="7"/>
      <c r="AO107" s="8"/>
      <c r="AP107" s="8"/>
      <c r="AQ107" s="8"/>
      <c r="AR107" s="8"/>
      <c r="AS107" s="8"/>
      <c r="AU107" s="6"/>
      <c r="AV107" s="7"/>
      <c r="AW107" s="7"/>
      <c r="AX107" s="8"/>
      <c r="AY107" s="8"/>
      <c r="AZ107" s="8"/>
      <c r="BA107" s="8"/>
      <c r="BB107" s="8"/>
      <c r="BD107" s="6" t="s">
        <v>90</v>
      </c>
      <c r="BE107" s="7"/>
      <c r="BF107" s="7"/>
      <c r="BG107" s="8"/>
      <c r="BH107" s="8"/>
      <c r="BI107" s="8"/>
      <c r="BJ107" s="8"/>
      <c r="BK107" s="8"/>
    </row>
    <row r="108" spans="2:63" ht="12" customHeight="1" x14ac:dyDescent="0.25">
      <c r="B108" s="6" t="s">
        <v>1593</v>
      </c>
      <c r="C108" s="7">
        <f t="shared" si="233"/>
        <v>1351.9770000000001</v>
      </c>
      <c r="D108" s="8">
        <f t="shared" ref="D108:H108" si="236">D16/365*D186</f>
        <v>1174.5698630136985</v>
      </c>
      <c r="E108" s="8">
        <f t="shared" si="236"/>
        <v>2655.94378139726</v>
      </c>
      <c r="F108" s="8">
        <f t="shared" si="236"/>
        <v>4607.6097660720552</v>
      </c>
      <c r="G108" s="8">
        <f t="shared" si="236"/>
        <v>8762.5751001501085</v>
      </c>
      <c r="H108" s="8">
        <f t="shared" si="236"/>
        <v>12528.472501381006</v>
      </c>
      <c r="J108" s="6" t="s">
        <v>1593</v>
      </c>
      <c r="K108" s="7">
        <f>298.558</f>
        <v>298.55799999999999</v>
      </c>
      <c r="L108" s="7">
        <f>759.703</f>
        <v>759.70299999999997</v>
      </c>
      <c r="M108" s="7">
        <v>1127.17</v>
      </c>
      <c r="N108" s="7">
        <v>1780.5740000000001</v>
      </c>
      <c r="O108" s="8">
        <f t="shared" ref="O108:R108" si="237">O16/365*O186</f>
        <v>1925.6907810000005</v>
      </c>
      <c r="P108" s="8">
        <f t="shared" si="237"/>
        <v>1983.4615044300008</v>
      </c>
      <c r="Q108" s="8">
        <f t="shared" si="237"/>
        <v>2042.9653495629007</v>
      </c>
      <c r="R108" s="8">
        <f t="shared" si="237"/>
        <v>2247.261884519191</v>
      </c>
      <c r="T108" s="6" t="s">
        <v>1593</v>
      </c>
      <c r="U108" s="7"/>
      <c r="V108" s="7">
        <v>59.801000000000002</v>
      </c>
      <c r="W108" s="8"/>
      <c r="X108" s="8"/>
      <c r="Y108" s="8"/>
      <c r="Z108" s="8"/>
      <c r="AA108" s="8"/>
      <c r="AC108" s="6" t="s">
        <v>1593</v>
      </c>
      <c r="AD108" s="7"/>
      <c r="AE108" s="7">
        <v>164.98</v>
      </c>
      <c r="AF108" s="8"/>
      <c r="AG108" s="8"/>
      <c r="AH108" s="8"/>
      <c r="AI108" s="8"/>
      <c r="AJ108" s="8"/>
      <c r="AL108" s="6" t="s">
        <v>1593</v>
      </c>
      <c r="AM108" s="7"/>
      <c r="AN108" s="7">
        <v>2.5999999999999999E-2</v>
      </c>
      <c r="AO108" s="8"/>
      <c r="AP108" s="8"/>
      <c r="AQ108" s="8"/>
      <c r="AR108" s="8"/>
      <c r="AS108" s="8"/>
      <c r="AU108" s="6"/>
      <c r="AV108" s="7"/>
      <c r="AW108" s="7"/>
      <c r="AX108" s="8"/>
      <c r="AY108" s="8"/>
      <c r="AZ108" s="8"/>
      <c r="BA108" s="8"/>
      <c r="BB108" s="8"/>
      <c r="BD108" s="6" t="s">
        <v>1593</v>
      </c>
      <c r="BE108" s="7"/>
      <c r="BF108" s="7"/>
      <c r="BG108" s="8"/>
      <c r="BH108" s="8"/>
      <c r="BI108" s="8"/>
      <c r="BJ108" s="8"/>
      <c r="BK108" s="8"/>
    </row>
    <row r="109" spans="2:63" ht="12" customHeight="1" x14ac:dyDescent="0.25">
      <c r="B109" s="6" t="s">
        <v>92</v>
      </c>
      <c r="C109" s="7">
        <f t="shared" si="233"/>
        <v>276.15800000000002</v>
      </c>
      <c r="D109" s="8">
        <f ca="1">D179</f>
        <v>1841.1074150970276</v>
      </c>
      <c r="E109" s="8">
        <f t="shared" ref="E109:H109" ca="1" si="238">E179</f>
        <v>2219.1153089761924</v>
      </c>
      <c r="F109" s="8">
        <f t="shared" ca="1" si="238"/>
        <v>1632.5602363780786</v>
      </c>
      <c r="G109" s="8">
        <f t="shared" ca="1" si="238"/>
        <v>1586.3205558427248</v>
      </c>
      <c r="H109" s="8">
        <f t="shared" ca="1" si="238"/>
        <v>3811.8817597759548</v>
      </c>
      <c r="J109" s="6" t="s">
        <v>92</v>
      </c>
      <c r="K109" s="7">
        <f>914.817</f>
        <v>914.81700000000001</v>
      </c>
      <c r="L109" s="7">
        <f>54.344</f>
        <v>54.344000000000001</v>
      </c>
      <c r="M109" s="7">
        <v>38.454000000000001</v>
      </c>
      <c r="N109" s="7">
        <f>147.471+47.383</f>
        <v>194.85400000000001</v>
      </c>
      <c r="O109" s="8">
        <f t="shared" ref="O109:R109" ca="1" si="239">O179</f>
        <v>1085.338149547593</v>
      </c>
      <c r="P109" s="8">
        <f t="shared" ca="1" si="239"/>
        <v>2431.5028814115813</v>
      </c>
      <c r="Q109" s="8">
        <f t="shared" ca="1" si="239"/>
        <v>4251.9268005639642</v>
      </c>
      <c r="R109" s="8">
        <f t="shared" ca="1" si="239"/>
        <v>6581.1323748157356</v>
      </c>
      <c r="T109" s="6" t="s">
        <v>92</v>
      </c>
      <c r="U109" s="7"/>
      <c r="V109" s="7">
        <v>15.689</v>
      </c>
      <c r="W109" s="8"/>
      <c r="X109" s="8"/>
      <c r="Y109" s="8"/>
      <c r="Z109" s="8"/>
      <c r="AA109" s="8"/>
      <c r="AC109" s="6" t="s">
        <v>92</v>
      </c>
      <c r="AD109" s="7"/>
      <c r="AE109" s="7">
        <v>1.7589999999999999</v>
      </c>
      <c r="AF109" s="8"/>
      <c r="AG109" s="8"/>
      <c r="AH109" s="8"/>
      <c r="AI109" s="8"/>
      <c r="AJ109" s="8"/>
      <c r="AL109" s="6" t="s">
        <v>92</v>
      </c>
      <c r="AM109" s="7"/>
      <c r="AN109" s="7">
        <v>135.93199999999999</v>
      </c>
      <c r="AO109" s="8"/>
      <c r="AP109" s="8"/>
      <c r="AQ109" s="8"/>
      <c r="AR109" s="8"/>
      <c r="AS109" s="8"/>
      <c r="AU109" s="6"/>
      <c r="AV109" s="7"/>
      <c r="AW109" s="7"/>
      <c r="AX109" s="8"/>
      <c r="AY109" s="8"/>
      <c r="AZ109" s="8"/>
      <c r="BA109" s="8"/>
      <c r="BB109" s="8"/>
      <c r="BD109" s="6" t="s">
        <v>92</v>
      </c>
      <c r="BE109" s="7"/>
      <c r="BF109" s="7">
        <v>84.323999999999998</v>
      </c>
      <c r="BG109" s="8"/>
      <c r="BH109" s="8"/>
      <c r="BI109" s="8"/>
      <c r="BJ109" s="8"/>
      <c r="BK109" s="8"/>
    </row>
    <row r="110" spans="2:63" ht="12" customHeight="1" x14ac:dyDescent="0.25">
      <c r="B110" s="6" t="s">
        <v>93</v>
      </c>
      <c r="C110" s="7">
        <f t="shared" si="233"/>
        <v>0</v>
      </c>
      <c r="D110" s="8">
        <f>C110</f>
        <v>0</v>
      </c>
      <c r="E110" s="8">
        <f t="shared" ref="E110:H111" si="240">D110</f>
        <v>0</v>
      </c>
      <c r="F110" s="8">
        <f t="shared" si="240"/>
        <v>0</v>
      </c>
      <c r="G110" s="8">
        <f t="shared" si="240"/>
        <v>0</v>
      </c>
      <c r="H110" s="8">
        <f t="shared" si="240"/>
        <v>0</v>
      </c>
      <c r="J110" s="6" t="s">
        <v>93</v>
      </c>
      <c r="K110" s="7">
        <f>12.167</f>
        <v>12.167</v>
      </c>
      <c r="L110" s="7">
        <f>6.188</f>
        <v>6.1879999999999997</v>
      </c>
      <c r="M110" s="7"/>
      <c r="N110" s="7"/>
      <c r="O110" s="8">
        <f t="shared" ref="O110:R111" si="241">N110</f>
        <v>0</v>
      </c>
      <c r="P110" s="8">
        <f t="shared" si="241"/>
        <v>0</v>
      </c>
      <c r="Q110" s="8">
        <f t="shared" si="241"/>
        <v>0</v>
      </c>
      <c r="R110" s="8">
        <f t="shared" si="241"/>
        <v>0</v>
      </c>
      <c r="T110" s="6" t="s">
        <v>93</v>
      </c>
      <c r="U110" s="7"/>
      <c r="V110" s="7"/>
      <c r="W110" s="8"/>
      <c r="X110" s="8"/>
      <c r="Y110" s="8"/>
      <c r="Z110" s="8"/>
      <c r="AA110" s="8"/>
      <c r="AC110" s="6" t="s">
        <v>93</v>
      </c>
      <c r="AD110" s="7"/>
      <c r="AE110" s="7"/>
      <c r="AF110" s="8"/>
      <c r="AG110" s="8"/>
      <c r="AH110" s="8"/>
      <c r="AI110" s="8"/>
      <c r="AJ110" s="8"/>
      <c r="AL110" s="6" t="s">
        <v>93</v>
      </c>
      <c r="AM110" s="7"/>
      <c r="AN110" s="7"/>
      <c r="AO110" s="8"/>
      <c r="AP110" s="8"/>
      <c r="AQ110" s="8"/>
      <c r="AR110" s="8"/>
      <c r="AS110" s="8"/>
      <c r="AU110" s="6"/>
      <c r="AV110" s="7"/>
      <c r="AW110" s="7"/>
      <c r="AX110" s="8"/>
      <c r="AY110" s="8"/>
      <c r="AZ110" s="8"/>
      <c r="BA110" s="8"/>
      <c r="BB110" s="8"/>
      <c r="BD110" s="6" t="s">
        <v>93</v>
      </c>
      <c r="BE110" s="7"/>
      <c r="BF110" s="7"/>
      <c r="BG110" s="8"/>
      <c r="BH110" s="8"/>
      <c r="BI110" s="8"/>
      <c r="BJ110" s="8"/>
      <c r="BK110" s="8"/>
    </row>
    <row r="111" spans="2:63" ht="12" customHeight="1" x14ac:dyDescent="0.25">
      <c r="B111" s="6" t="s">
        <v>94</v>
      </c>
      <c r="C111" s="7">
        <f t="shared" si="233"/>
        <v>1112.9369999999999</v>
      </c>
      <c r="D111" s="8">
        <f>C111</f>
        <v>1112.9369999999999</v>
      </c>
      <c r="E111" s="8">
        <f t="shared" si="240"/>
        <v>1112.9369999999999</v>
      </c>
      <c r="F111" s="8">
        <f t="shared" si="240"/>
        <v>1112.9369999999999</v>
      </c>
      <c r="G111" s="8">
        <f t="shared" si="240"/>
        <v>1112.9369999999999</v>
      </c>
      <c r="H111" s="8">
        <f t="shared" si="240"/>
        <v>1112.9369999999999</v>
      </c>
      <c r="J111" s="6" t="s">
        <v>94</v>
      </c>
      <c r="K111" s="7">
        <f>938.96+2.22</f>
        <v>941.18000000000006</v>
      </c>
      <c r="L111" s="7">
        <f>1324.203+70.988</f>
        <v>1395.191</v>
      </c>
      <c r="M111" s="7">
        <f>4.362+318.405</f>
        <v>322.767</v>
      </c>
      <c r="N111" s="7">
        <f>11.083+142.626+124.615</f>
        <v>278.32400000000001</v>
      </c>
      <c r="O111" s="8">
        <f t="shared" si="241"/>
        <v>278.32400000000001</v>
      </c>
      <c r="P111" s="8">
        <f t="shared" si="241"/>
        <v>278.32400000000001</v>
      </c>
      <c r="Q111" s="8">
        <f t="shared" si="241"/>
        <v>278.32400000000001</v>
      </c>
      <c r="R111" s="8">
        <f t="shared" si="241"/>
        <v>278.32400000000001</v>
      </c>
      <c r="T111" s="6" t="s">
        <v>94</v>
      </c>
      <c r="U111" s="7"/>
      <c r="V111" s="7">
        <v>249.47</v>
      </c>
      <c r="W111" s="8"/>
      <c r="X111" s="8"/>
      <c r="Y111" s="8"/>
      <c r="Z111" s="8"/>
      <c r="AA111" s="8"/>
      <c r="AC111" s="6" t="s">
        <v>94</v>
      </c>
      <c r="AD111" s="7"/>
      <c r="AE111" s="7">
        <v>331.19499999999999</v>
      </c>
      <c r="AF111" s="8"/>
      <c r="AG111" s="8"/>
      <c r="AH111" s="8"/>
      <c r="AI111" s="8"/>
      <c r="AJ111" s="8"/>
      <c r="AL111" s="6" t="s">
        <v>94</v>
      </c>
      <c r="AM111" s="7"/>
      <c r="AN111" s="7">
        <v>1.2350000000000001</v>
      </c>
      <c r="AO111" s="8"/>
      <c r="AP111" s="8"/>
      <c r="AQ111" s="8"/>
      <c r="AR111" s="8"/>
      <c r="AS111" s="8"/>
      <c r="AU111" s="6"/>
      <c r="AV111" s="7"/>
      <c r="AW111" s="7"/>
      <c r="AX111" s="8"/>
      <c r="AY111" s="8"/>
      <c r="AZ111" s="8"/>
      <c r="BA111" s="8"/>
      <c r="BB111" s="8"/>
      <c r="BD111" s="6" t="s">
        <v>94</v>
      </c>
      <c r="BE111" s="7"/>
      <c r="BF111" s="7">
        <f>204.14+4.13</f>
        <v>208.26999999999998</v>
      </c>
      <c r="BG111" s="8"/>
      <c r="BH111" s="8"/>
      <c r="BI111" s="8"/>
      <c r="BJ111" s="8"/>
      <c r="BK111" s="8"/>
    </row>
    <row r="112" spans="2:63" ht="12" customHeight="1" x14ac:dyDescent="0.25">
      <c r="B112" s="9" t="s">
        <v>95</v>
      </c>
      <c r="C112" s="10">
        <f t="shared" ref="C112:H112" si="242">SUM(C106:C111)</f>
        <v>2921.0810000000001</v>
      </c>
      <c r="D112" s="5">
        <f t="shared" ca="1" si="242"/>
        <v>4308.6232781107265</v>
      </c>
      <c r="E112" s="5">
        <f t="shared" ca="1" si="242"/>
        <v>6168.0050903734518</v>
      </c>
      <c r="F112" s="5">
        <f t="shared" ca="1" si="242"/>
        <v>7533.1160024501332</v>
      </c>
      <c r="G112" s="5">
        <f t="shared" ca="1" si="242"/>
        <v>11641.841655992834</v>
      </c>
      <c r="H112" s="5">
        <f t="shared" ca="1" si="242"/>
        <v>17633.300261156961</v>
      </c>
      <c r="J112" s="9" t="s">
        <v>95</v>
      </c>
      <c r="K112" s="10">
        <f t="shared" ref="K112:R112" si="243">SUM(K106:K111)</f>
        <v>2186.5309999999999</v>
      </c>
      <c r="L112" s="10">
        <f t="shared" si="243"/>
        <v>2250.0810000000001</v>
      </c>
      <c r="M112" s="10">
        <f t="shared" si="243"/>
        <v>1518.703</v>
      </c>
      <c r="N112" s="10">
        <f t="shared" ref="N112" si="244">SUM(N106:N111)</f>
        <v>2298.8740000000003</v>
      </c>
      <c r="O112" s="5">
        <f t="shared" ca="1" si="243"/>
        <v>3334.4749305475939</v>
      </c>
      <c r="P112" s="5">
        <f t="shared" ca="1" si="243"/>
        <v>4738.410385841582</v>
      </c>
      <c r="Q112" s="5">
        <f t="shared" ca="1" si="243"/>
        <v>6618.3381501268641</v>
      </c>
      <c r="R112" s="5">
        <f t="shared" ca="1" si="243"/>
        <v>9151.8402593349274</v>
      </c>
      <c r="T112" s="9" t="s">
        <v>95</v>
      </c>
      <c r="U112" s="10"/>
      <c r="V112" s="10">
        <f t="shared" ref="V112" si="245">SUM(V106:V111)</f>
        <v>416.22300000000001</v>
      </c>
      <c r="W112" s="5"/>
      <c r="X112" s="5"/>
      <c r="Y112" s="5"/>
      <c r="Z112" s="5"/>
      <c r="AA112" s="5"/>
      <c r="AC112" s="9" t="s">
        <v>95</v>
      </c>
      <c r="AD112" s="10"/>
      <c r="AE112" s="10">
        <f t="shared" ref="AE112" si="246">SUM(AE106:AE111)</f>
        <v>556.36799999999994</v>
      </c>
      <c r="AF112" s="5"/>
      <c r="AG112" s="5"/>
      <c r="AH112" s="5"/>
      <c r="AI112" s="5"/>
      <c r="AJ112" s="5"/>
      <c r="AL112" s="9" t="s">
        <v>95</v>
      </c>
      <c r="AM112" s="10"/>
      <c r="AN112" s="10">
        <f t="shared" ref="AN112" si="247">SUM(AN106:AN111)</f>
        <v>137.19300000000001</v>
      </c>
      <c r="AO112" s="5"/>
      <c r="AP112" s="5"/>
      <c r="AQ112" s="5"/>
      <c r="AR112" s="5"/>
      <c r="AS112" s="5"/>
      <c r="AU112" s="9"/>
      <c r="AV112" s="10"/>
      <c r="AW112" s="10"/>
      <c r="AX112" s="5"/>
      <c r="AY112" s="5"/>
      <c r="AZ112" s="5"/>
      <c r="BA112" s="5"/>
      <c r="BB112" s="5"/>
      <c r="BD112" s="9" t="s">
        <v>95</v>
      </c>
      <c r="BE112" s="10"/>
      <c r="BF112" s="10">
        <f t="shared" ref="BF112" si="248">SUM(BF106:BF111)</f>
        <v>292.59399999999999</v>
      </c>
      <c r="BG112" s="5"/>
      <c r="BH112" s="5"/>
      <c r="BI112" s="5"/>
      <c r="BJ112" s="5"/>
      <c r="BK112" s="5"/>
    </row>
    <row r="113" spans="2:63" ht="12" customHeight="1" x14ac:dyDescent="0.25">
      <c r="B113" s="6"/>
      <c r="C113" s="7"/>
      <c r="D113" s="8"/>
      <c r="E113" s="8"/>
      <c r="F113" s="8"/>
      <c r="G113" s="8"/>
      <c r="H113" s="8"/>
      <c r="J113" s="6"/>
      <c r="K113" s="7"/>
      <c r="L113" s="7"/>
      <c r="M113" s="7"/>
      <c r="N113" s="7"/>
      <c r="O113" s="8"/>
      <c r="P113" s="8"/>
      <c r="Q113" s="8"/>
      <c r="R113" s="8"/>
      <c r="T113" s="6"/>
      <c r="U113" s="7"/>
      <c r="V113" s="7"/>
      <c r="W113" s="8"/>
      <c r="X113" s="8"/>
      <c r="Y113" s="8"/>
      <c r="Z113" s="8"/>
      <c r="AA113" s="8"/>
      <c r="AC113" s="6"/>
      <c r="AD113" s="7"/>
      <c r="AE113" s="7"/>
      <c r="AF113" s="8"/>
      <c r="AG113" s="8"/>
      <c r="AH113" s="8"/>
      <c r="AI113" s="8"/>
      <c r="AJ113" s="8"/>
      <c r="AL113" s="6"/>
      <c r="AM113" s="7"/>
      <c r="AN113" s="7"/>
      <c r="AO113" s="8"/>
      <c r="AP113" s="8"/>
      <c r="AQ113" s="8"/>
      <c r="AR113" s="8"/>
      <c r="AS113" s="8"/>
      <c r="AU113" s="6"/>
      <c r="AV113" s="7"/>
      <c r="AW113" s="7"/>
      <c r="AX113" s="8"/>
      <c r="AY113" s="8"/>
      <c r="AZ113" s="8"/>
      <c r="BA113" s="8"/>
      <c r="BB113" s="8"/>
      <c r="BD113" s="6"/>
      <c r="BE113" s="7"/>
      <c r="BF113" s="7"/>
      <c r="BG113" s="8"/>
      <c r="BH113" s="8"/>
      <c r="BI113" s="8"/>
      <c r="BJ113" s="8"/>
      <c r="BK113" s="8"/>
    </row>
    <row r="114" spans="2:63" ht="12" customHeight="1" x14ac:dyDescent="0.25">
      <c r="B114" s="6" t="s">
        <v>96</v>
      </c>
      <c r="C114" s="7">
        <f t="shared" ref="C114:C116" si="249">+M114+V114+AE114+AN114+BF114</f>
        <v>302.51299999999998</v>
      </c>
      <c r="D114" s="8">
        <f t="shared" ref="D114:H114" si="250">D16/365*D187</f>
        <v>587.28493150684926</v>
      </c>
      <c r="E114" s="8">
        <f t="shared" si="250"/>
        <v>1327.97189069863</v>
      </c>
      <c r="F114" s="8">
        <f t="shared" si="250"/>
        <v>2303.8048830360276</v>
      </c>
      <c r="G114" s="8">
        <f t="shared" si="250"/>
        <v>4381.2875500750542</v>
      </c>
      <c r="H114" s="8">
        <f t="shared" si="250"/>
        <v>6264.2362506905029</v>
      </c>
      <c r="J114" s="6" t="s">
        <v>96</v>
      </c>
      <c r="K114" s="7">
        <f>15.151+247.231</f>
        <v>262.38200000000001</v>
      </c>
      <c r="L114" s="7">
        <f>5.061+120.754</f>
        <v>125.815</v>
      </c>
      <c r="M114" s="7">
        <f>11.508+289.375</f>
        <v>300.88299999999998</v>
      </c>
      <c r="N114" s="7">
        <f>27.792+417.89</f>
        <v>445.68200000000002</v>
      </c>
      <c r="O114" s="8">
        <f t="shared" ref="O114:R114" si="251">O16/365*O187</f>
        <v>482.00508300000013</v>
      </c>
      <c r="P114" s="8">
        <f t="shared" si="251"/>
        <v>496.46523549000017</v>
      </c>
      <c r="Q114" s="8">
        <f t="shared" si="251"/>
        <v>511.35919255470014</v>
      </c>
      <c r="R114" s="8">
        <f t="shared" si="251"/>
        <v>562.49511181017021</v>
      </c>
      <c r="T114" s="6" t="s">
        <v>96</v>
      </c>
      <c r="U114" s="7"/>
      <c r="V114" s="7">
        <v>0.94599999999999995</v>
      </c>
      <c r="W114" s="8"/>
      <c r="X114" s="8"/>
      <c r="Y114" s="8"/>
      <c r="Z114" s="8"/>
      <c r="AA114" s="8"/>
      <c r="AC114" s="6" t="s">
        <v>96</v>
      </c>
      <c r="AD114" s="7"/>
      <c r="AE114" s="7">
        <v>0.59699999999999998</v>
      </c>
      <c r="AF114" s="8"/>
      <c r="AG114" s="8"/>
      <c r="AH114" s="8"/>
      <c r="AI114" s="8"/>
      <c r="AJ114" s="8"/>
      <c r="AL114" s="6" t="s">
        <v>96</v>
      </c>
      <c r="AM114" s="7"/>
      <c r="AN114" s="7">
        <v>8.6999999999999994E-2</v>
      </c>
      <c r="AO114" s="8"/>
      <c r="AP114" s="8"/>
      <c r="AQ114" s="8"/>
      <c r="AR114" s="8"/>
      <c r="AS114" s="8"/>
      <c r="AU114" s="6"/>
      <c r="AV114" s="7"/>
      <c r="AW114" s="7"/>
      <c r="AX114" s="8"/>
      <c r="AY114" s="8"/>
      <c r="AZ114" s="8"/>
      <c r="BA114" s="8"/>
      <c r="BB114" s="8"/>
      <c r="BD114" s="6" t="s">
        <v>96</v>
      </c>
      <c r="BE114" s="7"/>
      <c r="BF114" s="7"/>
      <c r="BG114" s="8"/>
      <c r="BH114" s="8"/>
      <c r="BI114" s="8"/>
      <c r="BJ114" s="8"/>
      <c r="BK114" s="8"/>
    </row>
    <row r="115" spans="2:63" ht="12" customHeight="1" x14ac:dyDescent="0.25">
      <c r="B115" s="6" t="s">
        <v>97</v>
      </c>
      <c r="C115" s="7">
        <f t="shared" si="249"/>
        <v>297.92400000000004</v>
      </c>
      <c r="D115" s="8">
        <f>C115</f>
        <v>297.92400000000004</v>
      </c>
      <c r="E115" s="8">
        <f t="shared" ref="E115:H116" si="252">D115</f>
        <v>297.92400000000004</v>
      </c>
      <c r="F115" s="8">
        <f t="shared" si="252"/>
        <v>297.92400000000004</v>
      </c>
      <c r="G115" s="8">
        <f t="shared" si="252"/>
        <v>297.92400000000004</v>
      </c>
      <c r="H115" s="8">
        <f t="shared" si="252"/>
        <v>297.92400000000004</v>
      </c>
      <c r="J115" s="6" t="s">
        <v>97</v>
      </c>
      <c r="K115" s="7">
        <f>32.024+36.369+0.395</f>
        <v>68.787999999999997</v>
      </c>
      <c r="L115" s="7">
        <f>35.348+54.215+21.908</f>
        <v>111.471</v>
      </c>
      <c r="M115" s="7">
        <f>43.453+30.379+37.069</f>
        <v>110.90100000000001</v>
      </c>
      <c r="N115" s="7">
        <f>50.612+115.775+52.335</f>
        <v>218.72200000000001</v>
      </c>
      <c r="O115" s="8">
        <f t="shared" ref="O115:R116" si="253">N115</f>
        <v>218.72200000000001</v>
      </c>
      <c r="P115" s="8">
        <f t="shared" si="253"/>
        <v>218.72200000000001</v>
      </c>
      <c r="Q115" s="8">
        <f t="shared" si="253"/>
        <v>218.72200000000001</v>
      </c>
      <c r="R115" s="8">
        <f t="shared" si="253"/>
        <v>218.72200000000001</v>
      </c>
      <c r="T115" s="6" t="s">
        <v>97</v>
      </c>
      <c r="U115" s="7"/>
      <c r="V115" s="7">
        <v>76.894999999999996</v>
      </c>
      <c r="W115" s="8"/>
      <c r="X115" s="8"/>
      <c r="Y115" s="8"/>
      <c r="Z115" s="8"/>
      <c r="AA115" s="8"/>
      <c r="AC115" s="6" t="s">
        <v>97</v>
      </c>
      <c r="AD115" s="7"/>
      <c r="AE115" s="7">
        <v>109.91</v>
      </c>
      <c r="AF115" s="8"/>
      <c r="AG115" s="8"/>
      <c r="AH115" s="8"/>
      <c r="AI115" s="8"/>
      <c r="AJ115" s="8"/>
      <c r="AL115" s="6" t="s">
        <v>97</v>
      </c>
      <c r="AM115" s="7"/>
      <c r="AN115" s="7">
        <v>4.0000000000000001E-3</v>
      </c>
      <c r="AO115" s="8"/>
      <c r="AP115" s="8"/>
      <c r="AQ115" s="8"/>
      <c r="AR115" s="8"/>
      <c r="AS115" s="8"/>
      <c r="AU115" s="6"/>
      <c r="AV115" s="7"/>
      <c r="AW115" s="7"/>
      <c r="AX115" s="8"/>
      <c r="AY115" s="8"/>
      <c r="AZ115" s="8"/>
      <c r="BA115" s="8"/>
      <c r="BB115" s="8"/>
      <c r="BD115" s="6" t="s">
        <v>97</v>
      </c>
      <c r="BE115" s="7"/>
      <c r="BF115" s="7">
        <f>0.025+0.189</f>
        <v>0.214</v>
      </c>
      <c r="BG115" s="8"/>
      <c r="BH115" s="8"/>
      <c r="BI115" s="8"/>
      <c r="BJ115" s="8"/>
      <c r="BK115" s="8"/>
    </row>
    <row r="116" spans="2:63" ht="12" customHeight="1" x14ac:dyDescent="0.25">
      <c r="B116" s="6" t="s">
        <v>98</v>
      </c>
      <c r="C116" s="7">
        <f t="shared" si="249"/>
        <v>17.657</v>
      </c>
      <c r="D116" s="8">
        <f>C116</f>
        <v>17.657</v>
      </c>
      <c r="E116" s="8">
        <f t="shared" si="252"/>
        <v>17.657</v>
      </c>
      <c r="F116" s="8">
        <f t="shared" si="252"/>
        <v>17.657</v>
      </c>
      <c r="G116" s="8">
        <f t="shared" si="252"/>
        <v>17.657</v>
      </c>
      <c r="H116" s="8">
        <f t="shared" si="252"/>
        <v>17.657</v>
      </c>
      <c r="J116" s="6" t="s">
        <v>98</v>
      </c>
      <c r="K116" s="7">
        <f>42.188</f>
        <v>42.188000000000002</v>
      </c>
      <c r="L116" s="7">
        <f>34.47</f>
        <v>34.47</v>
      </c>
      <c r="M116" s="7">
        <v>17.657</v>
      </c>
      <c r="N116" s="7">
        <v>9.6059999999999999</v>
      </c>
      <c r="O116" s="8">
        <f t="shared" si="253"/>
        <v>9.6059999999999999</v>
      </c>
      <c r="P116" s="8">
        <f t="shared" si="253"/>
        <v>9.6059999999999999</v>
      </c>
      <c r="Q116" s="8">
        <f t="shared" si="253"/>
        <v>9.6059999999999999</v>
      </c>
      <c r="R116" s="8">
        <f t="shared" si="253"/>
        <v>9.6059999999999999</v>
      </c>
      <c r="T116" s="6" t="s">
        <v>98</v>
      </c>
      <c r="U116" s="7"/>
      <c r="V116" s="7"/>
      <c r="W116" s="8"/>
      <c r="X116" s="8"/>
      <c r="Y116" s="8"/>
      <c r="Z116" s="8"/>
      <c r="AA116" s="8"/>
      <c r="AC116" s="6" t="s">
        <v>98</v>
      </c>
      <c r="AD116" s="7"/>
      <c r="AE116" s="7"/>
      <c r="AF116" s="8"/>
      <c r="AG116" s="8"/>
      <c r="AH116" s="8"/>
      <c r="AI116" s="8"/>
      <c r="AJ116" s="8"/>
      <c r="AL116" s="6" t="s">
        <v>98</v>
      </c>
      <c r="AM116" s="7"/>
      <c r="AN116" s="7"/>
      <c r="AO116" s="8"/>
      <c r="AP116" s="8"/>
      <c r="AQ116" s="8"/>
      <c r="AR116" s="8"/>
      <c r="AS116" s="8"/>
      <c r="AU116" s="6"/>
      <c r="AV116" s="7"/>
      <c r="AW116" s="7"/>
      <c r="AX116" s="8"/>
      <c r="AY116" s="8"/>
      <c r="AZ116" s="8"/>
      <c r="BA116" s="8"/>
      <c r="BB116" s="8"/>
      <c r="BD116" s="6" t="s">
        <v>98</v>
      </c>
      <c r="BE116" s="7"/>
      <c r="BF116" s="7"/>
      <c r="BG116" s="8"/>
      <c r="BH116" s="8"/>
      <c r="BI116" s="8"/>
      <c r="BJ116" s="8"/>
      <c r="BK116" s="8"/>
    </row>
    <row r="117" spans="2:63" ht="12" customHeight="1" x14ac:dyDescent="0.25">
      <c r="B117" s="9" t="s">
        <v>99</v>
      </c>
      <c r="C117" s="10">
        <f t="shared" ref="C117:H117" si="254">SUM(C114:C116)</f>
        <v>618.09400000000005</v>
      </c>
      <c r="D117" s="5">
        <f t="shared" si="254"/>
        <v>902.86593150684928</v>
      </c>
      <c r="E117" s="5">
        <f t="shared" si="254"/>
        <v>1643.5528906986299</v>
      </c>
      <c r="F117" s="5">
        <f t="shared" si="254"/>
        <v>2619.3858830360277</v>
      </c>
      <c r="G117" s="5">
        <f t="shared" si="254"/>
        <v>4696.8685500750544</v>
      </c>
      <c r="H117" s="5">
        <f t="shared" si="254"/>
        <v>6579.817250690503</v>
      </c>
      <c r="J117" s="9" t="s">
        <v>99</v>
      </c>
      <c r="K117" s="10">
        <f t="shared" ref="K117:R117" si="255">SUM(K114:K116)</f>
        <v>373.358</v>
      </c>
      <c r="L117" s="10">
        <f t="shared" si="255"/>
        <v>271.75599999999997</v>
      </c>
      <c r="M117" s="10">
        <f t="shared" si="255"/>
        <v>429.44099999999997</v>
      </c>
      <c r="N117" s="10">
        <f t="shared" ref="N117" si="256">SUM(N114:N116)</f>
        <v>674.01</v>
      </c>
      <c r="O117" s="5">
        <f t="shared" si="255"/>
        <v>710.3330830000001</v>
      </c>
      <c r="P117" s="5">
        <f t="shared" si="255"/>
        <v>724.79323549000014</v>
      </c>
      <c r="Q117" s="5">
        <f t="shared" si="255"/>
        <v>739.68719255470012</v>
      </c>
      <c r="R117" s="5">
        <f t="shared" si="255"/>
        <v>790.82311181017019</v>
      </c>
      <c r="T117" s="9" t="s">
        <v>99</v>
      </c>
      <c r="U117" s="10"/>
      <c r="V117" s="10">
        <f t="shared" ref="V117" si="257">SUM(V114:V116)</f>
        <v>77.840999999999994</v>
      </c>
      <c r="W117" s="5"/>
      <c r="X117" s="5"/>
      <c r="Y117" s="5"/>
      <c r="Z117" s="5"/>
      <c r="AA117" s="5"/>
      <c r="AC117" s="9" t="s">
        <v>99</v>
      </c>
      <c r="AD117" s="10"/>
      <c r="AE117" s="10">
        <f t="shared" ref="AE117" si="258">SUM(AE114:AE116)</f>
        <v>110.50699999999999</v>
      </c>
      <c r="AF117" s="5"/>
      <c r="AG117" s="5"/>
      <c r="AH117" s="5"/>
      <c r="AI117" s="5"/>
      <c r="AJ117" s="5"/>
      <c r="AL117" s="9" t="s">
        <v>99</v>
      </c>
      <c r="AM117" s="10"/>
      <c r="AN117" s="10">
        <f t="shared" ref="AN117" si="259">SUM(AN114:AN116)</f>
        <v>9.0999999999999998E-2</v>
      </c>
      <c r="AO117" s="5"/>
      <c r="AP117" s="5"/>
      <c r="AQ117" s="5"/>
      <c r="AR117" s="5"/>
      <c r="AS117" s="5"/>
      <c r="AU117" s="9"/>
      <c r="AV117" s="10"/>
      <c r="AW117" s="10"/>
      <c r="AX117" s="5"/>
      <c r="AY117" s="5"/>
      <c r="AZ117" s="5"/>
      <c r="BA117" s="5"/>
      <c r="BB117" s="5"/>
      <c r="BD117" s="9" t="s">
        <v>99</v>
      </c>
      <c r="BE117" s="10"/>
      <c r="BF117" s="10">
        <f t="shared" ref="BF117" si="260">SUM(BF114:BF116)</f>
        <v>0.214</v>
      </c>
      <c r="BG117" s="5"/>
      <c r="BH117" s="5"/>
      <c r="BI117" s="5"/>
      <c r="BJ117" s="5"/>
      <c r="BK117" s="5"/>
    </row>
    <row r="118" spans="2:63" ht="12" customHeight="1" x14ac:dyDescent="0.25">
      <c r="B118" s="6"/>
      <c r="C118" s="7"/>
      <c r="D118" s="5"/>
      <c r="E118" s="5"/>
      <c r="F118" s="5"/>
      <c r="G118" s="5"/>
      <c r="H118" s="5"/>
      <c r="J118" s="6"/>
      <c r="K118" s="7"/>
      <c r="L118" s="7"/>
      <c r="M118" s="7"/>
      <c r="N118" s="7"/>
      <c r="O118" s="5"/>
      <c r="P118" s="5"/>
      <c r="Q118" s="5"/>
      <c r="R118" s="5"/>
      <c r="T118" s="6"/>
      <c r="U118" s="7"/>
      <c r="V118" s="7"/>
      <c r="W118" s="5"/>
      <c r="X118" s="5"/>
      <c r="Y118" s="5"/>
      <c r="Z118" s="5"/>
      <c r="AA118" s="5"/>
      <c r="AC118" s="6"/>
      <c r="AD118" s="7"/>
      <c r="AE118" s="7"/>
      <c r="AF118" s="5"/>
      <c r="AG118" s="5"/>
      <c r="AH118" s="5"/>
      <c r="AI118" s="5"/>
      <c r="AJ118" s="5"/>
      <c r="AL118" s="6"/>
      <c r="AM118" s="7"/>
      <c r="AN118" s="7"/>
      <c r="AO118" s="5"/>
      <c r="AP118" s="5"/>
      <c r="AQ118" s="5"/>
      <c r="AR118" s="5"/>
      <c r="AS118" s="5"/>
      <c r="AU118" s="6"/>
      <c r="AV118" s="7"/>
      <c r="AW118" s="7"/>
      <c r="AX118" s="5"/>
      <c r="AY118" s="5"/>
      <c r="AZ118" s="5"/>
      <c r="BA118" s="5"/>
      <c r="BB118" s="5"/>
      <c r="BD118" s="6"/>
      <c r="BE118" s="7"/>
      <c r="BF118" s="7"/>
      <c r="BG118" s="5"/>
      <c r="BH118" s="5"/>
      <c r="BI118" s="5"/>
      <c r="BJ118" s="5"/>
      <c r="BK118" s="5"/>
    </row>
    <row r="119" spans="2:63" ht="12" customHeight="1" x14ac:dyDescent="0.25">
      <c r="B119" s="6" t="s">
        <v>100</v>
      </c>
      <c r="C119" s="7">
        <f t="shared" ref="C119:H119" si="261">C112-C117</f>
        <v>2302.9870000000001</v>
      </c>
      <c r="D119" s="5">
        <f t="shared" ca="1" si="261"/>
        <v>3405.7573466038771</v>
      </c>
      <c r="E119" s="5">
        <f t="shared" ca="1" si="261"/>
        <v>4524.4521996748217</v>
      </c>
      <c r="F119" s="5">
        <f t="shared" ca="1" si="261"/>
        <v>4913.7301194141055</v>
      </c>
      <c r="G119" s="5">
        <f t="shared" ca="1" si="261"/>
        <v>6944.9731059177793</v>
      </c>
      <c r="H119" s="5">
        <f t="shared" ca="1" si="261"/>
        <v>11053.483010466458</v>
      </c>
      <c r="J119" s="6" t="s">
        <v>100</v>
      </c>
      <c r="K119" s="7">
        <f t="shared" ref="K119:R119" si="262">K112-K117</f>
        <v>1813.173</v>
      </c>
      <c r="L119" s="7">
        <f t="shared" si="262"/>
        <v>1978.3250000000003</v>
      </c>
      <c r="M119" s="7">
        <f t="shared" si="262"/>
        <v>1089.2619999999999</v>
      </c>
      <c r="N119" s="7">
        <f t="shared" ref="N119" si="263">N112-N117</f>
        <v>1624.8640000000003</v>
      </c>
      <c r="O119" s="5">
        <f t="shared" ca="1" si="262"/>
        <v>2624.1418475475939</v>
      </c>
      <c r="P119" s="5">
        <f t="shared" ca="1" si="262"/>
        <v>4013.6171503515816</v>
      </c>
      <c r="Q119" s="5">
        <f t="shared" ca="1" si="262"/>
        <v>5878.6509575721639</v>
      </c>
      <c r="R119" s="5">
        <f t="shared" ca="1" si="262"/>
        <v>8361.0171475247571</v>
      </c>
      <c r="T119" s="6" t="s">
        <v>100</v>
      </c>
      <c r="U119" s="7"/>
      <c r="V119" s="7">
        <f t="shared" ref="V119" si="264">V112-V117</f>
        <v>338.38200000000001</v>
      </c>
      <c r="W119" s="5"/>
      <c r="X119" s="5"/>
      <c r="Y119" s="5"/>
      <c r="Z119" s="5"/>
      <c r="AA119" s="5"/>
      <c r="AC119" s="6" t="s">
        <v>100</v>
      </c>
      <c r="AD119" s="7"/>
      <c r="AE119" s="7">
        <f t="shared" ref="AE119" si="265">AE112-AE117</f>
        <v>445.86099999999993</v>
      </c>
      <c r="AF119" s="5"/>
      <c r="AG119" s="5"/>
      <c r="AH119" s="5"/>
      <c r="AI119" s="5"/>
      <c r="AJ119" s="5"/>
      <c r="AL119" s="6" t="s">
        <v>100</v>
      </c>
      <c r="AM119" s="7"/>
      <c r="AN119" s="7">
        <f t="shared" ref="AN119" si="266">AN112-AN117</f>
        <v>137.102</v>
      </c>
      <c r="AO119" s="5"/>
      <c r="AP119" s="5"/>
      <c r="AQ119" s="5"/>
      <c r="AR119" s="5"/>
      <c r="AS119" s="5"/>
      <c r="AU119" s="6"/>
      <c r="AV119" s="7"/>
      <c r="AW119" s="7"/>
      <c r="AX119" s="5"/>
      <c r="AY119" s="5"/>
      <c r="AZ119" s="5"/>
      <c r="BA119" s="5"/>
      <c r="BB119" s="5"/>
      <c r="BD119" s="6" t="s">
        <v>100</v>
      </c>
      <c r="BE119" s="7"/>
      <c r="BF119" s="7">
        <f t="shared" ref="BF119" si="267">BF112-BF117</f>
        <v>292.38</v>
      </c>
      <c r="BG119" s="5"/>
      <c r="BH119" s="5"/>
      <c r="BI119" s="5"/>
      <c r="BJ119" s="5"/>
      <c r="BK119" s="5"/>
    </row>
    <row r="120" spans="2:63" ht="12" customHeight="1" x14ac:dyDescent="0.25">
      <c r="B120" s="6"/>
      <c r="C120" s="7"/>
      <c r="D120" s="21"/>
      <c r="E120" s="21"/>
      <c r="F120" s="21"/>
      <c r="G120" s="21"/>
      <c r="H120" s="21"/>
      <c r="J120" s="6"/>
      <c r="K120" s="7"/>
      <c r="L120" s="7"/>
      <c r="M120" s="7"/>
      <c r="N120" s="7"/>
      <c r="O120" s="21"/>
      <c r="P120" s="21"/>
      <c r="Q120" s="21"/>
      <c r="R120" s="21"/>
      <c r="T120" s="6"/>
      <c r="U120" s="7"/>
      <c r="V120" s="7"/>
      <c r="W120" s="21"/>
      <c r="X120" s="21"/>
      <c r="Y120" s="21"/>
      <c r="Z120" s="21"/>
      <c r="AA120" s="21"/>
      <c r="AC120" s="6"/>
      <c r="AD120" s="7"/>
      <c r="AE120" s="7"/>
      <c r="AF120" s="21"/>
      <c r="AG120" s="21"/>
      <c r="AH120" s="21"/>
      <c r="AI120" s="21"/>
      <c r="AJ120" s="21"/>
      <c r="AL120" s="6"/>
      <c r="AM120" s="7"/>
      <c r="AN120" s="7"/>
      <c r="AO120" s="21"/>
      <c r="AP120" s="21"/>
      <c r="AQ120" s="21"/>
      <c r="AR120" s="21"/>
      <c r="AS120" s="21"/>
      <c r="AU120" s="6"/>
      <c r="AV120" s="7"/>
      <c r="AW120" s="7"/>
      <c r="AX120" s="21"/>
      <c r="AY120" s="21"/>
      <c r="AZ120" s="21"/>
      <c r="BA120" s="21"/>
      <c r="BB120" s="21"/>
      <c r="BD120" s="6"/>
      <c r="BE120" s="7"/>
      <c r="BF120" s="7"/>
      <c r="BG120" s="21"/>
      <c r="BH120" s="21"/>
      <c r="BI120" s="21"/>
      <c r="BJ120" s="21"/>
      <c r="BK120" s="21"/>
    </row>
    <row r="121" spans="2:63" ht="12" customHeight="1" x14ac:dyDescent="0.25">
      <c r="B121" s="9" t="s">
        <v>101</v>
      </c>
      <c r="C121" s="10">
        <f t="shared" ref="C121:H121" si="268">SUM(C93:C98)+SUM(C100:C103)+C119</f>
        <v>35876.764999999999</v>
      </c>
      <c r="D121" s="5">
        <f t="shared" ca="1" si="268"/>
        <v>50983.631046603885</v>
      </c>
      <c r="E121" s="5">
        <f t="shared" ca="1" si="268"/>
        <v>68168.921599674824</v>
      </c>
      <c r="F121" s="5">
        <f t="shared" ca="1" si="268"/>
        <v>84187.295219414111</v>
      </c>
      <c r="G121" s="5">
        <f t="shared" ca="1" si="268"/>
        <v>98972.633905917784</v>
      </c>
      <c r="H121" s="5">
        <f t="shared" ca="1" si="268"/>
        <v>115460.23951046646</v>
      </c>
      <c r="J121" s="9" t="s">
        <v>101</v>
      </c>
      <c r="K121" s="10">
        <f t="shared" ref="K121" si="269">SUM(K93:K98)+SUM(K100:K103)+K119</f>
        <v>20281.175999999999</v>
      </c>
      <c r="L121" s="10">
        <f t="shared" ref="L121:R121" si="270">SUM(L93:L98)+SUM(L100:L103)+L119</f>
        <v>22005.289999999997</v>
      </c>
      <c r="M121" s="10">
        <f t="shared" ref="M121:N121" si="271">SUM(M93:M98)+SUM(M100:M103)+M119</f>
        <v>21037.211999999996</v>
      </c>
      <c r="N121" s="10">
        <f t="shared" si="271"/>
        <v>21429.774000000001</v>
      </c>
      <c r="O121" s="8">
        <f t="shared" ca="1" si="270"/>
        <v>21861.709847547594</v>
      </c>
      <c r="P121" s="8">
        <f t="shared" ca="1" si="270"/>
        <v>22683.843150351582</v>
      </c>
      <c r="Q121" s="8">
        <f t="shared" ca="1" si="270"/>
        <v>23981.534957572167</v>
      </c>
      <c r="R121" s="8">
        <f t="shared" ca="1" si="270"/>
        <v>25896.559147524757</v>
      </c>
      <c r="T121" s="9" t="s">
        <v>101</v>
      </c>
      <c r="U121" s="10"/>
      <c r="V121" s="10">
        <f t="shared" ref="V121" si="272">SUM(V93:V98)+SUM(V100:V103)+V119</f>
        <v>1868.2570000000001</v>
      </c>
      <c r="W121" s="8"/>
      <c r="X121" s="8"/>
      <c r="Y121" s="8"/>
      <c r="Z121" s="8"/>
      <c r="AA121" s="8"/>
      <c r="AC121" s="9" t="s">
        <v>101</v>
      </c>
      <c r="AD121" s="10"/>
      <c r="AE121" s="10">
        <f t="shared" ref="AE121" si="273">SUM(AE93:AE98)+SUM(AE100:AE103)+AE119</f>
        <v>2865.7029999999995</v>
      </c>
      <c r="AF121" s="8"/>
      <c r="AG121" s="8"/>
      <c r="AH121" s="8"/>
      <c r="AI121" s="8"/>
      <c r="AJ121" s="8"/>
      <c r="AL121" s="9" t="s">
        <v>101</v>
      </c>
      <c r="AM121" s="10"/>
      <c r="AN121" s="10">
        <f t="shared" ref="AN121" si="274">SUM(AN93:AN98)+SUM(AN100:AN103)+AN119</f>
        <v>137.31900000000002</v>
      </c>
      <c r="AO121" s="8"/>
      <c r="AP121" s="8"/>
      <c r="AQ121" s="8"/>
      <c r="AR121" s="8"/>
      <c r="AS121" s="8"/>
      <c r="AU121" s="9"/>
      <c r="AV121" s="10"/>
      <c r="AW121" s="10"/>
      <c r="AX121" s="8"/>
      <c r="AY121" s="8"/>
      <c r="AZ121" s="8"/>
      <c r="BA121" s="8"/>
      <c r="BB121" s="8"/>
      <c r="BD121" s="9" t="s">
        <v>101</v>
      </c>
      <c r="BE121" s="10"/>
      <c r="BF121" s="10">
        <f t="shared" ref="BF121" si="275">SUM(BF93:BF98)+SUM(BF100:BF103)+BF119</f>
        <v>9968.2739999999994</v>
      </c>
      <c r="BG121" s="8"/>
      <c r="BH121" s="8"/>
      <c r="BI121" s="8"/>
      <c r="BJ121" s="8"/>
      <c r="BK121" s="8"/>
    </row>
    <row r="122" spans="2:63" ht="12" customHeight="1" x14ac:dyDescent="0.25">
      <c r="B122" s="31"/>
      <c r="C122" s="162">
        <f t="shared" ref="C122:H122" si="276">C87-C121</f>
        <v>-0.20000000000436557</v>
      </c>
      <c r="D122" s="944">
        <f t="shared" ca="1" si="276"/>
        <v>-0.20000000000436557</v>
      </c>
      <c r="E122" s="944">
        <f t="shared" ca="1" si="276"/>
        <v>-0.20000000001164153</v>
      </c>
      <c r="F122" s="944">
        <f t="shared" ca="1" si="276"/>
        <v>-0.19999999999708962</v>
      </c>
      <c r="G122" s="944">
        <f t="shared" ca="1" si="276"/>
        <v>-0.19999999999708962</v>
      </c>
      <c r="H122" s="944">
        <f t="shared" ca="1" si="276"/>
        <v>-0.1999999999825377</v>
      </c>
      <c r="J122" s="31"/>
      <c r="K122" s="162">
        <f t="shared" ref="K122:M122" si="277">K87-K121</f>
        <v>0</v>
      </c>
      <c r="L122" s="162">
        <f t="shared" si="277"/>
        <v>0</v>
      </c>
      <c r="M122" s="162">
        <f t="shared" si="277"/>
        <v>-0.2000000000007276</v>
      </c>
      <c r="N122" s="162">
        <f t="shared" ref="N122" si="278">N87-N121</f>
        <v>0</v>
      </c>
      <c r="O122" s="944">
        <f t="shared" ref="O122:R122" ca="1" si="279">O87-O121</f>
        <v>47.387000000002445</v>
      </c>
      <c r="P122" s="944">
        <f t="shared" ca="1" si="279"/>
        <v>47.386999999998807</v>
      </c>
      <c r="Q122" s="944">
        <f t="shared" ca="1" si="279"/>
        <v>47.386999999998807</v>
      </c>
      <c r="R122" s="944">
        <f t="shared" ca="1" si="279"/>
        <v>47.387000000002445</v>
      </c>
      <c r="T122" s="31"/>
      <c r="U122" s="162"/>
      <c r="V122" s="162">
        <f t="shared" ref="V122" si="280">V87-V121</f>
        <v>0</v>
      </c>
      <c r="W122" s="944"/>
      <c r="X122" s="944"/>
      <c r="Y122" s="944"/>
      <c r="Z122" s="944"/>
      <c r="AA122" s="944"/>
      <c r="AC122" s="31"/>
      <c r="AD122" s="162"/>
      <c r="AE122" s="162">
        <f t="shared" ref="AE122" si="281">AE87-AE121</f>
        <v>0</v>
      </c>
      <c r="AF122" s="944"/>
      <c r="AG122" s="944"/>
      <c r="AH122" s="944"/>
      <c r="AI122" s="944"/>
      <c r="AJ122" s="944"/>
      <c r="AL122" s="31"/>
      <c r="AM122" s="162"/>
      <c r="AN122" s="162">
        <f t="shared" ref="AN122" si="282">AN87-AN121</f>
        <v>0</v>
      </c>
      <c r="AO122" s="944"/>
      <c r="AP122" s="944"/>
      <c r="AQ122" s="944"/>
      <c r="AR122" s="944"/>
      <c r="AS122" s="944"/>
      <c r="AU122" s="31"/>
      <c r="AV122" s="162"/>
      <c r="AW122" s="162"/>
      <c r="AX122" s="944"/>
      <c r="AY122" s="944"/>
      <c r="AZ122" s="944"/>
      <c r="BA122" s="944"/>
      <c r="BB122" s="944"/>
      <c r="BD122" s="31"/>
      <c r="BE122" s="162"/>
      <c r="BF122" s="162">
        <f t="shared" ref="BF122" si="283">BF87-BF121</f>
        <v>0</v>
      </c>
      <c r="BG122" s="944"/>
      <c r="BH122" s="944"/>
      <c r="BI122" s="944"/>
      <c r="BJ122" s="944"/>
      <c r="BK122" s="944"/>
    </row>
    <row r="123" spans="2:63" ht="12" customHeight="1" x14ac:dyDescent="0.25">
      <c r="B123" s="33"/>
      <c r="C123" s="34"/>
      <c r="D123" s="34"/>
      <c r="E123" s="34"/>
      <c r="F123" s="34"/>
      <c r="G123" s="34"/>
      <c r="H123" s="34"/>
      <c r="J123" s="33"/>
      <c r="K123" s="34"/>
      <c r="L123" s="34"/>
      <c r="M123" s="34"/>
      <c r="N123" s="34"/>
      <c r="O123" s="34"/>
      <c r="P123" s="34"/>
      <c r="Q123" s="34"/>
      <c r="R123" s="34"/>
      <c r="S123" s="34"/>
      <c r="T123" s="33"/>
      <c r="U123" s="34"/>
      <c r="V123" s="34"/>
      <c r="W123" s="34"/>
      <c r="X123" s="34"/>
      <c r="Y123" s="34"/>
      <c r="Z123" s="34"/>
      <c r="AA123" s="34"/>
      <c r="AC123" s="33"/>
      <c r="AD123" s="34"/>
      <c r="AE123" s="34"/>
      <c r="AF123" s="34"/>
      <c r="AG123" s="34"/>
      <c r="AH123" s="34"/>
      <c r="AI123" s="34"/>
      <c r="AJ123" s="34"/>
      <c r="AL123" s="33"/>
      <c r="AM123" s="34"/>
      <c r="AN123" s="34"/>
      <c r="AO123" s="34"/>
      <c r="AP123" s="34"/>
      <c r="AQ123" s="34"/>
      <c r="AR123" s="34"/>
      <c r="AS123" s="34"/>
      <c r="AU123" s="33"/>
      <c r="AV123" s="34"/>
      <c r="AW123" s="34"/>
      <c r="AX123" s="34"/>
      <c r="AY123" s="34"/>
      <c r="AZ123" s="34"/>
      <c r="BA123" s="34"/>
      <c r="BB123" s="34"/>
      <c r="BD123" s="33"/>
      <c r="BE123" s="34"/>
      <c r="BF123" s="34"/>
      <c r="BG123" s="34"/>
      <c r="BH123" s="34"/>
      <c r="BI123" s="34"/>
      <c r="BJ123" s="34"/>
      <c r="BK123" s="34"/>
    </row>
    <row r="124" spans="2:63" ht="12" customHeight="1" x14ac:dyDescent="0.25">
      <c r="B124" s="3"/>
      <c r="C124" s="4"/>
      <c r="D124" s="227"/>
      <c r="E124" s="227"/>
      <c r="F124" s="227"/>
      <c r="G124" s="227"/>
      <c r="H124" s="227"/>
      <c r="J124" s="3" t="s">
        <v>102</v>
      </c>
      <c r="K124" s="4" t="s">
        <v>27</v>
      </c>
      <c r="L124" s="4" t="s">
        <v>273</v>
      </c>
      <c r="M124" s="4" t="s">
        <v>347</v>
      </c>
      <c r="N124" s="4" t="s">
        <v>348</v>
      </c>
      <c r="O124" s="227" t="str">
        <f t="shared" ref="O124:R124" si="284">O2</f>
        <v>FY27E</v>
      </c>
      <c r="P124" s="227" t="str">
        <f t="shared" si="284"/>
        <v>FY28E</v>
      </c>
      <c r="Q124" s="227" t="str">
        <f t="shared" si="284"/>
        <v>FY29E</v>
      </c>
      <c r="R124" s="227" t="str">
        <f t="shared" si="284"/>
        <v>FY30E</v>
      </c>
      <c r="T124" s="3"/>
      <c r="U124" s="4"/>
      <c r="V124" s="4"/>
      <c r="W124" s="227"/>
      <c r="X124" s="227"/>
      <c r="Y124" s="227"/>
      <c r="Z124" s="227"/>
      <c r="AA124" s="227"/>
      <c r="AC124" s="3"/>
      <c r="AD124" s="4"/>
      <c r="AE124" s="4"/>
      <c r="AF124" s="227"/>
      <c r="AG124" s="227"/>
      <c r="AH124" s="227"/>
      <c r="AI124" s="227"/>
      <c r="AJ124" s="227"/>
      <c r="AL124" s="3"/>
      <c r="AM124" s="4"/>
      <c r="AN124" s="4"/>
      <c r="AO124" s="227"/>
      <c r="AP124" s="227"/>
      <c r="AQ124" s="227"/>
      <c r="AR124" s="227"/>
      <c r="AS124" s="227"/>
      <c r="AU124" s="3"/>
      <c r="AV124" s="4"/>
      <c r="AW124" s="4"/>
      <c r="AX124" s="227"/>
      <c r="AY124" s="227"/>
      <c r="AZ124" s="227"/>
      <c r="BA124" s="227"/>
      <c r="BB124" s="227"/>
      <c r="BD124" s="3"/>
      <c r="BE124" s="4"/>
      <c r="BF124" s="4"/>
      <c r="BG124" s="227"/>
      <c r="BH124" s="227"/>
      <c r="BI124" s="227"/>
      <c r="BJ124" s="227"/>
      <c r="BK124" s="227"/>
    </row>
    <row r="125" spans="2:63" ht="12" customHeight="1" x14ac:dyDescent="0.25">
      <c r="B125" s="6" t="s">
        <v>40</v>
      </c>
      <c r="C125" s="7"/>
      <c r="D125" s="8">
        <f t="shared" ref="D125:H125" ca="1" si="285">D39</f>
        <v>106.86604660388105</v>
      </c>
      <c r="E125" s="8">
        <f t="shared" ca="1" si="285"/>
        <v>913.72073742792918</v>
      </c>
      <c r="F125" s="8">
        <f t="shared" ca="1" si="285"/>
        <v>913.38704854127036</v>
      </c>
      <c r="G125" s="8">
        <f t="shared" ca="1" si="285"/>
        <v>4158.2293597826765</v>
      </c>
      <c r="H125" s="8">
        <f t="shared" ca="1" si="285"/>
        <v>7761.2519171760177</v>
      </c>
      <c r="J125" s="6" t="s">
        <v>40</v>
      </c>
      <c r="K125" s="7">
        <v>1097.402</v>
      </c>
      <c r="L125" s="7">
        <v>47.010999999999981</v>
      </c>
      <c r="M125" s="7">
        <v>-669.43000000000006</v>
      </c>
      <c r="N125" s="7">
        <v>486.81599999999997</v>
      </c>
      <c r="O125" s="8">
        <f t="shared" ref="O125:R125" ca="1" si="286">O39</f>
        <v>639.09713006345896</v>
      </c>
      <c r="P125" s="8">
        <f t="shared" ca="1" si="286"/>
        <v>1208.5084037386521</v>
      </c>
      <c r="Q125" s="8">
        <f t="shared" ca="1" si="286"/>
        <v>1842.5864096274436</v>
      </c>
      <c r="R125" s="8">
        <f t="shared" ca="1" si="286"/>
        <v>2660.0797199367894</v>
      </c>
      <c r="T125" s="6"/>
      <c r="U125" s="7"/>
      <c r="V125" s="7"/>
      <c r="W125" s="8"/>
      <c r="X125" s="8"/>
      <c r="Y125" s="8"/>
      <c r="Z125" s="8"/>
      <c r="AA125" s="8"/>
      <c r="AC125" s="6"/>
      <c r="AD125" s="7"/>
      <c r="AE125" s="7"/>
      <c r="AF125" s="8"/>
      <c r="AG125" s="8"/>
      <c r="AH125" s="8"/>
      <c r="AI125" s="8"/>
      <c r="AJ125" s="8"/>
      <c r="AL125" s="6"/>
      <c r="AM125" s="7"/>
      <c r="AN125" s="7"/>
      <c r="AO125" s="8"/>
      <c r="AP125" s="8"/>
      <c r="AQ125" s="8"/>
      <c r="AR125" s="8"/>
      <c r="AS125" s="8"/>
      <c r="AU125" s="6"/>
      <c r="AV125" s="7"/>
      <c r="AW125" s="7"/>
      <c r="AX125" s="8"/>
      <c r="AY125" s="8"/>
      <c r="AZ125" s="8"/>
      <c r="BA125" s="8"/>
      <c r="BB125" s="8"/>
      <c r="BD125" s="6"/>
      <c r="BE125" s="7"/>
      <c r="BF125" s="7"/>
      <c r="BG125" s="8"/>
      <c r="BH125" s="8"/>
      <c r="BI125" s="8"/>
      <c r="BJ125" s="8"/>
      <c r="BK125" s="8"/>
    </row>
    <row r="126" spans="2:63" ht="12" customHeight="1" x14ac:dyDescent="0.25">
      <c r="B126" s="6"/>
      <c r="C126" s="7"/>
      <c r="D126" s="8"/>
      <c r="E126" s="8"/>
      <c r="F126" s="8"/>
      <c r="G126" s="8"/>
      <c r="H126" s="8"/>
      <c r="J126" s="6"/>
      <c r="K126" s="7"/>
      <c r="L126" s="7"/>
      <c r="M126" s="7"/>
      <c r="N126" s="7"/>
      <c r="O126" s="8"/>
      <c r="P126" s="8"/>
      <c r="Q126" s="8"/>
      <c r="R126" s="8"/>
      <c r="T126" s="6"/>
      <c r="U126" s="7"/>
      <c r="V126" s="7"/>
      <c r="W126" s="8"/>
      <c r="X126" s="8"/>
      <c r="Y126" s="8"/>
      <c r="Z126" s="8"/>
      <c r="AA126" s="8"/>
      <c r="AC126" s="6"/>
      <c r="AD126" s="7"/>
      <c r="AE126" s="7"/>
      <c r="AF126" s="8"/>
      <c r="AG126" s="8"/>
      <c r="AH126" s="8"/>
      <c r="AI126" s="8"/>
      <c r="AJ126" s="8"/>
      <c r="AL126" s="6"/>
      <c r="AM126" s="7"/>
      <c r="AN126" s="7"/>
      <c r="AO126" s="8"/>
      <c r="AP126" s="8"/>
      <c r="AQ126" s="8"/>
      <c r="AR126" s="8"/>
      <c r="AS126" s="8"/>
      <c r="AU126" s="6"/>
      <c r="AV126" s="7"/>
      <c r="AW126" s="7"/>
      <c r="AX126" s="8"/>
      <c r="AY126" s="8"/>
      <c r="AZ126" s="8"/>
      <c r="BA126" s="8"/>
      <c r="BB126" s="8"/>
      <c r="BD126" s="6"/>
      <c r="BE126" s="7"/>
      <c r="BF126" s="7"/>
      <c r="BG126" s="8"/>
      <c r="BH126" s="8"/>
      <c r="BI126" s="8"/>
      <c r="BJ126" s="8"/>
      <c r="BK126" s="8"/>
    </row>
    <row r="127" spans="2:63" ht="12" customHeight="1" x14ac:dyDescent="0.25">
      <c r="B127" s="6" t="s">
        <v>103</v>
      </c>
      <c r="C127" s="7"/>
      <c r="D127" s="8">
        <f t="shared" ref="D127:H127" si="287">D31</f>
        <v>995.90430000000015</v>
      </c>
      <c r="E127" s="8">
        <f t="shared" si="287"/>
        <v>1433.4043000000001</v>
      </c>
      <c r="F127" s="8">
        <f t="shared" si="287"/>
        <v>1870.9043000000001</v>
      </c>
      <c r="G127" s="8">
        <f t="shared" si="287"/>
        <v>2245.9043000000001</v>
      </c>
      <c r="H127" s="8">
        <f t="shared" si="287"/>
        <v>2620.9043000000001</v>
      </c>
      <c r="J127" s="6" t="s">
        <v>103</v>
      </c>
      <c r="K127" s="7">
        <v>395.30900000000003</v>
      </c>
      <c r="L127" s="7">
        <v>417.053</v>
      </c>
      <c r="M127" s="7">
        <v>509.08599999999996</v>
      </c>
      <c r="N127" s="7">
        <v>567.34100000000001</v>
      </c>
      <c r="O127" s="8">
        <f t="shared" ref="O127:R127" si="288">O31</f>
        <v>567.34199999999998</v>
      </c>
      <c r="P127" s="8">
        <f t="shared" si="288"/>
        <v>567.34199999999998</v>
      </c>
      <c r="Q127" s="8">
        <f t="shared" si="288"/>
        <v>567.34199999999998</v>
      </c>
      <c r="R127" s="8">
        <f t="shared" si="288"/>
        <v>567.34199999999998</v>
      </c>
      <c r="T127" s="6"/>
      <c r="U127" s="7"/>
      <c r="V127" s="7"/>
      <c r="W127" s="8"/>
      <c r="X127" s="8"/>
      <c r="Y127" s="8"/>
      <c r="Z127" s="8"/>
      <c r="AA127" s="8"/>
      <c r="AC127" s="6"/>
      <c r="AD127" s="7"/>
      <c r="AE127" s="7"/>
      <c r="AF127" s="8"/>
      <c r="AG127" s="8"/>
      <c r="AH127" s="8"/>
      <c r="AI127" s="8"/>
      <c r="AJ127" s="8"/>
      <c r="AL127" s="6"/>
      <c r="AM127" s="7"/>
      <c r="AN127" s="7"/>
      <c r="AO127" s="8"/>
      <c r="AP127" s="8"/>
      <c r="AQ127" s="8"/>
      <c r="AR127" s="8"/>
      <c r="AS127" s="8"/>
      <c r="AU127" s="6"/>
      <c r="AV127" s="7"/>
      <c r="AW127" s="7"/>
      <c r="AX127" s="8"/>
      <c r="AY127" s="8"/>
      <c r="AZ127" s="8"/>
      <c r="BA127" s="8"/>
      <c r="BB127" s="8"/>
      <c r="BD127" s="6"/>
      <c r="BE127" s="7"/>
      <c r="BF127" s="7"/>
      <c r="BG127" s="8"/>
      <c r="BH127" s="8"/>
      <c r="BI127" s="8"/>
      <c r="BJ127" s="8"/>
      <c r="BK127" s="8"/>
    </row>
    <row r="128" spans="2:63" ht="12" customHeight="1" x14ac:dyDescent="0.25">
      <c r="B128" s="6" t="s">
        <v>104</v>
      </c>
      <c r="C128" s="7"/>
      <c r="D128" s="8">
        <f t="shared" ref="D128:H128" si="289">D36</f>
        <v>399.42026999999996</v>
      </c>
      <c r="E128" s="8">
        <f t="shared" si="289"/>
        <v>1749.4202700000001</v>
      </c>
      <c r="F128" s="8">
        <f t="shared" si="289"/>
        <v>3924.4202700000001</v>
      </c>
      <c r="G128" s="8">
        <f t="shared" si="289"/>
        <v>5139.4202699999996</v>
      </c>
      <c r="H128" s="8">
        <f t="shared" si="289"/>
        <v>6144.4202700000005</v>
      </c>
      <c r="J128" s="6" t="s">
        <v>104</v>
      </c>
      <c r="K128" s="7">
        <v>334.20400000000001</v>
      </c>
      <c r="L128" s="7">
        <v>140.18099999999998</v>
      </c>
      <c r="M128" s="7">
        <v>206.99600000000001</v>
      </c>
      <c r="N128" s="7">
        <v>158.70400000000001</v>
      </c>
      <c r="O128" s="8">
        <f t="shared" ref="O128:R128" si="290">O36</f>
        <v>168.49600000000001</v>
      </c>
      <c r="P128" s="8">
        <f t="shared" si="290"/>
        <v>164.28360000000001</v>
      </c>
      <c r="Q128" s="8">
        <f t="shared" si="290"/>
        <v>155.8588</v>
      </c>
      <c r="R128" s="8">
        <f t="shared" si="290"/>
        <v>147.64462</v>
      </c>
      <c r="T128" s="6"/>
      <c r="U128" s="7"/>
      <c r="V128" s="7"/>
      <c r="W128" s="8"/>
      <c r="X128" s="8"/>
      <c r="Y128" s="8"/>
      <c r="Z128" s="8"/>
      <c r="AA128" s="8"/>
      <c r="AC128" s="6"/>
      <c r="AD128" s="7"/>
      <c r="AE128" s="7"/>
      <c r="AF128" s="8"/>
      <c r="AG128" s="8"/>
      <c r="AH128" s="8"/>
      <c r="AI128" s="8"/>
      <c r="AJ128" s="8"/>
      <c r="AL128" s="6"/>
      <c r="AM128" s="7"/>
      <c r="AN128" s="7"/>
      <c r="AO128" s="8"/>
      <c r="AP128" s="8"/>
      <c r="AQ128" s="8"/>
      <c r="AR128" s="8"/>
      <c r="AS128" s="8"/>
      <c r="AU128" s="6"/>
      <c r="AV128" s="7"/>
      <c r="AW128" s="7"/>
      <c r="AX128" s="8"/>
      <c r="AY128" s="8"/>
      <c r="AZ128" s="8"/>
      <c r="BA128" s="8"/>
      <c r="BB128" s="8"/>
      <c r="BD128" s="6"/>
      <c r="BE128" s="7"/>
      <c r="BF128" s="7"/>
      <c r="BG128" s="8"/>
      <c r="BH128" s="8"/>
      <c r="BI128" s="8"/>
      <c r="BJ128" s="8"/>
      <c r="BK128" s="8"/>
    </row>
    <row r="129" spans="2:63" ht="12" customHeight="1" x14ac:dyDescent="0.25">
      <c r="B129" s="6" t="s">
        <v>105</v>
      </c>
      <c r="C129" s="7"/>
      <c r="D129" s="8"/>
      <c r="E129" s="8"/>
      <c r="F129" s="8"/>
      <c r="G129" s="8"/>
      <c r="H129" s="8"/>
      <c r="J129" s="6" t="s">
        <v>105</v>
      </c>
      <c r="K129" s="7"/>
      <c r="L129" s="7"/>
      <c r="M129" s="7"/>
      <c r="N129" s="7"/>
      <c r="O129" s="8"/>
      <c r="P129" s="8"/>
      <c r="Q129" s="8"/>
      <c r="R129" s="8"/>
      <c r="T129" s="6"/>
      <c r="U129" s="7"/>
      <c r="V129" s="7"/>
      <c r="W129" s="8"/>
      <c r="X129" s="8"/>
      <c r="Y129" s="8"/>
      <c r="Z129" s="8"/>
      <c r="AA129" s="8"/>
      <c r="AC129" s="6"/>
      <c r="AD129" s="7"/>
      <c r="AE129" s="7"/>
      <c r="AF129" s="8"/>
      <c r="AG129" s="8"/>
      <c r="AH129" s="8"/>
      <c r="AI129" s="8"/>
      <c r="AJ129" s="8"/>
      <c r="AL129" s="6"/>
      <c r="AM129" s="7"/>
      <c r="AN129" s="7"/>
      <c r="AO129" s="8"/>
      <c r="AP129" s="8"/>
      <c r="AQ129" s="8"/>
      <c r="AR129" s="8"/>
      <c r="AS129" s="8"/>
      <c r="AU129" s="6"/>
      <c r="AV129" s="7"/>
      <c r="AW129" s="7"/>
      <c r="AX129" s="8"/>
      <c r="AY129" s="8"/>
      <c r="AZ129" s="8"/>
      <c r="BA129" s="8"/>
      <c r="BB129" s="8"/>
      <c r="BD129" s="6"/>
      <c r="BE129" s="7"/>
      <c r="BF129" s="7"/>
      <c r="BG129" s="8"/>
      <c r="BH129" s="8"/>
      <c r="BI129" s="8"/>
      <c r="BJ129" s="8"/>
      <c r="BK129" s="8"/>
    </row>
    <row r="130" spans="2:63" ht="12" customHeight="1" x14ac:dyDescent="0.25">
      <c r="B130" s="6" t="s">
        <v>106</v>
      </c>
      <c r="C130" s="7"/>
      <c r="D130" s="8"/>
      <c r="E130" s="8"/>
      <c r="F130" s="8"/>
      <c r="G130" s="8"/>
      <c r="H130" s="8"/>
      <c r="J130" s="6" t="s">
        <v>106</v>
      </c>
      <c r="K130" s="7"/>
      <c r="L130" s="7"/>
      <c r="M130" s="7">
        <v>-2.238</v>
      </c>
      <c r="N130" s="7">
        <v>-5.7089999999999996</v>
      </c>
      <c r="O130" s="8"/>
      <c r="P130" s="8"/>
      <c r="Q130" s="8"/>
      <c r="R130" s="8"/>
      <c r="T130" s="6"/>
      <c r="U130" s="7"/>
      <c r="V130" s="7"/>
      <c r="W130" s="8"/>
      <c r="X130" s="8"/>
      <c r="Y130" s="8"/>
      <c r="Z130" s="8"/>
      <c r="AA130" s="8"/>
      <c r="AC130" s="6"/>
      <c r="AD130" s="7"/>
      <c r="AE130" s="7"/>
      <c r="AF130" s="8"/>
      <c r="AG130" s="8"/>
      <c r="AH130" s="8"/>
      <c r="AI130" s="8"/>
      <c r="AJ130" s="8"/>
      <c r="AL130" s="6"/>
      <c r="AM130" s="7"/>
      <c r="AN130" s="7"/>
      <c r="AO130" s="8"/>
      <c r="AP130" s="8"/>
      <c r="AQ130" s="8"/>
      <c r="AR130" s="8"/>
      <c r="AS130" s="8"/>
      <c r="AU130" s="6"/>
      <c r="AV130" s="7"/>
      <c r="AW130" s="7"/>
      <c r="AX130" s="8"/>
      <c r="AY130" s="8"/>
      <c r="AZ130" s="8"/>
      <c r="BA130" s="8"/>
      <c r="BB130" s="8"/>
      <c r="BD130" s="6"/>
      <c r="BE130" s="7"/>
      <c r="BF130" s="7"/>
      <c r="BG130" s="8"/>
      <c r="BH130" s="8"/>
      <c r="BI130" s="8"/>
      <c r="BJ130" s="8"/>
      <c r="BK130" s="8"/>
    </row>
    <row r="131" spans="2:63" ht="12" customHeight="1" x14ac:dyDescent="0.25">
      <c r="B131" s="6" t="s">
        <v>107</v>
      </c>
      <c r="C131" s="7"/>
      <c r="D131" s="8"/>
      <c r="E131" s="8"/>
      <c r="F131" s="8"/>
      <c r="G131" s="8"/>
      <c r="H131" s="8"/>
      <c r="J131" s="6" t="s">
        <v>107</v>
      </c>
      <c r="K131" s="7"/>
      <c r="L131" s="7"/>
      <c r="M131" s="7"/>
      <c r="N131" s="7"/>
      <c r="O131" s="8"/>
      <c r="P131" s="8"/>
      <c r="Q131" s="8"/>
      <c r="R131" s="8"/>
      <c r="T131" s="6"/>
      <c r="U131" s="7"/>
      <c r="V131" s="7"/>
      <c r="W131" s="8"/>
      <c r="X131" s="8"/>
      <c r="Y131" s="8"/>
      <c r="Z131" s="8"/>
      <c r="AA131" s="8"/>
      <c r="AC131" s="6"/>
      <c r="AD131" s="7"/>
      <c r="AE131" s="7"/>
      <c r="AF131" s="8"/>
      <c r="AG131" s="8"/>
      <c r="AH131" s="8"/>
      <c r="AI131" s="8"/>
      <c r="AJ131" s="8"/>
      <c r="AL131" s="6"/>
      <c r="AM131" s="7"/>
      <c r="AN131" s="7"/>
      <c r="AO131" s="8"/>
      <c r="AP131" s="8"/>
      <c r="AQ131" s="8"/>
      <c r="AR131" s="8"/>
      <c r="AS131" s="8"/>
      <c r="AU131" s="6"/>
      <c r="AV131" s="7"/>
      <c r="AW131" s="7"/>
      <c r="AX131" s="8"/>
      <c r="AY131" s="8"/>
      <c r="AZ131" s="8"/>
      <c r="BA131" s="8"/>
      <c r="BB131" s="8"/>
      <c r="BD131" s="6"/>
      <c r="BE131" s="7"/>
      <c r="BF131" s="7"/>
      <c r="BG131" s="8"/>
      <c r="BH131" s="8"/>
      <c r="BI131" s="8"/>
      <c r="BJ131" s="8"/>
      <c r="BK131" s="8"/>
    </row>
    <row r="132" spans="2:63" ht="12" customHeight="1" x14ac:dyDescent="0.25">
      <c r="B132" s="6" t="s">
        <v>109</v>
      </c>
      <c r="C132" s="7"/>
      <c r="D132" s="8"/>
      <c r="E132" s="8"/>
      <c r="F132" s="8"/>
      <c r="G132" s="8"/>
      <c r="H132" s="8"/>
      <c r="J132" s="6" t="s">
        <v>109</v>
      </c>
      <c r="K132" s="7">
        <v>-159.09300000000002</v>
      </c>
      <c r="L132" s="7">
        <v>57.33</v>
      </c>
      <c r="M132" s="7"/>
      <c r="N132" s="7"/>
      <c r="O132" s="8"/>
      <c r="P132" s="8"/>
      <c r="Q132" s="8"/>
      <c r="R132" s="8"/>
      <c r="T132" s="6"/>
      <c r="U132" s="7"/>
      <c r="V132" s="7"/>
      <c r="W132" s="8"/>
      <c r="X132" s="8"/>
      <c r="Y132" s="8"/>
      <c r="Z132" s="8"/>
      <c r="AA132" s="8"/>
      <c r="AC132" s="6"/>
      <c r="AD132" s="7"/>
      <c r="AE132" s="7"/>
      <c r="AF132" s="8"/>
      <c r="AG132" s="8"/>
      <c r="AH132" s="8"/>
      <c r="AI132" s="8"/>
      <c r="AJ132" s="8"/>
      <c r="AL132" s="6"/>
      <c r="AM132" s="7"/>
      <c r="AN132" s="7"/>
      <c r="AO132" s="8"/>
      <c r="AP132" s="8"/>
      <c r="AQ132" s="8"/>
      <c r="AR132" s="8"/>
      <c r="AS132" s="8"/>
      <c r="AU132" s="6"/>
      <c r="AV132" s="7"/>
      <c r="AW132" s="7"/>
      <c r="AX132" s="8"/>
      <c r="AY132" s="8"/>
      <c r="AZ132" s="8"/>
      <c r="BA132" s="8"/>
      <c r="BB132" s="8"/>
      <c r="BD132" s="6"/>
      <c r="BE132" s="7"/>
      <c r="BF132" s="7"/>
      <c r="BG132" s="8"/>
      <c r="BH132" s="8"/>
      <c r="BI132" s="8"/>
      <c r="BJ132" s="8"/>
      <c r="BK132" s="8"/>
    </row>
    <row r="133" spans="2:63" ht="12" customHeight="1" x14ac:dyDescent="0.25">
      <c r="B133" s="6" t="s">
        <v>110</v>
      </c>
      <c r="C133" s="7"/>
      <c r="D133" s="8"/>
      <c r="E133" s="8"/>
      <c r="F133" s="8"/>
      <c r="G133" s="8"/>
      <c r="H133" s="8"/>
      <c r="J133" s="6" t="s">
        <v>110</v>
      </c>
      <c r="K133" s="7"/>
      <c r="L133" s="7"/>
      <c r="M133" s="7">
        <v>70.263000000000005</v>
      </c>
      <c r="N133" s="7">
        <v>1.7909999999999999</v>
      </c>
      <c r="O133" s="8"/>
      <c r="P133" s="8"/>
      <c r="Q133" s="8"/>
      <c r="R133" s="8"/>
      <c r="T133" s="6"/>
      <c r="U133" s="7"/>
      <c r="V133" s="7"/>
      <c r="W133" s="8"/>
      <c r="X133" s="8"/>
      <c r="Y133" s="8"/>
      <c r="Z133" s="8"/>
      <c r="AA133" s="8"/>
      <c r="AC133" s="6"/>
      <c r="AD133" s="7"/>
      <c r="AE133" s="7"/>
      <c r="AF133" s="8"/>
      <c r="AG133" s="8"/>
      <c r="AH133" s="8"/>
      <c r="AI133" s="8"/>
      <c r="AJ133" s="8"/>
      <c r="AL133" s="6"/>
      <c r="AM133" s="7"/>
      <c r="AN133" s="7"/>
      <c r="AO133" s="8"/>
      <c r="AP133" s="8"/>
      <c r="AQ133" s="8"/>
      <c r="AR133" s="8"/>
      <c r="AS133" s="8"/>
      <c r="AU133" s="6"/>
      <c r="AV133" s="7"/>
      <c r="AW133" s="7"/>
      <c r="AX133" s="8"/>
      <c r="AY133" s="8"/>
      <c r="AZ133" s="8"/>
      <c r="BA133" s="8"/>
      <c r="BB133" s="8"/>
      <c r="BD133" s="6"/>
      <c r="BE133" s="7"/>
      <c r="BF133" s="7"/>
      <c r="BG133" s="8"/>
      <c r="BH133" s="8"/>
      <c r="BI133" s="8"/>
      <c r="BJ133" s="8"/>
      <c r="BK133" s="8"/>
    </row>
    <row r="134" spans="2:63" ht="12" customHeight="1" x14ac:dyDescent="0.25">
      <c r="B134" s="6" t="s">
        <v>111</v>
      </c>
      <c r="C134" s="7"/>
      <c r="D134" s="8"/>
      <c r="E134" s="8"/>
      <c r="F134" s="8"/>
      <c r="G134" s="8"/>
      <c r="H134" s="8"/>
      <c r="J134" s="6" t="s">
        <v>111</v>
      </c>
      <c r="K134" s="7">
        <v>-266.93</v>
      </c>
      <c r="L134" s="7">
        <v>0.99299999999999988</v>
      </c>
      <c r="M134" s="7">
        <f>-1.964+19.643</f>
        <v>17.679000000000002</v>
      </c>
      <c r="N134" s="7">
        <v>2.6</v>
      </c>
      <c r="O134" s="8"/>
      <c r="P134" s="8"/>
      <c r="Q134" s="8"/>
      <c r="R134" s="8"/>
      <c r="T134" s="6"/>
      <c r="U134" s="7"/>
      <c r="V134" s="7"/>
      <c r="W134" s="8"/>
      <c r="X134" s="8"/>
      <c r="Y134" s="8"/>
      <c r="Z134" s="8"/>
      <c r="AA134" s="8"/>
      <c r="AC134" s="6"/>
      <c r="AD134" s="7"/>
      <c r="AE134" s="7"/>
      <c r="AF134" s="8"/>
      <c r="AG134" s="8"/>
      <c r="AH134" s="8"/>
      <c r="AI134" s="8"/>
      <c r="AJ134" s="8"/>
      <c r="AL134" s="6"/>
      <c r="AM134" s="7"/>
      <c r="AN134" s="7"/>
      <c r="AO134" s="8"/>
      <c r="AP134" s="8"/>
      <c r="AQ134" s="8"/>
      <c r="AR134" s="8"/>
      <c r="AS134" s="8"/>
      <c r="AU134" s="6"/>
      <c r="AV134" s="7"/>
      <c r="AW134" s="7"/>
      <c r="AX134" s="8"/>
      <c r="AY134" s="8"/>
      <c r="AZ134" s="8"/>
      <c r="BA134" s="8"/>
      <c r="BB134" s="8"/>
      <c r="BD134" s="6"/>
      <c r="BE134" s="7"/>
      <c r="BF134" s="7"/>
      <c r="BG134" s="8"/>
      <c r="BH134" s="8"/>
      <c r="BI134" s="8"/>
      <c r="BJ134" s="8"/>
      <c r="BK134" s="8"/>
    </row>
    <row r="135" spans="2:63" ht="12" customHeight="1" x14ac:dyDescent="0.25">
      <c r="B135" s="9" t="s">
        <v>112</v>
      </c>
      <c r="C135" s="10"/>
      <c r="D135" s="5">
        <f t="shared" ref="D135:H135" ca="1" si="291">SUM(D125:D134)</f>
        <v>1502.1906166038812</v>
      </c>
      <c r="E135" s="5">
        <f t="shared" ca="1" si="291"/>
        <v>4096.5453074279294</v>
      </c>
      <c r="F135" s="5">
        <f t="shared" ca="1" si="291"/>
        <v>6708.7116185412706</v>
      </c>
      <c r="G135" s="5">
        <f t="shared" ca="1" si="291"/>
        <v>11543.553929782676</v>
      </c>
      <c r="H135" s="5">
        <f t="shared" ca="1" si="291"/>
        <v>16526.576487176018</v>
      </c>
      <c r="J135" s="9" t="s">
        <v>112</v>
      </c>
      <c r="K135" s="10">
        <f t="shared" ref="K135:L135" si="292">SUM(K125:K134)</f>
        <v>1400.8919999999998</v>
      </c>
      <c r="L135" s="10">
        <f t="shared" si="292"/>
        <v>662.56799999999998</v>
      </c>
      <c r="M135" s="10">
        <f t="shared" ref="M135:R135" si="293">SUM(M125:M134)</f>
        <v>132.35599999999991</v>
      </c>
      <c r="N135" s="10">
        <f t="shared" ref="N135" si="294">SUM(N125:N134)</f>
        <v>1211.5429999999997</v>
      </c>
      <c r="O135" s="5">
        <f t="shared" ca="1" si="293"/>
        <v>1374.9351300634589</v>
      </c>
      <c r="P135" s="5">
        <f t="shared" ca="1" si="293"/>
        <v>1940.1340037386519</v>
      </c>
      <c r="Q135" s="5">
        <f t="shared" ca="1" si="293"/>
        <v>2565.7872096274436</v>
      </c>
      <c r="R135" s="5">
        <f t="shared" ca="1" si="293"/>
        <v>3375.0663399367895</v>
      </c>
      <c r="T135" s="9"/>
      <c r="U135" s="10"/>
      <c r="V135" s="10"/>
      <c r="W135" s="5"/>
      <c r="X135" s="5"/>
      <c r="Y135" s="5"/>
      <c r="Z135" s="5"/>
      <c r="AA135" s="5"/>
      <c r="AC135" s="9"/>
      <c r="AD135" s="10"/>
      <c r="AE135" s="10"/>
      <c r="AF135" s="5"/>
      <c r="AG135" s="5"/>
      <c r="AH135" s="5"/>
      <c r="AI135" s="5"/>
      <c r="AJ135" s="5"/>
      <c r="AL135" s="9"/>
      <c r="AM135" s="10"/>
      <c r="AN135" s="10"/>
      <c r="AO135" s="5"/>
      <c r="AP135" s="5"/>
      <c r="AQ135" s="5"/>
      <c r="AR135" s="5"/>
      <c r="AS135" s="5"/>
      <c r="AU135" s="9"/>
      <c r="AV135" s="10"/>
      <c r="AW135" s="10"/>
      <c r="AX135" s="5"/>
      <c r="AY135" s="5"/>
      <c r="AZ135" s="5"/>
      <c r="BA135" s="5"/>
      <c r="BB135" s="5"/>
      <c r="BD135" s="9"/>
      <c r="BE135" s="10"/>
      <c r="BF135" s="10"/>
      <c r="BG135" s="5"/>
      <c r="BH135" s="5"/>
      <c r="BI135" s="5"/>
      <c r="BJ135" s="5"/>
      <c r="BK135" s="5"/>
    </row>
    <row r="136" spans="2:63" ht="12" customHeight="1" x14ac:dyDescent="0.25">
      <c r="B136" s="6" t="s">
        <v>113</v>
      </c>
      <c r="C136" s="7"/>
      <c r="D136" s="8">
        <f t="shared" ref="D136" si="295">C108-D108</f>
        <v>177.40713698630157</v>
      </c>
      <c r="E136" s="8">
        <f t="shared" ref="E136" si="296">D108-E108</f>
        <v>-1481.3739183835614</v>
      </c>
      <c r="F136" s="8">
        <f t="shared" ref="F136" si="297">E108-F108</f>
        <v>-1951.6659846747953</v>
      </c>
      <c r="G136" s="8">
        <f t="shared" ref="G136" si="298">F108-G108</f>
        <v>-4154.9653340780533</v>
      </c>
      <c r="H136" s="8">
        <f t="shared" ref="H136" si="299">G108-H108</f>
        <v>-3765.8974012308972</v>
      </c>
      <c r="J136" s="6" t="s">
        <v>113</v>
      </c>
      <c r="K136" s="7">
        <v>609.57600000000002</v>
      </c>
      <c r="L136" s="7">
        <v>-461.44499999999999</v>
      </c>
      <c r="M136" s="7">
        <v>-231.851</v>
      </c>
      <c r="N136" s="7">
        <v>-656.00400000000002</v>
      </c>
      <c r="O136" s="8">
        <f t="shared" ref="O136:R136" si="300">N108-O108</f>
        <v>-145.1167810000004</v>
      </c>
      <c r="P136" s="8">
        <f t="shared" si="300"/>
        <v>-57.770723430000317</v>
      </c>
      <c r="Q136" s="8">
        <f t="shared" si="300"/>
        <v>-59.503845132899869</v>
      </c>
      <c r="R136" s="8">
        <f t="shared" si="300"/>
        <v>-204.29653495629032</v>
      </c>
      <c r="T136" s="6"/>
      <c r="U136" s="7"/>
      <c r="V136" s="7"/>
      <c r="W136" s="8"/>
      <c r="X136" s="8"/>
      <c r="Y136" s="8"/>
      <c r="Z136" s="8"/>
      <c r="AA136" s="8"/>
      <c r="AC136" s="6"/>
      <c r="AD136" s="7"/>
      <c r="AE136" s="7"/>
      <c r="AF136" s="8"/>
      <c r="AG136" s="8"/>
      <c r="AH136" s="8"/>
      <c r="AI136" s="8"/>
      <c r="AJ136" s="8"/>
      <c r="AL136" s="6"/>
      <c r="AM136" s="7"/>
      <c r="AN136" s="7"/>
      <c r="AO136" s="8"/>
      <c r="AP136" s="8"/>
      <c r="AQ136" s="8"/>
      <c r="AR136" s="8"/>
      <c r="AS136" s="8"/>
      <c r="AU136" s="6"/>
      <c r="AV136" s="7"/>
      <c r="AW136" s="7"/>
      <c r="AX136" s="8"/>
      <c r="AY136" s="8"/>
      <c r="AZ136" s="8"/>
      <c r="BA136" s="8"/>
      <c r="BB136" s="8"/>
      <c r="BD136" s="6"/>
      <c r="BE136" s="7"/>
      <c r="BF136" s="7"/>
      <c r="BG136" s="8"/>
      <c r="BH136" s="8"/>
      <c r="BI136" s="8"/>
      <c r="BJ136" s="8"/>
      <c r="BK136" s="8"/>
    </row>
    <row r="137" spans="2:63" ht="12" customHeight="1" x14ac:dyDescent="0.25">
      <c r="B137" s="6" t="s">
        <v>114</v>
      </c>
      <c r="C137" s="7"/>
      <c r="D137" s="8"/>
      <c r="E137" s="8"/>
      <c r="F137" s="8"/>
      <c r="G137" s="8"/>
      <c r="H137" s="8"/>
      <c r="J137" s="6" t="s">
        <v>114</v>
      </c>
      <c r="K137" s="7">
        <v>-707.65599999999995</v>
      </c>
      <c r="L137" s="7">
        <v>621.07600000000002</v>
      </c>
      <c r="M137" s="7">
        <v>900.48400000000004</v>
      </c>
      <c r="N137" s="7">
        <v>123.863</v>
      </c>
      <c r="O137" s="8"/>
      <c r="P137" s="8"/>
      <c r="Q137" s="8"/>
      <c r="R137" s="8"/>
      <c r="T137" s="6"/>
      <c r="U137" s="7"/>
      <c r="V137" s="7"/>
      <c r="W137" s="8"/>
      <c r="X137" s="8"/>
      <c r="Y137" s="8"/>
      <c r="Z137" s="8"/>
      <c r="AA137" s="8"/>
      <c r="AC137" s="6"/>
      <c r="AD137" s="7"/>
      <c r="AE137" s="7"/>
      <c r="AF137" s="8"/>
      <c r="AG137" s="8"/>
      <c r="AH137" s="8"/>
      <c r="AI137" s="8"/>
      <c r="AJ137" s="8"/>
      <c r="AL137" s="6"/>
      <c r="AM137" s="7"/>
      <c r="AN137" s="7"/>
      <c r="AO137" s="8"/>
      <c r="AP137" s="8"/>
      <c r="AQ137" s="8"/>
      <c r="AR137" s="8"/>
      <c r="AS137" s="8"/>
      <c r="AU137" s="6"/>
      <c r="AV137" s="7"/>
      <c r="AW137" s="7"/>
      <c r="AX137" s="8"/>
      <c r="AY137" s="8"/>
      <c r="AZ137" s="8"/>
      <c r="BA137" s="8"/>
      <c r="BB137" s="8"/>
      <c r="BD137" s="6"/>
      <c r="BE137" s="7"/>
      <c r="BF137" s="7"/>
      <c r="BG137" s="8"/>
      <c r="BH137" s="8"/>
      <c r="BI137" s="8"/>
      <c r="BJ137" s="8"/>
      <c r="BK137" s="8"/>
    </row>
    <row r="138" spans="2:63" ht="12" customHeight="1" x14ac:dyDescent="0.25">
      <c r="B138" s="6" t="s">
        <v>115</v>
      </c>
      <c r="C138" s="7"/>
      <c r="D138" s="8"/>
      <c r="E138" s="8"/>
      <c r="F138" s="8"/>
      <c r="G138" s="8"/>
      <c r="H138" s="8"/>
      <c r="J138" s="6" t="s">
        <v>115</v>
      </c>
      <c r="K138" s="7">
        <v>64.106999999999999</v>
      </c>
      <c r="L138" s="7">
        <v>-14.846</v>
      </c>
      <c r="M138" s="7">
        <v>4.343</v>
      </c>
      <c r="N138" s="7">
        <v>-14.81</v>
      </c>
      <c r="O138" s="8"/>
      <c r="P138" s="8"/>
      <c r="Q138" s="8"/>
      <c r="R138" s="8"/>
      <c r="T138" s="6"/>
      <c r="U138" s="7"/>
      <c r="V138" s="7"/>
      <c r="W138" s="8"/>
      <c r="X138" s="8"/>
      <c r="Y138" s="8"/>
      <c r="Z138" s="8"/>
      <c r="AA138" s="8"/>
      <c r="AC138" s="6"/>
      <c r="AD138" s="7"/>
      <c r="AE138" s="7"/>
      <c r="AF138" s="8"/>
      <c r="AG138" s="8"/>
      <c r="AH138" s="8"/>
      <c r="AI138" s="8"/>
      <c r="AJ138" s="8"/>
      <c r="AL138" s="6"/>
      <c r="AM138" s="7"/>
      <c r="AN138" s="7"/>
      <c r="AO138" s="8"/>
      <c r="AP138" s="8"/>
      <c r="AQ138" s="8"/>
      <c r="AR138" s="8"/>
      <c r="AS138" s="8"/>
      <c r="AU138" s="6"/>
      <c r="AV138" s="7"/>
      <c r="AW138" s="7"/>
      <c r="AX138" s="8"/>
      <c r="AY138" s="8"/>
      <c r="AZ138" s="8"/>
      <c r="BA138" s="8"/>
      <c r="BB138" s="8"/>
      <c r="BD138" s="6"/>
      <c r="BE138" s="7"/>
      <c r="BF138" s="7"/>
      <c r="BG138" s="8"/>
      <c r="BH138" s="8"/>
      <c r="BI138" s="8"/>
      <c r="BJ138" s="8"/>
      <c r="BK138" s="8"/>
    </row>
    <row r="139" spans="2:63" ht="12" customHeight="1" x14ac:dyDescent="0.25">
      <c r="B139" s="6" t="s">
        <v>116</v>
      </c>
      <c r="C139" s="7"/>
      <c r="D139" s="8">
        <f t="shared" ref="D139" si="301">D114-C114</f>
        <v>284.77193150684928</v>
      </c>
      <c r="E139" s="8">
        <f t="shared" ref="E139" si="302">E114-D114</f>
        <v>740.68695919178072</v>
      </c>
      <c r="F139" s="8">
        <f t="shared" ref="F139" si="303">F114-E114</f>
        <v>975.83299233739763</v>
      </c>
      <c r="G139" s="8">
        <f t="shared" ref="G139" si="304">G114-F114</f>
        <v>2077.4826670390266</v>
      </c>
      <c r="H139" s="8">
        <f t="shared" ref="H139" si="305">H114-G114</f>
        <v>1882.9487006154486</v>
      </c>
      <c r="J139" s="6" t="s">
        <v>116</v>
      </c>
      <c r="K139" s="7">
        <v>78.710000000000008</v>
      </c>
      <c r="L139" s="7">
        <v>-136.56700000000001</v>
      </c>
      <c r="M139" s="7">
        <v>155.39600000000002</v>
      </c>
      <c r="N139" s="7">
        <v>144.679</v>
      </c>
      <c r="O139" s="8">
        <f t="shared" ref="O139:R139" si="306">O114-N114</f>
        <v>36.323083000000111</v>
      </c>
      <c r="P139" s="8">
        <f t="shared" si="306"/>
        <v>14.460152490000041</v>
      </c>
      <c r="Q139" s="8">
        <f t="shared" si="306"/>
        <v>14.893957064699975</v>
      </c>
      <c r="R139" s="8">
        <f t="shared" si="306"/>
        <v>51.135919255470071</v>
      </c>
      <c r="T139" s="6"/>
      <c r="U139" s="7"/>
      <c r="V139" s="7"/>
      <c r="W139" s="8"/>
      <c r="X139" s="8"/>
      <c r="Y139" s="8"/>
      <c r="Z139" s="8"/>
      <c r="AA139" s="8"/>
      <c r="AC139" s="6"/>
      <c r="AD139" s="7"/>
      <c r="AE139" s="7"/>
      <c r="AF139" s="8"/>
      <c r="AG139" s="8"/>
      <c r="AH139" s="8"/>
      <c r="AI139" s="8"/>
      <c r="AJ139" s="8"/>
      <c r="AL139" s="6"/>
      <c r="AM139" s="7"/>
      <c r="AN139" s="7"/>
      <c r="AO139" s="8"/>
      <c r="AP139" s="8"/>
      <c r="AQ139" s="8"/>
      <c r="AR139" s="8"/>
      <c r="AS139" s="8"/>
      <c r="AU139" s="6"/>
      <c r="AV139" s="7"/>
      <c r="AW139" s="7"/>
      <c r="AX139" s="8"/>
      <c r="AY139" s="8"/>
      <c r="AZ139" s="8"/>
      <c r="BA139" s="8"/>
      <c r="BB139" s="8"/>
      <c r="BD139" s="6"/>
      <c r="BE139" s="7"/>
      <c r="BF139" s="7"/>
      <c r="BG139" s="8"/>
      <c r="BH139" s="8"/>
      <c r="BI139" s="8"/>
      <c r="BJ139" s="8"/>
      <c r="BK139" s="8"/>
    </row>
    <row r="140" spans="2:63" ht="12" customHeight="1" x14ac:dyDescent="0.25">
      <c r="B140" s="6" t="s">
        <v>117</v>
      </c>
      <c r="C140" s="7"/>
      <c r="D140" s="8"/>
      <c r="E140" s="8"/>
      <c r="F140" s="8"/>
      <c r="G140" s="8"/>
      <c r="H140" s="8"/>
      <c r="J140" s="6" t="s">
        <v>117</v>
      </c>
      <c r="K140" s="7">
        <v>-29.869999999999997</v>
      </c>
      <c r="L140" s="7">
        <v>21.17</v>
      </c>
      <c r="M140" s="7">
        <v>-136.25200000000001</v>
      </c>
      <c r="N140" s="7">
        <v>76.162000000000006</v>
      </c>
      <c r="O140" s="8"/>
      <c r="P140" s="8"/>
      <c r="Q140" s="8"/>
      <c r="R140" s="8"/>
      <c r="T140" s="6"/>
      <c r="U140" s="7"/>
      <c r="V140" s="7"/>
      <c r="W140" s="8"/>
      <c r="X140" s="8"/>
      <c r="Y140" s="8"/>
      <c r="Z140" s="8"/>
      <c r="AA140" s="8"/>
      <c r="AC140" s="6"/>
      <c r="AD140" s="7"/>
      <c r="AE140" s="7"/>
      <c r="AF140" s="8"/>
      <c r="AG140" s="8"/>
      <c r="AH140" s="8"/>
      <c r="AI140" s="8"/>
      <c r="AJ140" s="8"/>
      <c r="AL140" s="6"/>
      <c r="AM140" s="7"/>
      <c r="AN140" s="7"/>
      <c r="AO140" s="8"/>
      <c r="AP140" s="8"/>
      <c r="AQ140" s="8"/>
      <c r="AR140" s="8"/>
      <c r="AS140" s="8"/>
      <c r="AU140" s="6"/>
      <c r="AV140" s="7"/>
      <c r="AW140" s="7"/>
      <c r="AX140" s="8"/>
      <c r="AY140" s="8"/>
      <c r="AZ140" s="8"/>
      <c r="BA140" s="8"/>
      <c r="BB140" s="8"/>
      <c r="BD140" s="6"/>
      <c r="BE140" s="7"/>
      <c r="BF140" s="7"/>
      <c r="BG140" s="8"/>
      <c r="BH140" s="8"/>
      <c r="BI140" s="8"/>
      <c r="BJ140" s="8"/>
      <c r="BK140" s="8"/>
    </row>
    <row r="141" spans="2:63" ht="12" customHeight="1" x14ac:dyDescent="0.25">
      <c r="B141" s="6" t="s">
        <v>118</v>
      </c>
      <c r="C141" s="7"/>
      <c r="D141" s="8"/>
      <c r="E141" s="8"/>
      <c r="F141" s="8"/>
      <c r="G141" s="8"/>
      <c r="H141" s="8"/>
      <c r="J141" s="6" t="s">
        <v>118</v>
      </c>
      <c r="K141" s="7">
        <v>-20.375</v>
      </c>
      <c r="L141" s="7">
        <v>0.19899999999999896</v>
      </c>
      <c r="M141" s="7">
        <v>25.651999999999997</v>
      </c>
      <c r="N141" s="7">
        <v>-0.86399999999999999</v>
      </c>
      <c r="O141" s="8"/>
      <c r="P141" s="8"/>
      <c r="Q141" s="8"/>
      <c r="R141" s="8"/>
      <c r="T141" s="6"/>
      <c r="U141" s="7"/>
      <c r="V141" s="7"/>
      <c r="W141" s="8"/>
      <c r="X141" s="8"/>
      <c r="Y141" s="8"/>
      <c r="Z141" s="8"/>
      <c r="AA141" s="8"/>
      <c r="AC141" s="6"/>
      <c r="AD141" s="7"/>
      <c r="AE141" s="7"/>
      <c r="AF141" s="8"/>
      <c r="AG141" s="8"/>
      <c r="AH141" s="8"/>
      <c r="AI141" s="8"/>
      <c r="AJ141" s="8"/>
      <c r="AL141" s="6"/>
      <c r="AM141" s="7"/>
      <c r="AN141" s="7"/>
      <c r="AO141" s="8"/>
      <c r="AP141" s="8"/>
      <c r="AQ141" s="8"/>
      <c r="AR141" s="8"/>
      <c r="AS141" s="8"/>
      <c r="AU141" s="6"/>
      <c r="AV141" s="7"/>
      <c r="AW141" s="7"/>
      <c r="AX141" s="8"/>
      <c r="AY141" s="8"/>
      <c r="AZ141" s="8"/>
      <c r="BA141" s="8"/>
      <c r="BB141" s="8"/>
      <c r="BD141" s="6"/>
      <c r="BE141" s="7"/>
      <c r="BF141" s="7"/>
      <c r="BG141" s="8"/>
      <c r="BH141" s="8"/>
      <c r="BI141" s="8"/>
      <c r="BJ141" s="8"/>
      <c r="BK141" s="8"/>
    </row>
    <row r="142" spans="2:63" ht="12" customHeight="1" x14ac:dyDescent="0.25">
      <c r="B142" s="9" t="s">
        <v>119</v>
      </c>
      <c r="C142" s="10"/>
      <c r="D142" s="5">
        <f t="shared" ref="D142:H142" ca="1" si="307">SUM(D135:D141)</f>
        <v>1964.3696850970321</v>
      </c>
      <c r="E142" s="5">
        <f t="shared" ca="1" si="307"/>
        <v>3355.8583482361487</v>
      </c>
      <c r="F142" s="5">
        <f t="shared" ca="1" si="307"/>
        <v>5732.878626203873</v>
      </c>
      <c r="G142" s="5">
        <f t="shared" ca="1" si="307"/>
        <v>9466.0712627436496</v>
      </c>
      <c r="H142" s="5">
        <f t="shared" ca="1" si="307"/>
        <v>14643.62778656057</v>
      </c>
      <c r="J142" s="9" t="s">
        <v>119</v>
      </c>
      <c r="K142" s="10">
        <f t="shared" ref="K142:R142" si="308">SUM(K135:K141)</f>
        <v>1395.384</v>
      </c>
      <c r="L142" s="10">
        <f t="shared" si="308"/>
        <v>692.15499999999997</v>
      </c>
      <c r="M142" s="10">
        <f t="shared" si="308"/>
        <v>850.12799999999993</v>
      </c>
      <c r="N142" s="10">
        <f t="shared" ref="N142" si="309">SUM(N135:N141)</f>
        <v>884.56899999999962</v>
      </c>
      <c r="O142" s="5">
        <f t="shared" ca="1" si="308"/>
        <v>1266.1414320634585</v>
      </c>
      <c r="P142" s="5">
        <f t="shared" ca="1" si="308"/>
        <v>1896.8234327986515</v>
      </c>
      <c r="Q142" s="5">
        <f t="shared" ca="1" si="308"/>
        <v>2521.1773215592439</v>
      </c>
      <c r="R142" s="5">
        <f t="shared" ca="1" si="308"/>
        <v>3221.9057242359695</v>
      </c>
      <c r="T142" s="9"/>
      <c r="U142" s="10"/>
      <c r="V142" s="10"/>
      <c r="W142" s="5"/>
      <c r="X142" s="5"/>
      <c r="Y142" s="5"/>
      <c r="Z142" s="5"/>
      <c r="AA142" s="5"/>
      <c r="AC142" s="9"/>
      <c r="AD142" s="10"/>
      <c r="AE142" s="10"/>
      <c r="AF142" s="5"/>
      <c r="AG142" s="5"/>
      <c r="AH142" s="5"/>
      <c r="AI142" s="5"/>
      <c r="AJ142" s="5"/>
      <c r="AL142" s="9"/>
      <c r="AM142" s="10"/>
      <c r="AN142" s="10"/>
      <c r="AO142" s="5"/>
      <c r="AP142" s="5"/>
      <c r="AQ142" s="5"/>
      <c r="AR142" s="5"/>
      <c r="AS142" s="5"/>
      <c r="AU142" s="9"/>
      <c r="AV142" s="10"/>
      <c r="AW142" s="10"/>
      <c r="AX142" s="5"/>
      <c r="AY142" s="5"/>
      <c r="AZ142" s="5"/>
      <c r="BA142" s="5"/>
      <c r="BB142" s="5"/>
      <c r="BD142" s="9"/>
      <c r="BE142" s="10"/>
      <c r="BF142" s="10"/>
      <c r="BG142" s="5"/>
      <c r="BH142" s="5"/>
      <c r="BI142" s="5"/>
      <c r="BJ142" s="5"/>
      <c r="BK142" s="5"/>
    </row>
    <row r="143" spans="2:63" ht="12" customHeight="1" x14ac:dyDescent="0.25">
      <c r="B143" s="6" t="s">
        <v>120</v>
      </c>
      <c r="C143" s="10"/>
      <c r="D143" s="8"/>
      <c r="E143" s="8"/>
      <c r="F143" s="8"/>
      <c r="G143" s="8"/>
      <c r="H143" s="8"/>
      <c r="J143" s="6" t="s">
        <v>120</v>
      </c>
      <c r="K143" s="10"/>
      <c r="L143" s="10"/>
      <c r="M143" s="10"/>
      <c r="N143" s="10"/>
      <c r="O143" s="8"/>
      <c r="P143" s="8"/>
      <c r="Q143" s="8"/>
      <c r="R143" s="8"/>
      <c r="T143" s="6"/>
      <c r="U143" s="10"/>
      <c r="V143" s="10"/>
      <c r="W143" s="8"/>
      <c r="X143" s="8"/>
      <c r="Y143" s="8"/>
      <c r="Z143" s="8"/>
      <c r="AA143" s="8"/>
      <c r="AC143" s="6"/>
      <c r="AD143" s="10"/>
      <c r="AE143" s="10"/>
      <c r="AF143" s="8"/>
      <c r="AG143" s="8"/>
      <c r="AH143" s="8"/>
      <c r="AI143" s="8"/>
      <c r="AJ143" s="8"/>
      <c r="AL143" s="6"/>
      <c r="AM143" s="10"/>
      <c r="AN143" s="10"/>
      <c r="AO143" s="8"/>
      <c r="AP143" s="8"/>
      <c r="AQ143" s="8"/>
      <c r="AR143" s="8"/>
      <c r="AS143" s="8"/>
      <c r="AU143" s="6"/>
      <c r="AV143" s="10"/>
      <c r="AW143" s="10"/>
      <c r="AX143" s="8"/>
      <c r="AY143" s="8"/>
      <c r="AZ143" s="8"/>
      <c r="BA143" s="8"/>
      <c r="BB143" s="8"/>
      <c r="BD143" s="6"/>
      <c r="BE143" s="10"/>
      <c r="BF143" s="10"/>
      <c r="BG143" s="8"/>
      <c r="BH143" s="8"/>
      <c r="BI143" s="8"/>
      <c r="BJ143" s="8"/>
      <c r="BK143" s="8"/>
    </row>
    <row r="144" spans="2:63" ht="12" customHeight="1" x14ac:dyDescent="0.25">
      <c r="B144" s="6" t="s">
        <v>121</v>
      </c>
      <c r="C144" s="7"/>
      <c r="D144" s="8">
        <f t="shared" ref="D144:H144" si="310">-D45</f>
        <v>0</v>
      </c>
      <c r="E144" s="8">
        <f t="shared" ca="1" si="310"/>
        <v>-228.43018435698229</v>
      </c>
      <c r="F144" s="8">
        <f t="shared" ca="1" si="310"/>
        <v>-228.34676213531759</v>
      </c>
      <c r="G144" s="8">
        <f t="shared" ca="1" si="310"/>
        <v>-1039.5573399456691</v>
      </c>
      <c r="H144" s="8">
        <f t="shared" ca="1" si="310"/>
        <v>-1940.3129792940044</v>
      </c>
      <c r="J144" s="6" t="s">
        <v>121</v>
      </c>
      <c r="K144" s="7">
        <v>-139.55699999999999</v>
      </c>
      <c r="L144" s="7">
        <v>-73.527000000000001</v>
      </c>
      <c r="M144" s="7">
        <v>-10.381</v>
      </c>
      <c r="N144" s="7">
        <v>-114.15</v>
      </c>
      <c r="O144" s="8">
        <f t="shared" ref="O144:R144" ca="1" si="311">-O45</f>
        <v>-159.77428251586474</v>
      </c>
      <c r="P144" s="8">
        <f t="shared" ca="1" si="311"/>
        <v>-302.12710093466302</v>
      </c>
      <c r="Q144" s="8">
        <f t="shared" ca="1" si="311"/>
        <v>-460.64660240686089</v>
      </c>
      <c r="R144" s="8">
        <f t="shared" ca="1" si="311"/>
        <v>-665.01992998419735</v>
      </c>
      <c r="T144" s="6"/>
      <c r="U144" s="7"/>
      <c r="V144" s="7"/>
      <c r="W144" s="8"/>
      <c r="X144" s="8"/>
      <c r="Y144" s="8"/>
      <c r="Z144" s="8"/>
      <c r="AA144" s="8"/>
      <c r="AC144" s="6"/>
      <c r="AD144" s="7"/>
      <c r="AE144" s="7"/>
      <c r="AF144" s="8"/>
      <c r="AG144" s="8"/>
      <c r="AH144" s="8"/>
      <c r="AI144" s="8"/>
      <c r="AJ144" s="8"/>
      <c r="AL144" s="6"/>
      <c r="AM144" s="7"/>
      <c r="AN144" s="7"/>
      <c r="AO144" s="8"/>
      <c r="AP144" s="8"/>
      <c r="AQ144" s="8"/>
      <c r="AR144" s="8"/>
      <c r="AS144" s="8"/>
      <c r="AU144" s="6"/>
      <c r="AV144" s="7"/>
      <c r="AW144" s="7"/>
      <c r="AX144" s="8"/>
      <c r="AY144" s="8"/>
      <c r="AZ144" s="8"/>
      <c r="BA144" s="8"/>
      <c r="BB144" s="8"/>
      <c r="BD144" s="6"/>
      <c r="BE144" s="7"/>
      <c r="BF144" s="7"/>
      <c r="BG144" s="8"/>
      <c r="BH144" s="8"/>
      <c r="BI144" s="8"/>
      <c r="BJ144" s="8"/>
      <c r="BK144" s="8"/>
    </row>
    <row r="145" spans="2:63" ht="12" customHeight="1" x14ac:dyDescent="0.25">
      <c r="B145" s="9" t="s">
        <v>122</v>
      </c>
      <c r="C145" s="10"/>
      <c r="D145" s="5">
        <f t="shared" ref="D145:H145" ca="1" si="312">D142+D143+D144</f>
        <v>1964.3696850970321</v>
      </c>
      <c r="E145" s="5">
        <f t="shared" ca="1" si="312"/>
        <v>3127.4281638791663</v>
      </c>
      <c r="F145" s="5">
        <f t="shared" ca="1" si="312"/>
        <v>5504.5318640685555</v>
      </c>
      <c r="G145" s="5">
        <f t="shared" ca="1" si="312"/>
        <v>8426.5139227979798</v>
      </c>
      <c r="H145" s="5">
        <f t="shared" ca="1" si="312"/>
        <v>12703.314807266564</v>
      </c>
      <c r="J145" s="9" t="s">
        <v>122</v>
      </c>
      <c r="K145" s="10">
        <f>+K144+K142+K143</f>
        <v>1255.827</v>
      </c>
      <c r="L145" s="10">
        <f>+L144+L142+L143</f>
        <v>618.62799999999993</v>
      </c>
      <c r="M145" s="10">
        <f>+M144+M142+M143</f>
        <v>839.74699999999996</v>
      </c>
      <c r="N145" s="10">
        <f>+N144+N142+N143</f>
        <v>770.41899999999964</v>
      </c>
      <c r="O145" s="5">
        <f t="shared" ref="O145:R145" ca="1" si="313">O142+O143+O144</f>
        <v>1106.3671495475937</v>
      </c>
      <c r="P145" s="5">
        <f t="shared" ca="1" si="313"/>
        <v>1594.6963318639885</v>
      </c>
      <c r="Q145" s="5">
        <f t="shared" ca="1" si="313"/>
        <v>2060.530719152383</v>
      </c>
      <c r="R145" s="5">
        <f t="shared" ca="1" si="313"/>
        <v>2556.885794251772</v>
      </c>
      <c r="T145" s="9"/>
      <c r="U145" s="10"/>
      <c r="V145" s="10"/>
      <c r="W145" s="5"/>
      <c r="X145" s="5"/>
      <c r="Y145" s="5"/>
      <c r="Z145" s="5"/>
      <c r="AA145" s="5"/>
      <c r="AC145" s="9"/>
      <c r="AD145" s="10"/>
      <c r="AE145" s="10"/>
      <c r="AF145" s="5"/>
      <c r="AG145" s="5"/>
      <c r="AH145" s="5"/>
      <c r="AI145" s="5"/>
      <c r="AJ145" s="5"/>
      <c r="AL145" s="9"/>
      <c r="AM145" s="10"/>
      <c r="AN145" s="10"/>
      <c r="AO145" s="5"/>
      <c r="AP145" s="5"/>
      <c r="AQ145" s="5"/>
      <c r="AR145" s="5"/>
      <c r="AS145" s="5"/>
      <c r="AU145" s="9"/>
      <c r="AV145" s="10"/>
      <c r="AW145" s="10"/>
      <c r="AX145" s="5"/>
      <c r="AY145" s="5"/>
      <c r="AZ145" s="5"/>
      <c r="BA145" s="5"/>
      <c r="BB145" s="5"/>
      <c r="BD145" s="9"/>
      <c r="BE145" s="10"/>
      <c r="BF145" s="10"/>
      <c r="BG145" s="5"/>
      <c r="BH145" s="5"/>
      <c r="BI145" s="5"/>
      <c r="BJ145" s="5"/>
      <c r="BK145" s="5"/>
    </row>
    <row r="146" spans="2:63" ht="12" customHeight="1" x14ac:dyDescent="0.25">
      <c r="B146" s="6"/>
      <c r="C146" s="122"/>
      <c r="D146" s="8"/>
      <c r="E146" s="8"/>
      <c r="F146" s="8"/>
      <c r="G146" s="8"/>
      <c r="H146" s="8"/>
      <c r="J146" s="6"/>
      <c r="K146" s="122"/>
      <c r="L146" s="122"/>
      <c r="M146" s="122"/>
      <c r="N146" s="122"/>
      <c r="O146" s="8"/>
      <c r="P146" s="8"/>
      <c r="Q146" s="8"/>
      <c r="R146" s="8"/>
      <c r="T146" s="6"/>
      <c r="U146" s="122"/>
      <c r="V146" s="122"/>
      <c r="W146" s="8"/>
      <c r="X146" s="8"/>
      <c r="Y146" s="8"/>
      <c r="Z146" s="8"/>
      <c r="AA146" s="8"/>
      <c r="AC146" s="6"/>
      <c r="AD146" s="122"/>
      <c r="AE146" s="122"/>
      <c r="AF146" s="8"/>
      <c r="AG146" s="8"/>
      <c r="AH146" s="8"/>
      <c r="AI146" s="8"/>
      <c r="AJ146" s="8"/>
      <c r="AL146" s="6"/>
      <c r="AM146" s="122"/>
      <c r="AN146" s="122"/>
      <c r="AO146" s="8"/>
      <c r="AP146" s="8"/>
      <c r="AQ146" s="8"/>
      <c r="AR146" s="8"/>
      <c r="AS146" s="8"/>
      <c r="AU146" s="6"/>
      <c r="AV146" s="122"/>
      <c r="AW146" s="122"/>
      <c r="AX146" s="8"/>
      <c r="AY146" s="8"/>
      <c r="AZ146" s="8"/>
      <c r="BA146" s="8"/>
      <c r="BB146" s="8"/>
      <c r="BD146" s="6"/>
      <c r="BE146" s="122"/>
      <c r="BF146" s="122"/>
      <c r="BG146" s="8"/>
      <c r="BH146" s="8"/>
      <c r="BI146" s="8"/>
      <c r="BJ146" s="8"/>
      <c r="BK146" s="8"/>
    </row>
    <row r="147" spans="2:63" ht="12" customHeight="1" x14ac:dyDescent="0.25">
      <c r="B147" s="6" t="s">
        <v>123</v>
      </c>
      <c r="C147" s="7"/>
      <c r="D147" s="8">
        <f t="shared" ref="D147" si="314">-(D91-C91)</f>
        <v>-15000.000000000004</v>
      </c>
      <c r="E147" s="8">
        <f t="shared" ref="E147" si="315">-(E91-D91)</f>
        <v>-17500</v>
      </c>
      <c r="F147" s="8">
        <f t="shared" ref="F147" si="316">-(F91-E91)</f>
        <v>-17500</v>
      </c>
      <c r="G147" s="8">
        <f t="shared" ref="G147" si="317">-(G91-F91)</f>
        <v>-15000</v>
      </c>
      <c r="H147" s="8">
        <f t="shared" ref="H147" si="318">-(H91-G91)</f>
        <v>-15000</v>
      </c>
      <c r="J147" s="6" t="s">
        <v>123</v>
      </c>
      <c r="K147" s="7">
        <v>-3424.6879999999996</v>
      </c>
      <c r="L147" s="7">
        <v>24.934000000000001</v>
      </c>
      <c r="M147" s="7">
        <v>208.89699999999999</v>
      </c>
      <c r="N147" s="7">
        <v>36.156999999999996</v>
      </c>
      <c r="O147" s="8">
        <f t="shared" ref="O147:R147" si="319">-(O91-N91)</f>
        <v>0</v>
      </c>
      <c r="P147" s="8">
        <f t="shared" si="319"/>
        <v>0</v>
      </c>
      <c r="Q147" s="8">
        <f t="shared" si="319"/>
        <v>0</v>
      </c>
      <c r="R147" s="8">
        <f t="shared" si="319"/>
        <v>0</v>
      </c>
      <c r="T147" s="6"/>
      <c r="U147" s="7"/>
      <c r="V147" s="7"/>
      <c r="W147" s="8"/>
      <c r="X147" s="8"/>
      <c r="Y147" s="8"/>
      <c r="Z147" s="8"/>
      <c r="AA147" s="8"/>
      <c r="AC147" s="6"/>
      <c r="AD147" s="7"/>
      <c r="AE147" s="7"/>
      <c r="AF147" s="8"/>
      <c r="AG147" s="8"/>
      <c r="AH147" s="8"/>
      <c r="AI147" s="8"/>
      <c r="AJ147" s="8"/>
      <c r="AL147" s="6"/>
      <c r="AM147" s="7"/>
      <c r="AN147" s="7"/>
      <c r="AO147" s="8"/>
      <c r="AP147" s="8"/>
      <c r="AQ147" s="8"/>
      <c r="AR147" s="8"/>
      <c r="AS147" s="8"/>
      <c r="AU147" s="6"/>
      <c r="AV147" s="7"/>
      <c r="AW147" s="7"/>
      <c r="AX147" s="8"/>
      <c r="AY147" s="8"/>
      <c r="AZ147" s="8"/>
      <c r="BA147" s="8"/>
      <c r="BB147" s="8"/>
      <c r="BD147" s="6"/>
      <c r="BE147" s="7"/>
      <c r="BF147" s="7"/>
      <c r="BG147" s="8"/>
      <c r="BH147" s="8"/>
      <c r="BI147" s="8"/>
      <c r="BJ147" s="8"/>
      <c r="BK147" s="8"/>
    </row>
    <row r="148" spans="2:63" ht="12" customHeight="1" x14ac:dyDescent="0.25">
      <c r="B148" s="6" t="s">
        <v>124</v>
      </c>
      <c r="C148" s="7"/>
      <c r="D148" s="8"/>
      <c r="E148" s="8"/>
      <c r="F148" s="8"/>
      <c r="G148" s="8"/>
      <c r="H148" s="8"/>
      <c r="J148" s="6" t="s">
        <v>124</v>
      </c>
      <c r="K148" s="7">
        <v>0</v>
      </c>
      <c r="L148" s="7">
        <v>0</v>
      </c>
      <c r="M148" s="7"/>
      <c r="N148" s="7"/>
      <c r="O148" s="8"/>
      <c r="P148" s="8"/>
      <c r="Q148" s="8"/>
      <c r="R148" s="8"/>
      <c r="T148" s="6"/>
      <c r="U148" s="7"/>
      <c r="V148" s="7"/>
      <c r="W148" s="8"/>
      <c r="X148" s="8"/>
      <c r="Y148" s="8"/>
      <c r="Z148" s="8"/>
      <c r="AA148" s="8"/>
      <c r="AC148" s="6"/>
      <c r="AD148" s="7"/>
      <c r="AE148" s="7"/>
      <c r="AF148" s="8"/>
      <c r="AG148" s="8"/>
      <c r="AH148" s="8"/>
      <c r="AI148" s="8"/>
      <c r="AJ148" s="8"/>
      <c r="AL148" s="6"/>
      <c r="AM148" s="7"/>
      <c r="AN148" s="7"/>
      <c r="AO148" s="8"/>
      <c r="AP148" s="8"/>
      <c r="AQ148" s="8"/>
      <c r="AR148" s="8"/>
      <c r="AS148" s="8"/>
      <c r="AU148" s="6"/>
      <c r="AV148" s="7"/>
      <c r="AW148" s="7"/>
      <c r="AX148" s="8"/>
      <c r="AY148" s="8"/>
      <c r="AZ148" s="8"/>
      <c r="BA148" s="8"/>
      <c r="BB148" s="8"/>
      <c r="BD148" s="6"/>
      <c r="BE148" s="7"/>
      <c r="BF148" s="7"/>
      <c r="BG148" s="8"/>
      <c r="BH148" s="8"/>
      <c r="BI148" s="8"/>
      <c r="BJ148" s="8"/>
      <c r="BK148" s="8"/>
    </row>
    <row r="149" spans="2:63" ht="12" customHeight="1" x14ac:dyDescent="0.25">
      <c r="B149" s="6" t="s">
        <v>125</v>
      </c>
      <c r="C149" s="7"/>
      <c r="D149" s="8"/>
      <c r="E149" s="8"/>
      <c r="F149" s="8"/>
      <c r="G149" s="8"/>
      <c r="H149" s="8"/>
      <c r="J149" s="6" t="s">
        <v>125</v>
      </c>
      <c r="K149" s="7">
        <v>0</v>
      </c>
      <c r="L149" s="7">
        <v>0</v>
      </c>
      <c r="M149" s="7"/>
      <c r="N149" s="7"/>
      <c r="O149" s="8"/>
      <c r="P149" s="8"/>
      <c r="Q149" s="8"/>
      <c r="R149" s="8"/>
      <c r="T149" s="6"/>
      <c r="U149" s="7"/>
      <c r="V149" s="7"/>
      <c r="W149" s="8"/>
      <c r="X149" s="8"/>
      <c r="Y149" s="8"/>
      <c r="Z149" s="8"/>
      <c r="AA149" s="8"/>
      <c r="AC149" s="6"/>
      <c r="AD149" s="7"/>
      <c r="AE149" s="7"/>
      <c r="AF149" s="8"/>
      <c r="AG149" s="8"/>
      <c r="AH149" s="8"/>
      <c r="AI149" s="8"/>
      <c r="AJ149" s="8"/>
      <c r="AL149" s="6"/>
      <c r="AM149" s="7"/>
      <c r="AN149" s="7"/>
      <c r="AO149" s="8"/>
      <c r="AP149" s="8"/>
      <c r="AQ149" s="8"/>
      <c r="AR149" s="8"/>
      <c r="AS149" s="8"/>
      <c r="AU149" s="6"/>
      <c r="AV149" s="7"/>
      <c r="AW149" s="7"/>
      <c r="AX149" s="8"/>
      <c r="AY149" s="8"/>
      <c r="AZ149" s="8"/>
      <c r="BA149" s="8"/>
      <c r="BB149" s="8"/>
      <c r="BD149" s="6"/>
      <c r="BE149" s="7"/>
      <c r="BF149" s="7"/>
      <c r="BG149" s="8"/>
      <c r="BH149" s="8"/>
      <c r="BI149" s="8"/>
      <c r="BJ149" s="8"/>
      <c r="BK149" s="8"/>
    </row>
    <row r="150" spans="2:63" ht="12" customHeight="1" x14ac:dyDescent="0.25">
      <c r="B150" s="6" t="s">
        <v>126</v>
      </c>
      <c r="C150" s="7"/>
      <c r="D150" s="8"/>
      <c r="E150" s="8"/>
      <c r="F150" s="8"/>
      <c r="G150" s="8"/>
      <c r="H150" s="8"/>
      <c r="J150" s="6" t="s">
        <v>126</v>
      </c>
      <c r="K150" s="7">
        <v>47.756</v>
      </c>
      <c r="L150" s="7">
        <v>-0.69299999999999995</v>
      </c>
      <c r="M150" s="7">
        <v>2.2549999999999999</v>
      </c>
      <c r="N150" s="7">
        <v>5.766</v>
      </c>
      <c r="O150" s="8"/>
      <c r="P150" s="8"/>
      <c r="Q150" s="8"/>
      <c r="R150" s="8"/>
      <c r="T150" s="6"/>
      <c r="U150" s="7"/>
      <c r="V150" s="7"/>
      <c r="W150" s="8"/>
      <c r="X150" s="8"/>
      <c r="Y150" s="8"/>
      <c r="Z150" s="8"/>
      <c r="AA150" s="8"/>
      <c r="AC150" s="6"/>
      <c r="AD150" s="7"/>
      <c r="AE150" s="7"/>
      <c r="AF150" s="8"/>
      <c r="AG150" s="8"/>
      <c r="AH150" s="8"/>
      <c r="AI150" s="8"/>
      <c r="AJ150" s="8"/>
      <c r="AL150" s="6"/>
      <c r="AM150" s="7"/>
      <c r="AN150" s="7"/>
      <c r="AO150" s="8"/>
      <c r="AP150" s="8"/>
      <c r="AQ150" s="8"/>
      <c r="AR150" s="8"/>
      <c r="AS150" s="8"/>
      <c r="AU150" s="6"/>
      <c r="AV150" s="7"/>
      <c r="AW150" s="7"/>
      <c r="AX150" s="8"/>
      <c r="AY150" s="8"/>
      <c r="AZ150" s="8"/>
      <c r="BA150" s="8"/>
      <c r="BB150" s="8"/>
      <c r="BD150" s="6"/>
      <c r="BE150" s="7"/>
      <c r="BF150" s="7"/>
      <c r="BG150" s="8"/>
      <c r="BH150" s="8"/>
      <c r="BI150" s="8"/>
      <c r="BJ150" s="8"/>
      <c r="BK150" s="8"/>
    </row>
    <row r="151" spans="2:63" ht="12" customHeight="1" x14ac:dyDescent="0.25">
      <c r="B151" s="6" t="s">
        <v>127</v>
      </c>
      <c r="C151" s="7"/>
      <c r="D151" s="8"/>
      <c r="E151" s="8"/>
      <c r="F151" s="8"/>
      <c r="G151" s="8"/>
      <c r="H151" s="8"/>
      <c r="J151" s="6" t="s">
        <v>127</v>
      </c>
      <c r="K151" s="7">
        <v>9859.7890000000007</v>
      </c>
      <c r="L151" s="7">
        <v>-3046.895</v>
      </c>
      <c r="M151" s="7">
        <v>-258.11599999999999</v>
      </c>
      <c r="N151" s="7">
        <v>-554.34900000000005</v>
      </c>
      <c r="O151" s="8"/>
      <c r="P151" s="8"/>
      <c r="Q151" s="8"/>
      <c r="R151" s="8"/>
      <c r="T151" s="6"/>
      <c r="U151" s="7"/>
      <c r="V151" s="7"/>
      <c r="W151" s="8"/>
      <c r="X151" s="8"/>
      <c r="Y151" s="8"/>
      <c r="Z151" s="8"/>
      <c r="AA151" s="8"/>
      <c r="AC151" s="6"/>
      <c r="AD151" s="7"/>
      <c r="AE151" s="7"/>
      <c r="AF151" s="8"/>
      <c r="AG151" s="8"/>
      <c r="AH151" s="8"/>
      <c r="AI151" s="8"/>
      <c r="AJ151" s="8"/>
      <c r="AL151" s="6"/>
      <c r="AM151" s="7"/>
      <c r="AN151" s="7"/>
      <c r="AO151" s="8"/>
      <c r="AP151" s="8"/>
      <c r="AQ151" s="8"/>
      <c r="AR151" s="8"/>
      <c r="AS151" s="8"/>
      <c r="AU151" s="6"/>
      <c r="AV151" s="7"/>
      <c r="AW151" s="7"/>
      <c r="AX151" s="8"/>
      <c r="AY151" s="8"/>
      <c r="AZ151" s="8"/>
      <c r="BA151" s="8"/>
      <c r="BB151" s="8"/>
      <c r="BD151" s="6"/>
      <c r="BE151" s="7"/>
      <c r="BF151" s="7"/>
      <c r="BG151" s="8"/>
      <c r="BH151" s="8"/>
      <c r="BI151" s="8"/>
      <c r="BJ151" s="8"/>
      <c r="BK151" s="8"/>
    </row>
    <row r="152" spans="2:63" ht="12" customHeight="1" x14ac:dyDescent="0.25">
      <c r="B152" s="6" t="s">
        <v>128</v>
      </c>
      <c r="C152" s="7"/>
      <c r="D152" s="8"/>
      <c r="E152" s="8"/>
      <c r="F152" s="8"/>
      <c r="G152" s="8"/>
      <c r="H152" s="8"/>
      <c r="J152" s="6" t="s">
        <v>128</v>
      </c>
      <c r="K152" s="7">
        <v>0</v>
      </c>
      <c r="L152" s="7">
        <v>0</v>
      </c>
      <c r="M152" s="7"/>
      <c r="N152" s="7"/>
      <c r="O152" s="8"/>
      <c r="P152" s="8"/>
      <c r="Q152" s="8"/>
      <c r="R152" s="8"/>
      <c r="T152" s="6"/>
      <c r="U152" s="7"/>
      <c r="V152" s="7"/>
      <c r="W152" s="8"/>
      <c r="X152" s="8"/>
      <c r="Y152" s="8"/>
      <c r="Z152" s="8"/>
      <c r="AA152" s="8"/>
      <c r="AC152" s="6"/>
      <c r="AD152" s="7"/>
      <c r="AE152" s="7"/>
      <c r="AF152" s="8"/>
      <c r="AG152" s="8"/>
      <c r="AH152" s="8"/>
      <c r="AI152" s="8"/>
      <c r="AJ152" s="8"/>
      <c r="AL152" s="6"/>
      <c r="AM152" s="7"/>
      <c r="AN152" s="7"/>
      <c r="AO152" s="8"/>
      <c r="AP152" s="8"/>
      <c r="AQ152" s="8"/>
      <c r="AR152" s="8"/>
      <c r="AS152" s="8"/>
      <c r="AU152" s="6"/>
      <c r="AV152" s="7"/>
      <c r="AW152" s="7"/>
      <c r="AX152" s="8"/>
      <c r="AY152" s="8"/>
      <c r="AZ152" s="8"/>
      <c r="BA152" s="8"/>
      <c r="BB152" s="8"/>
      <c r="BD152" s="6"/>
      <c r="BE152" s="7"/>
      <c r="BF152" s="7"/>
      <c r="BG152" s="8"/>
      <c r="BH152" s="8"/>
      <c r="BI152" s="8"/>
      <c r="BJ152" s="8"/>
      <c r="BK152" s="8"/>
    </row>
    <row r="153" spans="2:63" ht="12" customHeight="1" x14ac:dyDescent="0.25">
      <c r="B153" s="6" t="s">
        <v>129</v>
      </c>
      <c r="C153" s="7"/>
      <c r="D153" s="8"/>
      <c r="E153" s="8"/>
      <c r="F153" s="8"/>
      <c r="G153" s="8"/>
      <c r="H153" s="8"/>
      <c r="J153" s="6" t="s">
        <v>129</v>
      </c>
      <c r="K153" s="7">
        <v>0</v>
      </c>
      <c r="L153" s="7">
        <v>0</v>
      </c>
      <c r="M153" s="7"/>
      <c r="N153" s="7"/>
      <c r="O153" s="8"/>
      <c r="P153" s="8"/>
      <c r="Q153" s="8"/>
      <c r="R153" s="8"/>
      <c r="T153" s="6"/>
      <c r="U153" s="7"/>
      <c r="V153" s="7"/>
      <c r="W153" s="8"/>
      <c r="X153" s="8"/>
      <c r="Y153" s="8"/>
      <c r="Z153" s="8"/>
      <c r="AA153" s="8"/>
      <c r="AC153" s="6"/>
      <c r="AD153" s="7"/>
      <c r="AE153" s="7"/>
      <c r="AF153" s="8"/>
      <c r="AG153" s="8"/>
      <c r="AH153" s="8"/>
      <c r="AI153" s="8"/>
      <c r="AJ153" s="8"/>
      <c r="AL153" s="6"/>
      <c r="AM153" s="7"/>
      <c r="AN153" s="7"/>
      <c r="AO153" s="8"/>
      <c r="AP153" s="8"/>
      <c r="AQ153" s="8"/>
      <c r="AR153" s="8"/>
      <c r="AS153" s="8"/>
      <c r="AU153" s="6"/>
      <c r="AV153" s="7"/>
      <c r="AW153" s="7"/>
      <c r="AX153" s="8"/>
      <c r="AY153" s="8"/>
      <c r="AZ153" s="8"/>
      <c r="BA153" s="8"/>
      <c r="BB153" s="8"/>
      <c r="BD153" s="6"/>
      <c r="BE153" s="7"/>
      <c r="BF153" s="7"/>
      <c r="BG153" s="8"/>
      <c r="BH153" s="8"/>
      <c r="BI153" s="8"/>
      <c r="BJ153" s="8"/>
      <c r="BK153" s="8"/>
    </row>
    <row r="154" spans="2:63" ht="12" customHeight="1" x14ac:dyDescent="0.25">
      <c r="B154" s="6" t="s">
        <v>130</v>
      </c>
      <c r="C154" s="7"/>
      <c r="D154" s="8"/>
      <c r="E154" s="8"/>
      <c r="F154" s="8"/>
      <c r="G154" s="8"/>
      <c r="H154" s="8"/>
      <c r="J154" s="6" t="s">
        <v>130</v>
      </c>
      <c r="K154" s="7">
        <v>0</v>
      </c>
      <c r="L154" s="7">
        <v>0</v>
      </c>
      <c r="M154" s="7"/>
      <c r="N154" s="7">
        <v>-47.383000000000003</v>
      </c>
      <c r="O154" s="8"/>
      <c r="P154" s="8"/>
      <c r="Q154" s="8"/>
      <c r="R154" s="8"/>
      <c r="T154" s="6"/>
      <c r="U154" s="7"/>
      <c r="V154" s="7"/>
      <c r="W154" s="8"/>
      <c r="X154" s="8"/>
      <c r="Y154" s="8"/>
      <c r="Z154" s="8"/>
      <c r="AA154" s="8"/>
      <c r="AC154" s="6"/>
      <c r="AD154" s="7"/>
      <c r="AE154" s="7"/>
      <c r="AF154" s="8"/>
      <c r="AG154" s="8"/>
      <c r="AH154" s="8"/>
      <c r="AI154" s="8"/>
      <c r="AJ154" s="8"/>
      <c r="AL154" s="6"/>
      <c r="AM154" s="7"/>
      <c r="AN154" s="7"/>
      <c r="AO154" s="8"/>
      <c r="AP154" s="8"/>
      <c r="AQ154" s="8"/>
      <c r="AR154" s="8"/>
      <c r="AS154" s="8"/>
      <c r="AU154" s="6"/>
      <c r="AV154" s="7"/>
      <c r="AW154" s="7"/>
      <c r="AX154" s="8"/>
      <c r="AY154" s="8"/>
      <c r="AZ154" s="8"/>
      <c r="BA154" s="8"/>
      <c r="BB154" s="8"/>
      <c r="BD154" s="6"/>
      <c r="BE154" s="7"/>
      <c r="BF154" s="7"/>
      <c r="BG154" s="8"/>
      <c r="BH154" s="8"/>
      <c r="BI154" s="8"/>
      <c r="BJ154" s="8"/>
      <c r="BK154" s="8"/>
    </row>
    <row r="155" spans="2:63" ht="12" customHeight="1" x14ac:dyDescent="0.25">
      <c r="B155" s="6" t="s">
        <v>496</v>
      </c>
      <c r="C155" s="7"/>
      <c r="D155" s="8"/>
      <c r="E155" s="8"/>
      <c r="F155" s="8"/>
      <c r="G155" s="8"/>
      <c r="H155" s="8"/>
      <c r="J155" s="6" t="s">
        <v>496</v>
      </c>
      <c r="K155" s="7">
        <v>0</v>
      </c>
      <c r="L155" s="7">
        <v>0</v>
      </c>
      <c r="M155" s="7"/>
      <c r="N155" s="7"/>
      <c r="O155" s="8"/>
      <c r="P155" s="8"/>
      <c r="Q155" s="8"/>
      <c r="R155" s="8"/>
      <c r="T155" s="6"/>
      <c r="U155" s="7"/>
      <c r="V155" s="7"/>
      <c r="W155" s="8"/>
      <c r="X155" s="8"/>
      <c r="Y155" s="8"/>
      <c r="Z155" s="8"/>
      <c r="AA155" s="8"/>
      <c r="AC155" s="6"/>
      <c r="AD155" s="7"/>
      <c r="AE155" s="7"/>
      <c r="AF155" s="8"/>
      <c r="AG155" s="8"/>
      <c r="AH155" s="8"/>
      <c r="AI155" s="8"/>
      <c r="AJ155" s="8"/>
      <c r="AL155" s="6"/>
      <c r="AM155" s="7"/>
      <c r="AN155" s="7"/>
      <c r="AO155" s="8"/>
      <c r="AP155" s="8"/>
      <c r="AQ155" s="8"/>
      <c r="AR155" s="8"/>
      <c r="AS155" s="8"/>
      <c r="AU155" s="6"/>
      <c r="AV155" s="7"/>
      <c r="AW155" s="7"/>
      <c r="AX155" s="8"/>
      <c r="AY155" s="8"/>
      <c r="AZ155" s="8"/>
      <c r="BA155" s="8"/>
      <c r="BB155" s="8"/>
      <c r="BD155" s="6"/>
      <c r="BE155" s="7"/>
      <c r="BF155" s="7"/>
      <c r="BG155" s="8"/>
      <c r="BH155" s="8"/>
      <c r="BI155" s="8"/>
      <c r="BJ155" s="8"/>
      <c r="BK155" s="8"/>
    </row>
    <row r="156" spans="2:63" ht="12" customHeight="1" x14ac:dyDescent="0.25">
      <c r="B156" s="6" t="s">
        <v>111</v>
      </c>
      <c r="C156" s="7"/>
      <c r="D156" s="8"/>
      <c r="E156" s="8"/>
      <c r="F156" s="8"/>
      <c r="G156" s="8"/>
      <c r="H156" s="8"/>
      <c r="J156" s="6" t="s">
        <v>111</v>
      </c>
      <c r="K156" s="7">
        <v>0</v>
      </c>
      <c r="L156" s="7">
        <v>0</v>
      </c>
      <c r="M156" s="7"/>
      <c r="N156" s="7"/>
      <c r="O156" s="8"/>
      <c r="P156" s="8"/>
      <c r="Q156" s="8"/>
      <c r="R156" s="8"/>
      <c r="T156" s="6"/>
      <c r="U156" s="7"/>
      <c r="V156" s="7"/>
      <c r="W156" s="8"/>
      <c r="X156" s="8"/>
      <c r="Y156" s="8"/>
      <c r="Z156" s="8"/>
      <c r="AA156" s="8"/>
      <c r="AC156" s="6"/>
      <c r="AD156" s="7"/>
      <c r="AE156" s="7"/>
      <c r="AF156" s="8"/>
      <c r="AG156" s="8"/>
      <c r="AH156" s="8"/>
      <c r="AI156" s="8"/>
      <c r="AJ156" s="8"/>
      <c r="AL156" s="6"/>
      <c r="AM156" s="7"/>
      <c r="AN156" s="7"/>
      <c r="AO156" s="8"/>
      <c r="AP156" s="8"/>
      <c r="AQ156" s="8"/>
      <c r="AR156" s="8"/>
      <c r="AS156" s="8"/>
      <c r="AU156" s="6"/>
      <c r="AV156" s="7"/>
      <c r="AW156" s="7"/>
      <c r="AX156" s="8"/>
      <c r="AY156" s="8"/>
      <c r="AZ156" s="8"/>
      <c r="BA156" s="8"/>
      <c r="BB156" s="8"/>
      <c r="BD156" s="6"/>
      <c r="BE156" s="7"/>
      <c r="BF156" s="7"/>
      <c r="BG156" s="8"/>
      <c r="BH156" s="8"/>
      <c r="BI156" s="8"/>
      <c r="BJ156" s="8"/>
      <c r="BK156" s="8"/>
    </row>
    <row r="157" spans="2:63" ht="12" customHeight="1" x14ac:dyDescent="0.25">
      <c r="B157" s="6"/>
      <c r="C157" s="7"/>
      <c r="D157" s="8"/>
      <c r="E157" s="8"/>
      <c r="F157" s="8"/>
      <c r="G157" s="8"/>
      <c r="H157" s="8"/>
      <c r="J157" s="6"/>
      <c r="K157" s="7"/>
      <c r="L157" s="7"/>
      <c r="M157" s="7"/>
      <c r="N157" s="7"/>
      <c r="O157" s="8"/>
      <c r="P157" s="8"/>
      <c r="Q157" s="8"/>
      <c r="R157" s="8"/>
      <c r="T157" s="6"/>
      <c r="U157" s="7"/>
      <c r="V157" s="7"/>
      <c r="W157" s="8"/>
      <c r="X157" s="8"/>
      <c r="Y157" s="8"/>
      <c r="Z157" s="8"/>
      <c r="AA157" s="8"/>
      <c r="AC157" s="6"/>
      <c r="AD157" s="7"/>
      <c r="AE157" s="7"/>
      <c r="AF157" s="8"/>
      <c r="AG157" s="8"/>
      <c r="AH157" s="8"/>
      <c r="AI157" s="8"/>
      <c r="AJ157" s="8"/>
      <c r="AL157" s="6"/>
      <c r="AM157" s="7"/>
      <c r="AN157" s="7"/>
      <c r="AO157" s="8"/>
      <c r="AP157" s="8"/>
      <c r="AQ157" s="8"/>
      <c r="AR157" s="8"/>
      <c r="AS157" s="8"/>
      <c r="AU157" s="6"/>
      <c r="AV157" s="7"/>
      <c r="AW157" s="7"/>
      <c r="AX157" s="8"/>
      <c r="AY157" s="8"/>
      <c r="AZ157" s="8"/>
      <c r="BA157" s="8"/>
      <c r="BB157" s="8"/>
      <c r="BD157" s="6"/>
      <c r="BE157" s="7"/>
      <c r="BF157" s="7"/>
      <c r="BG157" s="8"/>
      <c r="BH157" s="8"/>
      <c r="BI157" s="8"/>
      <c r="BJ157" s="8"/>
      <c r="BK157" s="8"/>
    </row>
    <row r="158" spans="2:63" ht="12" customHeight="1" x14ac:dyDescent="0.25">
      <c r="B158" s="9" t="s">
        <v>131</v>
      </c>
      <c r="C158" s="10"/>
      <c r="D158" s="5">
        <f t="shared" ref="D158:H158" si="320">SUM(D147:D156)</f>
        <v>-15000.000000000004</v>
      </c>
      <c r="E158" s="5">
        <f t="shared" si="320"/>
        <v>-17500</v>
      </c>
      <c r="F158" s="5">
        <f t="shared" si="320"/>
        <v>-17500</v>
      </c>
      <c r="G158" s="5">
        <f t="shared" si="320"/>
        <v>-15000</v>
      </c>
      <c r="H158" s="5">
        <f t="shared" si="320"/>
        <v>-15000</v>
      </c>
      <c r="J158" s="9" t="s">
        <v>131</v>
      </c>
      <c r="K158" s="10">
        <f t="shared" ref="K158:L158" si="321">SUM(K147:K156)</f>
        <v>6482.8570000000009</v>
      </c>
      <c r="L158" s="10">
        <f t="shared" si="321"/>
        <v>-3022.654</v>
      </c>
      <c r="M158" s="10">
        <f t="shared" ref="M158:R158" si="322">SUM(M147:M156)</f>
        <v>-46.963999999999999</v>
      </c>
      <c r="N158" s="10">
        <f t="shared" ref="N158" si="323">SUM(N147:N156)</f>
        <v>-559.80900000000008</v>
      </c>
      <c r="O158" s="5">
        <f t="shared" si="322"/>
        <v>0</v>
      </c>
      <c r="P158" s="5">
        <f t="shared" si="322"/>
        <v>0</v>
      </c>
      <c r="Q158" s="5">
        <f t="shared" si="322"/>
        <v>0</v>
      </c>
      <c r="R158" s="5">
        <f t="shared" si="322"/>
        <v>0</v>
      </c>
      <c r="T158" s="9"/>
      <c r="U158" s="10"/>
      <c r="V158" s="10"/>
      <c r="W158" s="5"/>
      <c r="X158" s="5"/>
      <c r="Y158" s="5"/>
      <c r="Z158" s="5"/>
      <c r="AA158" s="5"/>
      <c r="AC158" s="9"/>
      <c r="AD158" s="10"/>
      <c r="AE158" s="10"/>
      <c r="AF158" s="5"/>
      <c r="AG158" s="5"/>
      <c r="AH158" s="5"/>
      <c r="AI158" s="5"/>
      <c r="AJ158" s="5"/>
      <c r="AL158" s="9"/>
      <c r="AM158" s="10"/>
      <c r="AN158" s="10"/>
      <c r="AO158" s="5"/>
      <c r="AP158" s="5"/>
      <c r="AQ158" s="5"/>
      <c r="AR158" s="5"/>
      <c r="AS158" s="5"/>
      <c r="AU158" s="9"/>
      <c r="AV158" s="10"/>
      <c r="AW158" s="10"/>
      <c r="AX158" s="5"/>
      <c r="AY158" s="5"/>
      <c r="AZ158" s="5"/>
      <c r="BA158" s="5"/>
      <c r="BB158" s="5"/>
      <c r="BD158" s="9"/>
      <c r="BE158" s="10"/>
      <c r="BF158" s="10"/>
      <c r="BG158" s="5"/>
      <c r="BH158" s="5"/>
      <c r="BI158" s="5"/>
      <c r="BJ158" s="5"/>
      <c r="BK158" s="5"/>
    </row>
    <row r="159" spans="2:63" ht="12" customHeight="1" x14ac:dyDescent="0.25">
      <c r="B159" s="6"/>
      <c r="C159" s="7"/>
      <c r="D159" s="8"/>
      <c r="E159" s="8"/>
      <c r="F159" s="8"/>
      <c r="G159" s="8"/>
      <c r="H159" s="8"/>
      <c r="J159" s="6"/>
      <c r="K159" s="7"/>
      <c r="L159" s="7"/>
      <c r="M159" s="7"/>
      <c r="N159" s="7"/>
      <c r="O159" s="8"/>
      <c r="P159" s="8"/>
      <c r="Q159" s="8"/>
      <c r="R159" s="8"/>
      <c r="T159" s="6"/>
      <c r="U159" s="7"/>
      <c r="V159" s="7"/>
      <c r="W159" s="8"/>
      <c r="X159" s="8"/>
      <c r="Y159" s="8"/>
      <c r="Z159" s="8"/>
      <c r="AA159" s="8"/>
      <c r="AC159" s="6"/>
      <c r="AD159" s="7"/>
      <c r="AE159" s="7"/>
      <c r="AF159" s="8"/>
      <c r="AG159" s="8"/>
      <c r="AH159" s="8"/>
      <c r="AI159" s="8"/>
      <c r="AJ159" s="8"/>
      <c r="AL159" s="6"/>
      <c r="AM159" s="7"/>
      <c r="AN159" s="7"/>
      <c r="AO159" s="8"/>
      <c r="AP159" s="8"/>
      <c r="AQ159" s="8"/>
      <c r="AR159" s="8"/>
      <c r="AS159" s="8"/>
      <c r="AU159" s="6"/>
      <c r="AV159" s="7"/>
      <c r="AW159" s="7"/>
      <c r="AX159" s="8"/>
      <c r="AY159" s="8"/>
      <c r="AZ159" s="8"/>
      <c r="BA159" s="8"/>
      <c r="BB159" s="8"/>
      <c r="BD159" s="6"/>
      <c r="BE159" s="7"/>
      <c r="BF159" s="7"/>
      <c r="BG159" s="8"/>
      <c r="BH159" s="8"/>
      <c r="BI159" s="8"/>
      <c r="BJ159" s="8"/>
      <c r="BK159" s="8"/>
    </row>
    <row r="160" spans="2:63" ht="12" customHeight="1" x14ac:dyDescent="0.25">
      <c r="B160" s="6" t="s">
        <v>132</v>
      </c>
      <c r="C160" s="7"/>
      <c r="D160" s="8"/>
      <c r="E160" s="8"/>
      <c r="F160" s="8"/>
      <c r="G160" s="8"/>
      <c r="H160" s="8"/>
      <c r="J160" s="6" t="s">
        <v>132</v>
      </c>
      <c r="K160" s="7">
        <v>0</v>
      </c>
      <c r="L160" s="7">
        <v>0</v>
      </c>
      <c r="M160" s="7"/>
      <c r="N160" s="7"/>
      <c r="O160" s="8"/>
      <c r="P160" s="8"/>
      <c r="Q160" s="8"/>
      <c r="R160" s="8"/>
      <c r="T160" s="6"/>
      <c r="U160" s="7"/>
      <c r="V160" s="7"/>
      <c r="W160" s="8"/>
      <c r="X160" s="8"/>
      <c r="Y160" s="8"/>
      <c r="Z160" s="8"/>
      <c r="AA160" s="8"/>
      <c r="AC160" s="6"/>
      <c r="AD160" s="7"/>
      <c r="AE160" s="7"/>
      <c r="AF160" s="8"/>
      <c r="AG160" s="8"/>
      <c r="AH160" s="8"/>
      <c r="AI160" s="8"/>
      <c r="AJ160" s="8"/>
      <c r="AL160" s="6"/>
      <c r="AM160" s="7"/>
      <c r="AN160" s="7"/>
      <c r="AO160" s="8"/>
      <c r="AP160" s="8"/>
      <c r="AQ160" s="8"/>
      <c r="AR160" s="8"/>
      <c r="AS160" s="8"/>
      <c r="AU160" s="6"/>
      <c r="AV160" s="7"/>
      <c r="AW160" s="7"/>
      <c r="AX160" s="8"/>
      <c r="AY160" s="8"/>
      <c r="AZ160" s="8"/>
      <c r="BA160" s="8"/>
      <c r="BB160" s="8"/>
      <c r="BD160" s="6"/>
      <c r="BE160" s="7"/>
      <c r="BF160" s="7"/>
      <c r="BG160" s="8"/>
      <c r="BH160" s="8"/>
      <c r="BI160" s="8"/>
      <c r="BJ160" s="8"/>
      <c r="BK160" s="8"/>
    </row>
    <row r="161" spans="2:63" ht="12" customHeight="1" x14ac:dyDescent="0.25">
      <c r="B161" s="6" t="s">
        <v>133</v>
      </c>
      <c r="C161" s="7"/>
      <c r="D161" s="8">
        <f t="shared" ref="D161:H161" si="324">D193</f>
        <v>0</v>
      </c>
      <c r="E161" s="8">
        <f t="shared" si="324"/>
        <v>0</v>
      </c>
      <c r="F161" s="8">
        <f t="shared" si="324"/>
        <v>0</v>
      </c>
      <c r="G161" s="8">
        <f t="shared" si="324"/>
        <v>0</v>
      </c>
      <c r="H161" s="8">
        <f t="shared" si="324"/>
        <v>0</v>
      </c>
      <c r="J161" s="6" t="s">
        <v>133</v>
      </c>
      <c r="K161" s="7">
        <v>0</v>
      </c>
      <c r="L161" s="7">
        <v>0</v>
      </c>
      <c r="M161" s="7"/>
      <c r="N161" s="7"/>
      <c r="O161" s="8">
        <f t="shared" ref="O161:R161" si="325">O193</f>
        <v>0</v>
      </c>
      <c r="P161" s="8">
        <f t="shared" si="325"/>
        <v>0</v>
      </c>
      <c r="Q161" s="8">
        <f t="shared" si="325"/>
        <v>0</v>
      </c>
      <c r="R161" s="8">
        <f t="shared" si="325"/>
        <v>0</v>
      </c>
      <c r="T161" s="6"/>
      <c r="U161" s="7"/>
      <c r="V161" s="7"/>
      <c r="W161" s="8"/>
      <c r="X161" s="8"/>
      <c r="Y161" s="8"/>
      <c r="Z161" s="8"/>
      <c r="AA161" s="8"/>
      <c r="AC161" s="6"/>
      <c r="AD161" s="7"/>
      <c r="AE161" s="7"/>
      <c r="AF161" s="8"/>
      <c r="AG161" s="8"/>
      <c r="AH161" s="8"/>
      <c r="AI161" s="8"/>
      <c r="AJ161" s="8"/>
      <c r="AL161" s="6"/>
      <c r="AM161" s="7"/>
      <c r="AN161" s="7"/>
      <c r="AO161" s="8"/>
      <c r="AP161" s="8"/>
      <c r="AQ161" s="8"/>
      <c r="AR161" s="8"/>
      <c r="AS161" s="8"/>
      <c r="AU161" s="6"/>
      <c r="AV161" s="7"/>
      <c r="AW161" s="7"/>
      <c r="AX161" s="8"/>
      <c r="AY161" s="8"/>
      <c r="AZ161" s="8"/>
      <c r="BA161" s="8"/>
      <c r="BB161" s="8"/>
      <c r="BD161" s="6"/>
      <c r="BE161" s="7"/>
      <c r="BF161" s="7"/>
      <c r="BG161" s="8"/>
      <c r="BH161" s="8"/>
      <c r="BI161" s="8"/>
      <c r="BJ161" s="8"/>
      <c r="BK161" s="8"/>
    </row>
    <row r="162" spans="2:63" ht="12" customHeight="1" x14ac:dyDescent="0.25">
      <c r="B162" s="6" t="s">
        <v>134</v>
      </c>
      <c r="C162" s="7"/>
      <c r="D162" s="8"/>
      <c r="E162" s="8"/>
      <c r="F162" s="8"/>
      <c r="G162" s="8"/>
      <c r="H162" s="8"/>
      <c r="J162" s="6" t="s">
        <v>134</v>
      </c>
      <c r="K162" s="7">
        <v>0</v>
      </c>
      <c r="L162" s="7">
        <v>0</v>
      </c>
      <c r="M162" s="7"/>
      <c r="N162" s="7"/>
      <c r="O162" s="8"/>
      <c r="P162" s="8"/>
      <c r="Q162" s="8"/>
      <c r="R162" s="8"/>
      <c r="T162" s="6"/>
      <c r="U162" s="7"/>
      <c r="V162" s="7"/>
      <c r="W162" s="8"/>
      <c r="X162" s="8"/>
      <c r="Y162" s="8"/>
      <c r="Z162" s="8"/>
      <c r="AA162" s="8"/>
      <c r="AC162" s="6"/>
      <c r="AD162" s="7"/>
      <c r="AE162" s="7"/>
      <c r="AF162" s="8"/>
      <c r="AG162" s="8"/>
      <c r="AH162" s="8"/>
      <c r="AI162" s="8"/>
      <c r="AJ162" s="8"/>
      <c r="AL162" s="6"/>
      <c r="AM162" s="7"/>
      <c r="AN162" s="7"/>
      <c r="AO162" s="8"/>
      <c r="AP162" s="8"/>
      <c r="AQ162" s="8"/>
      <c r="AR162" s="8"/>
      <c r="AS162" s="8"/>
      <c r="AU162" s="6"/>
      <c r="AV162" s="7"/>
      <c r="AW162" s="7"/>
      <c r="AX162" s="8"/>
      <c r="AY162" s="8"/>
      <c r="AZ162" s="8"/>
      <c r="BA162" s="8"/>
      <c r="BB162" s="8"/>
      <c r="BD162" s="6"/>
      <c r="BE162" s="7"/>
      <c r="BF162" s="7"/>
      <c r="BG162" s="8"/>
      <c r="BH162" s="8"/>
      <c r="BI162" s="8"/>
      <c r="BJ162" s="8"/>
      <c r="BK162" s="8"/>
    </row>
    <row r="163" spans="2:63" ht="12" customHeight="1" x14ac:dyDescent="0.25">
      <c r="B163" s="6" t="s">
        <v>135</v>
      </c>
      <c r="C163" s="7"/>
      <c r="D163" s="8">
        <f t="shared" ref="D163:H163" si="326">D79</f>
        <v>15000</v>
      </c>
      <c r="E163" s="8">
        <f t="shared" si="326"/>
        <v>17500</v>
      </c>
      <c r="F163" s="8">
        <f t="shared" si="326"/>
        <v>17500</v>
      </c>
      <c r="G163" s="8">
        <f t="shared" si="326"/>
        <v>15000</v>
      </c>
      <c r="H163" s="8">
        <f t="shared" si="326"/>
        <v>15000</v>
      </c>
      <c r="J163" s="6" t="s">
        <v>135</v>
      </c>
      <c r="K163" s="7">
        <v>-4855.4610000000002</v>
      </c>
      <c r="L163" s="7">
        <v>1143.347</v>
      </c>
      <c r="M163" s="7"/>
      <c r="N163" s="7">
        <v>310</v>
      </c>
      <c r="O163" s="8">
        <f t="shared" ref="O163:R163" si="327">O79</f>
        <v>0</v>
      </c>
      <c r="P163" s="8">
        <f t="shared" si="327"/>
        <v>0</v>
      </c>
      <c r="Q163" s="8">
        <f t="shared" si="327"/>
        <v>0</v>
      </c>
      <c r="R163" s="8">
        <f t="shared" si="327"/>
        <v>0</v>
      </c>
      <c r="T163" s="6"/>
      <c r="U163" s="7"/>
      <c r="V163" s="7"/>
      <c r="W163" s="8"/>
      <c r="X163" s="8"/>
      <c r="Y163" s="8"/>
      <c r="Z163" s="8"/>
      <c r="AA163" s="8"/>
      <c r="AC163" s="6"/>
      <c r="AD163" s="7"/>
      <c r="AE163" s="7"/>
      <c r="AF163" s="8"/>
      <c r="AG163" s="8"/>
      <c r="AH163" s="8"/>
      <c r="AI163" s="8"/>
      <c r="AJ163" s="8"/>
      <c r="AL163" s="6"/>
      <c r="AM163" s="7"/>
      <c r="AN163" s="7"/>
      <c r="AO163" s="8"/>
      <c r="AP163" s="8"/>
      <c r="AQ163" s="8"/>
      <c r="AR163" s="8"/>
      <c r="AS163" s="8"/>
      <c r="AU163" s="6"/>
      <c r="AV163" s="7"/>
      <c r="AW163" s="7"/>
      <c r="AX163" s="8"/>
      <c r="AY163" s="8"/>
      <c r="AZ163" s="8"/>
      <c r="BA163" s="8"/>
      <c r="BB163" s="8"/>
      <c r="BD163" s="6"/>
      <c r="BE163" s="7"/>
      <c r="BF163" s="7"/>
      <c r="BG163" s="8"/>
      <c r="BH163" s="8"/>
      <c r="BI163" s="8"/>
      <c r="BJ163" s="8"/>
      <c r="BK163" s="8"/>
    </row>
    <row r="164" spans="2:63" ht="12" customHeight="1" x14ac:dyDescent="0.25">
      <c r="B164" s="6" t="s">
        <v>136</v>
      </c>
      <c r="C164" s="7"/>
      <c r="D164" s="8"/>
      <c r="E164" s="8"/>
      <c r="F164" s="8"/>
      <c r="G164" s="8"/>
      <c r="H164" s="8"/>
      <c r="J164" s="6" t="s">
        <v>136</v>
      </c>
      <c r="K164" s="7">
        <v>-1648.6020000000001</v>
      </c>
      <c r="L164" s="7">
        <v>549.10500000000002</v>
      </c>
      <c r="M164" s="7">
        <v>24.552</v>
      </c>
      <c r="N164" s="7">
        <v>196.67</v>
      </c>
      <c r="O164" s="8"/>
      <c r="P164" s="8"/>
      <c r="Q164" s="8"/>
      <c r="R164" s="8"/>
      <c r="T164" s="6"/>
      <c r="U164" s="7"/>
      <c r="V164" s="7"/>
      <c r="W164" s="8"/>
      <c r="X164" s="8"/>
      <c r="Y164" s="8"/>
      <c r="Z164" s="8"/>
      <c r="AA164" s="8"/>
      <c r="AC164" s="6"/>
      <c r="AD164" s="7"/>
      <c r="AE164" s="7"/>
      <c r="AF164" s="8"/>
      <c r="AG164" s="8"/>
      <c r="AH164" s="8"/>
      <c r="AI164" s="8"/>
      <c r="AJ164" s="8"/>
      <c r="AL164" s="6"/>
      <c r="AM164" s="7"/>
      <c r="AN164" s="7"/>
      <c r="AO164" s="8"/>
      <c r="AP164" s="8"/>
      <c r="AQ164" s="8"/>
      <c r="AR164" s="8"/>
      <c r="AS164" s="8"/>
      <c r="AU164" s="6"/>
      <c r="AV164" s="7"/>
      <c r="AW164" s="7"/>
      <c r="AX164" s="8"/>
      <c r="AY164" s="8"/>
      <c r="AZ164" s="8"/>
      <c r="BA164" s="8"/>
      <c r="BB164" s="8"/>
      <c r="BD164" s="6"/>
      <c r="BE164" s="7"/>
      <c r="BF164" s="7"/>
      <c r="BG164" s="8"/>
      <c r="BH164" s="8"/>
      <c r="BI164" s="8"/>
      <c r="BJ164" s="8"/>
      <c r="BK164" s="8"/>
    </row>
    <row r="165" spans="2:63" ht="12" customHeight="1" x14ac:dyDescent="0.25">
      <c r="B165" s="6" t="s">
        <v>137</v>
      </c>
      <c r="C165" s="7"/>
      <c r="D165" s="8"/>
      <c r="E165" s="8"/>
      <c r="F165" s="8"/>
      <c r="G165" s="8"/>
      <c r="H165" s="8"/>
      <c r="J165" s="6" t="s">
        <v>137</v>
      </c>
      <c r="K165" s="7">
        <v>-47.435000000000002</v>
      </c>
      <c r="L165" s="7">
        <v>-10.881</v>
      </c>
      <c r="M165" s="7">
        <v>-34.549999999999997</v>
      </c>
      <c r="N165" s="7">
        <v>-80.823999999999998</v>
      </c>
      <c r="O165" s="8"/>
      <c r="P165" s="8"/>
      <c r="Q165" s="8"/>
      <c r="R165" s="8"/>
      <c r="T165" s="6"/>
      <c r="U165" s="7"/>
      <c r="V165" s="7"/>
      <c r="W165" s="8"/>
      <c r="X165" s="8"/>
      <c r="Y165" s="8"/>
      <c r="Z165" s="8"/>
      <c r="AA165" s="8"/>
      <c r="AC165" s="6"/>
      <c r="AD165" s="7"/>
      <c r="AE165" s="7"/>
      <c r="AF165" s="8"/>
      <c r="AG165" s="8"/>
      <c r="AH165" s="8"/>
      <c r="AI165" s="8"/>
      <c r="AJ165" s="8"/>
      <c r="AL165" s="6"/>
      <c r="AM165" s="7"/>
      <c r="AN165" s="7"/>
      <c r="AO165" s="8"/>
      <c r="AP165" s="8"/>
      <c r="AQ165" s="8"/>
      <c r="AR165" s="8"/>
      <c r="AS165" s="8"/>
      <c r="AU165" s="6"/>
      <c r="AV165" s="7"/>
      <c r="AW165" s="7"/>
      <c r="AX165" s="8"/>
      <c r="AY165" s="8"/>
      <c r="AZ165" s="8"/>
      <c r="BA165" s="8"/>
      <c r="BB165" s="8"/>
      <c r="BD165" s="6"/>
      <c r="BE165" s="7"/>
      <c r="BF165" s="7"/>
      <c r="BG165" s="8"/>
      <c r="BH165" s="8"/>
      <c r="BI165" s="8"/>
      <c r="BJ165" s="8"/>
      <c r="BK165" s="8"/>
    </row>
    <row r="166" spans="2:63" ht="12" customHeight="1" x14ac:dyDescent="0.25">
      <c r="B166" s="6" t="s">
        <v>138</v>
      </c>
      <c r="C166" s="7"/>
      <c r="D166" s="8">
        <f t="shared" ref="D166:H166" si="328">-D80</f>
        <v>0</v>
      </c>
      <c r="E166" s="8">
        <f t="shared" si="328"/>
        <v>-1000</v>
      </c>
      <c r="F166" s="8">
        <f t="shared" si="328"/>
        <v>-2166.666666666667</v>
      </c>
      <c r="G166" s="8">
        <f t="shared" si="328"/>
        <v>-3333.3333333333339</v>
      </c>
      <c r="H166" s="8">
        <f t="shared" si="328"/>
        <v>-4333.3333333333339</v>
      </c>
      <c r="J166" s="6" t="s">
        <v>138</v>
      </c>
      <c r="K166" s="7"/>
      <c r="L166" s="7"/>
      <c r="M166" s="7">
        <v>-331.97399999999999</v>
      </c>
      <c r="N166" s="7">
        <v>-382.22300000000001</v>
      </c>
      <c r="O166" s="8">
        <f t="shared" ref="O166:R166" si="329">-O80</f>
        <v>0</v>
      </c>
      <c r="P166" s="8">
        <f t="shared" si="329"/>
        <v>-84.248000000000005</v>
      </c>
      <c r="Q166" s="8">
        <f t="shared" si="329"/>
        <v>-84.248000000000005</v>
      </c>
      <c r="R166" s="8">
        <f t="shared" si="329"/>
        <v>-80.035600000000002</v>
      </c>
      <c r="T166" s="6"/>
      <c r="U166" s="7"/>
      <c r="V166" s="7"/>
      <c r="W166" s="8"/>
      <c r="X166" s="8"/>
      <c r="Y166" s="8"/>
      <c r="Z166" s="8"/>
      <c r="AA166" s="8"/>
      <c r="AC166" s="6"/>
      <c r="AD166" s="7"/>
      <c r="AE166" s="7"/>
      <c r="AF166" s="8"/>
      <c r="AG166" s="8"/>
      <c r="AH166" s="8"/>
      <c r="AI166" s="8"/>
      <c r="AJ166" s="8"/>
      <c r="AL166" s="6"/>
      <c r="AM166" s="7"/>
      <c r="AN166" s="7"/>
      <c r="AO166" s="8"/>
      <c r="AP166" s="8"/>
      <c r="AQ166" s="8"/>
      <c r="AR166" s="8"/>
      <c r="AS166" s="8"/>
      <c r="AU166" s="6"/>
      <c r="AV166" s="7"/>
      <c r="AW166" s="7"/>
      <c r="AX166" s="8"/>
      <c r="AY166" s="8"/>
      <c r="AZ166" s="8"/>
      <c r="BA166" s="8"/>
      <c r="BB166" s="8"/>
      <c r="BD166" s="6"/>
      <c r="BE166" s="7"/>
      <c r="BF166" s="7"/>
      <c r="BG166" s="8"/>
      <c r="BH166" s="8"/>
      <c r="BI166" s="8"/>
      <c r="BJ166" s="8"/>
      <c r="BK166" s="8"/>
    </row>
    <row r="167" spans="2:63" ht="12" customHeight="1" x14ac:dyDescent="0.25">
      <c r="B167" s="6" t="s">
        <v>139</v>
      </c>
      <c r="C167" s="7"/>
      <c r="D167" s="8"/>
      <c r="E167" s="8"/>
      <c r="F167" s="8"/>
      <c r="G167" s="8"/>
      <c r="H167" s="8"/>
      <c r="J167" s="6" t="s">
        <v>139</v>
      </c>
      <c r="K167" s="7"/>
      <c r="L167" s="7"/>
      <c r="M167" s="7">
        <v>-289.62799999999999</v>
      </c>
      <c r="N167" s="7"/>
      <c r="O167" s="8"/>
      <c r="P167" s="8"/>
      <c r="Q167" s="8"/>
      <c r="R167" s="8"/>
      <c r="T167" s="6"/>
      <c r="U167" s="7"/>
      <c r="V167" s="7"/>
      <c r="W167" s="8"/>
      <c r="X167" s="8"/>
      <c r="Y167" s="8"/>
      <c r="Z167" s="8"/>
      <c r="AA167" s="8"/>
      <c r="AC167" s="6"/>
      <c r="AD167" s="7"/>
      <c r="AE167" s="7"/>
      <c r="AF167" s="8"/>
      <c r="AG167" s="8"/>
      <c r="AH167" s="8"/>
      <c r="AI167" s="8"/>
      <c r="AJ167" s="8"/>
      <c r="AL167" s="6"/>
      <c r="AM167" s="7"/>
      <c r="AN167" s="7"/>
      <c r="AO167" s="8"/>
      <c r="AP167" s="8"/>
      <c r="AQ167" s="8"/>
      <c r="AR167" s="8"/>
      <c r="AS167" s="8"/>
      <c r="AU167" s="6"/>
      <c r="AV167" s="7"/>
      <c r="AW167" s="7"/>
      <c r="AX167" s="8"/>
      <c r="AY167" s="8"/>
      <c r="AZ167" s="8"/>
      <c r="BA167" s="8"/>
      <c r="BB167" s="8"/>
      <c r="BD167" s="6"/>
      <c r="BE167" s="7"/>
      <c r="BF167" s="7"/>
      <c r="BG167" s="8"/>
      <c r="BH167" s="8"/>
      <c r="BI167" s="8"/>
      <c r="BJ167" s="8"/>
      <c r="BK167" s="8"/>
    </row>
    <row r="168" spans="2:63" ht="12" customHeight="1" x14ac:dyDescent="0.25">
      <c r="B168" s="6" t="s">
        <v>140</v>
      </c>
      <c r="C168" s="7"/>
      <c r="D168" s="8"/>
      <c r="E168" s="8"/>
      <c r="F168" s="8"/>
      <c r="G168" s="8"/>
      <c r="H168" s="8"/>
      <c r="J168" s="6" t="s">
        <v>140</v>
      </c>
      <c r="K168" s="7"/>
      <c r="L168" s="7"/>
      <c r="M168" s="7"/>
      <c r="N168" s="7"/>
      <c r="O168" s="8"/>
      <c r="P168" s="8"/>
      <c r="Q168" s="8"/>
      <c r="R168" s="8"/>
      <c r="T168" s="6"/>
      <c r="U168" s="7"/>
      <c r="V168" s="7"/>
      <c r="W168" s="8"/>
      <c r="X168" s="8"/>
      <c r="Y168" s="8"/>
      <c r="Z168" s="8"/>
      <c r="AA168" s="8"/>
      <c r="AC168" s="6"/>
      <c r="AD168" s="7"/>
      <c r="AE168" s="7"/>
      <c r="AF168" s="8"/>
      <c r="AG168" s="8"/>
      <c r="AH168" s="8"/>
      <c r="AI168" s="8"/>
      <c r="AJ168" s="8"/>
      <c r="AL168" s="6"/>
      <c r="AM168" s="7"/>
      <c r="AN168" s="7"/>
      <c r="AO168" s="8"/>
      <c r="AP168" s="8"/>
      <c r="AQ168" s="8"/>
      <c r="AR168" s="8"/>
      <c r="AS168" s="8"/>
      <c r="AU168" s="6"/>
      <c r="AV168" s="7"/>
      <c r="AW168" s="7"/>
      <c r="AX168" s="8"/>
      <c r="AY168" s="8"/>
      <c r="AZ168" s="8"/>
      <c r="BA168" s="8"/>
      <c r="BB168" s="8"/>
      <c r="BD168" s="6"/>
      <c r="BE168" s="7"/>
      <c r="BF168" s="7"/>
      <c r="BG168" s="8"/>
      <c r="BH168" s="8"/>
      <c r="BI168" s="8"/>
      <c r="BJ168" s="8"/>
      <c r="BK168" s="8"/>
    </row>
    <row r="169" spans="2:63" ht="12" customHeight="1" x14ac:dyDescent="0.25">
      <c r="B169" s="6" t="s">
        <v>141</v>
      </c>
      <c r="C169" s="7"/>
      <c r="D169" s="8">
        <f t="shared" ref="D169:H169" si="330">-D36</f>
        <v>-399.42026999999996</v>
      </c>
      <c r="E169" s="8">
        <f t="shared" si="330"/>
        <v>-1749.4202700000001</v>
      </c>
      <c r="F169" s="8">
        <f t="shared" si="330"/>
        <v>-3924.4202700000001</v>
      </c>
      <c r="G169" s="8">
        <f t="shared" si="330"/>
        <v>-5139.4202699999996</v>
      </c>
      <c r="H169" s="8">
        <f t="shared" si="330"/>
        <v>-6144.4202700000005</v>
      </c>
      <c r="J169" s="6" t="s">
        <v>141</v>
      </c>
      <c r="K169" s="7">
        <v>-302.25400000000002</v>
      </c>
      <c r="L169" s="7">
        <v>-138.018</v>
      </c>
      <c r="M169" s="7">
        <v>-177.07300000000001</v>
      </c>
      <c r="N169" s="7">
        <v>-145.22</v>
      </c>
      <c r="O169" s="8">
        <f t="shared" ref="O169:R169" si="331">-O36</f>
        <v>-168.49600000000001</v>
      </c>
      <c r="P169" s="8">
        <f t="shared" si="331"/>
        <v>-164.28360000000001</v>
      </c>
      <c r="Q169" s="8">
        <f t="shared" si="331"/>
        <v>-155.8588</v>
      </c>
      <c r="R169" s="8">
        <f t="shared" si="331"/>
        <v>-147.64462</v>
      </c>
      <c r="T169" s="6"/>
      <c r="U169" s="7"/>
      <c r="V169" s="7"/>
      <c r="W169" s="8"/>
      <c r="X169" s="8"/>
      <c r="Y169" s="8"/>
      <c r="Z169" s="8"/>
      <c r="AA169" s="8"/>
      <c r="AC169" s="6"/>
      <c r="AD169" s="7"/>
      <c r="AE169" s="7"/>
      <c r="AF169" s="8"/>
      <c r="AG169" s="8"/>
      <c r="AH169" s="8"/>
      <c r="AI169" s="8"/>
      <c r="AJ169" s="8"/>
      <c r="AL169" s="6"/>
      <c r="AM169" s="7"/>
      <c r="AN169" s="7"/>
      <c r="AO169" s="8"/>
      <c r="AP169" s="8"/>
      <c r="AQ169" s="8"/>
      <c r="AR169" s="8"/>
      <c r="AS169" s="8"/>
      <c r="AU169" s="6"/>
      <c r="AV169" s="7"/>
      <c r="AW169" s="7"/>
      <c r="AX169" s="8"/>
      <c r="AY169" s="8"/>
      <c r="AZ169" s="8"/>
      <c r="BA169" s="8"/>
      <c r="BB169" s="8"/>
      <c r="BD169" s="6"/>
      <c r="BE169" s="7"/>
      <c r="BF169" s="7"/>
      <c r="BG169" s="8"/>
      <c r="BH169" s="8"/>
      <c r="BI169" s="8"/>
      <c r="BJ169" s="8"/>
      <c r="BK169" s="8"/>
    </row>
    <row r="170" spans="2:63" ht="12" customHeight="1" x14ac:dyDescent="0.25">
      <c r="B170" s="6" t="s">
        <v>58</v>
      </c>
      <c r="C170" s="7"/>
      <c r="D170" s="8"/>
      <c r="E170" s="8"/>
      <c r="F170" s="8"/>
      <c r="G170" s="8"/>
      <c r="H170" s="8"/>
      <c r="J170" s="6" t="s">
        <v>58</v>
      </c>
      <c r="K170" s="7"/>
      <c r="L170" s="7"/>
      <c r="M170" s="7"/>
      <c r="N170" s="7"/>
      <c r="O170" s="8"/>
      <c r="P170" s="8"/>
      <c r="Q170" s="8"/>
      <c r="R170" s="8"/>
      <c r="T170" s="6"/>
      <c r="U170" s="7"/>
      <c r="V170" s="7"/>
      <c r="W170" s="8"/>
      <c r="X170" s="8"/>
      <c r="Y170" s="8"/>
      <c r="Z170" s="8"/>
      <c r="AA170" s="8"/>
      <c r="AC170" s="6"/>
      <c r="AD170" s="7"/>
      <c r="AE170" s="7"/>
      <c r="AF170" s="8"/>
      <c r="AG170" s="8"/>
      <c r="AH170" s="8"/>
      <c r="AI170" s="8"/>
      <c r="AJ170" s="8"/>
      <c r="AL170" s="6"/>
      <c r="AM170" s="7"/>
      <c r="AN170" s="7"/>
      <c r="AO170" s="8"/>
      <c r="AP170" s="8"/>
      <c r="AQ170" s="8"/>
      <c r="AR170" s="8"/>
      <c r="AS170" s="8"/>
      <c r="AU170" s="6"/>
      <c r="AV170" s="7"/>
      <c r="AW170" s="7"/>
      <c r="AX170" s="8"/>
      <c r="AY170" s="8"/>
      <c r="AZ170" s="8"/>
      <c r="BA170" s="8"/>
      <c r="BB170" s="8"/>
      <c r="BD170" s="6"/>
      <c r="BE170" s="7"/>
      <c r="BF170" s="7"/>
      <c r="BG170" s="8"/>
      <c r="BH170" s="8"/>
      <c r="BI170" s="8"/>
      <c r="BJ170" s="8"/>
      <c r="BK170" s="8"/>
    </row>
    <row r="171" spans="2:63" ht="12" customHeight="1" x14ac:dyDescent="0.25">
      <c r="B171" s="6" t="s">
        <v>111</v>
      </c>
      <c r="C171" s="7"/>
      <c r="D171" s="8"/>
      <c r="E171" s="8"/>
      <c r="F171" s="8"/>
      <c r="G171" s="8"/>
      <c r="H171" s="8"/>
      <c r="J171" s="6" t="s">
        <v>111</v>
      </c>
      <c r="K171" s="7"/>
      <c r="L171" s="7"/>
      <c r="M171" s="7"/>
      <c r="N171" s="7"/>
      <c r="O171" s="8"/>
      <c r="P171" s="8"/>
      <c r="Q171" s="8"/>
      <c r="R171" s="8"/>
      <c r="T171" s="6"/>
      <c r="U171" s="7"/>
      <c r="V171" s="7"/>
      <c r="W171" s="8"/>
      <c r="X171" s="8"/>
      <c r="Y171" s="8"/>
      <c r="Z171" s="8"/>
      <c r="AA171" s="8"/>
      <c r="AC171" s="6"/>
      <c r="AD171" s="7"/>
      <c r="AE171" s="7"/>
      <c r="AF171" s="8"/>
      <c r="AG171" s="8"/>
      <c r="AH171" s="8"/>
      <c r="AI171" s="8"/>
      <c r="AJ171" s="8"/>
      <c r="AL171" s="6"/>
      <c r="AM171" s="7"/>
      <c r="AN171" s="7"/>
      <c r="AO171" s="8"/>
      <c r="AP171" s="8"/>
      <c r="AQ171" s="8"/>
      <c r="AR171" s="8"/>
      <c r="AS171" s="8"/>
      <c r="AU171" s="6"/>
      <c r="AV171" s="7"/>
      <c r="AW171" s="7"/>
      <c r="AX171" s="8"/>
      <c r="AY171" s="8"/>
      <c r="AZ171" s="8"/>
      <c r="BA171" s="8"/>
      <c r="BB171" s="8"/>
      <c r="BD171" s="6"/>
      <c r="BE171" s="7"/>
      <c r="BF171" s="7"/>
      <c r="BG171" s="8"/>
      <c r="BH171" s="8"/>
      <c r="BI171" s="8"/>
      <c r="BJ171" s="8"/>
      <c r="BK171" s="8"/>
    </row>
    <row r="172" spans="2:63" ht="12" customHeight="1" x14ac:dyDescent="0.25">
      <c r="B172" s="6"/>
      <c r="C172" s="7"/>
      <c r="D172" s="8"/>
      <c r="E172" s="8"/>
      <c r="F172" s="8"/>
      <c r="G172" s="8"/>
      <c r="H172" s="8"/>
      <c r="J172" s="6"/>
      <c r="K172" s="7"/>
      <c r="L172" s="7"/>
      <c r="M172" s="7"/>
      <c r="N172" s="7"/>
      <c r="O172" s="8"/>
      <c r="P172" s="8"/>
      <c r="Q172" s="8"/>
      <c r="R172" s="8"/>
      <c r="T172" s="6"/>
      <c r="U172" s="7"/>
      <c r="V172" s="7"/>
      <c r="W172" s="8"/>
      <c r="X172" s="8"/>
      <c r="Y172" s="8"/>
      <c r="Z172" s="8"/>
      <c r="AA172" s="8"/>
      <c r="AC172" s="6"/>
      <c r="AD172" s="7"/>
      <c r="AE172" s="7"/>
      <c r="AF172" s="8"/>
      <c r="AG172" s="8"/>
      <c r="AH172" s="8"/>
      <c r="AI172" s="8"/>
      <c r="AJ172" s="8"/>
      <c r="AL172" s="6"/>
      <c r="AM172" s="7"/>
      <c r="AN172" s="7"/>
      <c r="AO172" s="8"/>
      <c r="AP172" s="8"/>
      <c r="AQ172" s="8"/>
      <c r="AR172" s="8"/>
      <c r="AS172" s="8"/>
      <c r="AU172" s="6"/>
      <c r="AV172" s="7"/>
      <c r="AW172" s="7"/>
      <c r="AX172" s="8"/>
      <c r="AY172" s="8"/>
      <c r="AZ172" s="8"/>
      <c r="BA172" s="8"/>
      <c r="BB172" s="8"/>
      <c r="BD172" s="6"/>
      <c r="BE172" s="7"/>
      <c r="BF172" s="7"/>
      <c r="BG172" s="8"/>
      <c r="BH172" s="8"/>
      <c r="BI172" s="8"/>
      <c r="BJ172" s="8"/>
      <c r="BK172" s="8"/>
    </row>
    <row r="173" spans="2:63" ht="12" customHeight="1" x14ac:dyDescent="0.25">
      <c r="B173" s="9" t="s">
        <v>142</v>
      </c>
      <c r="C173" s="10"/>
      <c r="D173" s="5">
        <f t="shared" ref="D173:H173" si="332">SUM(D160:D171)</f>
        <v>14600.579729999999</v>
      </c>
      <c r="E173" s="5">
        <f t="shared" si="332"/>
        <v>14750.579729999999</v>
      </c>
      <c r="F173" s="5">
        <f t="shared" si="332"/>
        <v>11408.913063333332</v>
      </c>
      <c r="G173" s="5">
        <f t="shared" si="332"/>
        <v>6527.2463966666664</v>
      </c>
      <c r="H173" s="5">
        <f t="shared" si="332"/>
        <v>4522.2463966666655</v>
      </c>
      <c r="J173" s="9" t="s">
        <v>142</v>
      </c>
      <c r="K173" s="10">
        <f>SUM(K160:K171)</f>
        <v>-6853.7520000000004</v>
      </c>
      <c r="L173" s="10">
        <f>SUM(L160:L171)</f>
        <v>1543.5529999999999</v>
      </c>
      <c r="M173" s="10">
        <f>SUM(M160:M171)</f>
        <v>-808.67299999999989</v>
      </c>
      <c r="N173" s="10">
        <f>SUM(N160:N171)</f>
        <v>-101.59700000000007</v>
      </c>
      <c r="O173" s="5">
        <f t="shared" ref="O173:R173" si="333">SUM(O160:O171)</f>
        <v>-168.49600000000001</v>
      </c>
      <c r="P173" s="5">
        <f t="shared" si="333"/>
        <v>-248.53160000000003</v>
      </c>
      <c r="Q173" s="5">
        <f t="shared" si="333"/>
        <v>-240.10680000000002</v>
      </c>
      <c r="R173" s="5">
        <f t="shared" si="333"/>
        <v>-227.68022000000002</v>
      </c>
      <c r="T173" s="9"/>
      <c r="U173" s="10"/>
      <c r="V173" s="10"/>
      <c r="W173" s="5"/>
      <c r="X173" s="5"/>
      <c r="Y173" s="5"/>
      <c r="Z173" s="5"/>
      <c r="AA173" s="5"/>
      <c r="AC173" s="9"/>
      <c r="AD173" s="10"/>
      <c r="AE173" s="10"/>
      <c r="AF173" s="5"/>
      <c r="AG173" s="5"/>
      <c r="AH173" s="5"/>
      <c r="AI173" s="5"/>
      <c r="AJ173" s="5"/>
      <c r="AL173" s="9"/>
      <c r="AM173" s="10"/>
      <c r="AN173" s="10"/>
      <c r="AO173" s="5"/>
      <c r="AP173" s="5"/>
      <c r="AQ173" s="5"/>
      <c r="AR173" s="5"/>
      <c r="AS173" s="5"/>
      <c r="AU173" s="9"/>
      <c r="AV173" s="10"/>
      <c r="AW173" s="10"/>
      <c r="AX173" s="5"/>
      <c r="AY173" s="5"/>
      <c r="AZ173" s="5"/>
      <c r="BA173" s="5"/>
      <c r="BB173" s="5"/>
      <c r="BD173" s="9"/>
      <c r="BE173" s="10"/>
      <c r="BF173" s="10"/>
      <c r="BG173" s="5"/>
      <c r="BH173" s="5"/>
      <c r="BI173" s="5"/>
      <c r="BJ173" s="5"/>
      <c r="BK173" s="5"/>
    </row>
    <row r="174" spans="2:63" ht="12" customHeight="1" x14ac:dyDescent="0.25">
      <c r="B174" s="6"/>
      <c r="C174" s="10"/>
      <c r="D174" s="8"/>
      <c r="E174" s="8"/>
      <c r="F174" s="8"/>
      <c r="G174" s="8"/>
      <c r="H174" s="8"/>
      <c r="J174" s="6"/>
      <c r="K174" s="10"/>
      <c r="L174" s="10"/>
      <c r="M174" s="10"/>
      <c r="N174" s="10"/>
      <c r="O174" s="8"/>
      <c r="P174" s="8"/>
      <c r="Q174" s="8"/>
      <c r="R174" s="8"/>
      <c r="T174" s="6"/>
      <c r="U174" s="10"/>
      <c r="V174" s="10"/>
      <c r="W174" s="8"/>
      <c r="X174" s="8"/>
      <c r="Y174" s="8"/>
      <c r="Z174" s="8"/>
      <c r="AA174" s="8"/>
      <c r="AC174" s="6"/>
      <c r="AD174" s="10"/>
      <c r="AE174" s="10"/>
      <c r="AF174" s="8"/>
      <c r="AG174" s="8"/>
      <c r="AH174" s="8"/>
      <c r="AI174" s="8"/>
      <c r="AJ174" s="8"/>
      <c r="AL174" s="6"/>
      <c r="AM174" s="10"/>
      <c r="AN174" s="10"/>
      <c r="AO174" s="8"/>
      <c r="AP174" s="8"/>
      <c r="AQ174" s="8"/>
      <c r="AR174" s="8"/>
      <c r="AS174" s="8"/>
      <c r="AU174" s="6"/>
      <c r="AV174" s="10"/>
      <c r="AW174" s="10"/>
      <c r="AX174" s="8"/>
      <c r="AY174" s="8"/>
      <c r="AZ174" s="8"/>
      <c r="BA174" s="8"/>
      <c r="BB174" s="8"/>
      <c r="BD174" s="6"/>
      <c r="BE174" s="10"/>
      <c r="BF174" s="10"/>
      <c r="BG174" s="8"/>
      <c r="BH174" s="8"/>
      <c r="BI174" s="8"/>
      <c r="BJ174" s="8"/>
      <c r="BK174" s="8"/>
    </row>
    <row r="175" spans="2:63" ht="12" customHeight="1" x14ac:dyDescent="0.25">
      <c r="B175" s="9" t="s">
        <v>143</v>
      </c>
      <c r="C175" s="10"/>
      <c r="D175" s="8"/>
      <c r="E175" s="8"/>
      <c r="F175" s="8"/>
      <c r="G175" s="8"/>
      <c r="H175" s="8"/>
      <c r="J175" s="9" t="s">
        <v>143</v>
      </c>
      <c r="K175" s="10"/>
      <c r="L175" s="10"/>
      <c r="M175" s="10"/>
      <c r="N175" s="10"/>
      <c r="O175" s="8"/>
      <c r="P175" s="8"/>
      <c r="Q175" s="8"/>
      <c r="R175" s="8"/>
      <c r="T175" s="9"/>
      <c r="U175" s="10"/>
      <c r="V175" s="10"/>
      <c r="W175" s="8"/>
      <c r="X175" s="8"/>
      <c r="Y175" s="8"/>
      <c r="Z175" s="8"/>
      <c r="AA175" s="8"/>
      <c r="AC175" s="9"/>
      <c r="AD175" s="10"/>
      <c r="AE175" s="10"/>
      <c r="AF175" s="8"/>
      <c r="AG175" s="8"/>
      <c r="AH175" s="8"/>
      <c r="AI175" s="8"/>
      <c r="AJ175" s="8"/>
      <c r="AL175" s="9"/>
      <c r="AM175" s="10"/>
      <c r="AN175" s="10"/>
      <c r="AO175" s="8"/>
      <c r="AP175" s="8"/>
      <c r="AQ175" s="8"/>
      <c r="AR175" s="8"/>
      <c r="AS175" s="8"/>
      <c r="AU175" s="9"/>
      <c r="AV175" s="10"/>
      <c r="AW175" s="10"/>
      <c r="AX175" s="8"/>
      <c r="AY175" s="8"/>
      <c r="AZ175" s="8"/>
      <c r="BA175" s="8"/>
      <c r="BB175" s="8"/>
      <c r="BD175" s="9"/>
      <c r="BE175" s="10"/>
      <c r="BF175" s="10"/>
      <c r="BG175" s="8"/>
      <c r="BH175" s="8"/>
      <c r="BI175" s="8"/>
      <c r="BJ175" s="8"/>
      <c r="BK175" s="8"/>
    </row>
    <row r="176" spans="2:63" ht="12" customHeight="1" x14ac:dyDescent="0.25">
      <c r="B176" s="6"/>
      <c r="C176" s="10"/>
      <c r="D176" s="8"/>
      <c r="E176" s="8"/>
      <c r="F176" s="8"/>
      <c r="G176" s="8"/>
      <c r="H176" s="8"/>
      <c r="J176" s="6"/>
      <c r="K176" s="10"/>
      <c r="L176" s="10"/>
      <c r="M176" s="10"/>
      <c r="N176" s="10"/>
      <c r="O176" s="8"/>
      <c r="P176" s="8"/>
      <c r="Q176" s="8"/>
      <c r="R176" s="8"/>
      <c r="T176" s="6"/>
      <c r="U176" s="10"/>
      <c r="V176" s="10"/>
      <c r="W176" s="8"/>
      <c r="X176" s="8"/>
      <c r="Y176" s="8"/>
      <c r="Z176" s="8"/>
      <c r="AA176" s="8"/>
      <c r="AC176" s="6"/>
      <c r="AD176" s="10"/>
      <c r="AE176" s="10"/>
      <c r="AF176" s="8"/>
      <c r="AG176" s="8"/>
      <c r="AH176" s="8"/>
      <c r="AI176" s="8"/>
      <c r="AJ176" s="8"/>
      <c r="AL176" s="6"/>
      <c r="AM176" s="10"/>
      <c r="AN176" s="10"/>
      <c r="AO176" s="8"/>
      <c r="AP176" s="8"/>
      <c r="AQ176" s="8"/>
      <c r="AR176" s="8"/>
      <c r="AS176" s="8"/>
      <c r="AU176" s="6"/>
      <c r="AV176" s="10"/>
      <c r="AW176" s="10"/>
      <c r="AX176" s="8"/>
      <c r="AY176" s="8"/>
      <c r="AZ176" s="8"/>
      <c r="BA176" s="8"/>
      <c r="BB176" s="8"/>
      <c r="BD176" s="6"/>
      <c r="BE176" s="10"/>
      <c r="BF176" s="10"/>
      <c r="BG176" s="8"/>
      <c r="BH176" s="8"/>
      <c r="BI176" s="8"/>
      <c r="BJ176" s="8"/>
      <c r="BK176" s="8"/>
    </row>
    <row r="177" spans="2:63" ht="12" customHeight="1" x14ac:dyDescent="0.25">
      <c r="B177" s="9" t="s">
        <v>144</v>
      </c>
      <c r="C177" s="7"/>
      <c r="D177" s="8">
        <f t="shared" ref="D177:H177" ca="1" si="334">D145+D158+D173+D175</f>
        <v>1564.9494150970277</v>
      </c>
      <c r="E177" s="8">
        <f t="shared" ca="1" si="334"/>
        <v>378.00789387916484</v>
      </c>
      <c r="F177" s="8">
        <f t="shared" ca="1" si="334"/>
        <v>-586.55507259811384</v>
      </c>
      <c r="G177" s="8">
        <f t="shared" ca="1" si="334"/>
        <v>-46.239680535353727</v>
      </c>
      <c r="H177" s="8">
        <f t="shared" ca="1" si="334"/>
        <v>2225.56120393323</v>
      </c>
      <c r="J177" s="9" t="s">
        <v>144</v>
      </c>
      <c r="K177" s="7">
        <f>+K173+K158+K145</f>
        <v>884.93200000000047</v>
      </c>
      <c r="L177" s="7">
        <f>+L173+L158+L145</f>
        <v>-860.47300000000018</v>
      </c>
      <c r="M177" s="7">
        <f>+M173+M158+M145</f>
        <v>-15.889999999999986</v>
      </c>
      <c r="N177" s="7">
        <f>+N173+N158+N145</f>
        <v>109.01299999999947</v>
      </c>
      <c r="O177" s="8">
        <f t="shared" ref="O177:R177" ca="1" si="335">O145+O158+O173+O175</f>
        <v>937.87114954759375</v>
      </c>
      <c r="P177" s="8">
        <f t="shared" ca="1" si="335"/>
        <v>1346.1647318639884</v>
      </c>
      <c r="Q177" s="8">
        <f t="shared" ca="1" si="335"/>
        <v>1820.423919152383</v>
      </c>
      <c r="R177" s="8">
        <f t="shared" ca="1" si="335"/>
        <v>2329.2055742517718</v>
      </c>
      <c r="T177" s="9"/>
      <c r="U177" s="7"/>
      <c r="V177" s="7"/>
      <c r="W177" s="8"/>
      <c r="X177" s="8"/>
      <c r="Y177" s="8"/>
      <c r="Z177" s="8"/>
      <c r="AA177" s="8"/>
      <c r="AC177" s="9"/>
      <c r="AD177" s="7"/>
      <c r="AE177" s="7"/>
      <c r="AF177" s="8"/>
      <c r="AG177" s="8"/>
      <c r="AH177" s="8"/>
      <c r="AI177" s="8"/>
      <c r="AJ177" s="8"/>
      <c r="AL177" s="9"/>
      <c r="AM177" s="7"/>
      <c r="AN177" s="7"/>
      <c r="AO177" s="8"/>
      <c r="AP177" s="8"/>
      <c r="AQ177" s="8"/>
      <c r="AR177" s="8"/>
      <c r="AS177" s="8"/>
      <c r="AU177" s="9"/>
      <c r="AV177" s="7"/>
      <c r="AW177" s="7"/>
      <c r="AX177" s="8"/>
      <c r="AY177" s="8"/>
      <c r="AZ177" s="8"/>
      <c r="BA177" s="8"/>
      <c r="BB177" s="8"/>
      <c r="BD177" s="9"/>
      <c r="BE177" s="7"/>
      <c r="BF177" s="7"/>
      <c r="BG177" s="8"/>
      <c r="BH177" s="8"/>
      <c r="BI177" s="8"/>
      <c r="BJ177" s="8"/>
      <c r="BK177" s="8"/>
    </row>
    <row r="178" spans="2:63" ht="12" customHeight="1" x14ac:dyDescent="0.25">
      <c r="B178" s="9" t="s">
        <v>145</v>
      </c>
      <c r="C178" s="7"/>
      <c r="D178" s="8">
        <f>C109</f>
        <v>276.15800000000002</v>
      </c>
      <c r="E178" s="8">
        <f t="shared" ref="E178" ca="1" si="336">D179</f>
        <v>1841.1074150970276</v>
      </c>
      <c r="F178" s="8">
        <f t="shared" ref="F178" ca="1" si="337">E179</f>
        <v>2219.1153089761924</v>
      </c>
      <c r="G178" s="8">
        <f t="shared" ref="G178" ca="1" si="338">F179</f>
        <v>1632.5602363780786</v>
      </c>
      <c r="H178" s="8">
        <f t="shared" ref="H178" ca="1" si="339">G179</f>
        <v>1586.3205558427248</v>
      </c>
      <c r="J178" s="9" t="s">
        <v>145</v>
      </c>
      <c r="K178" s="7">
        <v>29.886000000000003</v>
      </c>
      <c r="L178" s="7">
        <v>914.81700000000001</v>
      </c>
      <c r="M178" s="7">
        <f t="shared" ref="M178:R178" si="340">L179</f>
        <v>54.343999999999824</v>
      </c>
      <c r="N178" s="7">
        <f t="shared" si="340"/>
        <v>38.453999999999837</v>
      </c>
      <c r="O178" s="8">
        <f t="shared" si="340"/>
        <v>147.4669999999993</v>
      </c>
      <c r="P178" s="8">
        <f t="shared" ca="1" si="340"/>
        <v>1085.338149547593</v>
      </c>
      <c r="Q178" s="8">
        <f t="shared" ca="1" si="340"/>
        <v>2431.5028814115813</v>
      </c>
      <c r="R178" s="8">
        <f t="shared" ca="1" si="340"/>
        <v>4251.9268005639642</v>
      </c>
      <c r="T178" s="9"/>
      <c r="U178" s="7"/>
      <c r="V178" s="7"/>
      <c r="W178" s="8"/>
      <c r="X178" s="8"/>
      <c r="Y178" s="8"/>
      <c r="Z178" s="8"/>
      <c r="AA178" s="8"/>
      <c r="AC178" s="9"/>
      <c r="AD178" s="7"/>
      <c r="AE178" s="7"/>
      <c r="AF178" s="8"/>
      <c r="AG178" s="8"/>
      <c r="AH178" s="8"/>
      <c r="AI178" s="8"/>
      <c r="AJ178" s="8"/>
      <c r="AL178" s="9"/>
      <c r="AM178" s="7"/>
      <c r="AN178" s="7"/>
      <c r="AO178" s="8"/>
      <c r="AP178" s="8"/>
      <c r="AQ178" s="8"/>
      <c r="AR178" s="8"/>
      <c r="AS178" s="8"/>
      <c r="AU178" s="9"/>
      <c r="AV178" s="7"/>
      <c r="AW178" s="7"/>
      <c r="AX178" s="8"/>
      <c r="AY178" s="8"/>
      <c r="AZ178" s="8"/>
      <c r="BA178" s="8"/>
      <c r="BB178" s="8"/>
      <c r="BD178" s="9"/>
      <c r="BE178" s="7"/>
      <c r="BF178" s="7"/>
      <c r="BG178" s="8"/>
      <c r="BH178" s="8"/>
      <c r="BI178" s="8"/>
      <c r="BJ178" s="8"/>
      <c r="BK178" s="8"/>
    </row>
    <row r="179" spans="2:63" ht="12" customHeight="1" x14ac:dyDescent="0.25">
      <c r="B179" s="9" t="s">
        <v>146</v>
      </c>
      <c r="C179" s="7"/>
      <c r="D179" s="5">
        <f t="shared" ref="D179:H179" ca="1" si="341">D177+D178</f>
        <v>1841.1074150970276</v>
      </c>
      <c r="E179" s="5">
        <f t="shared" ca="1" si="341"/>
        <v>2219.1153089761924</v>
      </c>
      <c r="F179" s="5">
        <f t="shared" ca="1" si="341"/>
        <v>1632.5602363780786</v>
      </c>
      <c r="G179" s="5">
        <f t="shared" ca="1" si="341"/>
        <v>1586.3205558427248</v>
      </c>
      <c r="H179" s="5">
        <f t="shared" ca="1" si="341"/>
        <v>3811.8817597759548</v>
      </c>
      <c r="J179" s="9" t="s">
        <v>146</v>
      </c>
      <c r="K179" s="7">
        <f>+K177+K178</f>
        <v>914.81800000000044</v>
      </c>
      <c r="L179" s="7">
        <f>+L177+L178</f>
        <v>54.343999999999824</v>
      </c>
      <c r="M179" s="7">
        <f>+M177+M178</f>
        <v>38.453999999999837</v>
      </c>
      <c r="N179" s="7">
        <f>+N177+N178</f>
        <v>147.4669999999993</v>
      </c>
      <c r="O179" s="5">
        <f t="shared" ref="O179:R179" ca="1" si="342">O177+O178</f>
        <v>1085.338149547593</v>
      </c>
      <c r="P179" s="5">
        <f t="shared" ca="1" si="342"/>
        <v>2431.5028814115813</v>
      </c>
      <c r="Q179" s="5">
        <f t="shared" ca="1" si="342"/>
        <v>4251.9268005639642</v>
      </c>
      <c r="R179" s="5">
        <f t="shared" ca="1" si="342"/>
        <v>6581.1323748157356</v>
      </c>
      <c r="T179" s="9"/>
      <c r="U179" s="7"/>
      <c r="V179" s="7"/>
      <c r="W179" s="5"/>
      <c r="X179" s="5"/>
      <c r="Y179" s="5"/>
      <c r="Z179" s="5"/>
      <c r="AA179" s="5"/>
      <c r="AC179" s="9"/>
      <c r="AD179" s="7"/>
      <c r="AE179" s="7"/>
      <c r="AF179" s="5"/>
      <c r="AG179" s="5"/>
      <c r="AH179" s="5"/>
      <c r="AI179" s="5"/>
      <c r="AJ179" s="5"/>
      <c r="AL179" s="9"/>
      <c r="AM179" s="7"/>
      <c r="AN179" s="7"/>
      <c r="AO179" s="5"/>
      <c r="AP179" s="5"/>
      <c r="AQ179" s="5"/>
      <c r="AR179" s="5"/>
      <c r="AS179" s="5"/>
      <c r="AU179" s="9"/>
      <c r="AV179" s="7"/>
      <c r="AW179" s="7"/>
      <c r="AX179" s="5"/>
      <c r="AY179" s="5"/>
      <c r="AZ179" s="5"/>
      <c r="BA179" s="5"/>
      <c r="BB179" s="5"/>
      <c r="BD179" s="9"/>
      <c r="BE179" s="7"/>
      <c r="BF179" s="7"/>
      <c r="BG179" s="5"/>
      <c r="BH179" s="5"/>
      <c r="BI179" s="5"/>
      <c r="BJ179" s="5"/>
      <c r="BK179" s="5"/>
    </row>
    <row r="181" spans="2:63" ht="12" customHeight="1" x14ac:dyDescent="0.25">
      <c r="B181" s="6"/>
      <c r="C181" s="945"/>
      <c r="D181" s="947"/>
      <c r="E181" s="947"/>
      <c r="F181" s="947"/>
      <c r="G181" s="947"/>
      <c r="H181" s="947"/>
      <c r="J181" s="6" t="s">
        <v>1533</v>
      </c>
      <c r="K181" s="945">
        <f>(K33*(1-K46))/K87</f>
        <v>3.5934943272152166E-2</v>
      </c>
      <c r="L181" s="945">
        <f>(L33*(1-L46))/L87</f>
        <v>5.5137107623271517E-3</v>
      </c>
      <c r="M181" s="945">
        <f>(M33*(1-M46))/M87</f>
        <v>-1.290994417759192E-2</v>
      </c>
      <c r="N181" s="945">
        <f>(N33*(1-N46))/N87</f>
        <v>1.8653079540256731E-2</v>
      </c>
      <c r="O181" s="947">
        <f t="shared" ref="O181:R181" ca="1" si="343">(O33*(1-O46))/O87</f>
        <v>2.7645815423714873E-2</v>
      </c>
      <c r="P181" s="947">
        <f t="shared" ca="1" si="343"/>
        <v>4.5294249189063988E-2</v>
      </c>
      <c r="Q181" s="947">
        <f t="shared" ca="1" si="343"/>
        <v>6.2376244338679512E-2</v>
      </c>
      <c r="R181" s="947">
        <f t="shared" ca="1" si="343"/>
        <v>8.116703769651866E-2</v>
      </c>
      <c r="T181" s="6"/>
      <c r="U181" s="945"/>
      <c r="V181" s="945"/>
      <c r="W181" s="947"/>
      <c r="X181" s="947"/>
      <c r="Y181" s="947"/>
      <c r="Z181" s="947"/>
      <c r="AA181" s="947"/>
      <c r="AC181" s="6"/>
      <c r="AD181" s="945"/>
      <c r="AE181" s="945"/>
      <c r="AF181" s="947"/>
      <c r="AG181" s="947"/>
      <c r="AH181" s="947"/>
      <c r="AI181" s="947"/>
      <c r="AJ181" s="947"/>
      <c r="AL181" s="6"/>
      <c r="AM181" s="945"/>
      <c r="AN181" s="945"/>
      <c r="AO181" s="947"/>
      <c r="AP181" s="947"/>
      <c r="AQ181" s="947"/>
      <c r="AR181" s="947"/>
      <c r="AS181" s="947"/>
      <c r="AU181" s="6"/>
      <c r="AV181" s="945"/>
      <c r="AW181" s="945"/>
      <c r="AX181" s="947"/>
      <c r="AY181" s="947"/>
      <c r="AZ181" s="947"/>
      <c r="BA181" s="947"/>
      <c r="BB181" s="947"/>
      <c r="BD181" s="6"/>
      <c r="BE181" s="945"/>
      <c r="BF181" s="945"/>
      <c r="BG181" s="947"/>
      <c r="BH181" s="947"/>
      <c r="BI181" s="947"/>
      <c r="BJ181" s="947"/>
      <c r="BK181" s="947"/>
    </row>
    <row r="182" spans="2:63" ht="12" customHeight="1" x14ac:dyDescent="0.25">
      <c r="B182" s="6"/>
      <c r="C182" s="945"/>
      <c r="D182" s="947"/>
      <c r="E182" s="947"/>
      <c r="F182" s="947"/>
      <c r="G182" s="947"/>
      <c r="H182" s="947"/>
      <c r="J182" s="6" t="s">
        <v>1534</v>
      </c>
      <c r="K182" s="945"/>
      <c r="L182" s="945">
        <f>L82/(L69+L70)</f>
        <v>0.10815696468376156</v>
      </c>
      <c r="M182" s="945">
        <f>M82/(M69+M70)</f>
        <v>8.0704137857365854E-2</v>
      </c>
      <c r="N182" s="945">
        <f>N82/(N69+N70)</f>
        <v>8.6057136144599852E-2</v>
      </c>
      <c r="O182" s="947">
        <f t="shared" ref="O182:R182" ca="1" si="344">O82/(O69+O70)</f>
        <v>8.4000731885889787E-2</v>
      </c>
      <c r="P182" s="947">
        <f t="shared" ca="1" si="344"/>
        <v>7.6350708105923745E-2</v>
      </c>
      <c r="Q182" s="947">
        <f t="shared" ca="1" si="344"/>
        <v>6.785925798465442E-2</v>
      </c>
      <c r="R182" s="947">
        <f t="shared" ca="1" si="344"/>
        <v>5.9009671614571151E-2</v>
      </c>
      <c r="T182" s="6"/>
      <c r="U182" s="945"/>
      <c r="V182" s="945"/>
      <c r="W182" s="947"/>
      <c r="X182" s="947"/>
      <c r="Y182" s="947"/>
      <c r="Z182" s="947"/>
      <c r="AA182" s="947"/>
      <c r="AC182" s="6"/>
      <c r="AD182" s="945"/>
      <c r="AE182" s="945"/>
      <c r="AF182" s="947"/>
      <c r="AG182" s="947"/>
      <c r="AH182" s="947"/>
      <c r="AI182" s="947"/>
      <c r="AJ182" s="947"/>
      <c r="AL182" s="6"/>
      <c r="AM182" s="945"/>
      <c r="AN182" s="945"/>
      <c r="AO182" s="947"/>
      <c r="AP182" s="947"/>
      <c r="AQ182" s="947"/>
      <c r="AR182" s="947"/>
      <c r="AS182" s="947"/>
      <c r="AU182" s="6"/>
      <c r="AV182" s="945"/>
      <c r="AW182" s="945"/>
      <c r="AX182" s="947"/>
      <c r="AY182" s="947"/>
      <c r="AZ182" s="947"/>
      <c r="BA182" s="947"/>
      <c r="BB182" s="947"/>
      <c r="BD182" s="6"/>
      <c r="BE182" s="945"/>
      <c r="BF182" s="945"/>
      <c r="BG182" s="947"/>
      <c r="BH182" s="947"/>
      <c r="BI182" s="947"/>
      <c r="BJ182" s="947"/>
      <c r="BK182" s="947"/>
    </row>
    <row r="183" spans="2:63" ht="12" customHeight="1" x14ac:dyDescent="0.25">
      <c r="B183" s="6"/>
      <c r="C183" s="945"/>
      <c r="D183" s="947"/>
      <c r="E183" s="947"/>
      <c r="F183" s="947"/>
      <c r="G183" s="947"/>
      <c r="H183" s="947"/>
      <c r="J183" s="6" t="s">
        <v>1864</v>
      </c>
      <c r="K183" s="945"/>
      <c r="L183" s="945">
        <f>L53/AVERAGE(K70:L70)</f>
        <v>-9.3753686654134464E-4</v>
      </c>
      <c r="M183" s="945">
        <f>M53/AVERAGE(L70:M70)</f>
        <v>-2.5154132359698499E-2</v>
      </c>
      <c r="N183" s="945">
        <f>N53/AVERAGE(M70:N70)</f>
        <v>1.6815740580988045E-2</v>
      </c>
      <c r="O183" s="947">
        <f t="shared" ref="O183:R183" ca="1" si="345">O53/AVERAGE(N70:O70)</f>
        <v>2.617245490770724E-2</v>
      </c>
      <c r="P183" s="947">
        <f t="shared" ca="1" si="345"/>
        <v>4.7687032705728556E-2</v>
      </c>
      <c r="Q183" s="947">
        <f t="shared" ca="1" si="345"/>
        <v>6.8579108182644205E-2</v>
      </c>
      <c r="R183" s="947">
        <f t="shared" ca="1" si="345"/>
        <v>9.1350849616301993E-2</v>
      </c>
      <c r="T183" s="6"/>
      <c r="U183" s="945"/>
      <c r="V183" s="945"/>
      <c r="W183" s="947"/>
      <c r="X183" s="947"/>
      <c r="Y183" s="947"/>
      <c r="Z183" s="947"/>
      <c r="AA183" s="947"/>
      <c r="AC183" s="6"/>
      <c r="AD183" s="945"/>
      <c r="AE183" s="945"/>
      <c r="AF183" s="947"/>
      <c r="AG183" s="947"/>
      <c r="AH183" s="947"/>
      <c r="AI183" s="947"/>
      <c r="AJ183" s="947"/>
      <c r="AL183" s="6"/>
      <c r="AM183" s="945"/>
      <c r="AN183" s="945"/>
      <c r="AO183" s="947"/>
      <c r="AP183" s="947"/>
      <c r="AQ183" s="947"/>
      <c r="AR183" s="947"/>
      <c r="AS183" s="947"/>
      <c r="AU183" s="6"/>
      <c r="AV183" s="945"/>
      <c r="AW183" s="945"/>
      <c r="AX183" s="947"/>
      <c r="AY183" s="947"/>
      <c r="AZ183" s="947"/>
      <c r="BA183" s="947"/>
      <c r="BB183" s="947"/>
      <c r="BD183" s="6"/>
      <c r="BE183" s="945"/>
      <c r="BF183" s="945"/>
      <c r="BG183" s="947"/>
      <c r="BH183" s="947"/>
      <c r="BI183" s="947"/>
      <c r="BJ183" s="947"/>
      <c r="BK183" s="947"/>
    </row>
    <row r="184" spans="2:63" ht="12" customHeight="1" x14ac:dyDescent="0.25">
      <c r="B184" s="6"/>
      <c r="C184" s="945"/>
      <c r="D184" s="8"/>
      <c r="E184" s="8"/>
      <c r="F184" s="8"/>
      <c r="G184" s="8"/>
      <c r="H184" s="8"/>
      <c r="J184" s="6"/>
      <c r="K184" s="945"/>
      <c r="L184" s="945"/>
      <c r="M184" s="945"/>
      <c r="N184" s="945"/>
      <c r="O184" s="8"/>
      <c r="P184" s="8"/>
      <c r="Q184" s="8"/>
      <c r="R184" s="8"/>
      <c r="T184" s="6"/>
      <c r="U184" s="945"/>
      <c r="V184" s="945"/>
      <c r="W184" s="8"/>
      <c r="X184" s="8"/>
      <c r="Y184" s="8"/>
      <c r="Z184" s="8"/>
      <c r="AA184" s="8"/>
      <c r="AC184" s="6"/>
      <c r="AD184" s="945"/>
      <c r="AE184" s="945"/>
      <c r="AF184" s="8"/>
      <c r="AG184" s="8"/>
      <c r="AH184" s="8"/>
      <c r="AI184" s="8"/>
      <c r="AJ184" s="8"/>
      <c r="AL184" s="6"/>
      <c r="AM184" s="945"/>
      <c r="AN184" s="945"/>
      <c r="AO184" s="8"/>
      <c r="AP184" s="8"/>
      <c r="AQ184" s="8"/>
      <c r="AR184" s="8"/>
      <c r="AS184" s="8"/>
      <c r="AU184" s="6"/>
      <c r="AV184" s="945"/>
      <c r="AW184" s="945"/>
      <c r="AX184" s="8"/>
      <c r="AY184" s="8"/>
      <c r="AZ184" s="8"/>
      <c r="BA184" s="8"/>
      <c r="BB184" s="8"/>
      <c r="BD184" s="6"/>
      <c r="BE184" s="945"/>
      <c r="BF184" s="945"/>
      <c r="BG184" s="8"/>
      <c r="BH184" s="8"/>
      <c r="BI184" s="8"/>
      <c r="BJ184" s="8"/>
      <c r="BK184" s="8"/>
    </row>
    <row r="185" spans="2:63" ht="12" customHeight="1" x14ac:dyDescent="0.2">
      <c r="B185" s="946" t="s">
        <v>1610</v>
      </c>
      <c r="C185" s="945"/>
      <c r="D185" s="8"/>
      <c r="E185" s="8"/>
      <c r="F185" s="8"/>
      <c r="G185" s="8"/>
      <c r="H185" s="8"/>
      <c r="J185" s="946" t="s">
        <v>1610</v>
      </c>
      <c r="K185" s="945"/>
      <c r="L185" s="945"/>
      <c r="M185" s="945"/>
      <c r="N185" s="945"/>
      <c r="O185" s="8"/>
      <c r="P185" s="8"/>
      <c r="Q185" s="8"/>
      <c r="R185" s="8"/>
      <c r="T185" s="946"/>
      <c r="U185" s="945"/>
      <c r="V185" s="945"/>
      <c r="W185" s="8"/>
      <c r="X185" s="8"/>
      <c r="Y185" s="8"/>
      <c r="Z185" s="8"/>
      <c r="AA185" s="8"/>
      <c r="AC185" s="946"/>
      <c r="AD185" s="945"/>
      <c r="AE185" s="945"/>
      <c r="AF185" s="8"/>
      <c r="AG185" s="8"/>
      <c r="AH185" s="8"/>
      <c r="AI185" s="8"/>
      <c r="AJ185" s="8"/>
      <c r="AL185" s="946"/>
      <c r="AM185" s="945"/>
      <c r="AN185" s="945"/>
      <c r="AO185" s="8"/>
      <c r="AP185" s="8"/>
      <c r="AQ185" s="8"/>
      <c r="AR185" s="8"/>
      <c r="AS185" s="8"/>
      <c r="AU185" s="946"/>
      <c r="AV185" s="945"/>
      <c r="AW185" s="945"/>
      <c r="AX185" s="8"/>
      <c r="AY185" s="8"/>
      <c r="AZ185" s="8"/>
      <c r="BA185" s="8"/>
      <c r="BB185" s="8"/>
      <c r="BD185" s="946"/>
      <c r="BE185" s="945"/>
      <c r="BF185" s="945"/>
      <c r="BG185" s="8"/>
      <c r="BH185" s="8"/>
      <c r="BI185" s="8"/>
      <c r="BJ185" s="8"/>
      <c r="BK185" s="8"/>
    </row>
    <row r="186" spans="2:63" ht="12" customHeight="1" x14ac:dyDescent="0.2">
      <c r="B186" s="946" t="s">
        <v>1660</v>
      </c>
      <c r="C186" s="123">
        <f>C108/C$16*365</f>
        <v>197.6020522163937</v>
      </c>
      <c r="D186" s="229">
        <v>60</v>
      </c>
      <c r="E186" s="229">
        <f t="shared" ref="E186" si="346">D186</f>
        <v>60</v>
      </c>
      <c r="F186" s="229">
        <f t="shared" ref="F186" si="347">E186</f>
        <v>60</v>
      </c>
      <c r="G186" s="229">
        <f t="shared" ref="G186" si="348">F186</f>
        <v>60</v>
      </c>
      <c r="H186" s="229">
        <f t="shared" ref="H186" si="349">G186</f>
        <v>60</v>
      </c>
      <c r="J186" s="946" t="s">
        <v>1660</v>
      </c>
      <c r="K186" s="945"/>
      <c r="L186" s="123">
        <f>L108/L$16*365</f>
        <v>63.764074282224243</v>
      </c>
      <c r="M186" s="123">
        <f>M108/M$16*365</f>
        <v>84.916851395476513</v>
      </c>
      <c r="N186" s="123">
        <f>N108/N$16*365</f>
        <v>94.537944013816698</v>
      </c>
      <c r="O186" s="229">
        <f t="shared" ref="O186:R186" si="350">N186</f>
        <v>94.537944013816698</v>
      </c>
      <c r="P186" s="229">
        <f t="shared" si="350"/>
        <v>94.537944013816698</v>
      </c>
      <c r="Q186" s="229">
        <f t="shared" si="350"/>
        <v>94.537944013816698</v>
      </c>
      <c r="R186" s="229">
        <f t="shared" si="350"/>
        <v>94.537944013816698</v>
      </c>
      <c r="T186" s="946"/>
      <c r="U186" s="123"/>
      <c r="V186" s="123"/>
      <c r="W186" s="229"/>
      <c r="X186" s="229"/>
      <c r="Y186" s="229"/>
      <c r="Z186" s="229"/>
      <c r="AA186" s="229"/>
      <c r="AC186" s="946"/>
      <c r="AD186" s="123"/>
      <c r="AE186" s="123"/>
      <c r="AF186" s="229"/>
      <c r="AG186" s="229"/>
      <c r="AH186" s="229"/>
      <c r="AI186" s="229"/>
      <c r="AJ186" s="229"/>
      <c r="AL186" s="946"/>
      <c r="AM186" s="123"/>
      <c r="AN186" s="123"/>
      <c r="AO186" s="229">
        <f>AO5-AN5</f>
        <v>0</v>
      </c>
      <c r="AP186" s="229">
        <f>AP5-AO5</f>
        <v>20</v>
      </c>
      <c r="AQ186" s="229">
        <f>AQ5-AP5</f>
        <v>15</v>
      </c>
      <c r="AR186" s="229">
        <f>AR5-AQ5</f>
        <v>20</v>
      </c>
      <c r="AS186" s="229">
        <f>AS5-AR5</f>
        <v>15</v>
      </c>
      <c r="AU186" s="946"/>
      <c r="AV186" s="123"/>
      <c r="AW186" s="123"/>
      <c r="AX186" s="229"/>
      <c r="AY186" s="229"/>
      <c r="AZ186" s="229"/>
      <c r="BA186" s="229"/>
      <c r="BB186" s="229"/>
      <c r="BD186" s="946"/>
      <c r="BE186" s="123"/>
      <c r="BF186" s="123"/>
      <c r="BG186" s="229"/>
      <c r="BH186" s="229"/>
      <c r="BI186" s="229"/>
      <c r="BJ186" s="229"/>
      <c r="BK186" s="229"/>
    </row>
    <row r="187" spans="2:63" ht="12" customHeight="1" x14ac:dyDescent="0.2">
      <c r="B187" s="946" t="s">
        <v>1661</v>
      </c>
      <c r="C187" s="123">
        <f>C114/C$16*365</f>
        <v>44.214649821807541</v>
      </c>
      <c r="D187" s="229">
        <v>30</v>
      </c>
      <c r="E187" s="229">
        <f>D187</f>
        <v>30</v>
      </c>
      <c r="F187" s="229">
        <f>E187</f>
        <v>30</v>
      </c>
      <c r="G187" s="229">
        <f>F187</f>
        <v>30</v>
      </c>
      <c r="H187" s="229">
        <f>G187</f>
        <v>30</v>
      </c>
      <c r="J187" s="946" t="s">
        <v>1661</v>
      </c>
      <c r="K187" s="945"/>
      <c r="L187" s="123">
        <f>L114/L$16*365</f>
        <v>10.56001754082588</v>
      </c>
      <c r="M187" s="123">
        <f>M114/M$16*365</f>
        <v>22.667421061973929</v>
      </c>
      <c r="N187" s="123">
        <f>N114/N$16*365</f>
        <v>23.663077167231382</v>
      </c>
      <c r="O187" s="229">
        <f>N187</f>
        <v>23.663077167231382</v>
      </c>
      <c r="P187" s="229">
        <f>O187</f>
        <v>23.663077167231382</v>
      </c>
      <c r="Q187" s="229">
        <f>P187</f>
        <v>23.663077167231382</v>
      </c>
      <c r="R187" s="229">
        <f>Q187</f>
        <v>23.663077167231382</v>
      </c>
      <c r="T187" s="946"/>
      <c r="U187" s="123"/>
      <c r="V187" s="123"/>
      <c r="W187" s="229"/>
      <c r="X187" s="229"/>
      <c r="Y187" s="229"/>
      <c r="Z187" s="229"/>
      <c r="AA187" s="229"/>
      <c r="AC187" s="946"/>
      <c r="AD187" s="123"/>
      <c r="AE187" s="123"/>
      <c r="AF187" s="229"/>
      <c r="AG187" s="229"/>
      <c r="AH187" s="229"/>
      <c r="AI187" s="229"/>
      <c r="AJ187" s="229"/>
      <c r="AL187" s="946"/>
      <c r="AM187" s="123"/>
      <c r="AN187" s="123"/>
      <c r="AO187" s="229"/>
      <c r="AP187" s="229">
        <v>250</v>
      </c>
      <c r="AQ187" s="229">
        <v>250</v>
      </c>
      <c r="AR187" s="229">
        <v>250</v>
      </c>
      <c r="AS187" s="229">
        <v>250</v>
      </c>
      <c r="AU187" s="946"/>
      <c r="AV187" s="123"/>
      <c r="AW187" s="123"/>
      <c r="AX187" s="229"/>
      <c r="AY187" s="229"/>
      <c r="AZ187" s="229"/>
      <c r="BA187" s="229"/>
      <c r="BB187" s="229"/>
      <c r="BD187" s="946"/>
      <c r="BE187" s="123"/>
      <c r="BF187" s="123"/>
      <c r="BG187" s="229"/>
      <c r="BH187" s="229"/>
      <c r="BI187" s="229"/>
      <c r="BJ187" s="229"/>
      <c r="BK187" s="229"/>
    </row>
    <row r="188" spans="2:63" ht="12" customHeight="1" x14ac:dyDescent="0.2">
      <c r="B188" s="946" t="s">
        <v>1662</v>
      </c>
      <c r="C188" s="945"/>
      <c r="D188" s="8"/>
      <c r="E188" s="8"/>
      <c r="F188" s="8"/>
      <c r="G188" s="8"/>
      <c r="H188" s="8"/>
      <c r="J188" s="946" t="s">
        <v>1662</v>
      </c>
      <c r="K188" s="945"/>
      <c r="L188" s="945"/>
      <c r="M188" s="945"/>
      <c r="N188" s="945"/>
      <c r="O188" s="8"/>
      <c r="P188" s="8"/>
      <c r="Q188" s="8"/>
      <c r="R188" s="8"/>
      <c r="T188" s="946"/>
      <c r="U188" s="945"/>
      <c r="V188" s="945"/>
      <c r="W188" s="8"/>
      <c r="X188" s="8"/>
      <c r="Y188" s="8"/>
      <c r="Z188" s="8"/>
      <c r="AA188" s="8"/>
      <c r="AC188" s="946"/>
      <c r="AD188" s="945"/>
      <c r="AE188" s="945"/>
      <c r="AF188" s="8"/>
      <c r="AG188" s="8"/>
      <c r="AH188" s="8"/>
      <c r="AI188" s="8"/>
      <c r="AJ188" s="8"/>
      <c r="AL188" s="946"/>
      <c r="AM188" s="945"/>
      <c r="AN188" s="945"/>
      <c r="AO188" s="8"/>
      <c r="AP188" s="8"/>
      <c r="AQ188" s="8"/>
      <c r="AR188" s="8"/>
      <c r="AS188" s="8"/>
      <c r="AU188" s="946"/>
      <c r="AV188" s="945"/>
      <c r="AW188" s="945"/>
      <c r="AX188" s="8"/>
      <c r="AY188" s="8"/>
      <c r="AZ188" s="8"/>
      <c r="BA188" s="8"/>
      <c r="BB188" s="8"/>
      <c r="BD188" s="946"/>
      <c r="BE188" s="945"/>
      <c r="BF188" s="945"/>
      <c r="BG188" s="8"/>
      <c r="BH188" s="8"/>
      <c r="BI188" s="8"/>
      <c r="BJ188" s="8"/>
      <c r="BK188" s="8"/>
    </row>
    <row r="189" spans="2:63" ht="12" customHeight="1" x14ac:dyDescent="0.25">
      <c r="B189" s="6"/>
      <c r="C189" s="945"/>
      <c r="D189" s="8"/>
      <c r="E189" s="8"/>
      <c r="F189" s="8"/>
      <c r="G189" s="8"/>
      <c r="H189" s="8"/>
      <c r="J189" s="6"/>
      <c r="K189" s="945"/>
      <c r="L189" s="945"/>
      <c r="M189" s="945"/>
      <c r="N189" s="945"/>
      <c r="O189" s="8"/>
      <c r="P189" s="8"/>
      <c r="Q189" s="8"/>
      <c r="R189" s="8"/>
      <c r="T189" s="6"/>
      <c r="U189" s="945"/>
      <c r="V189" s="945"/>
      <c r="W189" s="8"/>
      <c r="X189" s="8"/>
      <c r="Y189" s="8"/>
      <c r="Z189" s="8"/>
      <c r="AA189" s="8"/>
      <c r="AC189" s="6"/>
      <c r="AD189" s="945"/>
      <c r="AE189" s="945"/>
      <c r="AF189" s="8"/>
      <c r="AG189" s="8"/>
      <c r="AH189" s="8"/>
      <c r="AI189" s="8"/>
      <c r="AJ189" s="8"/>
      <c r="AL189" s="6"/>
      <c r="AM189" s="945"/>
      <c r="AN189" s="945"/>
      <c r="AO189" s="8"/>
      <c r="AP189" s="8"/>
      <c r="AQ189" s="8"/>
      <c r="AR189" s="8"/>
      <c r="AS189" s="8"/>
      <c r="AU189" s="6"/>
      <c r="AV189" s="945"/>
      <c r="AW189" s="945"/>
      <c r="AX189" s="8"/>
      <c r="AY189" s="8"/>
      <c r="AZ189" s="8"/>
      <c r="BA189" s="8"/>
      <c r="BB189" s="8"/>
      <c r="BD189" s="6"/>
      <c r="BE189" s="945"/>
      <c r="BF189" s="945"/>
      <c r="BG189" s="8"/>
      <c r="BH189" s="8"/>
      <c r="BI189" s="8"/>
      <c r="BJ189" s="8"/>
      <c r="BK189" s="8"/>
    </row>
    <row r="190" spans="2:63" ht="12" customHeight="1" x14ac:dyDescent="0.25">
      <c r="B190" s="6" t="s">
        <v>158</v>
      </c>
      <c r="C190" s="123">
        <v>10000</v>
      </c>
      <c r="D190" s="229">
        <v>15000</v>
      </c>
      <c r="E190" s="229">
        <f>35000/2</f>
        <v>17500</v>
      </c>
      <c r="F190" s="229">
        <f>35000/2</f>
        <v>17500</v>
      </c>
      <c r="G190" s="229">
        <v>15000</v>
      </c>
      <c r="H190" s="229">
        <v>15000</v>
      </c>
      <c r="J190" s="6" t="s">
        <v>158</v>
      </c>
      <c r="K190" s="945"/>
      <c r="L190" s="945"/>
      <c r="M190" s="945"/>
      <c r="N190" s="945"/>
      <c r="O190" s="8">
        <v>0</v>
      </c>
      <c r="P190" s="8">
        <v>0</v>
      </c>
      <c r="Q190" s="8">
        <v>0</v>
      </c>
      <c r="R190" s="8">
        <v>0</v>
      </c>
      <c r="S190" s="895"/>
      <c r="T190" s="6"/>
      <c r="U190" s="945"/>
      <c r="V190" s="945"/>
      <c r="W190" s="8"/>
      <c r="X190" s="8"/>
      <c r="Y190" s="8"/>
      <c r="Z190" s="8"/>
      <c r="AA190" s="8"/>
      <c r="AC190" s="6"/>
      <c r="AD190" s="945"/>
      <c r="AE190" s="945"/>
      <c r="AF190" s="8"/>
      <c r="AG190" s="8"/>
      <c r="AH190" s="8"/>
      <c r="AI190" s="8"/>
      <c r="AJ190" s="8"/>
      <c r="AL190" s="6"/>
      <c r="AM190" s="945"/>
      <c r="AN190" s="945"/>
      <c r="AO190" s="8"/>
      <c r="AP190" s="229"/>
      <c r="AQ190" s="229"/>
      <c r="AR190" s="229"/>
      <c r="AS190" s="229"/>
      <c r="AU190" s="6"/>
      <c r="AV190" s="945"/>
      <c r="AW190" s="945"/>
      <c r="AX190" s="8"/>
      <c r="AY190" s="229"/>
      <c r="AZ190" s="229"/>
      <c r="BA190" s="229"/>
      <c r="BB190" s="229"/>
      <c r="BD190" s="6"/>
      <c r="BE190" s="945"/>
      <c r="BF190" s="945"/>
      <c r="BG190" s="8"/>
      <c r="BH190" s="229"/>
      <c r="BI190" s="229"/>
      <c r="BJ190" s="229"/>
      <c r="BK190" s="229"/>
    </row>
    <row r="191" spans="2:63" ht="12" customHeight="1" x14ac:dyDescent="0.25">
      <c r="B191" s="6"/>
      <c r="C191" s="945"/>
      <c r="D191" s="787"/>
      <c r="E191" s="787"/>
      <c r="F191" s="787"/>
      <c r="G191" s="787"/>
      <c r="H191" s="787"/>
      <c r="J191" s="6"/>
      <c r="K191" s="945"/>
      <c r="L191" s="945"/>
      <c r="M191" s="945"/>
      <c r="N191" s="945"/>
      <c r="O191" s="787">
        <v>0.1</v>
      </c>
      <c r="P191" s="787">
        <v>0.2</v>
      </c>
      <c r="Q191" s="787">
        <v>0.3</v>
      </c>
      <c r="R191" s="787">
        <v>0.3</v>
      </c>
      <c r="S191" s="948"/>
      <c r="T191" s="6"/>
      <c r="U191" s="945"/>
      <c r="V191" s="945"/>
      <c r="W191" s="787"/>
      <c r="X191" s="787"/>
      <c r="Y191" s="787"/>
      <c r="Z191" s="787"/>
      <c r="AA191" s="787"/>
      <c r="AC191" s="6"/>
      <c r="AD191" s="945"/>
      <c r="AE191" s="945"/>
      <c r="AF191" s="787"/>
      <c r="AG191" s="787"/>
      <c r="AH191" s="787"/>
      <c r="AI191" s="787"/>
      <c r="AJ191" s="787"/>
      <c r="AL191" s="6"/>
      <c r="AM191" s="945"/>
      <c r="AN191" s="945"/>
      <c r="AO191" s="787"/>
      <c r="AP191" s="787"/>
      <c r="AQ191" s="787"/>
      <c r="AR191" s="787"/>
      <c r="AS191" s="787"/>
      <c r="AU191" s="6"/>
      <c r="AV191" s="945"/>
      <c r="AW191" s="945"/>
      <c r="AX191" s="787"/>
      <c r="AY191" s="787"/>
      <c r="AZ191" s="787"/>
      <c r="BA191" s="787"/>
      <c r="BB191" s="787"/>
      <c r="BD191" s="6"/>
      <c r="BE191" s="945"/>
      <c r="BF191" s="945"/>
      <c r="BG191" s="787"/>
      <c r="BH191" s="787"/>
      <c r="BI191" s="787"/>
      <c r="BJ191" s="787"/>
      <c r="BK191" s="787"/>
    </row>
    <row r="192" spans="2:63" ht="12" customHeight="1" x14ac:dyDescent="0.25">
      <c r="B192" s="6"/>
      <c r="C192" s="945"/>
      <c r="D192" s="8"/>
      <c r="E192" s="8"/>
      <c r="F192" s="8"/>
      <c r="G192" s="8"/>
      <c r="H192" s="8"/>
      <c r="J192" s="6"/>
      <c r="K192" s="945"/>
      <c r="L192" s="945"/>
      <c r="M192" s="945"/>
      <c r="N192" s="945"/>
      <c r="O192" s="8"/>
      <c r="P192" s="8"/>
      <c r="Q192" s="8"/>
      <c r="R192" s="8"/>
      <c r="T192" s="6"/>
      <c r="U192" s="945"/>
      <c r="V192" s="945"/>
      <c r="W192" s="8"/>
      <c r="X192" s="8"/>
      <c r="Y192" s="8"/>
      <c r="Z192" s="8"/>
      <c r="AA192" s="8"/>
      <c r="AC192" s="6"/>
      <c r="AD192" s="945"/>
      <c r="AE192" s="945"/>
      <c r="AF192" s="8"/>
      <c r="AG192" s="8"/>
      <c r="AH192" s="8"/>
      <c r="AI192" s="8"/>
      <c r="AJ192" s="8"/>
      <c r="AL192" s="6"/>
      <c r="AM192" s="945"/>
      <c r="AN192" s="945"/>
      <c r="AO192" s="8"/>
      <c r="AP192" s="8"/>
      <c r="AQ192" s="8"/>
      <c r="AR192" s="8"/>
      <c r="AS192" s="8"/>
      <c r="AU192" s="6"/>
      <c r="AV192" s="945"/>
      <c r="AW192" s="945"/>
      <c r="AX192" s="8"/>
      <c r="AY192" s="8"/>
      <c r="AZ192" s="8"/>
      <c r="BA192" s="8"/>
      <c r="BB192" s="8"/>
      <c r="BD192" s="6"/>
      <c r="BE192" s="945"/>
      <c r="BF192" s="945"/>
      <c r="BG192" s="8"/>
      <c r="BH192" s="8"/>
      <c r="BI192" s="8"/>
      <c r="BJ192" s="8"/>
      <c r="BK192" s="8"/>
    </row>
    <row r="193" spans="2:63" ht="12" customHeight="1" x14ac:dyDescent="0.25">
      <c r="B193" s="6" t="s">
        <v>1663</v>
      </c>
      <c r="C193" s="945"/>
      <c r="D193" s="8"/>
      <c r="E193" s="8"/>
      <c r="F193" s="8"/>
      <c r="G193" s="8"/>
      <c r="H193" s="8"/>
      <c r="J193" s="6" t="s">
        <v>1663</v>
      </c>
      <c r="K193" s="945"/>
      <c r="L193" s="945"/>
      <c r="M193" s="945"/>
      <c r="N193" s="945"/>
      <c r="O193" s="8">
        <f t="shared" ref="O193:R193" si="351">O190*0.25</f>
        <v>0</v>
      </c>
      <c r="P193" s="8">
        <f t="shared" si="351"/>
        <v>0</v>
      </c>
      <c r="Q193" s="8">
        <f t="shared" si="351"/>
        <v>0</v>
      </c>
      <c r="R193" s="8">
        <f t="shared" si="351"/>
        <v>0</v>
      </c>
      <c r="T193" s="6"/>
      <c r="U193" s="945"/>
      <c r="V193" s="945"/>
      <c r="W193" s="8"/>
      <c r="X193" s="8"/>
      <c r="Y193" s="8"/>
      <c r="Z193" s="8"/>
      <c r="AA193" s="8"/>
      <c r="AC193" s="6"/>
      <c r="AD193" s="945"/>
      <c r="AE193" s="945"/>
      <c r="AF193" s="8"/>
      <c r="AG193" s="8"/>
      <c r="AH193" s="8"/>
      <c r="AI193" s="8"/>
      <c r="AJ193" s="8"/>
      <c r="AL193" s="6"/>
      <c r="AM193" s="945"/>
      <c r="AN193" s="945"/>
      <c r="AO193" s="8"/>
      <c r="AP193" s="8"/>
      <c r="AQ193" s="8"/>
      <c r="AR193" s="8"/>
      <c r="AS193" s="8"/>
      <c r="AU193" s="6"/>
      <c r="AV193" s="945"/>
      <c r="AW193" s="945"/>
      <c r="AX193" s="8"/>
      <c r="AY193" s="8"/>
      <c r="AZ193" s="8"/>
      <c r="BA193" s="8"/>
      <c r="BB193" s="8"/>
      <c r="BD193" s="6"/>
      <c r="BE193" s="945"/>
      <c r="BF193" s="945"/>
      <c r="BG193" s="8"/>
      <c r="BH193" s="8"/>
      <c r="BI193" s="8"/>
      <c r="BJ193" s="8"/>
      <c r="BK193" s="8"/>
    </row>
    <row r="194" spans="2:63" ht="12" customHeight="1" x14ac:dyDescent="0.25">
      <c r="B194" s="6"/>
      <c r="C194" s="945"/>
      <c r="D194" s="227" t="s">
        <v>177</v>
      </c>
      <c r="E194" s="227" t="s">
        <v>178</v>
      </c>
      <c r="F194" s="227" t="s">
        <v>179</v>
      </c>
      <c r="G194" s="227" t="s">
        <v>231</v>
      </c>
      <c r="H194" s="227" t="s">
        <v>232</v>
      </c>
      <c r="J194" s="6"/>
      <c r="K194" s="945"/>
      <c r="L194" s="945"/>
      <c r="M194" s="945"/>
      <c r="N194" s="945"/>
      <c r="O194" s="8"/>
      <c r="P194" s="8"/>
      <c r="Q194" s="8"/>
      <c r="R194" s="8"/>
      <c r="T194" s="6"/>
      <c r="U194" s="945"/>
      <c r="V194" s="945"/>
      <c r="W194" s="8"/>
      <c r="X194" s="8"/>
      <c r="Y194" s="8"/>
      <c r="Z194" s="8"/>
      <c r="AA194" s="8"/>
      <c r="AC194" s="6"/>
      <c r="AD194" s="945"/>
      <c r="AE194" s="945"/>
      <c r="AF194" s="8"/>
      <c r="AG194" s="8"/>
      <c r="AH194" s="8"/>
      <c r="AI194" s="8"/>
      <c r="AJ194" s="8"/>
      <c r="AL194" s="6"/>
      <c r="AM194" s="945"/>
      <c r="AN194" s="945"/>
      <c r="AO194" s="8"/>
      <c r="AP194" s="8"/>
      <c r="AQ194" s="8"/>
      <c r="AR194" s="8"/>
      <c r="AS194" s="8"/>
      <c r="AU194" s="6"/>
      <c r="AV194" s="945"/>
      <c r="AW194" s="945"/>
      <c r="AX194" s="8"/>
      <c r="AY194" s="8"/>
      <c r="AZ194" s="8"/>
      <c r="BA194" s="8"/>
      <c r="BB194" s="8"/>
      <c r="BD194" s="6"/>
      <c r="BE194" s="945"/>
      <c r="BF194" s="945"/>
      <c r="BG194" s="8"/>
      <c r="BH194" s="8"/>
      <c r="BI194" s="8"/>
      <c r="BJ194" s="8"/>
      <c r="BK194" s="8"/>
    </row>
    <row r="195" spans="2:63" ht="12" customHeight="1" x14ac:dyDescent="0.25">
      <c r="B195" s="6" t="s">
        <v>173</v>
      </c>
      <c r="C195" s="123">
        <f>C121</f>
        <v>35876.764999999999</v>
      </c>
      <c r="D195" s="8">
        <f ca="1">D121</f>
        <v>50983.631046603885</v>
      </c>
      <c r="E195" s="8">
        <f t="shared" ref="E195:H195" ca="1" si="352">E121</f>
        <v>68168.921599674824</v>
      </c>
      <c r="F195" s="8">
        <f t="shared" ca="1" si="352"/>
        <v>84187.295219414111</v>
      </c>
      <c r="G195" s="8">
        <f t="shared" ca="1" si="352"/>
        <v>98972.633905917784</v>
      </c>
      <c r="H195" s="8">
        <f t="shared" ca="1" si="352"/>
        <v>115460.23951046646</v>
      </c>
      <c r="J195" s="6"/>
      <c r="K195" s="945"/>
      <c r="L195" s="945"/>
      <c r="M195" s="945"/>
      <c r="N195" s="945"/>
      <c r="O195" s="8"/>
      <c r="P195" s="8"/>
      <c r="Q195" s="8"/>
      <c r="R195" s="8"/>
      <c r="T195" s="6"/>
      <c r="U195" s="945"/>
      <c r="V195" s="945"/>
      <c r="W195" s="8"/>
      <c r="X195" s="8"/>
      <c r="Y195" s="8"/>
      <c r="Z195" s="8"/>
      <c r="AA195" s="8"/>
      <c r="AC195" s="6"/>
      <c r="AD195" s="945"/>
      <c r="AE195" s="945"/>
      <c r="AF195" s="8"/>
      <c r="AG195" s="8"/>
      <c r="AH195" s="8"/>
      <c r="AI195" s="8"/>
      <c r="AJ195" s="8"/>
      <c r="AL195" s="6"/>
      <c r="AM195" s="945"/>
      <c r="AN195" s="945"/>
      <c r="AO195" s="8"/>
      <c r="AP195" s="8"/>
      <c r="AQ195" s="8"/>
      <c r="AR195" s="8"/>
      <c r="AS195" s="8"/>
      <c r="AU195" s="6"/>
      <c r="AV195" s="945"/>
      <c r="AW195" s="945"/>
      <c r="AX195" s="8"/>
      <c r="AY195" s="8"/>
      <c r="AZ195" s="8"/>
      <c r="BA195" s="8"/>
      <c r="BB195" s="8"/>
      <c r="BD195" s="6"/>
      <c r="BE195" s="945"/>
      <c r="BF195" s="945"/>
      <c r="BG195" s="8"/>
      <c r="BH195" s="8"/>
      <c r="BI195" s="8"/>
      <c r="BJ195" s="8"/>
      <c r="BK195" s="8"/>
    </row>
    <row r="196" spans="2:63" ht="12" customHeight="1" x14ac:dyDescent="0.25">
      <c r="B196" s="6" t="s">
        <v>1963</v>
      </c>
      <c r="C196" s="945"/>
      <c r="D196" s="8">
        <f ca="1">AVERAGE(C195:D195)</f>
        <v>43430.198023301942</v>
      </c>
      <c r="E196" s="8">
        <f t="shared" ref="E196:H196" ca="1" si="353">AVERAGE(D195:E195)</f>
        <v>59576.276323139355</v>
      </c>
      <c r="F196" s="8">
        <f t="shared" ca="1" si="353"/>
        <v>76178.108409544468</v>
      </c>
      <c r="G196" s="8">
        <f t="shared" ca="1" si="353"/>
        <v>91579.964562665948</v>
      </c>
      <c r="H196" s="8">
        <f t="shared" ca="1" si="353"/>
        <v>107216.43670819212</v>
      </c>
      <c r="J196" s="185" t="s">
        <v>1808</v>
      </c>
      <c r="K196" s="945"/>
      <c r="L196" s="1236"/>
      <c r="M196" s="1236">
        <v>274</v>
      </c>
      <c r="N196" s="1236">
        <v>331</v>
      </c>
      <c r="O196" s="8"/>
      <c r="P196" s="8"/>
      <c r="Q196" s="8"/>
      <c r="R196" s="8"/>
      <c r="T196" s="6"/>
      <c r="U196" s="945"/>
      <c r="V196" s="945"/>
      <c r="W196" s="8"/>
      <c r="X196" s="8"/>
      <c r="Y196" s="8"/>
      <c r="Z196" s="8"/>
      <c r="AA196" s="8"/>
      <c r="AC196" s="6"/>
      <c r="AD196" s="945"/>
      <c r="AE196" s="945"/>
      <c r="AF196" s="8"/>
      <c r="AG196" s="8"/>
      <c r="AH196" s="8"/>
      <c r="AI196" s="8"/>
      <c r="AJ196" s="8"/>
      <c r="AL196" s="6"/>
      <c r="AM196" s="945"/>
      <c r="AN196" s="945"/>
      <c r="AO196" s="8"/>
      <c r="AP196" s="8"/>
      <c r="AQ196" s="8"/>
      <c r="AR196" s="8"/>
      <c r="AS196" s="8"/>
      <c r="AU196" s="6"/>
      <c r="AV196" s="945"/>
      <c r="AW196" s="945"/>
      <c r="AX196" s="8"/>
      <c r="AY196" s="8"/>
      <c r="AZ196" s="8"/>
      <c r="BA196" s="8"/>
      <c r="BB196" s="8"/>
      <c r="BD196" s="6"/>
      <c r="BE196" s="945"/>
      <c r="BF196" s="945"/>
      <c r="BG196" s="8"/>
      <c r="BH196" s="8"/>
      <c r="BI196" s="8"/>
      <c r="BJ196" s="8"/>
      <c r="BK196" s="8"/>
    </row>
    <row r="197" spans="2:63" ht="12" customHeight="1" x14ac:dyDescent="0.25">
      <c r="B197" s="6" t="s">
        <v>1962</v>
      </c>
      <c r="C197" s="945"/>
      <c r="D197" s="947">
        <f ca="1">(D33*(1-D46))/D196</f>
        <v>8.743103986060102E-3</v>
      </c>
      <c r="E197" s="947">
        <f t="shared" ref="E197:H197" ca="1" si="354">(E33*(1-E46))/E196</f>
        <v>3.3526025439008116E-2</v>
      </c>
      <c r="F197" s="947">
        <f t="shared" ca="1" si="354"/>
        <v>4.762989741618933E-2</v>
      </c>
      <c r="G197" s="947">
        <f t="shared" ca="1" si="354"/>
        <v>7.6143698631433637E-2</v>
      </c>
      <c r="H197" s="947">
        <f t="shared" ca="1" si="354"/>
        <v>9.7272903862371529E-2</v>
      </c>
      <c r="J197" s="185" t="s">
        <v>1805</v>
      </c>
      <c r="K197" s="945"/>
      <c r="L197" s="1236"/>
      <c r="M197" s="1236">
        <v>1071</v>
      </c>
      <c r="N197" s="1236">
        <v>1501</v>
      </c>
      <c r="O197" s="8"/>
      <c r="P197" s="8"/>
      <c r="Q197" s="8"/>
      <c r="R197" s="8"/>
      <c r="T197" s="6"/>
      <c r="U197" s="945"/>
      <c r="V197" s="945"/>
      <c r="W197" s="8"/>
      <c r="X197" s="8"/>
      <c r="Y197" s="8"/>
      <c r="Z197" s="8"/>
      <c r="AA197" s="8"/>
      <c r="AC197" s="6"/>
      <c r="AD197" s="945"/>
      <c r="AE197" s="945"/>
      <c r="AF197" s="8"/>
      <c r="AG197" s="8"/>
      <c r="AH197" s="8"/>
      <c r="AI197" s="8"/>
      <c r="AJ197" s="8"/>
      <c r="AL197" s="6"/>
      <c r="AM197" s="945"/>
      <c r="AN197" s="945"/>
      <c r="AO197" s="8"/>
      <c r="AP197" s="8"/>
      <c r="AQ197" s="8"/>
      <c r="AR197" s="8"/>
      <c r="AS197" s="8"/>
      <c r="AU197" s="6"/>
      <c r="AV197" s="945"/>
      <c r="AW197" s="945"/>
      <c r="AX197" s="8"/>
      <c r="AY197" s="8"/>
      <c r="AZ197" s="8"/>
      <c r="BA197" s="8"/>
      <c r="BB197" s="8"/>
      <c r="BD197" s="6"/>
      <c r="BE197" s="945"/>
      <c r="BF197" s="945"/>
      <c r="BG197" s="8"/>
      <c r="BH197" s="8"/>
      <c r="BI197" s="8"/>
      <c r="BJ197" s="8"/>
      <c r="BK197" s="8"/>
    </row>
    <row r="198" spans="2:63" ht="12" customHeight="1" x14ac:dyDescent="0.25">
      <c r="B198" s="6" t="s">
        <v>1964</v>
      </c>
      <c r="C198" s="945"/>
      <c r="D198" s="947">
        <f ca="1">D33/(D195-D109-D94)</f>
        <v>1.0320658253733172E-2</v>
      </c>
      <c r="E198" s="947">
        <f t="shared" ref="E198:H198" ca="1" si="355">E33/(E195-E109-E94)</f>
        <v>4.0434611799671498E-2</v>
      </c>
      <c r="F198" s="947">
        <f t="shared" ca="1" si="355"/>
        <v>5.8662960876799876E-2</v>
      </c>
      <c r="G198" s="947">
        <f t="shared" ca="1" si="355"/>
        <v>9.5557099526259404E-2</v>
      </c>
      <c r="H198" s="947">
        <f t="shared" ca="1" si="355"/>
        <v>0.12464584626437256</v>
      </c>
      <c r="J198" s="185" t="s">
        <v>551</v>
      </c>
      <c r="K198" s="945"/>
      <c r="L198" s="1236"/>
      <c r="M198" s="1236"/>
      <c r="N198" s="1236"/>
      <c r="O198" s="8"/>
      <c r="P198" s="8"/>
      <c r="Q198" s="8"/>
      <c r="R198" s="8"/>
      <c r="T198" s="6"/>
      <c r="U198" s="945"/>
      <c r="V198" s="945"/>
      <c r="W198" s="8"/>
      <c r="X198" s="8"/>
      <c r="Y198" s="8"/>
      <c r="Z198" s="8"/>
      <c r="AA198" s="8"/>
      <c r="AC198" s="6"/>
      <c r="AD198" s="945"/>
      <c r="AE198" s="945"/>
      <c r="AF198" s="8"/>
      <c r="AG198" s="8"/>
      <c r="AH198" s="8"/>
      <c r="AI198" s="8"/>
      <c r="AJ198" s="8"/>
      <c r="AL198" s="6"/>
      <c r="AM198" s="945"/>
      <c r="AN198" s="945"/>
      <c r="AO198" s="8"/>
      <c r="AP198" s="8"/>
      <c r="AQ198" s="8"/>
      <c r="AR198" s="8"/>
      <c r="AS198" s="8"/>
      <c r="AU198" s="6"/>
      <c r="AV198" s="945"/>
      <c r="AW198" s="945"/>
      <c r="AX198" s="8"/>
      <c r="AY198" s="8"/>
      <c r="AZ198" s="8"/>
      <c r="BA198" s="8"/>
      <c r="BB198" s="8"/>
      <c r="BD198" s="6"/>
      <c r="BE198" s="945"/>
      <c r="BF198" s="945"/>
      <c r="BG198" s="8"/>
      <c r="BH198" s="8"/>
      <c r="BI198" s="8"/>
      <c r="BJ198" s="8"/>
      <c r="BK198" s="8"/>
    </row>
    <row r="199" spans="2:63" ht="12" customHeight="1" x14ac:dyDescent="0.25">
      <c r="B199" s="6" t="s">
        <v>2024</v>
      </c>
      <c r="C199" s="945"/>
      <c r="D199" s="8">
        <f ca="1">+AVERAGE(D69+D70,C69+C70)</f>
        <v>31224.232023301935</v>
      </c>
      <c r="E199" s="8">
        <f t="shared" ref="E199:H199" ca="1" si="356">+AVERAGE(E69+E70,D69+D70)</f>
        <v>31620.310323139351</v>
      </c>
      <c r="F199" s="8">
        <f t="shared" ca="1" si="356"/>
        <v>32305.475742877803</v>
      </c>
      <c r="G199" s="8">
        <f t="shared" ca="1" si="356"/>
        <v>34207.331895999283</v>
      </c>
      <c r="H199" s="8">
        <f t="shared" ca="1" si="356"/>
        <v>38677.137374858794</v>
      </c>
      <c r="J199" s="6"/>
      <c r="K199" s="945"/>
      <c r="L199" s="1236"/>
      <c r="M199" s="1236"/>
      <c r="N199" s="1236"/>
      <c r="O199" s="8"/>
      <c r="P199" s="8"/>
      <c r="Q199" s="8"/>
      <c r="R199" s="8"/>
      <c r="T199" s="6"/>
      <c r="U199" s="945"/>
      <c r="V199" s="945"/>
      <c r="W199" s="8"/>
      <c r="X199" s="8"/>
      <c r="Y199" s="8"/>
      <c r="Z199" s="8"/>
      <c r="AA199" s="8"/>
      <c r="AC199" s="6"/>
      <c r="AD199" s="945"/>
      <c r="AE199" s="945"/>
      <c r="AF199" s="8"/>
      <c r="AG199" s="8"/>
      <c r="AH199" s="8"/>
      <c r="AI199" s="8"/>
      <c r="AJ199" s="8"/>
      <c r="AL199" s="6"/>
      <c r="AM199" s="945"/>
      <c r="AN199" s="945"/>
      <c r="AO199" s="8"/>
      <c r="AP199" s="8"/>
      <c r="AQ199" s="8"/>
      <c r="AR199" s="8"/>
      <c r="AS199" s="8"/>
      <c r="AU199" s="6"/>
      <c r="AV199" s="945"/>
      <c r="AW199" s="945"/>
      <c r="AX199" s="8"/>
      <c r="AY199" s="8"/>
      <c r="AZ199" s="8"/>
      <c r="BA199" s="8"/>
      <c r="BB199" s="8"/>
      <c r="BD199" s="6"/>
      <c r="BE199" s="945"/>
      <c r="BF199" s="945"/>
      <c r="BG199" s="8"/>
      <c r="BH199" s="8"/>
      <c r="BI199" s="8"/>
      <c r="BJ199" s="8"/>
      <c r="BK199" s="8"/>
    </row>
    <row r="200" spans="2:63" ht="12" customHeight="1" x14ac:dyDescent="0.25">
      <c r="B200" s="6" t="s">
        <v>2025</v>
      </c>
      <c r="C200" s="945"/>
      <c r="D200" s="127">
        <f ca="1">+D53/D199</f>
        <v>3.4225356295113792E-3</v>
      </c>
      <c r="E200" s="127">
        <f t="shared" ref="E200:H200" ca="1" si="357">+E53/E199</f>
        <v>2.1672480316218143E-2</v>
      </c>
      <c r="F200" s="127">
        <f t="shared" ca="1" si="357"/>
        <v>2.1205082750003445E-2</v>
      </c>
      <c r="G200" s="127">
        <f t="shared" ca="1" si="357"/>
        <v>9.1169695120295297E-2</v>
      </c>
      <c r="H200" s="127">
        <f t="shared" ca="1" si="357"/>
        <v>0.15050076952349076</v>
      </c>
      <c r="J200" s="1238" t="s">
        <v>1975</v>
      </c>
      <c r="K200" s="220"/>
      <c r="L200" s="1239"/>
      <c r="M200" s="220">
        <v>0.44</v>
      </c>
      <c r="N200" s="220">
        <v>0.56000000000000005</v>
      </c>
      <c r="O200" s="8"/>
      <c r="P200" s="8"/>
      <c r="Q200" s="8"/>
      <c r="R200" s="8"/>
      <c r="T200" s="6"/>
      <c r="U200" s="945"/>
      <c r="V200" s="945"/>
      <c r="W200" s="8"/>
      <c r="X200" s="8"/>
      <c r="Y200" s="8"/>
      <c r="Z200" s="8"/>
      <c r="AA200" s="8"/>
      <c r="AC200" s="6"/>
      <c r="AD200" s="945"/>
      <c r="AE200" s="945"/>
      <c r="AF200" s="8"/>
      <c r="AG200" s="8"/>
      <c r="AH200" s="8"/>
      <c r="AI200" s="8"/>
      <c r="AJ200" s="8"/>
      <c r="AL200" s="6"/>
      <c r="AM200" s="945"/>
      <c r="AN200" s="945"/>
      <c r="AO200" s="8"/>
      <c r="AP200" s="8"/>
      <c r="AQ200" s="8"/>
      <c r="AR200" s="8"/>
      <c r="AS200" s="8"/>
      <c r="AU200" s="6"/>
      <c r="AV200" s="945"/>
      <c r="AW200" s="945"/>
      <c r="AX200" s="8"/>
      <c r="AY200" s="8"/>
      <c r="AZ200" s="8"/>
      <c r="BA200" s="8"/>
      <c r="BB200" s="8"/>
      <c r="BD200" s="6"/>
      <c r="BE200" s="945"/>
      <c r="BF200" s="945"/>
      <c r="BG200" s="8"/>
      <c r="BH200" s="8"/>
      <c r="BI200" s="8"/>
      <c r="BJ200" s="8"/>
      <c r="BK200" s="8"/>
    </row>
    <row r="201" spans="2:63" ht="12" customHeight="1" x14ac:dyDescent="0.25">
      <c r="B201" s="6"/>
      <c r="C201" s="945"/>
      <c r="D201" s="8"/>
      <c r="E201" s="8"/>
      <c r="F201" s="8"/>
      <c r="G201" s="8"/>
      <c r="H201" s="8"/>
      <c r="J201" s="9" t="s">
        <v>1976</v>
      </c>
      <c r="K201" s="945"/>
      <c r="L201" s="1236"/>
      <c r="M201" s="1236"/>
      <c r="N201" s="1236"/>
      <c r="O201" s="8"/>
      <c r="P201" s="8"/>
      <c r="Q201" s="8"/>
      <c r="R201" s="8"/>
      <c r="T201" s="6"/>
      <c r="U201" s="945"/>
      <c r="V201" s="945"/>
      <c r="W201" s="8"/>
      <c r="X201" s="8"/>
      <c r="Y201" s="8"/>
      <c r="Z201" s="8"/>
      <c r="AA201" s="8"/>
      <c r="AC201" s="6"/>
      <c r="AD201" s="945"/>
      <c r="AE201" s="945"/>
      <c r="AF201" s="8"/>
      <c r="AG201" s="8"/>
      <c r="AH201" s="8"/>
      <c r="AI201" s="8"/>
      <c r="AJ201" s="8"/>
      <c r="AL201" s="6"/>
      <c r="AM201" s="945"/>
      <c r="AN201" s="945"/>
      <c r="AO201" s="8"/>
      <c r="AP201" s="8"/>
      <c r="AQ201" s="8"/>
      <c r="AR201" s="8"/>
      <c r="AS201" s="8"/>
      <c r="AU201" s="6"/>
      <c r="AV201" s="945"/>
      <c r="AW201" s="945"/>
      <c r="AX201" s="8"/>
      <c r="AY201" s="8"/>
      <c r="AZ201" s="8"/>
      <c r="BA201" s="8"/>
      <c r="BB201" s="8"/>
      <c r="BD201" s="6"/>
      <c r="BE201" s="945"/>
      <c r="BF201" s="945"/>
      <c r="BG201" s="8"/>
      <c r="BH201" s="8"/>
      <c r="BI201" s="8"/>
      <c r="BJ201" s="8"/>
      <c r="BK201" s="8"/>
    </row>
    <row r="202" spans="2:63" ht="12" customHeight="1" x14ac:dyDescent="0.25">
      <c r="E202" s="33">
        <f ca="1">+E196-D196</f>
        <v>16146.078299837412</v>
      </c>
      <c r="F202" s="33">
        <f t="shared" ref="F202:H202" ca="1" si="358">+F196-E196</f>
        <v>16601.832086405113</v>
      </c>
      <c r="G202" s="33">
        <f t="shared" ca="1" si="358"/>
        <v>15401.85615312148</v>
      </c>
      <c r="H202" s="33">
        <f t="shared" ca="1" si="358"/>
        <v>15636.472145526175</v>
      </c>
      <c r="J202" s="185" t="s">
        <v>1977</v>
      </c>
      <c r="K202" s="945"/>
      <c r="L202" s="1236"/>
      <c r="M202" s="1236">
        <f>M196/M$200</f>
        <v>622.72727272727275</v>
      </c>
      <c r="N202" s="1236">
        <f>N196/N$200</f>
        <v>591.07142857142856</v>
      </c>
      <c r="O202" s="8"/>
      <c r="P202" s="8"/>
      <c r="Q202" s="225"/>
      <c r="R202" s="8"/>
    </row>
    <row r="203" spans="2:63" ht="12" customHeight="1" x14ac:dyDescent="0.25">
      <c r="E203" s="33">
        <f ca="1">+E33-D33</f>
        <v>2156.8546908240482</v>
      </c>
      <c r="F203" s="33">
        <f t="shared" ref="F203:H203" ca="1" si="359">+F33-E33</f>
        <v>2174.6663111133412</v>
      </c>
      <c r="G203" s="33">
        <f t="shared" ca="1" si="359"/>
        <v>4459.8423112414057</v>
      </c>
      <c r="H203" s="33">
        <f t="shared" ca="1" si="359"/>
        <v>4608.0225573933421</v>
      </c>
      <c r="J203" s="185" t="s">
        <v>1980</v>
      </c>
      <c r="K203" s="945"/>
      <c r="L203" s="1236"/>
      <c r="M203" s="1236">
        <f>M197/M$200</f>
        <v>2434.090909090909</v>
      </c>
      <c r="N203" s="1236">
        <f>N197/N$200</f>
        <v>2680.3571428571427</v>
      </c>
      <c r="O203" s="8"/>
      <c r="P203" s="8"/>
      <c r="Q203" s="225" t="s">
        <v>1924</v>
      </c>
      <c r="R203" s="8"/>
    </row>
    <row r="204" spans="2:63" ht="12" customHeight="1" x14ac:dyDescent="0.25">
      <c r="E204" s="14">
        <f ca="1">+E203/E202</f>
        <v>0.13358381216606433</v>
      </c>
      <c r="F204" s="14">
        <f ca="1">+F203/F202</f>
        <v>0.13098953776879416</v>
      </c>
      <c r="G204" s="14">
        <f ca="1">+G203/G202</f>
        <v>0.28956524894809732</v>
      </c>
      <c r="H204" s="14">
        <f ca="1">+H203/H202</f>
        <v>0.29469707198063633</v>
      </c>
      <c r="J204" s="1233" t="s">
        <v>1983</v>
      </c>
      <c r="K204" s="1234"/>
      <c r="L204" s="1237"/>
      <c r="M204" s="1237"/>
      <c r="N204" s="1237"/>
      <c r="O204" s="8"/>
      <c r="P204" s="8"/>
      <c r="Q204" s="225" t="s">
        <v>1925</v>
      </c>
      <c r="R204" s="8"/>
    </row>
    <row r="205" spans="2:63" ht="12" customHeight="1" x14ac:dyDescent="0.25">
      <c r="J205" s="6" t="s">
        <v>1981</v>
      </c>
      <c r="K205" s="945"/>
      <c r="L205" s="1236"/>
      <c r="M205" s="1236">
        <f>M196*14.8</f>
        <v>4055.2000000000003</v>
      </c>
      <c r="N205" s="1236">
        <f>N196*14.8</f>
        <v>4898.8</v>
      </c>
      <c r="O205" s="8"/>
      <c r="P205" s="8"/>
      <c r="Q205" s="225" t="s">
        <v>1926</v>
      </c>
      <c r="R205" s="8"/>
    </row>
    <row r="206" spans="2:63" ht="12" customHeight="1" x14ac:dyDescent="0.25">
      <c r="J206" s="6" t="s">
        <v>1982</v>
      </c>
      <c r="K206" s="945"/>
      <c r="L206" s="1236"/>
      <c r="M206" s="1236">
        <f>M197</f>
        <v>1071</v>
      </c>
      <c r="N206" s="1236">
        <f>N197</f>
        <v>1501</v>
      </c>
      <c r="O206" s="8"/>
      <c r="P206" s="8"/>
      <c r="Q206" s="225"/>
      <c r="R206" s="8"/>
    </row>
    <row r="207" spans="2:63" ht="12" customHeight="1" x14ac:dyDescent="0.25">
      <c r="J207" s="6" t="s">
        <v>1978</v>
      </c>
      <c r="K207" s="945"/>
      <c r="L207" s="1236"/>
      <c r="M207" s="1240">
        <f>SUM(M205:M206)</f>
        <v>5126.2000000000007</v>
      </c>
      <c r="N207" s="1240">
        <f>SUM(N205:N206)</f>
        <v>6399.8</v>
      </c>
      <c r="O207" s="8"/>
      <c r="P207" s="8"/>
      <c r="Q207" s="225" t="s">
        <v>1927</v>
      </c>
      <c r="R207" s="8"/>
    </row>
    <row r="208" spans="2:63" ht="12" customHeight="1" x14ac:dyDescent="0.25">
      <c r="J208" s="6"/>
      <c r="K208" s="945"/>
      <c r="L208" s="1236"/>
      <c r="M208" s="1236"/>
      <c r="N208" s="1236"/>
      <c r="O208" s="8"/>
      <c r="P208" s="8"/>
      <c r="Q208" s="225" t="s">
        <v>1929</v>
      </c>
      <c r="R208" s="8"/>
    </row>
    <row r="209" spans="4:18" ht="12" customHeight="1" x14ac:dyDescent="0.25">
      <c r="J209" s="1238" t="s">
        <v>1507</v>
      </c>
      <c r="K209" s="220"/>
      <c r="L209" s="1239"/>
      <c r="M209" s="220">
        <f>M200</f>
        <v>0.44</v>
      </c>
      <c r="N209" s="220">
        <f>N200</f>
        <v>0.56000000000000005</v>
      </c>
      <c r="O209" s="8"/>
      <c r="P209" s="8"/>
      <c r="Q209" s="225" t="s">
        <v>1928</v>
      </c>
      <c r="R209" s="8"/>
    </row>
    <row r="210" spans="4:18" ht="12" customHeight="1" x14ac:dyDescent="0.25">
      <c r="J210" s="6"/>
      <c r="K210" s="945"/>
      <c r="L210" s="1236"/>
      <c r="M210" s="1236"/>
      <c r="N210" s="1236"/>
      <c r="O210" s="8"/>
      <c r="P210" s="8"/>
      <c r="Q210" s="8"/>
      <c r="R210" s="8"/>
    </row>
    <row r="211" spans="4:18" ht="12" customHeight="1" x14ac:dyDescent="0.25">
      <c r="J211" s="6" t="s">
        <v>1979</v>
      </c>
      <c r="K211" s="945"/>
      <c r="L211" s="1236"/>
      <c r="M211" s="1235">
        <f>(M207/M209)/1000</f>
        <v>11.650454545454547</v>
      </c>
      <c r="N211" s="1235">
        <f>(N207/N209)/1000</f>
        <v>11.428214285714285</v>
      </c>
      <c r="O211" s="8"/>
      <c r="P211" s="8"/>
      <c r="Q211" s="8"/>
      <c r="R211" s="8"/>
    </row>
    <row r="213" spans="4:18" ht="12" customHeight="1" x14ac:dyDescent="0.25">
      <c r="D213" s="505" t="s">
        <v>2022</v>
      </c>
      <c r="E213" s="536" t="str">
        <f t="shared" ref="E213:I213" si="360">D194</f>
        <v>FY26E</v>
      </c>
      <c r="F213" s="536" t="str">
        <f t="shared" si="360"/>
        <v>FY27E</v>
      </c>
      <c r="G213" s="536" t="str">
        <f t="shared" si="360"/>
        <v>FY28E</v>
      </c>
      <c r="H213" s="536" t="str">
        <f t="shared" si="360"/>
        <v>FY29E</v>
      </c>
      <c r="I213" s="536" t="str">
        <f t="shared" si="360"/>
        <v>FY30E</v>
      </c>
    </row>
    <row r="214" spans="4:18" ht="12" customHeight="1" x14ac:dyDescent="0.25">
      <c r="D214" s="506" t="s">
        <v>2021</v>
      </c>
      <c r="E214" s="1287">
        <f ca="1">(+(D33*(1-D46)))/1000</f>
        <v>0.37971473745291073</v>
      </c>
      <c r="F214" s="1287">
        <f ca="1">(+(E33*(1-E46)))/1000</f>
        <v>1.9973557555709469</v>
      </c>
      <c r="G214" s="1287">
        <f ca="1">(+(F33*(1-F46)))/1000</f>
        <v>3.6283554889059526</v>
      </c>
      <c r="H214" s="1287">
        <f ca="1">(+(G33*(1-G46)))/1000</f>
        <v>6.9732372223370076</v>
      </c>
      <c r="I214" s="1287">
        <f ca="1">(+(H33*(1-H46)))/1000</f>
        <v>10.429254140382014</v>
      </c>
    </row>
    <row r="215" spans="4:18" ht="12" customHeight="1" x14ac:dyDescent="0.25">
      <c r="D215" s="507" t="s">
        <v>2023</v>
      </c>
      <c r="E215" s="1288">
        <f ca="1">(D196)/1000</f>
        <v>43.430198023301941</v>
      </c>
      <c r="F215" s="1288">
        <f ca="1">(E196)/1000</f>
        <v>59.576276323139354</v>
      </c>
      <c r="G215" s="1288">
        <f ca="1">(F196)/1000</f>
        <v>76.178108409544464</v>
      </c>
      <c r="H215" s="1288">
        <f ca="1">(G196)/1000</f>
        <v>91.57996456266595</v>
      </c>
      <c r="I215" s="1288">
        <f ca="1">(H196)/1000</f>
        <v>107.21643670819212</v>
      </c>
    </row>
    <row r="217" spans="4:18" ht="12" customHeight="1" x14ac:dyDescent="0.25">
      <c r="E217" s="14"/>
      <c r="F217" s="14"/>
      <c r="G217" s="14"/>
      <c r="H217" s="14"/>
      <c r="I217" s="14"/>
    </row>
  </sheetData>
  <pageMargins left="0.7" right="0.7" top="0.75" bottom="0.75" header="0.3" footer="0.3"/>
  <pageSetup paperSize="9" orientation="portrait" verticalDpi="300" r:id="rId1"/>
  <ignoredErrors>
    <ignoredError sqref="C16" formulaRange="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F8B47-E8AB-464A-AE41-FE60C2B7D391}">
  <dimension ref="A2:AU288"/>
  <sheetViews>
    <sheetView showGridLines="0" topLeftCell="B234" zoomScale="70" zoomScaleNormal="70" workbookViewId="0">
      <selection activeCell="K266" sqref="K266"/>
    </sheetView>
  </sheetViews>
  <sheetFormatPr defaultRowHeight="15" x14ac:dyDescent="0.25"/>
  <cols>
    <col min="2" max="2" width="23.28515625" customWidth="1"/>
    <col min="3" max="14" width="10.5703125" bestFit="1" customWidth="1"/>
    <col min="15" max="15" width="11.5703125" bestFit="1" customWidth="1"/>
    <col min="47" max="47" width="9.28515625" style="1071"/>
  </cols>
  <sheetData>
    <row r="2" spans="2:45" x14ac:dyDescent="0.25">
      <c r="B2" s="501" t="s">
        <v>887</v>
      </c>
      <c r="C2" s="497" t="s">
        <v>22</v>
      </c>
      <c r="D2" s="497" t="s">
        <v>23</v>
      </c>
      <c r="E2" s="497" t="s">
        <v>24</v>
      </c>
      <c r="F2" s="497" t="s">
        <v>25</v>
      </c>
      <c r="G2" s="497" t="s">
        <v>26</v>
      </c>
      <c r="H2" s="497" t="s">
        <v>27</v>
      </c>
      <c r="I2" s="497" t="s">
        <v>273</v>
      </c>
      <c r="J2" s="497" t="s">
        <v>347</v>
      </c>
      <c r="K2" s="497" t="s">
        <v>348</v>
      </c>
      <c r="L2" s="497" t="s">
        <v>178</v>
      </c>
      <c r="M2" s="497" t="s">
        <v>179</v>
      </c>
      <c r="N2" s="497" t="s">
        <v>231</v>
      </c>
      <c r="O2" s="497" t="s">
        <v>232</v>
      </c>
      <c r="Q2" s="501" t="s">
        <v>887</v>
      </c>
      <c r="R2" s="497" t="s">
        <v>22</v>
      </c>
      <c r="S2" s="497" t="s">
        <v>23</v>
      </c>
      <c r="T2" s="497" t="s">
        <v>24</v>
      </c>
      <c r="U2" s="497" t="s">
        <v>25</v>
      </c>
      <c r="V2" s="497" t="s">
        <v>26</v>
      </c>
      <c r="W2" s="497" t="s">
        <v>27</v>
      </c>
      <c r="X2" s="497" t="s">
        <v>273</v>
      </c>
      <c r="Y2" s="497" t="s">
        <v>347</v>
      </c>
      <c r="Z2" s="497" t="s">
        <v>348</v>
      </c>
      <c r="AA2" s="497" t="s">
        <v>178</v>
      </c>
      <c r="AB2" s="497" t="s">
        <v>179</v>
      </c>
      <c r="AC2" s="497" t="s">
        <v>231</v>
      </c>
      <c r="AD2" s="497" t="s">
        <v>232</v>
      </c>
      <c r="AF2" s="501" t="s">
        <v>888</v>
      </c>
      <c r="AG2" s="497" t="s">
        <v>22</v>
      </c>
      <c r="AH2" s="497" t="s">
        <v>23</v>
      </c>
      <c r="AI2" s="497" t="s">
        <v>24</v>
      </c>
      <c r="AJ2" s="497" t="s">
        <v>25</v>
      </c>
      <c r="AK2" s="497" t="s">
        <v>26</v>
      </c>
      <c r="AL2" s="497" t="s">
        <v>27</v>
      </c>
      <c r="AM2" s="497" t="s">
        <v>273</v>
      </c>
      <c r="AN2" s="497" t="s">
        <v>28</v>
      </c>
      <c r="AO2" s="497" t="s">
        <v>177</v>
      </c>
      <c r="AP2" s="497" t="s">
        <v>178</v>
      </c>
      <c r="AQ2" s="497" t="s">
        <v>179</v>
      </c>
      <c r="AR2" s="497" t="s">
        <v>231</v>
      </c>
      <c r="AS2" s="497" t="s">
        <v>232</v>
      </c>
    </row>
    <row r="3" spans="2:45" x14ac:dyDescent="0.25">
      <c r="B3" s="495" t="s">
        <v>563</v>
      </c>
      <c r="C3" s="442">
        <f>Assumptions!D192</f>
        <v>0</v>
      </c>
      <c r="D3" s="442">
        <f>Assumptions!E192</f>
        <v>0</v>
      </c>
      <c r="E3" s="442">
        <f>Assumptions!F192</f>
        <v>0</v>
      </c>
      <c r="F3" s="442">
        <f>Assumptions!G192</f>
        <v>34.240000000000009</v>
      </c>
      <c r="G3" s="442">
        <f>Assumptions!H192</f>
        <v>43.325000000000003</v>
      </c>
      <c r="H3" s="442">
        <f>Assumptions!I192</f>
        <v>61.830000000000013</v>
      </c>
      <c r="I3" s="499">
        <f>Assumptions!J192</f>
        <v>64.480897466710957</v>
      </c>
      <c r="J3" s="499">
        <f ca="1">Assumptions!K192</f>
        <v>59.67</v>
      </c>
      <c r="K3" s="499">
        <f ca="1">Assumptions!L192</f>
        <v>62.381694337141447</v>
      </c>
      <c r="L3" s="499">
        <f ca="1">Assumptions!M192</f>
        <v>66.853620000000021</v>
      </c>
      <c r="M3" s="499">
        <f ca="1">Assumptions!N192</f>
        <v>99.223213646719287</v>
      </c>
      <c r="N3" s="499">
        <f ca="1">Assumptions!O192</f>
        <v>115.16837735749124</v>
      </c>
      <c r="O3" s="499">
        <f ca="1">Assumptions!P192</f>
        <v>121.19395964635179</v>
      </c>
      <c r="Q3" s="495" t="s">
        <v>563</v>
      </c>
      <c r="R3" s="442"/>
      <c r="S3" s="532"/>
      <c r="T3" s="532"/>
      <c r="U3" s="532">
        <f t="shared" ref="U3:AD4" si="0">F3/F$5</f>
        <v>0.75186649099692593</v>
      </c>
      <c r="V3" s="532">
        <f t="shared" si="0"/>
        <v>0.69912861061804099</v>
      </c>
      <c r="W3" s="532">
        <f t="shared" si="0"/>
        <v>0.66605623182160945</v>
      </c>
      <c r="X3" s="540">
        <f t="shared" si="0"/>
        <v>0.6</v>
      </c>
      <c r="Y3" s="540">
        <f ca="1">J3/J$5</f>
        <v>0.51</v>
      </c>
      <c r="Z3" s="540">
        <f t="shared" ca="1" si="0"/>
        <v>0.51672556916248868</v>
      </c>
      <c r="AA3" s="540">
        <f t="shared" ca="1" si="0"/>
        <v>0.52247305736318495</v>
      </c>
      <c r="AB3" s="540">
        <f t="shared" ca="1" si="0"/>
        <v>0.58869747510579473</v>
      </c>
      <c r="AC3" s="540">
        <f t="shared" ca="1" si="0"/>
        <v>0.58480604984523143</v>
      </c>
      <c r="AD3" s="540">
        <f t="shared" ca="1" si="0"/>
        <v>0.51052648159562575</v>
      </c>
      <c r="AF3" s="530" t="s">
        <v>279</v>
      </c>
      <c r="AJ3" s="532">
        <f>F42/F$48</f>
        <v>0.25486751573708094</v>
      </c>
      <c r="AK3" s="532">
        <f t="shared" ref="AK3:AS3" si="1">G42/G$48</f>
        <v>0.22849589140982193</v>
      </c>
      <c r="AL3" s="532">
        <f t="shared" si="1"/>
        <v>0.24004452583575706</v>
      </c>
      <c r="AM3" s="532">
        <f t="shared" si="1"/>
        <v>0.37654252583154157</v>
      </c>
      <c r="AN3" s="532">
        <f t="shared" ca="1" si="1"/>
        <v>0.29314814814814816</v>
      </c>
      <c r="AO3" s="532">
        <f t="shared" ca="1" si="1"/>
        <v>0.27985918409608618</v>
      </c>
      <c r="AP3" s="532">
        <f t="shared" ca="1" si="1"/>
        <v>0.28842264742183871</v>
      </c>
      <c r="AQ3" s="532">
        <f t="shared" ca="1" si="1"/>
        <v>0.3870075803677222</v>
      </c>
      <c r="AR3" s="532">
        <f t="shared" ca="1" si="1"/>
        <v>0.41077138251501644</v>
      </c>
      <c r="AS3" s="532">
        <f t="shared" ca="1" si="1"/>
        <v>0.36557522715783236</v>
      </c>
    </row>
    <row r="4" spans="2:45" x14ac:dyDescent="0.25">
      <c r="B4" s="495" t="s">
        <v>299</v>
      </c>
      <c r="C4" s="442">
        <f>Assumptions!D193</f>
        <v>0</v>
      </c>
      <c r="D4" s="442">
        <f>Assumptions!E193</f>
        <v>0</v>
      </c>
      <c r="E4" s="442">
        <f>Assumptions!F193</f>
        <v>0</v>
      </c>
      <c r="F4" s="442">
        <f>Assumptions!G193</f>
        <v>11.3</v>
      </c>
      <c r="G4" s="442">
        <f>Assumptions!H193</f>
        <v>18.645</v>
      </c>
      <c r="H4" s="442">
        <f>Assumptions!I193</f>
        <v>31</v>
      </c>
      <c r="I4" s="499">
        <f>Assumptions!J193</f>
        <v>42.987264977807314</v>
      </c>
      <c r="J4" s="499">
        <f ca="1">Assumptions!K193</f>
        <v>57.33</v>
      </c>
      <c r="K4" s="499">
        <f ca="1">Assumptions!L193</f>
        <v>58.343305662858548</v>
      </c>
      <c r="L4" s="499">
        <f ca="1">Assumptions!M193</f>
        <v>61.102490000000003</v>
      </c>
      <c r="M4" s="499">
        <f ca="1">Assumptions!N193</f>
        <v>69.323820853280736</v>
      </c>
      <c r="N4" s="499">
        <f ca="1">Assumptions!O193</f>
        <v>81.765935117508789</v>
      </c>
      <c r="O4" s="499">
        <f ca="1">Assumptions!P193</f>
        <v>116.19619349039823</v>
      </c>
      <c r="Q4" s="495" t="s">
        <v>299</v>
      </c>
      <c r="R4" s="442"/>
      <c r="S4" s="532"/>
      <c r="T4" s="532"/>
      <c r="U4" s="532">
        <f t="shared" si="0"/>
        <v>0.24813350900307421</v>
      </c>
      <c r="V4" s="532">
        <f t="shared" si="0"/>
        <v>0.30087138938195901</v>
      </c>
      <c r="W4" s="532">
        <f t="shared" si="0"/>
        <v>0.33394376817839055</v>
      </c>
      <c r="X4" s="540">
        <f t="shared" si="0"/>
        <v>0.40000000000000008</v>
      </c>
      <c r="Y4" s="540">
        <f t="shared" ca="1" si="0"/>
        <v>0.49</v>
      </c>
      <c r="Z4" s="540">
        <f t="shared" ca="1" si="0"/>
        <v>0.48327443083751132</v>
      </c>
      <c r="AA4" s="540">
        <f t="shared" ca="1" si="0"/>
        <v>0.477526942636815</v>
      </c>
      <c r="AB4" s="540">
        <f t="shared" ca="1" si="0"/>
        <v>0.41130252489420527</v>
      </c>
      <c r="AC4" s="540">
        <f t="shared" ca="1" si="0"/>
        <v>0.41519395015476868</v>
      </c>
      <c r="AD4" s="540">
        <f t="shared" ca="1" si="0"/>
        <v>0.4894735184043742</v>
      </c>
      <c r="AF4" s="530" t="s">
        <v>280</v>
      </c>
      <c r="AJ4" s="532">
        <f t="shared" ref="AJ4:AS4" si="2">F43/F$48</f>
        <v>8.5199824330259105E-2</v>
      </c>
      <c r="AK4" s="532">
        <f t="shared" si="2"/>
        <v>8.4072938518638035E-2</v>
      </c>
      <c r="AL4" s="532">
        <f t="shared" si="2"/>
        <v>0.28999245933426693</v>
      </c>
      <c r="AM4" s="532">
        <f t="shared" si="2"/>
        <v>0.33302886348761218</v>
      </c>
      <c r="AN4" s="532">
        <f t="shared" ca="1" si="2"/>
        <v>0.34645298290598292</v>
      </c>
      <c r="AO4" s="532">
        <f t="shared" ca="1" si="2"/>
        <v>0.33158003727479812</v>
      </c>
      <c r="AP4" s="532">
        <f t="shared" ca="1" si="2"/>
        <v>0.32044034474008321</v>
      </c>
      <c r="AQ4" s="532">
        <f t="shared" ca="1" si="2"/>
        <v>0.25948795319801371</v>
      </c>
      <c r="AR4" s="532">
        <f t="shared" ca="1" si="2"/>
        <v>0.23352335746894329</v>
      </c>
      <c r="AS4" s="532">
        <f t="shared" ca="1" si="2"/>
        <v>0.20252856581967923</v>
      </c>
    </row>
    <row r="5" spans="2:45" x14ac:dyDescent="0.25">
      <c r="B5" s="496" t="s">
        <v>551</v>
      </c>
      <c r="C5" s="498">
        <f t="shared" ref="C5:I5" si="3">SUM(C3:C4)</f>
        <v>0</v>
      </c>
      <c r="D5" s="498">
        <f t="shared" si="3"/>
        <v>0</v>
      </c>
      <c r="E5" s="498">
        <f t="shared" si="3"/>
        <v>0</v>
      </c>
      <c r="F5" s="498">
        <f t="shared" si="3"/>
        <v>45.540000000000006</v>
      </c>
      <c r="G5" s="498">
        <f t="shared" si="3"/>
        <v>61.97</v>
      </c>
      <c r="H5" s="498">
        <f t="shared" si="3"/>
        <v>92.830000000000013</v>
      </c>
      <c r="I5" s="500">
        <f t="shared" si="3"/>
        <v>107.46816244451827</v>
      </c>
      <c r="J5" s="500">
        <f t="shared" ref="J5:O5" ca="1" si="4">SUM(J3:J4)</f>
        <v>117</v>
      </c>
      <c r="K5" s="500">
        <f t="shared" ca="1" si="4"/>
        <v>120.72499999999999</v>
      </c>
      <c r="L5" s="500">
        <f t="shared" ca="1" si="4"/>
        <v>127.95611000000002</v>
      </c>
      <c r="M5" s="500">
        <f t="shared" ca="1" si="4"/>
        <v>168.54703450000002</v>
      </c>
      <c r="N5" s="500">
        <f t="shared" ca="1" si="4"/>
        <v>196.93431247500001</v>
      </c>
      <c r="O5" s="500">
        <f t="shared" ca="1" si="4"/>
        <v>237.39015313675003</v>
      </c>
      <c r="AF5" s="530" t="s">
        <v>281</v>
      </c>
      <c r="AJ5" s="532">
        <f t="shared" ref="AJ5:AS5" si="5">F44/F$48</f>
        <v>0.52071439027960764</v>
      </c>
      <c r="AK5" s="532">
        <f t="shared" si="5"/>
        <v>0.53848813311817545</v>
      </c>
      <c r="AL5" s="532">
        <f t="shared" si="5"/>
        <v>0.33606233617005993</v>
      </c>
      <c r="AM5" s="532">
        <f t="shared" si="5"/>
        <v>0.18840618659614441</v>
      </c>
      <c r="AN5" s="532">
        <f t="shared" ca="1" si="5"/>
        <v>0.13742450142450144</v>
      </c>
      <c r="AO5" s="532">
        <f t="shared" ca="1" si="5"/>
        <v>0.16545868709877823</v>
      </c>
      <c r="AP5" s="532">
        <f t="shared" ca="1" si="5"/>
        <v>0.16484105370192956</v>
      </c>
      <c r="AQ5" s="532">
        <f t="shared" ca="1" si="5"/>
        <v>0.15296475002649779</v>
      </c>
      <c r="AR5" s="532">
        <f t="shared" ca="1" si="5"/>
        <v>0.1419616970178777</v>
      </c>
      <c r="AS5" s="532">
        <f t="shared" ca="1" si="5"/>
        <v>0.12241029201940144</v>
      </c>
    </row>
    <row r="6" spans="2:45" x14ac:dyDescent="0.25">
      <c r="G6" s="532">
        <f t="shared" ref="G6:M6" si="6">G5/F5-1</f>
        <v>0.3607817303469476</v>
      </c>
      <c r="H6" s="532">
        <f t="shared" si="6"/>
        <v>0.49798289494916914</v>
      </c>
      <c r="I6" s="1277">
        <f t="shared" si="6"/>
        <v>0.15768784277192993</v>
      </c>
      <c r="J6" s="1277">
        <f t="shared" ca="1" si="6"/>
        <v>8.8694524393702734E-2</v>
      </c>
      <c r="K6" s="1277">
        <f t="shared" ca="1" si="6"/>
        <v>3.1837606837606724E-2</v>
      </c>
      <c r="L6" s="1277">
        <f t="shared" ca="1" si="6"/>
        <v>5.9897370055912447E-2</v>
      </c>
      <c r="M6" s="1277">
        <f t="shared" ca="1" si="6"/>
        <v>0.31722537126206785</v>
      </c>
      <c r="N6" s="1277">
        <f t="shared" ref="N6" ca="1" si="7">N5/M5-1</f>
        <v>0.16842347929295665</v>
      </c>
      <c r="O6" s="1277">
        <f t="shared" ref="O6" ca="1" si="8">O5/N5-1</f>
        <v>0.20542809505014881</v>
      </c>
      <c r="AF6" s="530" t="s">
        <v>282</v>
      </c>
      <c r="AJ6" s="532">
        <f t="shared" ref="AJ6:AS6" si="9">F45/F$48</f>
        <v>5.4896794027228801E-3</v>
      </c>
      <c r="AK6" s="532">
        <f t="shared" si="9"/>
        <v>4.3569469097950618E-3</v>
      </c>
      <c r="AL6" s="532">
        <f t="shared" si="9"/>
        <v>5.7093611978886131E-3</v>
      </c>
      <c r="AM6" s="532">
        <f t="shared" si="9"/>
        <v>1.5353384318372729E-2</v>
      </c>
      <c r="AN6" s="532">
        <f t="shared" ca="1" si="9"/>
        <v>6.7268008547008554E-2</v>
      </c>
      <c r="AO6" s="532">
        <f t="shared" ca="1" si="9"/>
        <v>5.9962725201905161E-2</v>
      </c>
      <c r="AP6" s="532">
        <f t="shared" ca="1" si="9"/>
        <v>4.7033002175511589E-2</v>
      </c>
      <c r="AQ6" s="532">
        <f t="shared" ca="1" si="9"/>
        <v>4.981587498651599E-2</v>
      </c>
      <c r="AR6" s="532">
        <f t="shared" ca="1" si="9"/>
        <v>4.8978640028636278E-2</v>
      </c>
      <c r="AS6" s="532">
        <f t="shared" ca="1" si="9"/>
        <v>4.1699912187585703E-2</v>
      </c>
    </row>
    <row r="7" spans="2:45" x14ac:dyDescent="0.25">
      <c r="B7" s="501" t="s">
        <v>880</v>
      </c>
      <c r="C7" s="497" t="s">
        <v>22</v>
      </c>
      <c r="D7" s="497" t="s">
        <v>23</v>
      </c>
      <c r="E7" s="497" t="s">
        <v>24</v>
      </c>
      <c r="F7" s="497" t="s">
        <v>25</v>
      </c>
      <c r="G7" s="497" t="s">
        <v>26</v>
      </c>
      <c r="H7" s="497" t="s">
        <v>27</v>
      </c>
      <c r="I7" s="497" t="s">
        <v>273</v>
      </c>
      <c r="J7" s="497" t="s">
        <v>28</v>
      </c>
      <c r="K7" s="497" t="s">
        <v>177</v>
      </c>
      <c r="L7" s="497" t="s">
        <v>178</v>
      </c>
      <c r="M7" s="497" t="s">
        <v>179</v>
      </c>
      <c r="N7" s="497" t="s">
        <v>231</v>
      </c>
      <c r="O7" s="497" t="s">
        <v>232</v>
      </c>
      <c r="AF7" s="530" t="s">
        <v>283</v>
      </c>
      <c r="AJ7" s="532">
        <f t="shared" ref="AJ7:AS7" si="10">F46/F$48</f>
        <v>0</v>
      </c>
      <c r="AK7" s="532">
        <f t="shared" si="10"/>
        <v>0</v>
      </c>
      <c r="AL7" s="532">
        <f t="shared" si="10"/>
        <v>2.3376063772487337E-2</v>
      </c>
      <c r="AM7" s="532">
        <f t="shared" si="10"/>
        <v>2.4120282561418918E-2</v>
      </c>
      <c r="AN7" s="532">
        <f t="shared" ca="1" si="10"/>
        <v>2.0597803418803417E-2</v>
      </c>
      <c r="AO7" s="532">
        <f t="shared" ca="1" si="10"/>
        <v>2.0658521433008906E-2</v>
      </c>
      <c r="AP7" s="532">
        <f t="shared" ca="1" si="10"/>
        <v>3.2980058552889734E-2</v>
      </c>
      <c r="AQ7" s="532">
        <f t="shared" ca="1" si="10"/>
        <v>3.3428354386146136E-2</v>
      </c>
      <c r="AR7" s="532">
        <f t="shared" ca="1" si="10"/>
        <v>5.2885679844756062E-2</v>
      </c>
      <c r="AS7" s="532">
        <f t="shared" ca="1" si="10"/>
        <v>9.4835885155822738E-2</v>
      </c>
    </row>
    <row r="8" spans="2:45" x14ac:dyDescent="0.25">
      <c r="B8" s="495" t="s">
        <v>604</v>
      </c>
      <c r="G8" s="442"/>
      <c r="H8" s="442">
        <f>Assumptions!I1602</f>
        <v>29</v>
      </c>
      <c r="I8" s="442">
        <f>Assumptions!J1602</f>
        <v>30</v>
      </c>
      <c r="J8" s="442">
        <f>Assumptions!K1602</f>
        <v>35.5</v>
      </c>
      <c r="K8" s="442">
        <f>Assumptions!L1602</f>
        <v>35.5</v>
      </c>
      <c r="L8" s="442">
        <f>Assumptions!M1602</f>
        <v>37.5</v>
      </c>
      <c r="M8" s="442">
        <f>Assumptions!N1602</f>
        <v>44.5</v>
      </c>
      <c r="N8" s="442">
        <f>Assumptions!O1602</f>
        <v>44.5</v>
      </c>
      <c r="O8" s="442">
        <f>Assumptions!P1602</f>
        <v>51.5</v>
      </c>
      <c r="AF8" s="530" t="s">
        <v>284</v>
      </c>
      <c r="AJ8" s="532">
        <f t="shared" ref="AJ8:AS8" si="11">F47/F$48</f>
        <v>0.13372859025032935</v>
      </c>
      <c r="AK8" s="532">
        <f t="shared" si="11"/>
        <v>0.14458609004356948</v>
      </c>
      <c r="AL8" s="532">
        <f t="shared" si="11"/>
        <v>0.10481525368954001</v>
      </c>
      <c r="AM8" s="532">
        <f t="shared" si="11"/>
        <v>6.2548757204910002E-2</v>
      </c>
      <c r="AN8" s="532">
        <f t="shared" ca="1" si="11"/>
        <v>0.13510855555555557</v>
      </c>
      <c r="AO8" s="532">
        <f t="shared" ca="1" si="11"/>
        <v>0.14248084489542348</v>
      </c>
      <c r="AP8" s="532">
        <f t="shared" ca="1" si="11"/>
        <v>0.14628289340774742</v>
      </c>
      <c r="AQ8" s="532">
        <f t="shared" ca="1" si="11"/>
        <v>0.1172954870351041</v>
      </c>
      <c r="AR8" s="532">
        <f t="shared" ca="1" si="11"/>
        <v>0.11187924312477023</v>
      </c>
      <c r="AS8" s="532">
        <f t="shared" ca="1" si="11"/>
        <v>0.17295011765967844</v>
      </c>
    </row>
    <row r="9" spans="2:45" x14ac:dyDescent="0.25">
      <c r="B9" s="495" t="s">
        <v>875</v>
      </c>
      <c r="G9" s="442"/>
      <c r="H9" s="442">
        <f>Assumptions!I1604</f>
        <v>24.2</v>
      </c>
      <c r="I9" s="442">
        <f>Assumptions!J1604</f>
        <v>26.1</v>
      </c>
      <c r="J9" s="442">
        <f>Assumptions!K1604</f>
        <v>25</v>
      </c>
      <c r="K9" s="442">
        <f>Assumptions!L1604</f>
        <v>29.700000000000003</v>
      </c>
      <c r="L9" s="442">
        <f>Assumptions!M1604</f>
        <v>31.799999999999997</v>
      </c>
      <c r="M9" s="442">
        <f>Assumptions!N1604</f>
        <v>31.9</v>
      </c>
      <c r="N9" s="442">
        <f>Assumptions!O1604</f>
        <v>33.799999999999997</v>
      </c>
      <c r="O9" s="442">
        <f>Assumptions!P1604</f>
        <v>35.6</v>
      </c>
      <c r="AJ9" s="531"/>
      <c r="AK9" s="531"/>
      <c r="AL9" s="531"/>
      <c r="AM9" s="531"/>
      <c r="AN9" s="531"/>
      <c r="AO9" s="531"/>
      <c r="AP9" s="531"/>
      <c r="AQ9" s="531"/>
      <c r="AR9" s="531"/>
      <c r="AS9" s="531"/>
    </row>
    <row r="10" spans="2:45" x14ac:dyDescent="0.25">
      <c r="B10" s="496"/>
      <c r="C10" s="498"/>
      <c r="D10" s="498"/>
      <c r="E10" s="498"/>
      <c r="F10" s="498"/>
      <c r="G10" s="498"/>
      <c r="H10" s="498"/>
      <c r="I10" s="500"/>
      <c r="J10" s="500"/>
      <c r="K10" s="500"/>
      <c r="L10" s="500"/>
      <c r="M10" s="500"/>
      <c r="N10" s="500"/>
      <c r="O10" s="500"/>
    </row>
    <row r="11" spans="2:45" x14ac:dyDescent="0.25">
      <c r="B11" s="501" t="s">
        <v>881</v>
      </c>
      <c r="C11" s="497" t="s">
        <v>22</v>
      </c>
      <c r="D11" s="497" t="s">
        <v>23</v>
      </c>
      <c r="E11" s="497" t="s">
        <v>24</v>
      </c>
      <c r="F11" s="497" t="s">
        <v>25</v>
      </c>
      <c r="G11" s="497" t="s">
        <v>26</v>
      </c>
      <c r="H11" s="497" t="s">
        <v>27</v>
      </c>
      <c r="I11" s="497" t="s">
        <v>273</v>
      </c>
      <c r="J11" s="497" t="s">
        <v>28</v>
      </c>
      <c r="K11" s="497" t="s">
        <v>177</v>
      </c>
      <c r="L11" s="497" t="s">
        <v>178</v>
      </c>
      <c r="M11" s="497" t="s">
        <v>179</v>
      </c>
      <c r="N11" s="497" t="s">
        <v>231</v>
      </c>
      <c r="O11" s="497" t="s">
        <v>232</v>
      </c>
    </row>
    <row r="12" spans="2:45" x14ac:dyDescent="0.25">
      <c r="B12" s="495" t="s">
        <v>279</v>
      </c>
      <c r="G12" s="442"/>
      <c r="H12" s="442">
        <f>+Assumptions!I1616</f>
        <v>48.4</v>
      </c>
      <c r="I12" s="442">
        <f>+Assumptions!J1616</f>
        <v>52.2</v>
      </c>
      <c r="J12" s="442">
        <f>+Assumptions!K1616</f>
        <v>50</v>
      </c>
      <c r="K12" s="442">
        <f>+Assumptions!L1616</f>
        <v>59.400000000000006</v>
      </c>
      <c r="L12" s="442">
        <f>+Assumptions!M1616</f>
        <v>63.599999999999994</v>
      </c>
      <c r="M12" s="442">
        <f>+Assumptions!N1616</f>
        <v>63.8</v>
      </c>
      <c r="N12" s="442">
        <f>+Assumptions!O1616</f>
        <v>67.599999999999994</v>
      </c>
      <c r="O12" s="442">
        <f>+Assumptions!P1616</f>
        <v>71.2</v>
      </c>
    </row>
    <row r="13" spans="2:45" x14ac:dyDescent="0.25">
      <c r="B13" s="495" t="s">
        <v>644</v>
      </c>
      <c r="G13" s="442"/>
      <c r="H13" s="442">
        <f>+Assumptions!I1617</f>
        <v>16.939999999999998</v>
      </c>
      <c r="I13" s="442">
        <f>+Assumptions!J1617</f>
        <v>18.27</v>
      </c>
      <c r="J13" s="442">
        <f>+Assumptions!K1617</f>
        <v>17.5</v>
      </c>
      <c r="K13" s="442">
        <f>+Assumptions!L1617</f>
        <v>20.79</v>
      </c>
      <c r="L13" s="442">
        <f>+Assumptions!M1617</f>
        <v>22.259999999999998</v>
      </c>
      <c r="M13" s="442">
        <f>+Assumptions!N1617</f>
        <v>22.33</v>
      </c>
      <c r="N13" s="442">
        <f>+Assumptions!O1617</f>
        <v>23.659999999999997</v>
      </c>
      <c r="O13" s="442">
        <f>+Assumptions!P1617</f>
        <v>24.919999999999998</v>
      </c>
    </row>
    <row r="14" spans="2:45" x14ac:dyDescent="0.25">
      <c r="B14" s="495" t="s">
        <v>280</v>
      </c>
      <c r="H14" s="442">
        <f>+Assumptions!I1618</f>
        <v>19.36</v>
      </c>
      <c r="I14" s="442">
        <f>+Assumptions!J1618</f>
        <v>20.880000000000003</v>
      </c>
      <c r="J14" s="442">
        <f>+Assumptions!K1618</f>
        <v>20</v>
      </c>
      <c r="K14" s="442">
        <f>+Assumptions!L1618</f>
        <v>23.760000000000005</v>
      </c>
      <c r="L14" s="442">
        <f>+Assumptions!M1618</f>
        <v>25.439999999999998</v>
      </c>
      <c r="M14" s="442">
        <f>+Assumptions!N1618</f>
        <v>25.52</v>
      </c>
      <c r="N14" s="442">
        <f>+Assumptions!O1618</f>
        <v>27.04</v>
      </c>
      <c r="O14" s="442">
        <f>+Assumptions!P1618</f>
        <v>28.480000000000004</v>
      </c>
    </row>
    <row r="15" spans="2:45" x14ac:dyDescent="0.25">
      <c r="H15" s="442">
        <f>SUM(H12:H14)</f>
        <v>84.7</v>
      </c>
      <c r="I15" s="442">
        <f t="shared" ref="I15:O15" si="12">SUM(I12:I14)</f>
        <v>91.35</v>
      </c>
      <c r="J15" s="442">
        <f t="shared" si="12"/>
        <v>87.5</v>
      </c>
      <c r="K15" s="442">
        <f t="shared" si="12"/>
        <v>103.95</v>
      </c>
      <c r="L15" s="442">
        <f t="shared" si="12"/>
        <v>111.29999999999998</v>
      </c>
      <c r="M15" s="442">
        <f t="shared" si="12"/>
        <v>111.64999999999999</v>
      </c>
      <c r="N15" s="442">
        <f t="shared" si="12"/>
        <v>118.29999999999998</v>
      </c>
      <c r="O15" s="442">
        <f t="shared" si="12"/>
        <v>124.60000000000001</v>
      </c>
    </row>
    <row r="16" spans="2:45" x14ac:dyDescent="0.25">
      <c r="B16" s="501" t="s">
        <v>886</v>
      </c>
      <c r="C16" s="497" t="s">
        <v>22</v>
      </c>
      <c r="D16" s="497" t="s">
        <v>23</v>
      </c>
      <c r="E16" s="497" t="s">
        <v>24</v>
      </c>
      <c r="F16" s="497" t="s">
        <v>25</v>
      </c>
      <c r="G16" s="497" t="s">
        <v>26</v>
      </c>
      <c r="H16" s="497" t="s">
        <v>27</v>
      </c>
      <c r="I16" s="497" t="s">
        <v>273</v>
      </c>
      <c r="J16" s="497" t="s">
        <v>347</v>
      </c>
      <c r="K16" s="497" t="s">
        <v>348</v>
      </c>
      <c r="L16" s="497" t="s">
        <v>178</v>
      </c>
      <c r="M16" s="497" t="s">
        <v>179</v>
      </c>
      <c r="N16" s="497" t="s">
        <v>231</v>
      </c>
      <c r="O16" s="497" t="s">
        <v>232</v>
      </c>
    </row>
    <row r="17" spans="1:17" x14ac:dyDescent="0.25">
      <c r="B17" s="495" t="s">
        <v>3</v>
      </c>
      <c r="C17" s="235">
        <f>Assumptions!D4</f>
        <v>9.5350000000000001</v>
      </c>
      <c r="D17" s="235">
        <f>Assumptions!E4</f>
        <v>13.05</v>
      </c>
      <c r="E17" s="235">
        <f>Assumptions!F4</f>
        <v>10.370318747000001</v>
      </c>
      <c r="F17" s="499">
        <f>Assumptions!G4</f>
        <v>9.2379999999999995</v>
      </c>
      <c r="G17" s="499">
        <f>Assumptions!H4</f>
        <v>14.019483999999999</v>
      </c>
      <c r="H17" s="499">
        <f>Assumptions!I4</f>
        <v>20.237000000000002</v>
      </c>
      <c r="I17" s="499">
        <f>Assumptions!J4</f>
        <v>21.51</v>
      </c>
      <c r="J17" s="499">
        <f>Assumptions!K4</f>
        <v>19.899999999999999</v>
      </c>
      <c r="K17" s="499">
        <f>Assumptions!L4</f>
        <v>20.27</v>
      </c>
      <c r="L17" s="499">
        <f>Assumptions!M4</f>
        <v>21.0808</v>
      </c>
      <c r="M17" s="499">
        <f>Assumptions!N4</f>
        <v>26.303367999999999</v>
      </c>
      <c r="N17" s="499">
        <f>Assumptions!O4</f>
        <v>28.933704799999997</v>
      </c>
      <c r="O17" s="235">
        <f>Assumptions!P4</f>
        <v>30.380390040000002</v>
      </c>
      <c r="P17" s="967">
        <f>+(J17+J18)/J39</f>
        <v>0.36752136752136749</v>
      </c>
    </row>
    <row r="18" spans="1:17" x14ac:dyDescent="0.25">
      <c r="B18" s="495" t="s">
        <v>790</v>
      </c>
      <c r="C18" s="235">
        <f>Assumptions!D5</f>
        <v>11.66</v>
      </c>
      <c r="D18" s="235">
        <f>Assumptions!E5</f>
        <v>12.88</v>
      </c>
      <c r="E18" s="235">
        <f>Assumptions!F5</f>
        <v>12.840225999999999</v>
      </c>
      <c r="F18" s="499">
        <f>Assumptions!G5</f>
        <v>12.9</v>
      </c>
      <c r="G18" s="499">
        <f>Assumptions!H5</f>
        <v>17.209493327000001</v>
      </c>
      <c r="H18" s="499">
        <f>Assumptions!I5</f>
        <v>24.029999999999998</v>
      </c>
      <c r="I18" s="499">
        <f>Assumptions!J5</f>
        <v>25.14</v>
      </c>
      <c r="J18" s="499">
        <f>Assumptions!K5</f>
        <v>23.1</v>
      </c>
      <c r="K18" s="499">
        <f>Assumptions!L5</f>
        <v>24.53</v>
      </c>
      <c r="L18" s="499">
        <f>Assumptions!M5</f>
        <v>25.479959999999998</v>
      </c>
      <c r="M18" s="499">
        <f>Assumptions!N5</f>
        <v>31.648199999999999</v>
      </c>
      <c r="N18" s="499">
        <f>Assumptions!O5</f>
        <v>34.732320000000009</v>
      </c>
      <c r="O18" s="235">
        <f>Assumptions!P5</f>
        <v>35.750079600000007</v>
      </c>
      <c r="P18" s="967">
        <f ca="1">+(O17+O18)/O39</f>
        <v>0.27857292632481329</v>
      </c>
    </row>
    <row r="19" spans="1:17" x14ac:dyDescent="0.25">
      <c r="B19" s="495" t="s">
        <v>568</v>
      </c>
      <c r="C19" s="235">
        <f>Assumptions!D8</f>
        <v>0</v>
      </c>
      <c r="D19" s="235">
        <f>Assumptions!E8</f>
        <v>0</v>
      </c>
      <c r="E19" s="235">
        <f>Assumptions!F8</f>
        <v>0</v>
      </c>
      <c r="F19" s="499">
        <f>Assumptions!G8</f>
        <v>0</v>
      </c>
      <c r="G19" s="499">
        <f>Assumptions!H8</f>
        <v>0.28067500000000001</v>
      </c>
      <c r="H19" s="499">
        <f>Assumptions!I8</f>
        <v>12.034000000000001</v>
      </c>
      <c r="I19" s="499">
        <f>Assumptions!J8</f>
        <v>16.77</v>
      </c>
      <c r="J19" s="499">
        <f>Assumptions!K8</f>
        <v>18.899999999999999</v>
      </c>
      <c r="K19" s="499">
        <f>Assumptions!L8</f>
        <v>19.010000000000002</v>
      </c>
      <c r="L19" s="499">
        <f>Assumptions!M8</f>
        <v>19.390200000000004</v>
      </c>
      <c r="M19" s="499">
        <f>Assumptions!N8</f>
        <v>20.553612000000005</v>
      </c>
      <c r="N19" s="499">
        <f>Assumptions!O8</f>
        <v>21.786828720000006</v>
      </c>
      <c r="O19" s="235">
        <f>Assumptions!P8</f>
        <v>23.094038443200009</v>
      </c>
    </row>
    <row r="20" spans="1:17" x14ac:dyDescent="0.25">
      <c r="B20" s="495" t="s">
        <v>558</v>
      </c>
      <c r="C20" s="235">
        <f>Assumptions!D18</f>
        <v>0</v>
      </c>
      <c r="D20" s="235">
        <f>Assumptions!E18</f>
        <v>0</v>
      </c>
      <c r="E20" s="235">
        <f>Assumptions!F18</f>
        <v>0</v>
      </c>
      <c r="F20" s="499">
        <f>Assumptions!G18</f>
        <v>0</v>
      </c>
      <c r="G20" s="499">
        <f>Assumptions!H18</f>
        <v>0</v>
      </c>
      <c r="H20" s="499">
        <f>Assumptions!I18</f>
        <v>0</v>
      </c>
      <c r="I20" s="499">
        <f>Assumptions!J18</f>
        <v>0</v>
      </c>
      <c r="J20" s="499">
        <f>Assumptions!K18</f>
        <v>0</v>
      </c>
      <c r="K20" s="499">
        <f>Assumptions!L18</f>
        <v>0</v>
      </c>
      <c r="L20" s="499">
        <f>Assumptions!M18</f>
        <v>0</v>
      </c>
      <c r="M20" s="499">
        <f>Assumptions!N18</f>
        <v>10.050000000000001</v>
      </c>
      <c r="N20" s="499">
        <f>Assumptions!O18</f>
        <v>16.5</v>
      </c>
      <c r="O20" s="235">
        <f>Assumptions!P18</f>
        <v>21</v>
      </c>
    </row>
    <row r="21" spans="1:17" x14ac:dyDescent="0.25">
      <c r="A21" t="s">
        <v>760</v>
      </c>
      <c r="B21" s="495" t="s">
        <v>1542</v>
      </c>
      <c r="C21" s="235">
        <f>Assumptions!D19</f>
        <v>0</v>
      </c>
      <c r="D21" s="235">
        <f>Assumptions!E19</f>
        <v>0</v>
      </c>
      <c r="E21" s="235">
        <f>Assumptions!F19</f>
        <v>0</v>
      </c>
      <c r="F21" s="499">
        <f>Assumptions!G19</f>
        <v>0</v>
      </c>
      <c r="G21" s="499">
        <f>Assumptions!H19</f>
        <v>0</v>
      </c>
      <c r="H21" s="499">
        <f>Assumptions!I19</f>
        <v>0</v>
      </c>
      <c r="I21" s="499">
        <f>Assumptions!J19</f>
        <v>0</v>
      </c>
      <c r="J21" s="499">
        <f>Assumptions!K19</f>
        <v>0</v>
      </c>
      <c r="K21" s="499">
        <f>Assumptions!L19</f>
        <v>0</v>
      </c>
      <c r="L21" s="499">
        <f>Assumptions!M19</f>
        <v>0</v>
      </c>
      <c r="M21" s="499">
        <f>Assumptions!N19</f>
        <v>12</v>
      </c>
      <c r="N21" s="499">
        <f>Assumptions!O19</f>
        <v>18</v>
      </c>
      <c r="O21" s="235">
        <f>Assumptions!P19</f>
        <v>18</v>
      </c>
    </row>
    <row r="22" spans="1:17" x14ac:dyDescent="0.25">
      <c r="B22" s="495" t="s">
        <v>789</v>
      </c>
      <c r="C22" s="235">
        <f>Assumptions!D17</f>
        <v>0</v>
      </c>
      <c r="D22" s="235">
        <f>Assumptions!E17</f>
        <v>0</v>
      </c>
      <c r="E22" s="235">
        <f>Assumptions!F17</f>
        <v>0</v>
      </c>
      <c r="F22" s="499">
        <f>Assumptions!G17</f>
        <v>0</v>
      </c>
      <c r="G22" s="499">
        <f>Assumptions!H17</f>
        <v>0</v>
      </c>
      <c r="H22" s="499">
        <f>Assumptions!I17</f>
        <v>0</v>
      </c>
      <c r="I22" s="499">
        <f>Assumptions!J17</f>
        <v>0</v>
      </c>
      <c r="J22" s="499">
        <f>Assumptions!K17</f>
        <v>0</v>
      </c>
      <c r="K22" s="499">
        <f>Assumptions!L17</f>
        <v>0</v>
      </c>
      <c r="L22" s="499">
        <f>Assumptions!M17</f>
        <v>0</v>
      </c>
      <c r="M22" s="499">
        <f>Assumptions!N17</f>
        <v>0</v>
      </c>
      <c r="N22" s="499">
        <f>Assumptions!O17</f>
        <v>1.5</v>
      </c>
      <c r="O22" s="235">
        <f>Assumptions!P17</f>
        <v>9</v>
      </c>
    </row>
    <row r="23" spans="1:17" x14ac:dyDescent="0.25">
      <c r="A23" t="s">
        <v>761</v>
      </c>
      <c r="B23" s="495" t="s">
        <v>1542</v>
      </c>
      <c r="C23" s="235">
        <f>Assumptions!D20</f>
        <v>0</v>
      </c>
      <c r="D23" s="235">
        <f>Assumptions!E20</f>
        <v>0</v>
      </c>
      <c r="E23" s="235">
        <f>Assumptions!F20</f>
        <v>0</v>
      </c>
      <c r="F23" s="499">
        <f>Assumptions!G20</f>
        <v>0</v>
      </c>
      <c r="G23" s="499">
        <f>Assumptions!H20</f>
        <v>0</v>
      </c>
      <c r="H23" s="499">
        <f>Assumptions!I20</f>
        <v>0</v>
      </c>
      <c r="I23" s="499">
        <f>Assumptions!J20</f>
        <v>0</v>
      </c>
      <c r="J23" s="499">
        <f>Assumptions!K20</f>
        <v>0</v>
      </c>
      <c r="K23" s="499">
        <f>Assumptions!L20</f>
        <v>0</v>
      </c>
      <c r="L23" s="499">
        <f>Assumptions!M20</f>
        <v>0</v>
      </c>
      <c r="M23" s="499">
        <f>Assumptions!N20</f>
        <v>0</v>
      </c>
      <c r="N23" s="499">
        <f>Assumptions!O20</f>
        <v>0</v>
      </c>
      <c r="O23" s="235">
        <f>Assumptions!P20</f>
        <v>0</v>
      </c>
    </row>
    <row r="24" spans="1:17" x14ac:dyDescent="0.25">
      <c r="A24" t="s">
        <v>664</v>
      </c>
      <c r="B24" s="495" t="s">
        <v>766</v>
      </c>
      <c r="C24" s="235">
        <f>Assumptions!D21</f>
        <v>0</v>
      </c>
      <c r="D24" s="235">
        <f>Assumptions!E21</f>
        <v>0</v>
      </c>
      <c r="E24" s="235">
        <f>Assumptions!F21</f>
        <v>0</v>
      </c>
      <c r="F24" s="499">
        <f>Assumptions!G21</f>
        <v>0</v>
      </c>
      <c r="G24" s="499">
        <f>Assumptions!H21</f>
        <v>0</v>
      </c>
      <c r="H24" s="499">
        <f>Assumptions!I21</f>
        <v>0</v>
      </c>
      <c r="I24" s="499">
        <f>Assumptions!J21</f>
        <v>0</v>
      </c>
      <c r="J24" s="499">
        <f>Assumptions!K21</f>
        <v>0</v>
      </c>
      <c r="K24" s="499">
        <f>Assumptions!L21</f>
        <v>0</v>
      </c>
      <c r="L24" s="499">
        <f>Assumptions!M21</f>
        <v>0</v>
      </c>
      <c r="M24" s="499">
        <f>Assumptions!N21</f>
        <v>0</v>
      </c>
      <c r="N24" s="499">
        <f>Assumptions!O21</f>
        <v>0</v>
      </c>
      <c r="O24" s="235">
        <f>Assumptions!P21</f>
        <v>8.25</v>
      </c>
    </row>
    <row r="25" spans="1:17" x14ac:dyDescent="0.25">
      <c r="B25" s="495" t="s">
        <v>10</v>
      </c>
      <c r="C25" s="235">
        <f>Assumptions!D7</f>
        <v>0</v>
      </c>
      <c r="D25" s="235">
        <f>Assumptions!E7</f>
        <v>0</v>
      </c>
      <c r="E25" s="235">
        <f>Assumptions!F7</f>
        <v>1.0129999999999999</v>
      </c>
      <c r="F25" s="499">
        <f>Assumptions!G7</f>
        <v>8.43</v>
      </c>
      <c r="G25" s="499">
        <f>Assumptions!H7</f>
        <v>7.5161150000000001</v>
      </c>
      <c r="H25" s="499">
        <f>Assumptions!I7</f>
        <v>9.52</v>
      </c>
      <c r="I25" s="499">
        <f>Assumptions!J7</f>
        <v>12.37</v>
      </c>
      <c r="J25" s="499">
        <f>Assumptions!K7</f>
        <v>11.4</v>
      </c>
      <c r="K25" s="499">
        <f>Assumptions!L7</f>
        <v>7.26</v>
      </c>
      <c r="L25" s="499">
        <f ca="1">Assumptions!M7</f>
        <v>9.4380000000000006</v>
      </c>
      <c r="M25" s="499">
        <f ca="1">Assumptions!N7</f>
        <v>9.5323799999999999</v>
      </c>
      <c r="N25" s="499">
        <f ca="1">Assumptions!O7</f>
        <v>9.6277038000000008</v>
      </c>
      <c r="O25" s="235">
        <f ca="1">Assumptions!P7</f>
        <v>9.723980838000001</v>
      </c>
    </row>
    <row r="26" spans="1:17" x14ac:dyDescent="0.25">
      <c r="B26" s="495" t="s">
        <v>707</v>
      </c>
      <c r="C26" s="235">
        <f>Assumptions!D22</f>
        <v>0</v>
      </c>
      <c r="D26" s="235">
        <f>Assumptions!E22</f>
        <v>0</v>
      </c>
      <c r="E26" s="235">
        <f>Assumptions!F22</f>
        <v>0</v>
      </c>
      <c r="F26" s="499">
        <f>Assumptions!G22</f>
        <v>0</v>
      </c>
      <c r="G26" s="499">
        <f>Assumptions!H22</f>
        <v>0</v>
      </c>
      <c r="H26" s="499">
        <f>Assumptions!I22</f>
        <v>0</v>
      </c>
      <c r="I26" s="499">
        <f>Assumptions!J22</f>
        <v>0</v>
      </c>
      <c r="J26" s="499">
        <f>Assumptions!K22</f>
        <v>0</v>
      </c>
      <c r="K26" s="499">
        <f>Assumptions!L22</f>
        <v>0</v>
      </c>
      <c r="L26" s="499">
        <f>Assumptions!M22</f>
        <v>0</v>
      </c>
      <c r="M26" s="499">
        <f>Assumptions!N22</f>
        <v>0</v>
      </c>
      <c r="N26" s="499">
        <f>Assumptions!O22</f>
        <v>0</v>
      </c>
      <c r="O26" s="235">
        <f>Assumptions!P22</f>
        <v>10.8</v>
      </c>
    </row>
    <row r="27" spans="1:17" x14ac:dyDescent="0.25">
      <c r="B27" s="495" t="s">
        <v>8</v>
      </c>
      <c r="C27" s="235">
        <f>Assumptions!D9</f>
        <v>0</v>
      </c>
      <c r="D27" s="235">
        <f>Assumptions!E9</f>
        <v>0</v>
      </c>
      <c r="E27" s="235">
        <f>Assumptions!F9</f>
        <v>0</v>
      </c>
      <c r="F27" s="499">
        <f>Assumptions!G9</f>
        <v>3.14</v>
      </c>
      <c r="G27" s="499">
        <f>Assumptions!H9</f>
        <v>8.0324159999999996</v>
      </c>
      <c r="H27" s="499">
        <f>Assumptions!I9</f>
        <v>8.7040000000000006</v>
      </c>
      <c r="I27" s="499">
        <f>Assumptions!J9</f>
        <v>9.31</v>
      </c>
      <c r="J27" s="499">
        <f>Assumptions!K9</f>
        <v>10.199999999999999</v>
      </c>
      <c r="K27" s="499">
        <f>Assumptions!L9</f>
        <v>10.38</v>
      </c>
      <c r="L27" s="499">
        <f ca="1">Assumptions!M9</f>
        <v>10.4838</v>
      </c>
      <c r="M27" s="499">
        <f ca="1">Assumptions!N9</f>
        <v>10.588638000000001</v>
      </c>
      <c r="N27" s="499">
        <f ca="1">Assumptions!O9</f>
        <v>10.694524380000001</v>
      </c>
      <c r="O27" s="235">
        <f ca="1">Assumptions!P9</f>
        <v>10.801469623800001</v>
      </c>
    </row>
    <row r="28" spans="1:17" x14ac:dyDescent="0.25">
      <c r="B28" s="495" t="s">
        <v>214</v>
      </c>
      <c r="C28" s="235">
        <f>Assumptions!D6</f>
        <v>10.899999999999999</v>
      </c>
      <c r="D28" s="235">
        <f>Assumptions!E6</f>
        <v>5.25</v>
      </c>
      <c r="E28" s="235">
        <f>Assumptions!F6</f>
        <v>6.6109790000000004</v>
      </c>
      <c r="F28" s="499">
        <f>Assumptions!G6</f>
        <v>6.83</v>
      </c>
      <c r="G28" s="499">
        <f>Assumptions!H6</f>
        <v>6.9256087389999994</v>
      </c>
      <c r="H28" s="499">
        <f>Assumptions!I6</f>
        <v>7.0679999999999996</v>
      </c>
      <c r="I28" s="499">
        <f>Assumptions!J6</f>
        <v>7.1559999999999997</v>
      </c>
      <c r="J28" s="499">
        <f>Assumptions!K6</f>
        <v>6.4</v>
      </c>
      <c r="K28" s="499">
        <f>Assumptions!L6</f>
        <v>8.5500000000000007</v>
      </c>
      <c r="L28" s="499">
        <f ca="1">Assumptions!M6</f>
        <v>9.3918000000000017</v>
      </c>
      <c r="M28" s="499">
        <f ca="1">Assumptions!N6</f>
        <v>10.80057</v>
      </c>
      <c r="N28" s="499">
        <f ca="1">Assumptions!O6</f>
        <v>11.273464950000001</v>
      </c>
      <c r="O28" s="235">
        <f ca="1">Assumptions!P6</f>
        <v>11.767319305500001</v>
      </c>
    </row>
    <row r="29" spans="1:17" x14ac:dyDescent="0.25">
      <c r="B29" s="495" t="s">
        <v>215</v>
      </c>
      <c r="C29" s="235">
        <f>Assumptions!D11</f>
        <v>0</v>
      </c>
      <c r="D29" s="235">
        <f>Assumptions!E11</f>
        <v>0</v>
      </c>
      <c r="E29" s="235">
        <f>Assumptions!F11</f>
        <v>0</v>
      </c>
      <c r="F29" s="499">
        <f>Assumptions!G11</f>
        <v>1.02</v>
      </c>
      <c r="G29" s="499">
        <f>Assumptions!H11</f>
        <v>3.7909014610000002</v>
      </c>
      <c r="H29" s="499">
        <f>Assumptions!I11</f>
        <v>4.4539999999999997</v>
      </c>
      <c r="I29" s="499">
        <f>Assumptions!J11</f>
        <v>4.7699999999999996</v>
      </c>
      <c r="J29" s="499">
        <f>Assumptions!K11</f>
        <v>6.3</v>
      </c>
      <c r="K29" s="499">
        <f>Assumptions!L11</f>
        <v>6.27</v>
      </c>
      <c r="L29" s="499">
        <f ca="1">Assumptions!M11</f>
        <v>6.5834999999999999</v>
      </c>
      <c r="M29" s="499">
        <f ca="1">Assumptions!N11</f>
        <v>6.9126750000000001</v>
      </c>
      <c r="N29" s="499">
        <f ca="1">Assumptions!O11</f>
        <v>7.2583087500000003</v>
      </c>
      <c r="O29" s="235">
        <f ca="1">Assumptions!P11</f>
        <v>7.6212241875000011</v>
      </c>
    </row>
    <row r="30" spans="1:17" x14ac:dyDescent="0.25">
      <c r="B30" s="495" t="s">
        <v>2</v>
      </c>
      <c r="C30" s="235">
        <f>Assumptions!D13</f>
        <v>0</v>
      </c>
      <c r="D30" s="235">
        <f>Assumptions!E13</f>
        <v>0</v>
      </c>
      <c r="E30" s="235">
        <f>Assumptions!F13</f>
        <v>0</v>
      </c>
      <c r="F30" s="499">
        <f>Assumptions!G13</f>
        <v>0</v>
      </c>
      <c r="G30" s="499">
        <f>Assumptions!H13</f>
        <v>0</v>
      </c>
      <c r="H30" s="499">
        <f>Assumptions!I13</f>
        <v>0</v>
      </c>
      <c r="I30" s="499">
        <f>Assumptions!J13</f>
        <v>1.32</v>
      </c>
      <c r="J30" s="499">
        <f>Assumptions!K13</f>
        <v>5.5</v>
      </c>
      <c r="K30" s="499">
        <f>Assumptions!L13</f>
        <v>5.34</v>
      </c>
      <c r="L30" s="499">
        <f>Assumptions!M13</f>
        <v>6.1387</v>
      </c>
      <c r="M30" s="499">
        <f>Assumptions!N13</f>
        <v>6.2614739999999998</v>
      </c>
      <c r="N30" s="499">
        <f>Assumptions!O13</f>
        <v>6.5745477000000001</v>
      </c>
      <c r="O30" s="235">
        <f>Assumptions!P13</f>
        <v>6.9032750850000006</v>
      </c>
    </row>
    <row r="31" spans="1:17" x14ac:dyDescent="0.25">
      <c r="B31" s="495" t="s">
        <v>553</v>
      </c>
      <c r="C31" s="235">
        <f>Assumptions!D15</f>
        <v>0</v>
      </c>
      <c r="D31" s="235">
        <f>Assumptions!E15</f>
        <v>0</v>
      </c>
      <c r="E31" s="235">
        <f>Assumptions!F15</f>
        <v>0</v>
      </c>
      <c r="F31" s="499">
        <f>Assumptions!G15</f>
        <v>0</v>
      </c>
      <c r="G31" s="499">
        <f>Assumptions!H15</f>
        <v>0</v>
      </c>
      <c r="H31" s="499">
        <f>Assumptions!I15</f>
        <v>0</v>
      </c>
      <c r="I31" s="499">
        <f>Assumptions!J15</f>
        <v>0</v>
      </c>
      <c r="J31" s="499">
        <f>Assumptions!K15</f>
        <v>0.9</v>
      </c>
      <c r="K31" s="499">
        <f>Assumptions!L15</f>
        <v>4.99</v>
      </c>
      <c r="L31" s="499">
        <f ca="1">Assumptions!M15</f>
        <v>5.25</v>
      </c>
      <c r="M31" s="499">
        <f ca="1">Assumptions!N15</f>
        <v>5.25</v>
      </c>
      <c r="N31" s="499">
        <f ca="1">Assumptions!O15</f>
        <v>5.25</v>
      </c>
      <c r="O31" s="235">
        <f ca="1">Assumptions!P15</f>
        <v>5.25</v>
      </c>
    </row>
    <row r="32" spans="1:17" x14ac:dyDescent="0.25">
      <c r="B32" s="495" t="s">
        <v>791</v>
      </c>
      <c r="C32" s="235">
        <f>Assumptions!D14</f>
        <v>0</v>
      </c>
      <c r="D32" s="235">
        <f>Assumptions!E14</f>
        <v>0</v>
      </c>
      <c r="E32" s="235">
        <f>Assumptions!F14</f>
        <v>0</v>
      </c>
      <c r="F32" s="499">
        <f>Assumptions!G14</f>
        <v>0</v>
      </c>
      <c r="G32" s="499">
        <f>Assumptions!H14</f>
        <v>0</v>
      </c>
      <c r="H32" s="499">
        <f>Assumptions!I14</f>
        <v>0</v>
      </c>
      <c r="I32" s="499">
        <f>Assumptions!J14</f>
        <v>2</v>
      </c>
      <c r="J32" s="499">
        <f>Assumptions!K14</f>
        <v>7.3</v>
      </c>
      <c r="K32" s="499">
        <f>Assumptions!L14</f>
        <v>5.71</v>
      </c>
      <c r="L32" s="499">
        <f>Assumptions!M14</f>
        <v>2.855</v>
      </c>
      <c r="M32" s="499">
        <f>Assumptions!N14</f>
        <v>4.9962499999999999</v>
      </c>
      <c r="N32" s="499">
        <f>Assumptions!O14</f>
        <v>5.9954999999999998</v>
      </c>
      <c r="O32" s="235">
        <f>Assumptions!P14</f>
        <v>6.2353199999999998</v>
      </c>
      <c r="Q32" s="967">
        <f>9/7.5-1</f>
        <v>0.19999999999999996</v>
      </c>
    </row>
    <row r="33" spans="2:17" x14ac:dyDescent="0.25">
      <c r="B33" s="495" t="s">
        <v>788</v>
      </c>
      <c r="C33" s="235">
        <f>Assumptions!D16</f>
        <v>0</v>
      </c>
      <c r="D33" s="235">
        <f>Assumptions!E16</f>
        <v>0</v>
      </c>
      <c r="E33" s="235">
        <f>Assumptions!F16</f>
        <v>0</v>
      </c>
      <c r="F33" s="499">
        <f>Assumptions!G16</f>
        <v>0</v>
      </c>
      <c r="G33" s="499">
        <f>Assumptions!H16</f>
        <v>0</v>
      </c>
      <c r="H33" s="499">
        <f>Assumptions!I16</f>
        <v>0</v>
      </c>
      <c r="I33" s="499">
        <f>Assumptions!J16</f>
        <v>0</v>
      </c>
      <c r="J33" s="499">
        <f>Assumptions!K16</f>
        <v>0.2</v>
      </c>
      <c r="K33" s="499">
        <f>Assumptions!L16</f>
        <v>1.3</v>
      </c>
      <c r="L33" s="499">
        <f>Assumptions!M16</f>
        <v>2.9250000000000003</v>
      </c>
      <c r="M33" s="499">
        <f>Assumptions!N16</f>
        <v>3.15</v>
      </c>
      <c r="N33" s="499">
        <f>Assumptions!O16</f>
        <v>3.375</v>
      </c>
      <c r="O33" s="235">
        <f>Assumptions!P16</f>
        <v>3.375</v>
      </c>
      <c r="Q33">
        <f>900000/12</f>
        <v>75000</v>
      </c>
    </row>
    <row r="34" spans="2:17" x14ac:dyDescent="0.25">
      <c r="B34" s="495" t="s">
        <v>216</v>
      </c>
      <c r="C34" s="235">
        <f>Assumptions!D12</f>
        <v>0</v>
      </c>
      <c r="D34" s="235">
        <f>Assumptions!E12</f>
        <v>0</v>
      </c>
      <c r="E34" s="235">
        <f>Assumptions!F12</f>
        <v>0</v>
      </c>
      <c r="F34" s="499">
        <f>Assumptions!G12</f>
        <v>0</v>
      </c>
      <c r="G34" s="499">
        <f>Assumptions!H12</f>
        <v>0</v>
      </c>
      <c r="H34" s="499">
        <f>Assumptions!I12</f>
        <v>2.1739976832207537</v>
      </c>
      <c r="I34" s="499">
        <f>Assumptions!J12</f>
        <v>2.5821624445182496</v>
      </c>
      <c r="J34" s="499">
        <f>Assumptions!K12</f>
        <v>2.4</v>
      </c>
      <c r="K34" s="499">
        <f>Assumptions!L12</f>
        <v>2.4900000000000002</v>
      </c>
      <c r="L34" s="499">
        <f>Assumptions!M12</f>
        <v>3.1175000000000002</v>
      </c>
      <c r="M34" s="499">
        <f>Assumptions!N12</f>
        <v>3.4292500000000006</v>
      </c>
      <c r="N34" s="499">
        <f>Assumptions!O12</f>
        <v>3.6350050000000009</v>
      </c>
      <c r="O34" s="235">
        <f>Assumptions!P12</f>
        <v>3.8531053000000011</v>
      </c>
      <c r="Q34">
        <f>750000/12</f>
        <v>62500</v>
      </c>
    </row>
    <row r="35" spans="2:17" x14ac:dyDescent="0.25">
      <c r="B35" s="495" t="s">
        <v>213</v>
      </c>
      <c r="C35" s="235">
        <f>Assumptions!D3</f>
        <v>0</v>
      </c>
      <c r="D35" s="235">
        <f>Assumptions!E3</f>
        <v>4.1899999999999995</v>
      </c>
      <c r="E35" s="235">
        <f>Assumptions!F3</f>
        <v>3.1759322649999988</v>
      </c>
      <c r="F35" s="499">
        <f>Assumptions!G3</f>
        <v>3.59</v>
      </c>
      <c r="G35" s="499">
        <f>Assumptions!H3</f>
        <v>3.0277205999999999</v>
      </c>
      <c r="H35" s="499">
        <f>Assumptions!I3</f>
        <v>2.7</v>
      </c>
      <c r="I35" s="499">
        <f>Assumptions!J3</f>
        <v>2.65</v>
      </c>
      <c r="J35" s="499">
        <f>Assumptions!K3</f>
        <v>2.4</v>
      </c>
      <c r="K35" s="499">
        <f>Assumptions!L3</f>
        <v>2.99</v>
      </c>
      <c r="L35" s="499">
        <f>Assumptions!M3</f>
        <v>2.9900000000000007</v>
      </c>
      <c r="M35" s="499">
        <f>Assumptions!N3</f>
        <v>3.0498000000000007</v>
      </c>
      <c r="N35" s="499">
        <f>Assumptions!O3</f>
        <v>3.110796000000001</v>
      </c>
      <c r="O35" s="235">
        <f>Assumptions!P3</f>
        <v>3.1730119200000009</v>
      </c>
      <c r="Q35">
        <f>+Q33-Q34</f>
        <v>12500</v>
      </c>
    </row>
    <row r="36" spans="2:17" x14ac:dyDescent="0.25">
      <c r="B36" s="495" t="s">
        <v>9</v>
      </c>
      <c r="C36" s="235">
        <f>Assumptions!D10</f>
        <v>0</v>
      </c>
      <c r="D36" s="235">
        <f>Assumptions!E10</f>
        <v>0</v>
      </c>
      <c r="E36" s="235">
        <f>Assumptions!F10</f>
        <v>0</v>
      </c>
      <c r="F36" s="499">
        <f>Assumptions!G10</f>
        <v>0.39</v>
      </c>
      <c r="G36" s="499">
        <f>Assumptions!H10</f>
        <v>1.1602350890099999</v>
      </c>
      <c r="H36" s="499">
        <f>Assumptions!I10</f>
        <v>1.89</v>
      </c>
      <c r="I36" s="499">
        <f>Assumptions!J10</f>
        <v>1.46</v>
      </c>
      <c r="J36" s="499">
        <f>Assumptions!K10</f>
        <v>2.1</v>
      </c>
      <c r="K36" s="499">
        <f>Assumptions!L10</f>
        <v>1.65</v>
      </c>
      <c r="L36" s="499">
        <f>Assumptions!M10</f>
        <v>1.7293500000000004</v>
      </c>
      <c r="M36" s="499">
        <f>Assumptions!N10</f>
        <v>1.8158175000000005</v>
      </c>
      <c r="N36" s="499">
        <f>Assumptions!O10</f>
        <v>1.9066083750000007</v>
      </c>
      <c r="O36" s="235">
        <f>Assumptions!P10</f>
        <v>2.0019387937500008</v>
      </c>
    </row>
    <row r="37" spans="2:17" x14ac:dyDescent="0.25">
      <c r="B37" s="495" t="s">
        <v>1767</v>
      </c>
      <c r="C37" s="235">
        <f>Assumptions!D23</f>
        <v>0</v>
      </c>
      <c r="D37" s="235">
        <f>Assumptions!E23</f>
        <v>0</v>
      </c>
      <c r="E37" s="235">
        <f>Assumptions!F23</f>
        <v>0</v>
      </c>
      <c r="F37" s="499">
        <f>Assumptions!G23</f>
        <v>0</v>
      </c>
      <c r="G37" s="499">
        <f>Assumptions!H23</f>
        <v>0</v>
      </c>
      <c r="H37" s="499">
        <f>Assumptions!I23</f>
        <v>0</v>
      </c>
      <c r="I37" s="499">
        <f>Assumptions!J23</f>
        <v>0</v>
      </c>
      <c r="J37" s="499">
        <f>Assumptions!K23</f>
        <v>0</v>
      </c>
      <c r="K37" s="499">
        <f>Assumptions!L23</f>
        <v>0</v>
      </c>
      <c r="L37" s="499">
        <f>Assumptions!M23</f>
        <v>1.1024999999999998</v>
      </c>
      <c r="M37" s="499">
        <f>Assumptions!N23</f>
        <v>2.2049999999999996</v>
      </c>
      <c r="N37" s="499">
        <f>Assumptions!O23</f>
        <v>3.78</v>
      </c>
      <c r="O37" s="235">
        <f>Assumptions!P23</f>
        <v>4.4099999999999993</v>
      </c>
    </row>
    <row r="38" spans="2:17" x14ac:dyDescent="0.25">
      <c r="B38" s="495" t="s">
        <v>2026</v>
      </c>
      <c r="C38" s="235">
        <f>Assumptions!D24</f>
        <v>0</v>
      </c>
      <c r="D38" s="235">
        <f>Assumptions!E24</f>
        <v>0</v>
      </c>
      <c r="E38" s="235">
        <f>Assumptions!F24</f>
        <v>0</v>
      </c>
      <c r="F38" s="499">
        <f>Assumptions!G24</f>
        <v>0</v>
      </c>
      <c r="G38" s="499">
        <f>Assumptions!H24</f>
        <v>0</v>
      </c>
      <c r="H38" s="499">
        <f>Assumptions!I24</f>
        <v>0</v>
      </c>
      <c r="I38" s="499">
        <f>Assumptions!J24</f>
        <v>0</v>
      </c>
      <c r="J38" s="499">
        <f>Assumptions!K24</f>
        <v>0</v>
      </c>
      <c r="K38" s="499">
        <f>Assumptions!L24</f>
        <v>0</v>
      </c>
      <c r="L38" s="499">
        <f ca="1">Assumptions!M24</f>
        <v>0</v>
      </c>
      <c r="M38" s="499">
        <f ca="1">Assumptions!N24</f>
        <v>0</v>
      </c>
      <c r="N38" s="499">
        <f>Assumptions!O24</f>
        <v>3</v>
      </c>
      <c r="O38" s="235">
        <f>Assumptions!P24</f>
        <v>6</v>
      </c>
    </row>
    <row r="39" spans="2:17" x14ac:dyDescent="0.25">
      <c r="C39" s="529">
        <f t="shared" ref="C39:M39" si="13">SUM(C17:C38)</f>
        <v>32.094999999999999</v>
      </c>
      <c r="D39" s="529">
        <f t="shared" si="13"/>
        <v>35.369999999999997</v>
      </c>
      <c r="E39" s="529">
        <f t="shared" si="13"/>
        <v>34.010456011999999</v>
      </c>
      <c r="F39" s="529">
        <f t="shared" si="13"/>
        <v>45.537999999999997</v>
      </c>
      <c r="G39" s="529">
        <f t="shared" si="13"/>
        <v>61.962649216009993</v>
      </c>
      <c r="H39" s="529">
        <f t="shared" si="13"/>
        <v>92.810997683220748</v>
      </c>
      <c r="I39" s="529">
        <f t="shared" si="13"/>
        <v>107.03816244451825</v>
      </c>
      <c r="J39" s="529">
        <f t="shared" si="13"/>
        <v>117.00000000000001</v>
      </c>
      <c r="K39" s="529">
        <f t="shared" si="13"/>
        <v>120.73999999999998</v>
      </c>
      <c r="L39" s="529">
        <f t="shared" ca="1" si="13"/>
        <v>127.95611000000002</v>
      </c>
      <c r="M39" s="529">
        <f t="shared" ca="1" si="13"/>
        <v>168.54703450000002</v>
      </c>
      <c r="N39" s="529">
        <f ca="1">SUM(N17:N38)</f>
        <v>196.93431247499998</v>
      </c>
      <c r="O39" s="529">
        <f ca="1">SUM(O17:O38)</f>
        <v>237.39015313675</v>
      </c>
      <c r="P39" s="1072">
        <f ca="1">(O39/K39)^(1/4)-1</f>
        <v>0.1841395379327686</v>
      </c>
    </row>
    <row r="40" spans="2:17" x14ac:dyDescent="0.25">
      <c r="K40" s="967"/>
    </row>
    <row r="41" spans="2:17" x14ac:dyDescent="0.25">
      <c r="B41" s="501" t="s">
        <v>888</v>
      </c>
      <c r="C41" s="497" t="s">
        <v>22</v>
      </c>
      <c r="D41" s="497" t="s">
        <v>23</v>
      </c>
      <c r="E41" s="497" t="s">
        <v>24</v>
      </c>
      <c r="F41" s="497" t="s">
        <v>25</v>
      </c>
      <c r="G41" s="497" t="s">
        <v>26</v>
      </c>
      <c r="H41" s="497" t="s">
        <v>27</v>
      </c>
      <c r="I41" s="497" t="s">
        <v>273</v>
      </c>
      <c r="J41" s="497" t="s">
        <v>347</v>
      </c>
      <c r="K41" s="497" t="s">
        <v>177</v>
      </c>
      <c r="L41" s="497" t="s">
        <v>178</v>
      </c>
      <c r="M41" s="497" t="s">
        <v>179</v>
      </c>
      <c r="N41" s="497" t="s">
        <v>231</v>
      </c>
      <c r="O41" s="497" t="s">
        <v>232</v>
      </c>
    </row>
    <row r="42" spans="2:17" x14ac:dyDescent="0.25">
      <c r="B42" s="530" t="s">
        <v>279</v>
      </c>
      <c r="F42" s="806">
        <f>Assumptions!G166+Assumptions!Y550</f>
        <v>11.606666666666667</v>
      </c>
      <c r="G42" s="806">
        <f>Assumptions!H166+Assumptions!Z550</f>
        <v>14.159890390666666</v>
      </c>
      <c r="H42" s="806">
        <f>Assumptions!I166+Assumptions!AA550</f>
        <v>22.283333333333331</v>
      </c>
      <c r="I42" s="806">
        <f>Assumptions!J166+Assumptions!AB550</f>
        <v>40.466333333333324</v>
      </c>
      <c r="J42" s="806">
        <f ca="1">Assumptions!K166+Assumptions!AC550</f>
        <v>34.298333333333332</v>
      </c>
      <c r="K42" s="806">
        <f ca="1">Assumptions!L166+Assumptions!AD550</f>
        <v>33.786000000000001</v>
      </c>
      <c r="L42" s="806">
        <f ca="1">Assumptions!M166+Assumptions!AE550</f>
        <v>36.905440000000006</v>
      </c>
      <c r="M42" s="806">
        <f ca="1">Assumptions!N166+Assumptions!AF550</f>
        <v>65.228980000000007</v>
      </c>
      <c r="N42" s="806">
        <f ca="1">Assumptions!O166+Assumptions!AG550</f>
        <v>80.894979800000002</v>
      </c>
      <c r="O42" s="806">
        <f ca="1">Assumptions!P166+Assumptions!AH550</f>
        <v>86.783959158000002</v>
      </c>
    </row>
    <row r="43" spans="2:17" x14ac:dyDescent="0.25">
      <c r="B43" s="530" t="s">
        <v>280</v>
      </c>
      <c r="F43" s="235">
        <f>Assumptions!G167</f>
        <v>3.88</v>
      </c>
      <c r="G43" s="235">
        <f>Assumptions!H167</f>
        <v>5.21</v>
      </c>
      <c r="H43" s="235">
        <f>Assumptions!I167</f>
        <v>26.92</v>
      </c>
      <c r="I43" s="235">
        <f>Assumptions!J167</f>
        <v>35.790000000000006</v>
      </c>
      <c r="J43" s="235">
        <f ca="1">Assumptions!K167</f>
        <v>40.534998999999999</v>
      </c>
      <c r="K43" s="235">
        <f ca="1">Assumptions!L167</f>
        <v>40.03</v>
      </c>
      <c r="L43" s="235">
        <f ca="1">Assumptions!M167</f>
        <v>41.002300000000005</v>
      </c>
      <c r="M43" s="235">
        <f ca="1">Assumptions!N167</f>
        <v>43.735925000000009</v>
      </c>
      <c r="N43" s="235">
        <f ca="1">Assumptions!O167</f>
        <v>45.988761850000003</v>
      </c>
      <c r="O43" s="235">
        <f ca="1">Assumptions!P167</f>
        <v>48.078287254500012</v>
      </c>
    </row>
    <row r="44" spans="2:17" x14ac:dyDescent="0.25">
      <c r="B44" s="530" t="s">
        <v>281</v>
      </c>
      <c r="F44" s="806">
        <f>Assumptions!G168+Assumptions!Y551</f>
        <v>23.713333333333335</v>
      </c>
      <c r="G44" s="806">
        <f>Assumptions!H168+Assumptions!Z551</f>
        <v>33.370109609333333</v>
      </c>
      <c r="H44" s="806">
        <f>Assumptions!I168+Assumptions!AA551</f>
        <v>31.196666666666665</v>
      </c>
      <c r="I44" s="806">
        <f>Assumptions!J168+Assumptions!AB551</f>
        <v>20.247666666666667</v>
      </c>
      <c r="J44" s="806">
        <f ca="1">Assumptions!K168+Assumptions!AC551</f>
        <v>16.078666666666667</v>
      </c>
      <c r="K44" s="806">
        <f ca="1">Assumptions!L168+Assumptions!AD551</f>
        <v>19.975000000000001</v>
      </c>
      <c r="L44" s="806">
        <f ca="1">Assumptions!M168+Assumptions!AE551</f>
        <v>21.092420000000004</v>
      </c>
      <c r="M44" s="806">
        <f ca="1">Assumptions!N168+Assumptions!AF551</f>
        <v>25.781755</v>
      </c>
      <c r="N44" s="806">
        <f ca="1">Assumptions!O168+Assumptions!AG551</f>
        <v>27.957129200000004</v>
      </c>
      <c r="O44" s="806">
        <f ca="1">Assumptions!P168+Assumptions!AH551</f>
        <v>29.058997968</v>
      </c>
    </row>
    <row r="45" spans="2:17" x14ac:dyDescent="0.25">
      <c r="B45" s="530" t="s">
        <v>282</v>
      </c>
      <c r="F45" s="235">
        <f>Assumptions!G169</f>
        <v>0.25</v>
      </c>
      <c r="G45" s="235">
        <f>Assumptions!H169</f>
        <v>0.27</v>
      </c>
      <c r="H45" s="235">
        <f>Assumptions!I169</f>
        <v>0.53</v>
      </c>
      <c r="I45" s="235">
        <f>Assumptions!J169</f>
        <v>1.65</v>
      </c>
      <c r="J45" s="235">
        <f ca="1">Assumptions!K169</f>
        <v>7.8703570000000003</v>
      </c>
      <c r="K45" s="235">
        <f ca="1">Assumptions!L169</f>
        <v>7.2389999999999999</v>
      </c>
      <c r="L45" s="235">
        <f ca="1">Assumptions!M169</f>
        <v>6.01816</v>
      </c>
      <c r="M45" s="235">
        <f ca="1">Assumptions!N169</f>
        <v>8.3963179999999991</v>
      </c>
      <c r="N45" s="235">
        <f ca="1">Assumptions!O169</f>
        <v>9.6455748000000003</v>
      </c>
      <c r="O45" s="235">
        <f ca="1">Assumptions!P169</f>
        <v>9.8991485399999988</v>
      </c>
    </row>
    <row r="46" spans="2:17" x14ac:dyDescent="0.25">
      <c r="B46" s="530" t="s">
        <v>283</v>
      </c>
      <c r="F46" s="235">
        <f>Assumptions!G170</f>
        <v>0</v>
      </c>
      <c r="G46" s="235">
        <f>Assumptions!H170</f>
        <v>0</v>
      </c>
      <c r="H46" s="235">
        <f>Assumptions!I170</f>
        <v>2.17</v>
      </c>
      <c r="I46" s="235">
        <f>Assumptions!J170</f>
        <v>2.5921624445182494</v>
      </c>
      <c r="J46" s="235">
        <f ca="1">Assumptions!K170</f>
        <v>2.4099429999999997</v>
      </c>
      <c r="K46" s="235">
        <f ca="1">Assumptions!L170</f>
        <v>2.4940000000000002</v>
      </c>
      <c r="L46" s="235">
        <f ca="1">Assumptions!M170</f>
        <v>4.22</v>
      </c>
      <c r="M46" s="235">
        <f ca="1">Assumptions!N170</f>
        <v>5.6342499999999998</v>
      </c>
      <c r="N46" s="235">
        <f ca="1">Assumptions!O170</f>
        <v>10.415005000000001</v>
      </c>
      <c r="O46" s="235">
        <f ca="1">Assumptions!P170</f>
        <v>22.513105299999999</v>
      </c>
    </row>
    <row r="47" spans="2:17" x14ac:dyDescent="0.25">
      <c r="B47" s="530" t="s">
        <v>284</v>
      </c>
      <c r="F47" s="235">
        <f>Assumptions!G171</f>
        <v>6.09</v>
      </c>
      <c r="G47" s="235">
        <f>Assumptions!H171</f>
        <v>8.9600000000000009</v>
      </c>
      <c r="H47" s="235">
        <f>Assumptions!I171</f>
        <v>9.73</v>
      </c>
      <c r="I47" s="235">
        <f>Assumptions!J171</f>
        <v>6.7220000000000013</v>
      </c>
      <c r="J47" s="235">
        <f ca="1">Assumptions!K171</f>
        <v>15.807701000000002</v>
      </c>
      <c r="K47" s="235">
        <f ca="1">Assumptions!L171</f>
        <v>17.201000000000001</v>
      </c>
      <c r="L47" s="235">
        <f ca="1">Assumptions!M171</f>
        <v>18.717790000000001</v>
      </c>
      <c r="M47" s="235">
        <f ca="1">Assumptions!N171</f>
        <v>19.769806499999998</v>
      </c>
      <c r="N47" s="235">
        <f ca="1">Assumptions!O171</f>
        <v>22.032861824999998</v>
      </c>
      <c r="O47" s="235">
        <f ca="1">Assumptions!P171</f>
        <v>41.056654916249997</v>
      </c>
    </row>
    <row r="48" spans="2:17" x14ac:dyDescent="0.25">
      <c r="B48" t="s">
        <v>551</v>
      </c>
      <c r="F48" s="531">
        <f>Assumptions!G172</f>
        <v>45.540000000000006</v>
      </c>
      <c r="G48" s="531">
        <f>Assumptions!H172</f>
        <v>61.970000000000006</v>
      </c>
      <c r="H48" s="531">
        <f>Assumptions!I172</f>
        <v>92.830000000000013</v>
      </c>
      <c r="I48" s="531">
        <f>Assumptions!J172</f>
        <v>107.46816244451827</v>
      </c>
      <c r="J48" s="531">
        <f ca="1">Assumptions!K172</f>
        <v>117</v>
      </c>
      <c r="K48" s="531">
        <f ca="1">Assumptions!L172</f>
        <v>120.72499999999999</v>
      </c>
      <c r="L48" s="531">
        <f ca="1">Assumptions!M172</f>
        <v>127.95611</v>
      </c>
      <c r="M48" s="531">
        <f ca="1">Assumptions!N172</f>
        <v>168.54703450000002</v>
      </c>
      <c r="N48" s="531">
        <f ca="1">Assumptions!O172</f>
        <v>196.93431247500001</v>
      </c>
      <c r="O48" s="531">
        <f ca="1">Assumptions!P172</f>
        <v>237.39015313675003</v>
      </c>
      <c r="P48" s="532">
        <f ca="1">(K48/I48)^(1/2)-1</f>
        <v>5.9884877063355768E-2</v>
      </c>
      <c r="Q48" s="532">
        <f ca="1">(O48/K48)^(1/4)-1</f>
        <v>0.18417631835424508</v>
      </c>
    </row>
    <row r="51" spans="2:16" x14ac:dyDescent="0.25">
      <c r="B51" s="501" t="s">
        <v>889</v>
      </c>
      <c r="C51" s="497" t="s">
        <v>22</v>
      </c>
      <c r="D51" s="497" t="s">
        <v>23</v>
      </c>
      <c r="E51" s="497" t="s">
        <v>24</v>
      </c>
      <c r="F51" s="497" t="s">
        <v>25</v>
      </c>
      <c r="G51" s="497" t="s">
        <v>26</v>
      </c>
      <c r="H51" s="497" t="s">
        <v>27</v>
      </c>
      <c r="I51" s="497" t="s">
        <v>273</v>
      </c>
      <c r="J51" s="497" t="s">
        <v>347</v>
      </c>
      <c r="K51" s="497" t="s">
        <v>348</v>
      </c>
      <c r="L51" s="497" t="s">
        <v>178</v>
      </c>
      <c r="M51" s="497" t="s">
        <v>179</v>
      </c>
      <c r="N51" s="497" t="s">
        <v>231</v>
      </c>
      <c r="O51" s="497" t="s">
        <v>232</v>
      </c>
    </row>
    <row r="52" spans="2:16" x14ac:dyDescent="0.25">
      <c r="B52" s="530" t="s">
        <v>891</v>
      </c>
      <c r="C52" s="235">
        <f>Consol!G16/1000</f>
        <v>9.980935999999998</v>
      </c>
      <c r="D52" s="235">
        <f>Consol!H16/1000</f>
        <v>10.802602</v>
      </c>
      <c r="E52" s="235">
        <f>Consol!I16/1000</f>
        <v>11.431452999999999</v>
      </c>
      <c r="F52" s="235">
        <f>Consol!J16/1000</f>
        <v>16.035705</v>
      </c>
      <c r="G52" s="235">
        <f>Consol!K16/1000</f>
        <v>22.730587999999997</v>
      </c>
      <c r="H52" s="235">
        <f>Consol!L16/1000</f>
        <v>31.947396000000001</v>
      </c>
      <c r="I52" s="235">
        <f>Consol!M16/1000</f>
        <v>37.628899999999994</v>
      </c>
      <c r="J52" s="235">
        <f>Consol!N16/1000</f>
        <v>44.761400000000002</v>
      </c>
      <c r="K52" s="235">
        <f>Consol!O16/1000</f>
        <v>53.614400000000003</v>
      </c>
      <c r="L52" s="235">
        <f ca="1">Consol!P16/1000</f>
        <v>72.935367693299725</v>
      </c>
      <c r="M52" s="235">
        <f ca="1">Consol!Q16/1000</f>
        <v>108.67259111019592</v>
      </c>
      <c r="N52" s="235">
        <f ca="1">Consol!R16/1000</f>
        <v>144.35118628049517</v>
      </c>
      <c r="O52" s="235">
        <f ca="1">Consol!S16/1000</f>
        <v>188.55073544122337</v>
      </c>
      <c r="P52" s="532">
        <f ca="1">(O52/J52)^(1/5)-1</f>
        <v>0.3332294976612391</v>
      </c>
    </row>
    <row r="53" spans="2:16" x14ac:dyDescent="0.25">
      <c r="B53" s="530"/>
      <c r="F53" s="235"/>
      <c r="G53" s="235"/>
      <c r="H53" s="235"/>
      <c r="I53" s="235"/>
      <c r="J53" s="235"/>
      <c r="K53" s="235"/>
      <c r="L53" s="235"/>
      <c r="M53" s="235"/>
      <c r="N53" s="235"/>
      <c r="O53" s="235"/>
    </row>
    <row r="54" spans="2:16" x14ac:dyDescent="0.25">
      <c r="B54" s="501" t="s">
        <v>34</v>
      </c>
      <c r="C54" s="497" t="s">
        <v>22</v>
      </c>
      <c r="D54" s="497" t="s">
        <v>23</v>
      </c>
      <c r="E54" s="497" t="s">
        <v>24</v>
      </c>
      <c r="F54" s="497" t="s">
        <v>25</v>
      </c>
      <c r="G54" s="497" t="s">
        <v>26</v>
      </c>
      <c r="H54" s="497" t="s">
        <v>27</v>
      </c>
      <c r="I54" s="497" t="s">
        <v>273</v>
      </c>
      <c r="J54" s="497" t="s">
        <v>347</v>
      </c>
      <c r="K54" s="497" t="s">
        <v>348</v>
      </c>
      <c r="L54" s="497" t="s">
        <v>178</v>
      </c>
      <c r="M54" s="497" t="s">
        <v>179</v>
      </c>
      <c r="N54" s="497" t="s">
        <v>231</v>
      </c>
      <c r="O54" s="497" t="s">
        <v>232</v>
      </c>
    </row>
    <row r="55" spans="2:16" x14ac:dyDescent="0.25">
      <c r="B55" s="530" t="s">
        <v>890</v>
      </c>
      <c r="C55" s="235">
        <f>Consol!G23/1000</f>
        <v>5.8783559999999984</v>
      </c>
      <c r="D55" s="235">
        <f>Consol!H23/1000</f>
        <v>6.1214070000000014</v>
      </c>
      <c r="E55" s="235">
        <f>Consol!I23/1000</f>
        <v>6.1919619999999993</v>
      </c>
      <c r="F55" s="235">
        <f>Consol!J23/1000</f>
        <v>8.164394999999999</v>
      </c>
      <c r="G55" s="235">
        <f>Consol!K23/1000</f>
        <v>11.094307999999996</v>
      </c>
      <c r="H55" s="235">
        <f>Consol!L23/1000</f>
        <v>16.201896000000001</v>
      </c>
      <c r="I55" s="235">
        <f>Consol!M23/1000</f>
        <v>19.645599999999995</v>
      </c>
      <c r="J55" s="235">
        <f>Consol!N23/1000</f>
        <v>22.6218</v>
      </c>
      <c r="K55" s="235">
        <f>Consol!O23/1000</f>
        <v>26.037299999999998</v>
      </c>
      <c r="L55" s="235">
        <f ca="1">Consol!P23/1000</f>
        <v>29.530876404599336</v>
      </c>
      <c r="M55" s="235">
        <f ca="1">Consol!Q23/1000</f>
        <v>47.43942098176813</v>
      </c>
      <c r="N55" s="235">
        <f ca="1">Consol!R23/1000</f>
        <v>57.966427748387026</v>
      </c>
      <c r="O55" s="235">
        <f ca="1">Consol!S23/1000</f>
        <v>75.5068141171338</v>
      </c>
      <c r="P55" s="532">
        <f ca="1">(O55/J55)^(1/5)-1</f>
        <v>0.27259964448342844</v>
      </c>
    </row>
    <row r="56" spans="2:16" x14ac:dyDescent="0.25">
      <c r="B56" s="530" t="s">
        <v>892</v>
      </c>
      <c r="C56" s="532">
        <f>Consol!G24</f>
        <v>0.58895839027522057</v>
      </c>
      <c r="D56" s="532">
        <f>Consol!H24</f>
        <v>0.56666042125776739</v>
      </c>
      <c r="E56" s="532">
        <f>Consol!I24</f>
        <v>0.54166010217598759</v>
      </c>
      <c r="F56" s="532">
        <f>Consol!J24</f>
        <v>0.50913851308688951</v>
      </c>
      <c r="G56" s="532">
        <f>Consol!K24</f>
        <v>0.48807835503419433</v>
      </c>
      <c r="H56" s="532">
        <f>Consol!L24</f>
        <v>0.50714292958336882</v>
      </c>
      <c r="I56" s="532">
        <f>Consol!M24</f>
        <v>0.52208807592036965</v>
      </c>
      <c r="J56" s="532">
        <f>Consol!N24</f>
        <v>0.50538633733529337</v>
      </c>
      <c r="K56" s="532">
        <f>Consol!O24</f>
        <v>0.48564005192634813</v>
      </c>
      <c r="L56" s="532">
        <f ca="1">Consol!P24</f>
        <v>0.40489103350763284</v>
      </c>
      <c r="M56" s="532">
        <f ca="1">Consol!Q24</f>
        <v>0.43653528913894879</v>
      </c>
      <c r="N56" s="532">
        <f ca="1">Consol!R24</f>
        <v>0.40156530224663273</v>
      </c>
      <c r="O56" s="532">
        <f ca="1">Consol!S24</f>
        <v>0.40045886822155319</v>
      </c>
    </row>
    <row r="58" spans="2:16" x14ac:dyDescent="0.25">
      <c r="B58" s="501" t="s">
        <v>893</v>
      </c>
      <c r="C58" s="497" t="s">
        <v>22</v>
      </c>
      <c r="D58" s="497" t="s">
        <v>23</v>
      </c>
      <c r="E58" s="497" t="s">
        <v>24</v>
      </c>
      <c r="F58" s="497" t="s">
        <v>25</v>
      </c>
      <c r="G58" s="497" t="s">
        <v>26</v>
      </c>
      <c r="H58" s="497" t="s">
        <v>27</v>
      </c>
      <c r="I58" s="497" t="s">
        <v>273</v>
      </c>
      <c r="J58" s="497" t="str">
        <f t="shared" ref="J58:O58" si="14">J54</f>
        <v>FY25</v>
      </c>
      <c r="K58" s="497" t="str">
        <f t="shared" si="14"/>
        <v>FY26</v>
      </c>
      <c r="L58" s="497" t="str">
        <f t="shared" si="14"/>
        <v>FY27E</v>
      </c>
      <c r="M58" s="497" t="str">
        <f t="shared" si="14"/>
        <v>FY28E</v>
      </c>
      <c r="N58" s="497" t="str">
        <f t="shared" si="14"/>
        <v>FY29E</v>
      </c>
      <c r="O58" s="497" t="str">
        <f t="shared" si="14"/>
        <v>FY30E</v>
      </c>
    </row>
    <row r="59" spans="2:16" x14ac:dyDescent="0.25">
      <c r="B59" s="530" t="s">
        <v>893</v>
      </c>
      <c r="C59" s="235">
        <f>Assumptions!D370</f>
        <v>310.9810250817884</v>
      </c>
      <c r="D59" s="235">
        <f>Assumptions!E370</f>
        <v>305.41707661860335</v>
      </c>
      <c r="E59" s="235">
        <f>Assumptions!F370</f>
        <v>336.11584025708476</v>
      </c>
      <c r="F59" s="235">
        <f>Assumptions!G370</f>
        <v>352.13898282752865</v>
      </c>
      <c r="G59" s="235">
        <f>Assumptions!H370</f>
        <v>366.84338529100262</v>
      </c>
      <c r="H59" s="235">
        <f>Assumptions!I370</f>
        <v>345.14056307565369</v>
      </c>
      <c r="I59" s="235">
        <f>Assumptions!J370</f>
        <v>351.54658058993141</v>
      </c>
      <c r="J59" s="235">
        <f>Assumptions!K370</f>
        <v>361.23162393162391</v>
      </c>
      <c r="K59" s="235">
        <f ca="1">Assumptions!L370</f>
        <v>427.18162095564458</v>
      </c>
      <c r="L59" s="235">
        <f ca="1">Assumptions!M370</f>
        <v>443.73321724508804</v>
      </c>
      <c r="M59" s="235">
        <f ca="1">Assumptions!N370</f>
        <v>478.4597087245553</v>
      </c>
      <c r="N59" s="235">
        <f ca="1">Assumptions!O370</f>
        <v>462.31415919190408</v>
      </c>
      <c r="O59" s="235">
        <f ca="1">Assumptions!P370</f>
        <v>473.21196592813391</v>
      </c>
    </row>
    <row r="60" spans="2:16" x14ac:dyDescent="0.25">
      <c r="B60" t="str">
        <f>B62</f>
        <v>EBITDA/tonne</v>
      </c>
      <c r="F60" s="939">
        <f>F62</f>
        <v>179.28751811673766</v>
      </c>
      <c r="G60" s="939">
        <f t="shared" ref="G60:O60" si="15">G62</f>
        <v>179.04831604800773</v>
      </c>
      <c r="H60" s="939">
        <f t="shared" si="15"/>
        <v>174.56870849831552</v>
      </c>
      <c r="I60" s="939">
        <f t="shared" si="15"/>
        <v>183.53827785658245</v>
      </c>
      <c r="J60" s="939">
        <f t="shared" si="15"/>
        <v>183.5664404977376</v>
      </c>
      <c r="K60" s="939">
        <f t="shared" ca="1" si="15"/>
        <v>197.32024429342516</v>
      </c>
      <c r="L60" s="939">
        <f t="shared" ca="1" si="15"/>
        <v>200.04312420981171</v>
      </c>
      <c r="M60" s="939">
        <f t="shared" ca="1" si="15"/>
        <v>242.57191178905629</v>
      </c>
      <c r="N60" s="939">
        <f t="shared" ca="1" si="15"/>
        <v>236.38150439732391</v>
      </c>
      <c r="O60" s="939">
        <f t="shared" ca="1" si="15"/>
        <v>249.36234692296708</v>
      </c>
    </row>
    <row r="61" spans="2:16" x14ac:dyDescent="0.25">
      <c r="B61" s="501" t="s">
        <v>894</v>
      </c>
      <c r="C61" s="497" t="s">
        <v>22</v>
      </c>
      <c r="D61" s="497" t="s">
        <v>23</v>
      </c>
      <c r="E61" s="497" t="s">
        <v>24</v>
      </c>
      <c r="F61" s="497" t="s">
        <v>25</v>
      </c>
      <c r="G61" s="497" t="s">
        <v>26</v>
      </c>
      <c r="H61" s="497" t="s">
        <v>27</v>
      </c>
      <c r="I61" s="497" t="s">
        <v>273</v>
      </c>
      <c r="J61" s="497" t="s">
        <v>347</v>
      </c>
      <c r="K61" s="497" t="s">
        <v>348</v>
      </c>
      <c r="L61" s="497" t="s">
        <v>178</v>
      </c>
      <c r="M61" s="497" t="s">
        <v>179</v>
      </c>
      <c r="N61" s="497" t="s">
        <v>231</v>
      </c>
      <c r="O61" s="497" t="s">
        <v>232</v>
      </c>
    </row>
    <row r="62" spans="2:16" x14ac:dyDescent="0.25">
      <c r="B62" s="530" t="s">
        <v>894</v>
      </c>
      <c r="C62" s="235">
        <f>Assumptions!D424</f>
        <v>183.1548839383081</v>
      </c>
      <c r="D62" s="235">
        <f>Assumptions!E424</f>
        <v>173.06776929601358</v>
      </c>
      <c r="E62" s="235">
        <f>Assumptions!F424</f>
        <v>182.06054037662045</v>
      </c>
      <c r="F62" s="235">
        <f>Assumptions!G424</f>
        <v>179.28751811673766</v>
      </c>
      <c r="G62" s="235">
        <f>Assumptions!H424</f>
        <v>179.04831604800773</v>
      </c>
      <c r="H62" s="235">
        <f>Assumptions!I424</f>
        <v>174.56870849831552</v>
      </c>
      <c r="I62" s="235">
        <f>Assumptions!J424</f>
        <v>183.53827785658245</v>
      </c>
      <c r="J62" s="235">
        <f>Assumptions!K424</f>
        <v>183.5664404977376</v>
      </c>
      <c r="K62" s="235">
        <f ca="1">Assumptions!L424</f>
        <v>197.32024429342516</v>
      </c>
      <c r="L62" s="235">
        <f ca="1">Assumptions!M424</f>
        <v>200.04312420981171</v>
      </c>
      <c r="M62" s="235">
        <f ca="1">Assumptions!N424</f>
        <v>242.57191178905629</v>
      </c>
      <c r="N62" s="235">
        <f ca="1">Assumptions!O424</f>
        <v>236.38150439732391</v>
      </c>
      <c r="O62" s="235">
        <f ca="1">Assumptions!P424</f>
        <v>249.36234692296708</v>
      </c>
    </row>
    <row r="64" spans="2:16" x14ac:dyDescent="0.25">
      <c r="H64">
        <f>+Assumptions!$C$1616*SUM(Assumptions!I1595,Assumptions!I1596,Assumptions!I1599)+Assumptions!$C$1617*SUM(Assumptions!I1595,Assumptions!I1596,Assumptions!I1599)+Assumptions!$C$1618*SUM(Assumptions!I1595,Assumptions!I1596,Assumptions!I1599)</f>
        <v>77</v>
      </c>
      <c r="I64">
        <f>+Assumptions!$C$1616*SUM(Assumptions!J1595,Assumptions!J1596,Assumptions!J1599)+Assumptions!$C$1617*SUM(Assumptions!J1595,Assumptions!J1596,Assumptions!J1599)+Assumptions!$C$1618*SUM(Assumptions!J1595,Assumptions!J1596,Assumptions!J1599)</f>
        <v>77</v>
      </c>
      <c r="J64">
        <f>+Assumptions!$C$1616*SUM(Assumptions!K1595,Assumptions!K1596,Assumptions!K1599)+Assumptions!$C$1617*SUM(Assumptions!K1595,Assumptions!K1596,Assumptions!K1599)+Assumptions!$C$1618*SUM(Assumptions!K1595,Assumptions!K1596,Assumptions!K1599)</f>
        <v>96.25</v>
      </c>
      <c r="K64">
        <f>+Assumptions!$C$1616*SUM(Assumptions!L1595,Assumptions!L1596,Assumptions!L1599)+Assumptions!$C$1617*SUM(Assumptions!L1595,Assumptions!L1596,Assumptions!L1599)+Assumptions!$C$1618*SUM(Assumptions!L1595,Assumptions!L1596,Assumptions!L1599)</f>
        <v>96.25</v>
      </c>
      <c r="L64">
        <f>+Assumptions!$C$1616*SUM(Assumptions!M1595,Assumptions!M1596,Assumptions!M1599)+Assumptions!$C$1617*SUM(Assumptions!M1595,Assumptions!M1596,Assumptions!M1599)+Assumptions!$C$1618*SUM(Assumptions!M1595,Assumptions!M1596,Assumptions!M1599)</f>
        <v>103.25</v>
      </c>
      <c r="M64">
        <f>+Assumptions!$C$1616*SUM(Assumptions!N1595,Assumptions!N1596,Assumptions!N1599)+Assumptions!$C$1617*SUM(Assumptions!N1595,Assumptions!N1596,Assumptions!N1599)+Assumptions!$C$1618*SUM(Assumptions!N1595,Assumptions!N1596,Assumptions!N1599)</f>
        <v>120.75</v>
      </c>
      <c r="N64">
        <f>+Assumptions!$C$1616*SUM(Assumptions!O1595,Assumptions!O1596,Assumptions!O1599)+Assumptions!$C$1617*SUM(Assumptions!O1595,Assumptions!O1596,Assumptions!O1599)+Assumptions!$C$1618*SUM(Assumptions!O1595,Assumptions!O1596,Assumptions!O1599)</f>
        <v>120.75</v>
      </c>
      <c r="O64">
        <f>+Assumptions!$C$1616*SUM(Assumptions!P1595,Assumptions!P1596,Assumptions!P1599)+Assumptions!$C$1617*SUM(Assumptions!P1595,Assumptions!P1596,Assumptions!P1599)+Assumptions!$C$1618*SUM(Assumptions!P1595,Assumptions!P1596,Assumptions!P1599)</f>
        <v>138.25</v>
      </c>
    </row>
    <row r="81" spans="2:15" x14ac:dyDescent="0.25">
      <c r="B81" s="501" t="s">
        <v>908</v>
      </c>
      <c r="C81" s="497" t="s">
        <v>22</v>
      </c>
      <c r="D81" s="497" t="s">
        <v>23</v>
      </c>
      <c r="E81" s="497" t="s">
        <v>24</v>
      </c>
      <c r="F81" s="497" t="s">
        <v>25</v>
      </c>
      <c r="G81" s="497" t="s">
        <v>26</v>
      </c>
      <c r="H81" s="497" t="s">
        <v>27</v>
      </c>
      <c r="I81" s="497" t="s">
        <v>273</v>
      </c>
      <c r="J81" s="497" t="s">
        <v>28</v>
      </c>
      <c r="K81" s="497" t="s">
        <v>177</v>
      </c>
      <c r="L81" s="497" t="s">
        <v>178</v>
      </c>
      <c r="M81" s="497" t="s">
        <v>179</v>
      </c>
      <c r="N81" s="497" t="s">
        <v>231</v>
      </c>
      <c r="O81" s="497" t="s">
        <v>232</v>
      </c>
    </row>
    <row r="82" spans="2:15" x14ac:dyDescent="0.25">
      <c r="B82" s="530" t="s">
        <v>901</v>
      </c>
      <c r="C82" s="532">
        <f>Consol!G222</f>
        <v>7.9825280398223161E-2</v>
      </c>
      <c r="D82" s="532">
        <f>Consol!H222</f>
        <v>8.3184228547020858E-2</v>
      </c>
      <c r="E82" s="532">
        <f>Consol!I222</f>
        <v>7.0667832483507428E-2</v>
      </c>
      <c r="F82" s="532">
        <f>Consol!J222</f>
        <v>5.7397405962590922E-2</v>
      </c>
      <c r="G82" s="532">
        <f>Consol!K222</f>
        <v>7.4227294556233336E-2</v>
      </c>
      <c r="H82" s="532">
        <f>Consol!L222</f>
        <v>0.14636346684270354</v>
      </c>
      <c r="I82" s="532">
        <f>Consol!M222</f>
        <v>0.10780053031319661</v>
      </c>
      <c r="J82" s="532">
        <f>Consol!N222</f>
        <v>0.11065758374088255</v>
      </c>
      <c r="K82" s="532">
        <f>Consol!O222</f>
        <v>0.10223813388390543</v>
      </c>
      <c r="L82" s="532">
        <f ca="1">Consol!P222</f>
        <v>6.5187404509055927E-2</v>
      </c>
      <c r="M82" s="532">
        <f ca="1">Consol!Q222</f>
        <v>8.5124082592965736E-2</v>
      </c>
      <c r="N82" s="532">
        <f ca="1">Consol!R222</f>
        <v>8.7864621734563608E-2</v>
      </c>
      <c r="O82" s="532">
        <f ca="1">Consol!S222</f>
        <v>9.5771964124638356E-2</v>
      </c>
    </row>
    <row r="83" spans="2:15" x14ac:dyDescent="0.25">
      <c r="B83" s="530" t="s">
        <v>902</v>
      </c>
      <c r="C83" s="532">
        <f>Consol!G223</f>
        <v>9.1922786487255853E-2</v>
      </c>
      <c r="D83" s="532">
        <f>Consol!H223</f>
        <v>9.9248100498850689E-2</v>
      </c>
      <c r="E83" s="532">
        <f>Consol!I223</f>
        <v>8.0621295117442607E-2</v>
      </c>
      <c r="F83" s="532">
        <f>Consol!J223</f>
        <v>5.9619668831810503E-2</v>
      </c>
      <c r="G83" s="532">
        <f>Consol!K223</f>
        <v>7.482068480876071E-2</v>
      </c>
      <c r="H83" s="532">
        <f>Consol!L223</f>
        <v>0.14710907696241263</v>
      </c>
      <c r="I83" s="532">
        <f>Consol!M223</f>
        <v>0.10869624056131245</v>
      </c>
      <c r="J83" s="532">
        <f>Consol!N223</f>
        <v>0.12543559035157315</v>
      </c>
      <c r="K83" s="532">
        <f>Consol!O223</f>
        <v>0.12270646688110294</v>
      </c>
      <c r="L83" s="532">
        <f ca="1">Consol!P223</f>
        <v>8.3673651575393637E-2</v>
      </c>
      <c r="M83" s="532">
        <f ca="1">Consol!Q223</f>
        <v>9.5420611096299415E-2</v>
      </c>
      <c r="N83" s="532">
        <f ca="1">Consol!R223</f>
        <v>0.10260936897422955</v>
      </c>
      <c r="O83" s="532">
        <f ca="1">Consol!S223</f>
        <v>9.5771964124638356E-2</v>
      </c>
    </row>
    <row r="84" spans="2:15" x14ac:dyDescent="0.25">
      <c r="B84" s="530" t="s">
        <v>903</v>
      </c>
      <c r="C84" s="532">
        <f>Consol!G224</f>
        <v>0.10863491046238756</v>
      </c>
      <c r="D84" s="532">
        <f>Consol!H224</f>
        <v>7.5144996724732946E-2</v>
      </c>
      <c r="E84" s="532">
        <f>Consol!I224</f>
        <v>8.1793876496878998E-2</v>
      </c>
      <c r="F84" s="532">
        <f>Consol!J224</f>
        <v>8.3045096685314027E-2</v>
      </c>
      <c r="G84" s="532">
        <f>Consol!K224</f>
        <v>0.11139137717184154</v>
      </c>
      <c r="H84" s="532">
        <f>Consol!L224</f>
        <v>0.18601878704583844</v>
      </c>
      <c r="I84" s="532">
        <f>Consol!M224</f>
        <v>0.17932096302520212</v>
      </c>
      <c r="J84" s="532">
        <f>Consol!N224</f>
        <v>0.13545737778177816</v>
      </c>
      <c r="K84" s="532">
        <f>Consol!O224</f>
        <v>0.12604522426193657</v>
      </c>
      <c r="L84" s="532">
        <f ca="1">Consol!P224</f>
        <v>9.8012526799168553E-2</v>
      </c>
      <c r="M84" s="532">
        <f ca="1">Consol!Q224</f>
        <v>0.11415886521296159</v>
      </c>
      <c r="N84" s="532">
        <f ca="1">Consol!R224</f>
        <v>0.10652872956089643</v>
      </c>
      <c r="O84" s="532">
        <f ca="1">Consol!S224</f>
        <v>0.12219213233853671</v>
      </c>
    </row>
    <row r="86" spans="2:15" x14ac:dyDescent="0.25">
      <c r="B86" s="501" t="s">
        <v>904</v>
      </c>
      <c r="C86" s="497" t="s">
        <v>22</v>
      </c>
      <c r="D86" s="497" t="s">
        <v>23</v>
      </c>
      <c r="E86" s="497" t="s">
        <v>24</v>
      </c>
      <c r="F86" s="497" t="s">
        <v>25</v>
      </c>
      <c r="G86" s="497" t="s">
        <v>26</v>
      </c>
      <c r="H86" s="497" t="s">
        <v>27</v>
      </c>
      <c r="I86" s="497" t="s">
        <v>273</v>
      </c>
      <c r="J86" s="497" t="s">
        <v>347</v>
      </c>
      <c r="K86" s="497" t="s">
        <v>348</v>
      </c>
      <c r="L86" s="497" t="s">
        <v>178</v>
      </c>
      <c r="M86" s="497" t="s">
        <v>179</v>
      </c>
      <c r="N86" s="497" t="s">
        <v>231</v>
      </c>
      <c r="O86" s="497" t="s">
        <v>232</v>
      </c>
    </row>
    <row r="87" spans="2:15" x14ac:dyDescent="0.25">
      <c r="B87" s="530" t="s">
        <v>905</v>
      </c>
      <c r="C87" s="235">
        <f>Consol!G78/1000</f>
        <v>16.799911000000002</v>
      </c>
      <c r="D87" s="235">
        <f>Consol!H78/1000</f>
        <v>20.001206</v>
      </c>
      <c r="E87" s="235">
        <f>Consol!I78/1000</f>
        <v>27.167159999999999</v>
      </c>
      <c r="F87" s="235">
        <f>Consol!J78/1000</f>
        <v>39.458179999999999</v>
      </c>
      <c r="G87" s="235">
        <f>Consol!K78/1000</f>
        <v>44.086940000000006</v>
      </c>
      <c r="H87" s="235">
        <f>Consol!L78/1000</f>
        <v>42.436980000000005</v>
      </c>
      <c r="I87" s="235">
        <f>Consol!M78/1000</f>
        <v>43.806800000000003</v>
      </c>
      <c r="J87" s="235">
        <f>Consol!N78/1000</f>
        <v>46.588299999999997</v>
      </c>
      <c r="K87" s="235">
        <f>Consol!O78/1000</f>
        <v>64.098500000000001</v>
      </c>
      <c r="L87" s="235">
        <f>Consol!P78/1000</f>
        <v>103.25789123008481</v>
      </c>
      <c r="M87" s="235">
        <f>Consol!Q78/1000</f>
        <v>133.15867992260425</v>
      </c>
      <c r="N87" s="235">
        <f>Consol!R78/1000</f>
        <v>137.06513864899509</v>
      </c>
      <c r="O87" s="235">
        <f>Consol!S78/1000</f>
        <v>153.55457116598683</v>
      </c>
    </row>
    <row r="88" spans="2:15" x14ac:dyDescent="0.25">
      <c r="B88" s="530" t="s">
        <v>739</v>
      </c>
      <c r="C88" s="537">
        <f>Consol!G231</f>
        <v>2.2509104586384363</v>
      </c>
      <c r="D88" s="537">
        <f>Consol!H231</f>
        <v>2.7258350898739452</v>
      </c>
      <c r="E88" s="537">
        <f>Consol!I231</f>
        <v>4.0159618227631251</v>
      </c>
      <c r="F88" s="537">
        <f>Consol!J231</f>
        <v>4.5085741196990101</v>
      </c>
      <c r="G88" s="537">
        <f>Consol!K231</f>
        <v>3.0380074178578798</v>
      </c>
      <c r="H88" s="537">
        <f>Consol!L231</f>
        <v>1.4242555315748233</v>
      </c>
      <c r="I88" s="537">
        <f>Consol!M231</f>
        <v>3.5946980494359994E-2</v>
      </c>
      <c r="J88" s="537">
        <f>Consol!N231</f>
        <v>0.89160897894950875</v>
      </c>
      <c r="K88" s="537">
        <f>Consol!O231</f>
        <v>1.5708771646829742</v>
      </c>
      <c r="L88" s="537">
        <f ca="1">Consol!P231</f>
        <v>0.91473530150921256</v>
      </c>
      <c r="M88" s="537">
        <f ca="1">Consol!Q231</f>
        <v>1.8337019224366602</v>
      </c>
      <c r="N88" s="537">
        <f ca="1">Consol!R231</f>
        <v>2.2366778043597755</v>
      </c>
      <c r="O88" s="537">
        <f ca="1">Consol!S231</f>
        <v>1.9895481896072915</v>
      </c>
    </row>
    <row r="89" spans="2:15" x14ac:dyDescent="0.25">
      <c r="B89" s="530"/>
      <c r="C89" s="532"/>
      <c r="D89" s="532"/>
      <c r="E89" s="532"/>
      <c r="F89" s="532"/>
      <c r="G89" s="532"/>
      <c r="H89" s="532"/>
      <c r="I89" s="532"/>
      <c r="J89" s="532"/>
      <c r="K89" s="532"/>
      <c r="L89" s="532"/>
      <c r="M89" s="532"/>
      <c r="N89" s="532"/>
      <c r="O89" s="532"/>
    </row>
    <row r="90" spans="2:15" x14ac:dyDescent="0.25">
      <c r="B90" s="501" t="s">
        <v>907</v>
      </c>
      <c r="C90" s="497" t="s">
        <v>22</v>
      </c>
      <c r="D90" s="497" t="s">
        <v>23</v>
      </c>
      <c r="E90" s="497" t="s">
        <v>24</v>
      </c>
      <c r="F90" s="497" t="s">
        <v>25</v>
      </c>
      <c r="G90" s="497" t="s">
        <v>26</v>
      </c>
      <c r="H90" s="497" t="s">
        <v>27</v>
      </c>
      <c r="I90" s="497" t="s">
        <v>273</v>
      </c>
      <c r="J90" s="497" t="s">
        <v>347</v>
      </c>
      <c r="K90" s="497" t="s">
        <v>348</v>
      </c>
      <c r="L90" s="497" t="s">
        <v>178</v>
      </c>
      <c r="M90" s="497" t="s">
        <v>179</v>
      </c>
      <c r="N90" s="497" t="s">
        <v>231</v>
      </c>
      <c r="O90" s="497" t="s">
        <v>232</v>
      </c>
    </row>
    <row r="91" spans="2:15" x14ac:dyDescent="0.25">
      <c r="B91" s="530" t="s">
        <v>906</v>
      </c>
      <c r="C91" s="532">
        <f>Consol!G221</f>
        <v>0.21492996154678787</v>
      </c>
      <c r="D91" s="532">
        <f>Consol!H221</f>
        <v>9.6977702949819528E-2</v>
      </c>
      <c r="E91" s="532">
        <f>Consol!I221</f>
        <v>7.0061911585699216E-2</v>
      </c>
      <c r="F91" s="532">
        <f>Consol!J221</f>
        <v>0.10713915596213013</v>
      </c>
      <c r="G91" s="532">
        <f>Consol!K221</f>
        <v>0.10641914069864664</v>
      </c>
      <c r="H91" s="532">
        <f>Consol!L221</f>
        <v>0.20362288854855615</v>
      </c>
      <c r="I91" s="532">
        <f>Consol!M221</f>
        <v>0.19231535518927931</v>
      </c>
      <c r="J91" s="532">
        <f>Consol!N221</f>
        <v>0.16961665066133427</v>
      </c>
      <c r="K91" s="532">
        <f>Consol!O221</f>
        <v>0.14807819426082897</v>
      </c>
      <c r="L91" s="532">
        <f ca="1">Consol!P221</f>
        <v>0.10696856730936379</v>
      </c>
      <c r="M91" s="532">
        <f ca="1">Consol!Q221</f>
        <v>0.11700729871464516</v>
      </c>
      <c r="N91" s="532">
        <f ca="1">Consol!R221</f>
        <v>0.11064445821563842</v>
      </c>
      <c r="O91" s="532">
        <f ca="1">Consol!S221</f>
        <v>0.11454798738011347</v>
      </c>
    </row>
    <row r="93" spans="2:15" x14ac:dyDescent="0.25">
      <c r="B93" s="501" t="s">
        <v>888</v>
      </c>
      <c r="C93" s="497" t="s">
        <v>22</v>
      </c>
      <c r="D93" s="497" t="s">
        <v>23</v>
      </c>
      <c r="E93" s="497" t="s">
        <v>24</v>
      </c>
      <c r="F93" s="497" t="s">
        <v>25</v>
      </c>
      <c r="G93" s="497" t="s">
        <v>26</v>
      </c>
      <c r="H93" s="497" t="s">
        <v>27</v>
      </c>
      <c r="I93" s="497" t="s">
        <v>273</v>
      </c>
      <c r="J93" s="497" t="s">
        <v>28</v>
      </c>
      <c r="K93" s="497" t="s">
        <v>177</v>
      </c>
      <c r="L93" s="497" t="s">
        <v>178</v>
      </c>
      <c r="M93" s="497" t="s">
        <v>179</v>
      </c>
      <c r="N93" s="497" t="s">
        <v>231</v>
      </c>
      <c r="O93" s="497" t="s">
        <v>232</v>
      </c>
    </row>
    <row r="94" spans="2:15" x14ac:dyDescent="0.25">
      <c r="B94" s="530" t="s">
        <v>279</v>
      </c>
      <c r="F94" s="532">
        <f>F42/F$48</f>
        <v>0.25486751573708094</v>
      </c>
      <c r="G94" s="532">
        <f t="shared" ref="G94:O94" si="16">G42/G$48</f>
        <v>0.22849589140982193</v>
      </c>
      <c r="H94" s="532">
        <f t="shared" si="16"/>
        <v>0.24004452583575706</v>
      </c>
      <c r="I94" s="532">
        <f t="shared" si="16"/>
        <v>0.37654252583154157</v>
      </c>
      <c r="J94" s="532">
        <f t="shared" ca="1" si="16"/>
        <v>0.29314814814814816</v>
      </c>
      <c r="K94" s="532">
        <f t="shared" ca="1" si="16"/>
        <v>0.27985918409608618</v>
      </c>
      <c r="L94" s="532">
        <f t="shared" ca="1" si="16"/>
        <v>0.28842264742183871</v>
      </c>
      <c r="M94" s="532">
        <f t="shared" ca="1" si="16"/>
        <v>0.3870075803677222</v>
      </c>
      <c r="N94" s="532">
        <f t="shared" ca="1" si="16"/>
        <v>0.41077138251501644</v>
      </c>
      <c r="O94" s="532">
        <f t="shared" ca="1" si="16"/>
        <v>0.36557522715783236</v>
      </c>
    </row>
    <row r="95" spans="2:15" x14ac:dyDescent="0.25">
      <c r="B95" s="530" t="s">
        <v>280</v>
      </c>
      <c r="F95" s="532">
        <f>F43/F$48</f>
        <v>8.5199824330259105E-2</v>
      </c>
      <c r="G95" s="532">
        <f t="shared" ref="G95:O95" si="17">G43/G$48</f>
        <v>8.4072938518638035E-2</v>
      </c>
      <c r="H95" s="532">
        <f t="shared" si="17"/>
        <v>0.28999245933426693</v>
      </c>
      <c r="I95" s="532">
        <f t="shared" si="17"/>
        <v>0.33302886348761218</v>
      </c>
      <c r="J95" s="532">
        <f t="shared" ca="1" si="17"/>
        <v>0.34645298290598292</v>
      </c>
      <c r="K95" s="532">
        <f t="shared" ca="1" si="17"/>
        <v>0.33158003727479812</v>
      </c>
      <c r="L95" s="532">
        <f t="shared" ca="1" si="17"/>
        <v>0.32044034474008321</v>
      </c>
      <c r="M95" s="532">
        <f t="shared" ca="1" si="17"/>
        <v>0.25948795319801371</v>
      </c>
      <c r="N95" s="532">
        <f t="shared" ca="1" si="17"/>
        <v>0.23352335746894329</v>
      </c>
      <c r="O95" s="532">
        <f t="shared" ca="1" si="17"/>
        <v>0.20252856581967923</v>
      </c>
    </row>
    <row r="96" spans="2:15" x14ac:dyDescent="0.25">
      <c r="B96" s="530" t="s">
        <v>281</v>
      </c>
      <c r="F96" s="532">
        <f t="shared" ref="F96:O96" si="18">F44/F$48</f>
        <v>0.52071439027960764</v>
      </c>
      <c r="G96" s="532">
        <f t="shared" si="18"/>
        <v>0.53848813311817545</v>
      </c>
      <c r="H96" s="532">
        <f t="shared" si="18"/>
        <v>0.33606233617005993</v>
      </c>
      <c r="I96" s="532">
        <f t="shared" si="18"/>
        <v>0.18840618659614441</v>
      </c>
      <c r="J96" s="532">
        <f t="shared" ca="1" si="18"/>
        <v>0.13742450142450144</v>
      </c>
      <c r="K96" s="532">
        <f t="shared" ca="1" si="18"/>
        <v>0.16545868709877823</v>
      </c>
      <c r="L96" s="532">
        <f t="shared" ca="1" si="18"/>
        <v>0.16484105370192956</v>
      </c>
      <c r="M96" s="532">
        <f t="shared" ca="1" si="18"/>
        <v>0.15296475002649779</v>
      </c>
      <c r="N96" s="532">
        <f t="shared" ca="1" si="18"/>
        <v>0.1419616970178777</v>
      </c>
      <c r="O96" s="532">
        <f t="shared" ca="1" si="18"/>
        <v>0.12241029201940144</v>
      </c>
    </row>
    <row r="97" spans="2:15" x14ac:dyDescent="0.25">
      <c r="B97" s="530" t="s">
        <v>282</v>
      </c>
      <c r="F97" s="532">
        <f t="shared" ref="F97:N97" si="19">F45/F$48</f>
        <v>5.4896794027228801E-3</v>
      </c>
      <c r="G97" s="532">
        <f t="shared" si="19"/>
        <v>4.3569469097950618E-3</v>
      </c>
      <c r="H97" s="532">
        <f t="shared" si="19"/>
        <v>5.7093611978886131E-3</v>
      </c>
      <c r="I97" s="532">
        <f t="shared" si="19"/>
        <v>1.5353384318372729E-2</v>
      </c>
      <c r="J97" s="532">
        <f t="shared" ca="1" si="19"/>
        <v>6.7268008547008554E-2</v>
      </c>
      <c r="K97" s="532">
        <f t="shared" ca="1" si="19"/>
        <v>5.9962725201905161E-2</v>
      </c>
      <c r="L97" s="532">
        <f t="shared" ca="1" si="19"/>
        <v>4.7033002175511589E-2</v>
      </c>
      <c r="M97" s="532">
        <f t="shared" ca="1" si="19"/>
        <v>4.981587498651599E-2</v>
      </c>
      <c r="N97" s="532">
        <f t="shared" ca="1" si="19"/>
        <v>4.8978640028636278E-2</v>
      </c>
      <c r="O97" s="532">
        <f ca="1">O45/O$48</f>
        <v>4.1699912187585703E-2</v>
      </c>
    </row>
    <row r="98" spans="2:15" x14ac:dyDescent="0.25">
      <c r="B98" s="530" t="s">
        <v>283</v>
      </c>
      <c r="F98" s="532">
        <f t="shared" ref="F98:O98" si="20">F46/F$48</f>
        <v>0</v>
      </c>
      <c r="G98" s="532">
        <f t="shared" si="20"/>
        <v>0</v>
      </c>
      <c r="H98" s="532">
        <f t="shared" si="20"/>
        <v>2.3376063772487337E-2</v>
      </c>
      <c r="I98" s="532">
        <f t="shared" si="20"/>
        <v>2.4120282561418918E-2</v>
      </c>
      <c r="J98" s="532">
        <f t="shared" ca="1" si="20"/>
        <v>2.0597803418803417E-2</v>
      </c>
      <c r="K98" s="532">
        <f t="shared" ca="1" si="20"/>
        <v>2.0658521433008906E-2</v>
      </c>
      <c r="L98" s="532">
        <f t="shared" ca="1" si="20"/>
        <v>3.2980058552889734E-2</v>
      </c>
      <c r="M98" s="532">
        <f t="shared" ca="1" si="20"/>
        <v>3.3428354386146136E-2</v>
      </c>
      <c r="N98" s="532">
        <f t="shared" ca="1" si="20"/>
        <v>5.2885679844756062E-2</v>
      </c>
      <c r="O98" s="532">
        <f t="shared" ca="1" si="20"/>
        <v>9.4835885155822738E-2</v>
      </c>
    </row>
    <row r="99" spans="2:15" x14ac:dyDescent="0.25">
      <c r="B99" s="530" t="s">
        <v>284</v>
      </c>
      <c r="F99" s="532">
        <f t="shared" ref="F99:O99" si="21">F47/F$48</f>
        <v>0.13372859025032935</v>
      </c>
      <c r="G99" s="532">
        <f t="shared" si="21"/>
        <v>0.14458609004356948</v>
      </c>
      <c r="H99" s="532">
        <f t="shared" si="21"/>
        <v>0.10481525368954001</v>
      </c>
      <c r="I99" s="532">
        <f t="shared" si="21"/>
        <v>6.2548757204910002E-2</v>
      </c>
      <c r="J99" s="532">
        <f t="shared" ca="1" si="21"/>
        <v>0.13510855555555557</v>
      </c>
      <c r="K99" s="532">
        <f t="shared" ca="1" si="21"/>
        <v>0.14248084489542348</v>
      </c>
      <c r="L99" s="532">
        <f t="shared" ca="1" si="21"/>
        <v>0.14628289340774742</v>
      </c>
      <c r="M99" s="532">
        <f t="shared" ca="1" si="21"/>
        <v>0.1172954870351041</v>
      </c>
      <c r="N99" s="532">
        <f t="shared" ca="1" si="21"/>
        <v>0.11187924312477023</v>
      </c>
      <c r="O99" s="532">
        <f t="shared" ca="1" si="21"/>
        <v>0.17295011765967844</v>
      </c>
    </row>
    <row r="100" spans="2:15" x14ac:dyDescent="0.25">
      <c r="B100" t="s">
        <v>551</v>
      </c>
      <c r="F100" s="1286">
        <f>SUM(F94:F99)</f>
        <v>1</v>
      </c>
      <c r="G100" s="1286">
        <f t="shared" ref="G100:O100" si="22">SUM(G94:G99)</f>
        <v>0.99999999999999989</v>
      </c>
      <c r="H100" s="1286">
        <f t="shared" si="22"/>
        <v>0.99999999999999978</v>
      </c>
      <c r="I100" s="1286">
        <f t="shared" si="22"/>
        <v>0.99999999999999989</v>
      </c>
      <c r="J100" s="1286">
        <f t="shared" ca="1" si="22"/>
        <v>1</v>
      </c>
      <c r="K100" s="1286">
        <f t="shared" ca="1" si="22"/>
        <v>1.0000000000000002</v>
      </c>
      <c r="L100" s="1286">
        <f t="shared" ca="1" si="22"/>
        <v>1.0000000000000002</v>
      </c>
      <c r="M100" s="1286">
        <f t="shared" ca="1" si="22"/>
        <v>0.99999999999999978</v>
      </c>
      <c r="N100" s="1286">
        <f t="shared" ca="1" si="22"/>
        <v>1</v>
      </c>
      <c r="O100" s="1286">
        <f t="shared" ca="1" si="22"/>
        <v>1</v>
      </c>
    </row>
    <row r="102" spans="2:15" x14ac:dyDescent="0.25">
      <c r="B102" s="501" t="s">
        <v>886</v>
      </c>
      <c r="C102" s="497" t="s">
        <v>22</v>
      </c>
      <c r="D102" s="497" t="s">
        <v>23</v>
      </c>
      <c r="E102" s="497" t="s">
        <v>24</v>
      </c>
      <c r="F102" s="497" t="s">
        <v>25</v>
      </c>
      <c r="G102" s="497" t="s">
        <v>26</v>
      </c>
      <c r="H102" s="497" t="s">
        <v>27</v>
      </c>
      <c r="I102" s="497" t="s">
        <v>273</v>
      </c>
      <c r="J102" s="497" t="s">
        <v>28</v>
      </c>
      <c r="K102" s="497" t="s">
        <v>177</v>
      </c>
      <c r="L102" s="497" t="s">
        <v>178</v>
      </c>
      <c r="M102" s="497" t="s">
        <v>179</v>
      </c>
      <c r="N102" s="497" t="s">
        <v>231</v>
      </c>
      <c r="O102" s="497" t="s">
        <v>232</v>
      </c>
    </row>
    <row r="103" spans="2:15" x14ac:dyDescent="0.25">
      <c r="B103" s="495" t="s">
        <v>3</v>
      </c>
      <c r="C103" s="532">
        <f>C17/C$39</f>
        <v>0.29708677364075403</v>
      </c>
      <c r="D103" s="532">
        <f t="shared" ref="D103:O103" si="23">D17/D$39</f>
        <v>0.36895674300254455</v>
      </c>
      <c r="E103" s="532">
        <f t="shared" si="23"/>
        <v>0.30491560428772296</v>
      </c>
      <c r="F103" s="540">
        <f t="shared" si="23"/>
        <v>0.20286354253590408</v>
      </c>
      <c r="G103" s="540">
        <f t="shared" si="23"/>
        <v>0.22625701414292701</v>
      </c>
      <c r="H103" s="540">
        <f t="shared" si="23"/>
        <v>0.2180452802487074</v>
      </c>
      <c r="I103" s="540">
        <f t="shared" si="23"/>
        <v>0.20095636461574545</v>
      </c>
      <c r="J103" s="540">
        <f t="shared" si="23"/>
        <v>0.17008547008547006</v>
      </c>
      <c r="K103" s="540">
        <f t="shared" si="23"/>
        <v>0.16788139804538679</v>
      </c>
      <c r="L103" s="540">
        <f t="shared" ca="1" si="23"/>
        <v>0.16475024131321275</v>
      </c>
      <c r="M103" s="540">
        <f t="shared" ca="1" si="23"/>
        <v>0.15605951227815873</v>
      </c>
      <c r="N103" s="540">
        <f t="shared" ca="1" si="23"/>
        <v>0.14692058705449318</v>
      </c>
      <c r="O103" s="532">
        <f t="shared" ca="1" si="23"/>
        <v>0.12797662261289836</v>
      </c>
    </row>
    <row r="104" spans="2:15" x14ac:dyDescent="0.25">
      <c r="B104" s="495" t="s">
        <v>790</v>
      </c>
      <c r="C104" s="532">
        <f t="shared" ref="C104:O104" si="24">C18/C$39</f>
        <v>0.36329646362361739</v>
      </c>
      <c r="D104" s="532">
        <f t="shared" si="24"/>
        <v>0.3641504099519367</v>
      </c>
      <c r="E104" s="532">
        <f t="shared" si="24"/>
        <v>0.3775376018324938</v>
      </c>
      <c r="F104" s="540">
        <f t="shared" si="24"/>
        <v>0.28327989810707543</v>
      </c>
      <c r="G104" s="540">
        <f t="shared" si="24"/>
        <v>0.27773979235467211</v>
      </c>
      <c r="H104" s="540">
        <f t="shared" si="24"/>
        <v>0.25891328182914652</v>
      </c>
      <c r="I104" s="540">
        <f t="shared" si="24"/>
        <v>0.23486950285633848</v>
      </c>
      <c r="J104" s="540">
        <f t="shared" si="24"/>
        <v>0.19743589743589743</v>
      </c>
      <c r="K104" s="540">
        <f t="shared" si="24"/>
        <v>0.20316382309093925</v>
      </c>
      <c r="L104" s="540">
        <f t="shared" ca="1" si="24"/>
        <v>0.19913046747044744</v>
      </c>
      <c r="M104" s="540">
        <f t="shared" ca="1" si="24"/>
        <v>0.1877707317360128</v>
      </c>
      <c r="N104" s="540">
        <f t="shared" ca="1" si="24"/>
        <v>0.17636499990020346</v>
      </c>
      <c r="O104" s="532">
        <f t="shared" ca="1" si="24"/>
        <v>0.15059630371191496</v>
      </c>
    </row>
    <row r="105" spans="2:15" x14ac:dyDescent="0.25">
      <c r="B105" s="495" t="s">
        <v>568</v>
      </c>
      <c r="C105" s="532">
        <f t="shared" ref="C105:O105" si="25">C19/C$39</f>
        <v>0</v>
      </c>
      <c r="D105" s="532">
        <f t="shared" si="25"/>
        <v>0</v>
      </c>
      <c r="E105" s="532">
        <f t="shared" si="25"/>
        <v>0</v>
      </c>
      <c r="F105" s="540">
        <f t="shared" si="25"/>
        <v>0</v>
      </c>
      <c r="G105" s="540">
        <f t="shared" si="25"/>
        <v>4.52974499236677E-3</v>
      </c>
      <c r="H105" s="540">
        <f t="shared" si="25"/>
        <v>0.1296613580329567</v>
      </c>
      <c r="I105" s="540">
        <f t="shared" si="25"/>
        <v>0.15667309319414463</v>
      </c>
      <c r="J105" s="540">
        <f t="shared" si="25"/>
        <v>0.16153846153846152</v>
      </c>
      <c r="K105" s="540">
        <f t="shared" si="25"/>
        <v>0.15744575120092766</v>
      </c>
      <c r="L105" s="540">
        <f t="shared" ca="1" si="25"/>
        <v>0.15153789842470203</v>
      </c>
      <c r="M105" s="540">
        <f t="shared" ca="1" si="25"/>
        <v>0.12194585363648153</v>
      </c>
      <c r="N105" s="540">
        <f t="shared" ca="1" si="25"/>
        <v>0.11062992754381365</v>
      </c>
      <c r="O105" s="532">
        <f t="shared" ca="1" si="25"/>
        <v>9.7283051289395947E-2</v>
      </c>
    </row>
    <row r="106" spans="2:15" x14ac:dyDescent="0.25">
      <c r="B106" s="495" t="s">
        <v>558</v>
      </c>
      <c r="C106" s="532">
        <f t="shared" ref="C106:O106" si="26">C20/C$39</f>
        <v>0</v>
      </c>
      <c r="D106" s="532">
        <f t="shared" si="26"/>
        <v>0</v>
      </c>
      <c r="E106" s="532">
        <f t="shared" si="26"/>
        <v>0</v>
      </c>
      <c r="F106" s="540">
        <f t="shared" si="26"/>
        <v>0</v>
      </c>
      <c r="G106" s="540">
        <f t="shared" si="26"/>
        <v>0</v>
      </c>
      <c r="H106" s="540">
        <f t="shared" si="26"/>
        <v>0</v>
      </c>
      <c r="I106" s="540">
        <f t="shared" si="26"/>
        <v>0</v>
      </c>
      <c r="J106" s="540">
        <f t="shared" si="26"/>
        <v>0</v>
      </c>
      <c r="K106" s="540">
        <f t="shared" si="26"/>
        <v>0</v>
      </c>
      <c r="L106" s="540">
        <f t="shared" ca="1" si="26"/>
        <v>0</v>
      </c>
      <c r="M106" s="540">
        <f t="shared" ca="1" si="26"/>
        <v>5.962727276581066E-2</v>
      </c>
      <c r="N106" s="540">
        <f t="shared" ca="1" si="26"/>
        <v>8.3784282142781025E-2</v>
      </c>
      <c r="O106" s="532">
        <f t="shared" ca="1" si="26"/>
        <v>8.8461967451121809E-2</v>
      </c>
    </row>
    <row r="107" spans="2:15" x14ac:dyDescent="0.25">
      <c r="B107" s="495" t="s">
        <v>760</v>
      </c>
      <c r="C107" s="532">
        <f t="shared" ref="C107:O107" si="27">C21/C$39</f>
        <v>0</v>
      </c>
      <c r="D107" s="532">
        <f t="shared" si="27"/>
        <v>0</v>
      </c>
      <c r="E107" s="532">
        <f t="shared" si="27"/>
        <v>0</v>
      </c>
      <c r="F107" s="540">
        <f t="shared" si="27"/>
        <v>0</v>
      </c>
      <c r="G107" s="540">
        <f t="shared" si="27"/>
        <v>0</v>
      </c>
      <c r="H107" s="540">
        <f t="shared" si="27"/>
        <v>0</v>
      </c>
      <c r="I107" s="540">
        <f t="shared" si="27"/>
        <v>0</v>
      </c>
      <c r="J107" s="540">
        <f t="shared" si="27"/>
        <v>0</v>
      </c>
      <c r="K107" s="540">
        <f t="shared" si="27"/>
        <v>0</v>
      </c>
      <c r="L107" s="540">
        <f t="shared" ca="1" si="27"/>
        <v>0</v>
      </c>
      <c r="M107" s="540">
        <f t="shared" ca="1" si="27"/>
        <v>7.1196743600967949E-2</v>
      </c>
      <c r="N107" s="540">
        <f t="shared" ca="1" si="27"/>
        <v>9.1401035064852032E-2</v>
      </c>
      <c r="O107" s="532">
        <f t="shared" ca="1" si="27"/>
        <v>7.5824543529532981E-2</v>
      </c>
    </row>
    <row r="108" spans="2:15" x14ac:dyDescent="0.25">
      <c r="B108" s="495" t="s">
        <v>789</v>
      </c>
      <c r="C108" s="532">
        <f t="shared" ref="C108:O108" si="28">C22/C$39</f>
        <v>0</v>
      </c>
      <c r="D108" s="532">
        <f t="shared" si="28"/>
        <v>0</v>
      </c>
      <c r="E108" s="532">
        <f t="shared" si="28"/>
        <v>0</v>
      </c>
      <c r="F108" s="540">
        <f t="shared" si="28"/>
        <v>0</v>
      </c>
      <c r="G108" s="540">
        <f t="shared" si="28"/>
        <v>0</v>
      </c>
      <c r="H108" s="540">
        <f t="shared" si="28"/>
        <v>0</v>
      </c>
      <c r="I108" s="540">
        <f t="shared" si="28"/>
        <v>0</v>
      </c>
      <c r="J108" s="540">
        <f t="shared" si="28"/>
        <v>0</v>
      </c>
      <c r="K108" s="540">
        <f t="shared" si="28"/>
        <v>0</v>
      </c>
      <c r="L108" s="540">
        <f t="shared" ca="1" si="28"/>
        <v>0</v>
      </c>
      <c r="M108" s="540">
        <f t="shared" ca="1" si="28"/>
        <v>0</v>
      </c>
      <c r="N108" s="540">
        <f t="shared" ca="1" si="28"/>
        <v>7.6167529220710021E-3</v>
      </c>
      <c r="O108" s="532">
        <f t="shared" ca="1" si="28"/>
        <v>3.7912271764766491E-2</v>
      </c>
    </row>
    <row r="109" spans="2:15" x14ac:dyDescent="0.25">
      <c r="B109" s="495" t="s">
        <v>761</v>
      </c>
      <c r="C109" s="532">
        <f t="shared" ref="C109:O109" si="29">C23/C$39</f>
        <v>0</v>
      </c>
      <c r="D109" s="532">
        <f t="shared" si="29"/>
        <v>0</v>
      </c>
      <c r="E109" s="532">
        <f t="shared" si="29"/>
        <v>0</v>
      </c>
      <c r="F109" s="540">
        <f t="shared" si="29"/>
        <v>0</v>
      </c>
      <c r="G109" s="540">
        <f t="shared" si="29"/>
        <v>0</v>
      </c>
      <c r="H109" s="540">
        <f t="shared" si="29"/>
        <v>0</v>
      </c>
      <c r="I109" s="540">
        <f t="shared" si="29"/>
        <v>0</v>
      </c>
      <c r="J109" s="540">
        <f t="shared" si="29"/>
        <v>0</v>
      </c>
      <c r="K109" s="540">
        <f t="shared" si="29"/>
        <v>0</v>
      </c>
      <c r="L109" s="540">
        <f t="shared" ca="1" si="29"/>
        <v>0</v>
      </c>
      <c r="M109" s="540">
        <f t="shared" ca="1" si="29"/>
        <v>0</v>
      </c>
      <c r="N109" s="540">
        <f t="shared" ca="1" si="29"/>
        <v>0</v>
      </c>
      <c r="O109" s="532">
        <f t="shared" ca="1" si="29"/>
        <v>0</v>
      </c>
    </row>
    <row r="110" spans="2:15" x14ac:dyDescent="0.25">
      <c r="B110" s="495" t="s">
        <v>664</v>
      </c>
      <c r="C110" s="532">
        <f t="shared" ref="C110:O110" si="30">C24/C$39</f>
        <v>0</v>
      </c>
      <c r="D110" s="532">
        <f t="shared" si="30"/>
        <v>0</v>
      </c>
      <c r="E110" s="532">
        <f t="shared" si="30"/>
        <v>0</v>
      </c>
      <c r="F110" s="540">
        <f t="shared" si="30"/>
        <v>0</v>
      </c>
      <c r="G110" s="540">
        <f t="shared" si="30"/>
        <v>0</v>
      </c>
      <c r="H110" s="540">
        <f t="shared" si="30"/>
        <v>0</v>
      </c>
      <c r="I110" s="540">
        <f t="shared" si="30"/>
        <v>0</v>
      </c>
      <c r="J110" s="540">
        <f t="shared" si="30"/>
        <v>0</v>
      </c>
      <c r="K110" s="540">
        <f t="shared" si="30"/>
        <v>0</v>
      </c>
      <c r="L110" s="540">
        <f t="shared" ca="1" si="30"/>
        <v>0</v>
      </c>
      <c r="M110" s="540">
        <f t="shared" ca="1" si="30"/>
        <v>0</v>
      </c>
      <c r="N110" s="540">
        <f t="shared" ca="1" si="30"/>
        <v>0</v>
      </c>
      <c r="O110" s="532">
        <f t="shared" ca="1" si="30"/>
        <v>3.475291578436928E-2</v>
      </c>
    </row>
    <row r="111" spans="2:15" x14ac:dyDescent="0.25">
      <c r="B111" s="495" t="s">
        <v>10</v>
      </c>
      <c r="C111" s="532">
        <f t="shared" ref="C111:O111" si="31">C25/C$39</f>
        <v>0</v>
      </c>
      <c r="D111" s="532">
        <f t="shared" si="31"/>
        <v>0</v>
      </c>
      <c r="E111" s="532">
        <f t="shared" si="31"/>
        <v>2.9784957885968376E-2</v>
      </c>
      <c r="F111" s="540">
        <f t="shared" si="31"/>
        <v>0.18512011946067022</v>
      </c>
      <c r="G111" s="540">
        <f t="shared" si="31"/>
        <v>0.12130073673573621</v>
      </c>
      <c r="H111" s="540">
        <f t="shared" si="31"/>
        <v>0.1025740508952757</v>
      </c>
      <c r="I111" s="540">
        <f t="shared" si="31"/>
        <v>0.11556625896312278</v>
      </c>
      <c r="J111" s="540">
        <f t="shared" si="31"/>
        <v>9.7435897435897423E-2</v>
      </c>
      <c r="K111" s="540">
        <f t="shared" si="31"/>
        <v>6.0129203246645696E-2</v>
      </c>
      <c r="L111" s="540">
        <f t="shared" ca="1" si="31"/>
        <v>7.3759666498145332E-2</v>
      </c>
      <c r="M111" s="540">
        <f t="shared" ca="1" si="31"/>
        <v>5.65562012305829E-2</v>
      </c>
      <c r="N111" s="540">
        <f t="shared" ca="1" si="31"/>
        <v>4.8887894034322733E-2</v>
      </c>
      <c r="O111" s="532">
        <f t="shared" ca="1" si="31"/>
        <v>4.0962022685070869E-2</v>
      </c>
    </row>
    <row r="112" spans="2:15" x14ac:dyDescent="0.25">
      <c r="B112" s="495" t="s">
        <v>707</v>
      </c>
      <c r="C112" s="532">
        <f t="shared" ref="C112:O112" si="32">C26/C$39</f>
        <v>0</v>
      </c>
      <c r="D112" s="532">
        <f t="shared" si="32"/>
        <v>0</v>
      </c>
      <c r="E112" s="532">
        <f t="shared" si="32"/>
        <v>0</v>
      </c>
      <c r="F112" s="540">
        <f t="shared" si="32"/>
        <v>0</v>
      </c>
      <c r="G112" s="540">
        <f t="shared" si="32"/>
        <v>0</v>
      </c>
      <c r="H112" s="540">
        <f t="shared" si="32"/>
        <v>0</v>
      </c>
      <c r="I112" s="540">
        <f t="shared" si="32"/>
        <v>0</v>
      </c>
      <c r="J112" s="540">
        <f t="shared" si="32"/>
        <v>0</v>
      </c>
      <c r="K112" s="540">
        <f t="shared" si="32"/>
        <v>0</v>
      </c>
      <c r="L112" s="540">
        <f t="shared" ca="1" si="32"/>
        <v>0</v>
      </c>
      <c r="M112" s="540">
        <f t="shared" ca="1" si="32"/>
        <v>0</v>
      </c>
      <c r="N112" s="540">
        <f t="shared" ca="1" si="32"/>
        <v>0</v>
      </c>
      <c r="O112" s="532">
        <f t="shared" ca="1" si="32"/>
        <v>4.5494726117719791E-2</v>
      </c>
    </row>
    <row r="113" spans="2:15" x14ac:dyDescent="0.25">
      <c r="B113" s="495" t="s">
        <v>8</v>
      </c>
      <c r="C113" s="532">
        <f t="shared" ref="C113:O113" si="33">C27/C$39</f>
        <v>0</v>
      </c>
      <c r="D113" s="532">
        <f t="shared" si="33"/>
        <v>0</v>
      </c>
      <c r="E113" s="532">
        <f t="shared" si="33"/>
        <v>0</v>
      </c>
      <c r="F113" s="540">
        <f t="shared" si="33"/>
        <v>6.8953401554745497E-2</v>
      </c>
      <c r="G113" s="540">
        <f t="shared" si="33"/>
        <v>0.12963319195726986</v>
      </c>
      <c r="H113" s="540">
        <f t="shared" si="33"/>
        <v>9.3781989389966361E-2</v>
      </c>
      <c r="I113" s="540">
        <f t="shared" si="33"/>
        <v>8.6978324247912145E-2</v>
      </c>
      <c r="J113" s="540">
        <f t="shared" si="33"/>
        <v>8.7179487179487161E-2</v>
      </c>
      <c r="K113" s="540">
        <f t="shared" si="33"/>
        <v>8.5969852575782699E-2</v>
      </c>
      <c r="L113" s="540">
        <f t="shared" ca="1" si="33"/>
        <v>8.1932781482650568E-2</v>
      </c>
      <c r="M113" s="540">
        <f t="shared" ca="1" si="33"/>
        <v>6.2823045397455507E-2</v>
      </c>
      <c r="N113" s="540">
        <f t="shared" ca="1" si="33"/>
        <v>5.4305033214349721E-2</v>
      </c>
      <c r="O113" s="532">
        <f t="shared" ca="1" si="33"/>
        <v>4.5500916870708411E-2</v>
      </c>
    </row>
    <row r="114" spans="2:15" x14ac:dyDescent="0.25">
      <c r="B114" s="495" t="s">
        <v>214</v>
      </c>
      <c r="C114" s="532">
        <f t="shared" ref="C114:O114" si="34">C28/C$39</f>
        <v>0.33961676273562857</v>
      </c>
      <c r="D114" s="532">
        <f t="shared" si="34"/>
        <v>0.14843087362171334</v>
      </c>
      <c r="E114" s="532">
        <f t="shared" si="34"/>
        <v>0.19438078094770123</v>
      </c>
      <c r="F114" s="540">
        <f t="shared" si="34"/>
        <v>0.14998462822258335</v>
      </c>
      <c r="G114" s="540">
        <f t="shared" si="34"/>
        <v>0.11177070100499434</v>
      </c>
      <c r="H114" s="540">
        <f t="shared" si="34"/>
        <v>7.6154768038635356E-2</v>
      </c>
      <c r="I114" s="540">
        <f t="shared" si="34"/>
        <v>6.6854660399361887E-2</v>
      </c>
      <c r="J114" s="540">
        <f t="shared" si="34"/>
        <v>5.4700854700854694E-2</v>
      </c>
      <c r="K114" s="540">
        <f t="shared" si="34"/>
        <v>7.0813317873115803E-2</v>
      </c>
      <c r="L114" s="540">
        <f t="shared" ca="1" si="34"/>
        <v>7.3398605193608968E-2</v>
      </c>
      <c r="M114" s="540">
        <f t="shared" ca="1" si="34"/>
        <v>6.4080451086192203E-2</v>
      </c>
      <c r="N114" s="540">
        <f t="shared" ca="1" si="34"/>
        <v>5.724479806651836E-2</v>
      </c>
      <c r="O114" s="532">
        <f t="shared" ca="1" si="34"/>
        <v>4.9569534161433254E-2</v>
      </c>
    </row>
    <row r="115" spans="2:15" x14ac:dyDescent="0.25">
      <c r="B115" s="495" t="s">
        <v>215</v>
      </c>
      <c r="C115" s="532">
        <f t="shared" ref="C115:O115" si="35">C29/C$39</f>
        <v>0</v>
      </c>
      <c r="D115" s="532">
        <f t="shared" si="35"/>
        <v>0</v>
      </c>
      <c r="E115" s="532">
        <f t="shared" si="35"/>
        <v>0</v>
      </c>
      <c r="F115" s="540">
        <f t="shared" si="35"/>
        <v>2.2398875664280383E-2</v>
      </c>
      <c r="G115" s="540">
        <f t="shared" si="35"/>
        <v>6.1180428999806261E-2</v>
      </c>
      <c r="H115" s="540">
        <f t="shared" si="35"/>
        <v>4.7990002383146844E-2</v>
      </c>
      <c r="I115" s="540">
        <f t="shared" si="35"/>
        <v>4.4563545291357774E-2</v>
      </c>
      <c r="J115" s="540">
        <f t="shared" si="35"/>
        <v>5.3846153846153835E-2</v>
      </c>
      <c r="K115" s="540">
        <f t="shared" si="35"/>
        <v>5.1929766440284915E-2</v>
      </c>
      <c r="L115" s="540">
        <f t="shared" ca="1" si="35"/>
        <v>5.1451235896433543E-2</v>
      </c>
      <c r="M115" s="540">
        <f t="shared" ca="1" si="35"/>
        <v>4.1013329130985092E-2</v>
      </c>
      <c r="N115" s="540">
        <f t="shared" ca="1" si="35"/>
        <v>3.6856496253904018E-2</v>
      </c>
      <c r="O115" s="532">
        <f t="shared" ca="1" si="35"/>
        <v>3.2104213619634635E-2</v>
      </c>
    </row>
    <row r="116" spans="2:15" x14ac:dyDescent="0.25">
      <c r="B116" s="495" t="s">
        <v>2</v>
      </c>
      <c r="C116" s="532">
        <f t="shared" ref="C116:O116" si="36">C30/C$39</f>
        <v>0</v>
      </c>
      <c r="D116" s="532">
        <f t="shared" si="36"/>
        <v>0</v>
      </c>
      <c r="E116" s="532">
        <f t="shared" si="36"/>
        <v>0</v>
      </c>
      <c r="F116" s="540">
        <f t="shared" si="36"/>
        <v>0</v>
      </c>
      <c r="G116" s="540">
        <f t="shared" si="36"/>
        <v>0</v>
      </c>
      <c r="H116" s="540">
        <f t="shared" si="36"/>
        <v>0</v>
      </c>
      <c r="I116" s="540">
        <f t="shared" si="36"/>
        <v>1.2332050269306555E-2</v>
      </c>
      <c r="J116" s="540">
        <f t="shared" si="36"/>
        <v>4.7008547008547001E-2</v>
      </c>
      <c r="K116" s="540">
        <f t="shared" si="36"/>
        <v>4.4227265197946009E-2</v>
      </c>
      <c r="L116" s="540">
        <f t="shared" ca="1" si="36"/>
        <v>4.7975043942801943E-2</v>
      </c>
      <c r="M116" s="540">
        <f t="shared" ca="1" si="36"/>
        <v>3.7149713245177261E-2</v>
      </c>
      <c r="N116" s="540">
        <f t="shared" ca="1" si="36"/>
        <v>3.3384470270180128E-2</v>
      </c>
      <c r="O116" s="532">
        <f t="shared" ca="1" si="36"/>
        <v>2.907987123216239E-2</v>
      </c>
    </row>
    <row r="117" spans="2:15" x14ac:dyDescent="0.25">
      <c r="B117" s="495" t="s">
        <v>553</v>
      </c>
      <c r="C117" s="532">
        <f t="shared" ref="C117:O117" si="37">C31/C$39</f>
        <v>0</v>
      </c>
      <c r="D117" s="532">
        <f t="shared" si="37"/>
        <v>0</v>
      </c>
      <c r="E117" s="532">
        <f t="shared" si="37"/>
        <v>0</v>
      </c>
      <c r="F117" s="540">
        <f t="shared" si="37"/>
        <v>0</v>
      </c>
      <c r="G117" s="540">
        <f t="shared" si="37"/>
        <v>0</v>
      </c>
      <c r="H117" s="540">
        <f t="shared" si="37"/>
        <v>0</v>
      </c>
      <c r="I117" s="540">
        <f t="shared" si="37"/>
        <v>0</v>
      </c>
      <c r="J117" s="540">
        <f t="shared" si="37"/>
        <v>7.6923076923076919E-3</v>
      </c>
      <c r="K117" s="540">
        <f t="shared" si="37"/>
        <v>4.1328474407818463E-2</v>
      </c>
      <c r="L117" s="540">
        <f t="shared" ca="1" si="37"/>
        <v>4.1029693697315427E-2</v>
      </c>
      <c r="M117" s="540">
        <f t="shared" ca="1" si="37"/>
        <v>3.1148575325423474E-2</v>
      </c>
      <c r="N117" s="540">
        <f t="shared" ca="1" si="37"/>
        <v>2.6658635227248508E-2</v>
      </c>
      <c r="O117" s="532">
        <f t="shared" ca="1" si="37"/>
        <v>2.2115491862780452E-2</v>
      </c>
    </row>
    <row r="118" spans="2:15" x14ac:dyDescent="0.25">
      <c r="B118" s="495" t="s">
        <v>791</v>
      </c>
      <c r="C118" s="532">
        <f t="shared" ref="C118:O118" si="38">C32/C$39</f>
        <v>0</v>
      </c>
      <c r="D118" s="532">
        <f t="shared" si="38"/>
        <v>0</v>
      </c>
      <c r="E118" s="532">
        <f t="shared" si="38"/>
        <v>0</v>
      </c>
      <c r="F118" s="540">
        <f t="shared" si="38"/>
        <v>0</v>
      </c>
      <c r="G118" s="540">
        <f t="shared" si="38"/>
        <v>0</v>
      </c>
      <c r="H118" s="540">
        <f t="shared" si="38"/>
        <v>0</v>
      </c>
      <c r="I118" s="540">
        <f t="shared" si="38"/>
        <v>1.8684924650464476E-2</v>
      </c>
      <c r="J118" s="540">
        <f t="shared" si="38"/>
        <v>6.2393162393162387E-2</v>
      </c>
      <c r="K118" s="540">
        <f t="shared" si="38"/>
        <v>4.7291701176080843E-2</v>
      </c>
      <c r="L118" s="540">
        <f t="shared" ca="1" si="38"/>
        <v>2.2312338191587719E-2</v>
      </c>
      <c r="M118" s="540">
        <f t="shared" ca="1" si="38"/>
        <v>2.9643060851361341E-2</v>
      </c>
      <c r="N118" s="540">
        <f t="shared" ca="1" si="38"/>
        <v>3.0444161429517797E-2</v>
      </c>
      <c r="O118" s="532">
        <f t="shared" ca="1" si="38"/>
        <v>2.6266127375587086E-2</v>
      </c>
    </row>
    <row r="119" spans="2:15" x14ac:dyDescent="0.25">
      <c r="B119" s="495" t="s">
        <v>788</v>
      </c>
      <c r="C119" s="532">
        <f t="shared" ref="C119:O119" si="39">C33/C$39</f>
        <v>0</v>
      </c>
      <c r="D119" s="532">
        <f t="shared" si="39"/>
        <v>0</v>
      </c>
      <c r="E119" s="532">
        <f t="shared" si="39"/>
        <v>0</v>
      </c>
      <c r="F119" s="540">
        <f t="shared" si="39"/>
        <v>0</v>
      </c>
      <c r="G119" s="540">
        <f t="shared" si="39"/>
        <v>0</v>
      </c>
      <c r="H119" s="540">
        <f t="shared" si="39"/>
        <v>0</v>
      </c>
      <c r="I119" s="540">
        <f t="shared" si="39"/>
        <v>0</v>
      </c>
      <c r="J119" s="540">
        <f t="shared" si="39"/>
        <v>1.7094017094017092E-3</v>
      </c>
      <c r="K119" s="540">
        <f t="shared" si="39"/>
        <v>1.0766937220473748E-2</v>
      </c>
      <c r="L119" s="540">
        <f t="shared" ca="1" si="39"/>
        <v>2.2859400774218594E-2</v>
      </c>
      <c r="M119" s="540">
        <f t="shared" ca="1" si="39"/>
        <v>1.8689145195254084E-2</v>
      </c>
      <c r="N119" s="540">
        <f t="shared" ca="1" si="39"/>
        <v>1.7137694074659756E-2</v>
      </c>
      <c r="O119" s="532">
        <f t="shared" ca="1" si="39"/>
        <v>1.4217101911787433E-2</v>
      </c>
    </row>
    <row r="120" spans="2:15" x14ac:dyDescent="0.25">
      <c r="B120" s="495" t="s">
        <v>216</v>
      </c>
      <c r="C120" s="532">
        <f t="shared" ref="C120:O120" si="40">C34/C$39</f>
        <v>0</v>
      </c>
      <c r="D120" s="532">
        <f t="shared" si="40"/>
        <v>0</v>
      </c>
      <c r="E120" s="532">
        <f t="shared" si="40"/>
        <v>0</v>
      </c>
      <c r="F120" s="540">
        <f t="shared" si="40"/>
        <v>0</v>
      </c>
      <c r="G120" s="540">
        <f t="shared" si="40"/>
        <v>0</v>
      </c>
      <c r="H120" s="540">
        <f t="shared" si="40"/>
        <v>2.3423923214800111E-2</v>
      </c>
      <c r="I120" s="540">
        <f t="shared" si="40"/>
        <v>2.4123755355541326E-2</v>
      </c>
      <c r="J120" s="540">
        <f t="shared" si="40"/>
        <v>2.0512820512820509E-2</v>
      </c>
      <c r="K120" s="540">
        <f t="shared" si="40"/>
        <v>2.0622825906907408E-2</v>
      </c>
      <c r="L120" s="540">
        <f t="shared" ca="1" si="40"/>
        <v>2.4363822876453493E-2</v>
      </c>
      <c r="M120" s="540">
        <f t="shared" ca="1" si="40"/>
        <v>2.034595274946828E-2</v>
      </c>
      <c r="N120" s="540">
        <f t="shared" ca="1" si="40"/>
        <v>1.8457956636995142E-2</v>
      </c>
      <c r="O120" s="532">
        <f t="shared" ca="1" si="40"/>
        <v>1.6231108363540241E-2</v>
      </c>
    </row>
    <row r="121" spans="2:15" x14ac:dyDescent="0.25">
      <c r="B121" s="495" t="s">
        <v>213</v>
      </c>
      <c r="C121" s="532">
        <f t="shared" ref="C121:O121" si="41">C35/C$39</f>
        <v>0</v>
      </c>
      <c r="D121" s="532">
        <f t="shared" si="41"/>
        <v>0.11846197342380548</v>
      </c>
      <c r="E121" s="532">
        <f t="shared" si="41"/>
        <v>9.3381055046113645E-2</v>
      </c>
      <c r="F121" s="540">
        <f t="shared" si="41"/>
        <v>7.8835258465457428E-2</v>
      </c>
      <c r="G121" s="540">
        <f t="shared" si="41"/>
        <v>4.8863640246319444E-2</v>
      </c>
      <c r="H121" s="540">
        <f t="shared" si="41"/>
        <v>2.9091379980802985E-2</v>
      </c>
      <c r="I121" s="540">
        <f t="shared" si="41"/>
        <v>2.475752516186543E-2</v>
      </c>
      <c r="J121" s="540">
        <f t="shared" si="41"/>
        <v>2.0512820512820509E-2</v>
      </c>
      <c r="K121" s="540">
        <f t="shared" si="41"/>
        <v>2.4763955607089619E-2</v>
      </c>
      <c r="L121" s="540">
        <f t="shared" ca="1" si="41"/>
        <v>2.3367387458090121E-2</v>
      </c>
      <c r="M121" s="540">
        <f t="shared" ca="1" si="41"/>
        <v>1.8094652386186006E-2</v>
      </c>
      <c r="N121" s="540">
        <f t="shared" ca="1" si="41"/>
        <v>1.5796109681977862E-2</v>
      </c>
      <c r="O121" s="532">
        <f t="shared" ca="1" si="41"/>
        <v>1.3366232247098171E-2</v>
      </c>
    </row>
    <row r="122" spans="2:15" x14ac:dyDescent="0.25">
      <c r="B122" s="495" t="s">
        <v>9</v>
      </c>
      <c r="C122" s="532">
        <f t="shared" ref="C122:O122" si="42">C36/C$39</f>
        <v>0</v>
      </c>
      <c r="D122" s="532">
        <f t="shared" si="42"/>
        <v>0</v>
      </c>
      <c r="E122" s="532">
        <f t="shared" si="42"/>
        <v>0</v>
      </c>
      <c r="F122" s="540">
        <f t="shared" si="42"/>
        <v>8.5642759892836755E-3</v>
      </c>
      <c r="G122" s="540">
        <f t="shared" si="42"/>
        <v>1.8724749565908114E-2</v>
      </c>
      <c r="H122" s="540">
        <f t="shared" si="42"/>
        <v>2.0363965986562087E-2</v>
      </c>
      <c r="I122" s="540">
        <f t="shared" si="42"/>
        <v>1.3639994994839068E-2</v>
      </c>
      <c r="J122" s="540">
        <f t="shared" si="42"/>
        <v>1.7948717948717947E-2</v>
      </c>
      <c r="K122" s="540">
        <f t="shared" si="42"/>
        <v>1.3665728010601293E-2</v>
      </c>
      <c r="L122" s="540">
        <f t="shared" ca="1" si="42"/>
        <v>1.3515181103895704E-2</v>
      </c>
      <c r="M122" s="540">
        <f t="shared" ca="1" si="42"/>
        <v>1.077335774780422E-2</v>
      </c>
      <c r="N122" s="540">
        <f t="shared" ca="1" si="42"/>
        <v>9.6814432743508681E-3</v>
      </c>
      <c r="O122" s="532">
        <f t="shared" ca="1" si="42"/>
        <v>8.4331164005643153E-3</v>
      </c>
    </row>
    <row r="123" spans="2:15" x14ac:dyDescent="0.25">
      <c r="B123" s="495" t="s">
        <v>1767</v>
      </c>
      <c r="C123" s="532">
        <f t="shared" ref="C123:O123" si="43">C37/C$39</f>
        <v>0</v>
      </c>
      <c r="D123" s="532">
        <f t="shared" si="43"/>
        <v>0</v>
      </c>
      <c r="E123" s="532">
        <f t="shared" si="43"/>
        <v>0</v>
      </c>
      <c r="F123" s="540">
        <f t="shared" si="43"/>
        <v>0</v>
      </c>
      <c r="G123" s="540">
        <f t="shared" si="43"/>
        <v>0</v>
      </c>
      <c r="H123" s="540">
        <f t="shared" si="43"/>
        <v>0</v>
      </c>
      <c r="I123" s="540">
        <f t="shared" si="43"/>
        <v>0</v>
      </c>
      <c r="J123" s="540">
        <f t="shared" si="43"/>
        <v>0</v>
      </c>
      <c r="K123" s="540">
        <f t="shared" si="43"/>
        <v>0</v>
      </c>
      <c r="L123" s="540">
        <f t="shared" ca="1" si="43"/>
        <v>8.6162356764362368E-3</v>
      </c>
      <c r="M123" s="540">
        <f t="shared" ca="1" si="43"/>
        <v>1.3082401636677857E-2</v>
      </c>
      <c r="N123" s="540">
        <f t="shared" ca="1" si="43"/>
        <v>1.9194217363618926E-2</v>
      </c>
      <c r="O123" s="532">
        <f t="shared" ca="1" si="43"/>
        <v>1.8577013164735576E-2</v>
      </c>
    </row>
    <row r="124" spans="2:15" x14ac:dyDescent="0.25">
      <c r="C124" s="541">
        <f t="shared" ref="C124:O124" si="44">C39/C$39</f>
        <v>1</v>
      </c>
      <c r="D124" s="541">
        <f t="shared" si="44"/>
        <v>1</v>
      </c>
      <c r="E124" s="541">
        <f t="shared" si="44"/>
        <v>1</v>
      </c>
      <c r="F124" s="541">
        <f t="shared" si="44"/>
        <v>1</v>
      </c>
      <c r="G124" s="541">
        <f t="shared" si="44"/>
        <v>1</v>
      </c>
      <c r="H124" s="541">
        <f t="shared" si="44"/>
        <v>1</v>
      </c>
      <c r="I124" s="541">
        <f t="shared" si="44"/>
        <v>1</v>
      </c>
      <c r="J124" s="541">
        <f t="shared" si="44"/>
        <v>1</v>
      </c>
      <c r="K124" s="541">
        <f t="shared" si="44"/>
        <v>1</v>
      </c>
      <c r="L124" s="541">
        <f t="shared" ca="1" si="44"/>
        <v>1</v>
      </c>
      <c r="M124" s="541">
        <f t="shared" ca="1" si="44"/>
        <v>1</v>
      </c>
      <c r="N124" s="541">
        <f t="shared" ca="1" si="44"/>
        <v>1</v>
      </c>
      <c r="O124" s="541">
        <f t="shared" ca="1" si="44"/>
        <v>1</v>
      </c>
    </row>
    <row r="126" spans="2:15" x14ac:dyDescent="0.25">
      <c r="B126" s="501" t="s">
        <v>1498</v>
      </c>
      <c r="C126" s="497" t="s">
        <v>22</v>
      </c>
      <c r="D126" s="497" t="s">
        <v>23</v>
      </c>
      <c r="E126" s="497" t="s">
        <v>24</v>
      </c>
      <c r="F126" s="497" t="s">
        <v>25</v>
      </c>
      <c r="G126" s="497" t="s">
        <v>26</v>
      </c>
      <c r="H126" s="497" t="s">
        <v>27</v>
      </c>
      <c r="I126" s="497" t="s">
        <v>273</v>
      </c>
      <c r="J126" s="497" t="s">
        <v>347</v>
      </c>
      <c r="K126" s="497" t="s">
        <v>348</v>
      </c>
      <c r="L126" s="497" t="s">
        <v>178</v>
      </c>
      <c r="M126" s="497" t="s">
        <v>179</v>
      </c>
      <c r="N126" s="497" t="s">
        <v>231</v>
      </c>
      <c r="O126" s="497" t="s">
        <v>232</v>
      </c>
    </row>
    <row r="127" spans="2:15" x14ac:dyDescent="0.25">
      <c r="B127" s="442" t="str">
        <f>+Assumptions!B88</f>
        <v>Jaigarh</v>
      </c>
      <c r="C127" s="442">
        <f>+Assumptions!D88</f>
        <v>0</v>
      </c>
      <c r="D127" s="442">
        <f>+Assumptions!E88</f>
        <v>0</v>
      </c>
      <c r="E127" s="442">
        <f>+Assumptions!F88</f>
        <v>45</v>
      </c>
      <c r="F127" s="442">
        <f>+Assumptions!G88</f>
        <v>50</v>
      </c>
      <c r="G127" s="442">
        <f>+Assumptions!H88</f>
        <v>55</v>
      </c>
      <c r="H127" s="442">
        <f>+Assumptions!I88</f>
        <v>55</v>
      </c>
      <c r="I127" s="442">
        <f>+Assumptions!J88</f>
        <v>55</v>
      </c>
      <c r="J127" s="442">
        <f>+Assumptions!K88</f>
        <v>55</v>
      </c>
      <c r="K127" s="442">
        <f>+Assumptions!L88</f>
        <v>55</v>
      </c>
      <c r="L127" s="442">
        <f>+Assumptions!M88</f>
        <v>57</v>
      </c>
      <c r="M127" s="442">
        <f>+Assumptions!N88</f>
        <v>77</v>
      </c>
      <c r="N127" s="442">
        <f>+Assumptions!O88</f>
        <v>77</v>
      </c>
      <c r="O127" s="442">
        <f>+Assumptions!P88</f>
        <v>77</v>
      </c>
    </row>
    <row r="128" spans="2:15" x14ac:dyDescent="0.25">
      <c r="B128" s="442" t="str">
        <f>+Assumptions!B89</f>
        <v>Dharmatar</v>
      </c>
      <c r="C128" s="442">
        <f>+Assumptions!D89</f>
        <v>0</v>
      </c>
      <c r="D128" s="442">
        <f>+Assumptions!E89</f>
        <v>0</v>
      </c>
      <c r="E128" s="442">
        <f>+Assumptions!F89</f>
        <v>15</v>
      </c>
      <c r="F128" s="442">
        <f>+Assumptions!G89</f>
        <v>34</v>
      </c>
      <c r="G128" s="442">
        <f>+Assumptions!H89</f>
        <v>34</v>
      </c>
      <c r="H128" s="442">
        <f>+Assumptions!I89</f>
        <v>34</v>
      </c>
      <c r="I128" s="442">
        <f>+Assumptions!J89</f>
        <v>34</v>
      </c>
      <c r="J128" s="442">
        <f>+Assumptions!K89</f>
        <v>34</v>
      </c>
      <c r="K128" s="442">
        <f>+Assumptions!L89</f>
        <v>34</v>
      </c>
      <c r="L128" s="442">
        <f>+Assumptions!M89</f>
        <v>34</v>
      </c>
      <c r="M128" s="442">
        <f>+Assumptions!N89</f>
        <v>50</v>
      </c>
      <c r="N128" s="442">
        <f>+Assumptions!O89</f>
        <v>50</v>
      </c>
      <c r="O128" s="442">
        <f>+Assumptions!P89</f>
        <v>50</v>
      </c>
    </row>
    <row r="129" spans="2:20" x14ac:dyDescent="0.25">
      <c r="B129" s="442" t="str">
        <f>+Assumptions!B90</f>
        <v>Goa</v>
      </c>
      <c r="C129" s="442">
        <f>+Assumptions!D90</f>
        <v>0</v>
      </c>
      <c r="D129" s="442">
        <f>+Assumptions!E90</f>
        <v>0</v>
      </c>
      <c r="E129" s="442">
        <f>+Assumptions!F90</f>
        <v>15</v>
      </c>
      <c r="F129" s="442">
        <f>+Assumptions!G90</f>
        <v>15</v>
      </c>
      <c r="G129" s="442">
        <f>+Assumptions!H90</f>
        <v>8.5</v>
      </c>
      <c r="H129" s="442">
        <f>+Assumptions!I90</f>
        <v>8.5</v>
      </c>
      <c r="I129" s="442">
        <f>+Assumptions!J90</f>
        <v>8.5</v>
      </c>
      <c r="J129" s="442">
        <f>+Assumptions!K90</f>
        <v>11</v>
      </c>
      <c r="K129" s="442">
        <f>+Assumptions!L90</f>
        <v>11</v>
      </c>
      <c r="L129" s="442">
        <f>+Assumptions!M90</f>
        <v>15</v>
      </c>
      <c r="M129" s="442">
        <f>+Assumptions!N90</f>
        <v>15</v>
      </c>
      <c r="N129" s="442">
        <f>+Assumptions!O90</f>
        <v>15</v>
      </c>
      <c r="O129" s="442">
        <f>+Assumptions!P90</f>
        <v>15</v>
      </c>
    </row>
    <row r="130" spans="2:20" x14ac:dyDescent="0.25">
      <c r="B130" s="442" t="str">
        <f>+Assumptions!B91</f>
        <v>Paradip Iron Ore</v>
      </c>
      <c r="C130" s="442">
        <f>+Assumptions!D91</f>
        <v>0</v>
      </c>
      <c r="D130" s="442">
        <f>+Assumptions!E91</f>
        <v>0</v>
      </c>
      <c r="E130" s="442">
        <f>+Assumptions!F91</f>
        <v>10</v>
      </c>
      <c r="F130" s="442">
        <f>+Assumptions!G91</f>
        <v>10</v>
      </c>
      <c r="G130" s="442">
        <f>+Assumptions!H91</f>
        <v>10</v>
      </c>
      <c r="H130" s="442">
        <f>+Assumptions!I91</f>
        <v>10</v>
      </c>
      <c r="I130" s="442">
        <f>+Assumptions!J91</f>
        <v>10</v>
      </c>
      <c r="J130" s="442">
        <f>+Assumptions!K91</f>
        <v>10</v>
      </c>
      <c r="K130" s="442">
        <f>+Assumptions!L91</f>
        <v>10</v>
      </c>
      <c r="L130" s="442">
        <f>+Assumptions!M91</f>
        <v>10</v>
      </c>
      <c r="M130" s="442">
        <f>+Assumptions!N91</f>
        <v>10</v>
      </c>
      <c r="N130" s="442">
        <f>+Assumptions!O91</f>
        <v>10</v>
      </c>
      <c r="O130" s="442">
        <f>+Assumptions!P91</f>
        <v>10</v>
      </c>
    </row>
    <row r="131" spans="2:20" x14ac:dyDescent="0.25">
      <c r="B131" s="442" t="str">
        <f>+Assumptions!B92</f>
        <v>Paradip Coal</v>
      </c>
      <c r="C131" s="442">
        <f>+Assumptions!D92</f>
        <v>0</v>
      </c>
      <c r="D131" s="442">
        <f>+Assumptions!E92</f>
        <v>0</v>
      </c>
      <c r="E131" s="442">
        <f>+Assumptions!F92</f>
        <v>0</v>
      </c>
      <c r="F131" s="442">
        <f>+Assumptions!G92</f>
        <v>0</v>
      </c>
      <c r="G131" s="442">
        <f>+Assumptions!H92</f>
        <v>30</v>
      </c>
      <c r="H131" s="442">
        <f>+Assumptions!I92</f>
        <v>30</v>
      </c>
      <c r="I131" s="442">
        <f>+Assumptions!J92</f>
        <v>30</v>
      </c>
      <c r="J131" s="442">
        <f>+Assumptions!K92</f>
        <v>30</v>
      </c>
      <c r="K131" s="442">
        <f>+Assumptions!L92</f>
        <v>30</v>
      </c>
      <c r="L131" s="442">
        <f>+Assumptions!M92</f>
        <v>30</v>
      </c>
      <c r="M131" s="442">
        <f>+Assumptions!N92</f>
        <v>30</v>
      </c>
      <c r="N131" s="442">
        <f>+Assumptions!O92</f>
        <v>30</v>
      </c>
      <c r="O131" s="442">
        <f>+Assumptions!P92</f>
        <v>30</v>
      </c>
    </row>
    <row r="132" spans="2:20" x14ac:dyDescent="0.25">
      <c r="B132" s="442" t="str">
        <f>+Assumptions!B93</f>
        <v>Ennore Coal</v>
      </c>
      <c r="C132" s="442">
        <f>+Assumptions!D93</f>
        <v>0</v>
      </c>
      <c r="D132" s="442">
        <f>+Assumptions!E93</f>
        <v>0</v>
      </c>
      <c r="E132" s="442">
        <f>+Assumptions!F93</f>
        <v>0</v>
      </c>
      <c r="F132" s="442">
        <f>+Assumptions!G93</f>
        <v>0</v>
      </c>
      <c r="G132" s="442">
        <f>+Assumptions!H93</f>
        <v>8</v>
      </c>
      <c r="H132" s="442">
        <f>+Assumptions!I93</f>
        <v>8</v>
      </c>
      <c r="I132" s="442">
        <f>+Assumptions!J93</f>
        <v>9.6</v>
      </c>
      <c r="J132" s="442">
        <f>+Assumptions!K93</f>
        <v>9.6</v>
      </c>
      <c r="K132" s="442">
        <f>+Assumptions!L93</f>
        <v>11</v>
      </c>
      <c r="L132" s="442">
        <f>+Assumptions!M93</f>
        <v>11</v>
      </c>
      <c r="M132" s="442">
        <f>+Assumptions!N93</f>
        <v>11</v>
      </c>
      <c r="N132" s="442">
        <f>+Assumptions!O93</f>
        <v>11</v>
      </c>
      <c r="O132" s="442">
        <f>+Assumptions!P93</f>
        <v>11</v>
      </c>
    </row>
    <row r="133" spans="2:20" x14ac:dyDescent="0.25">
      <c r="B133" s="442" t="str">
        <f>+Assumptions!B94</f>
        <v>Ennore Bulk</v>
      </c>
      <c r="C133" s="442">
        <f>+Assumptions!D94</f>
        <v>0</v>
      </c>
      <c r="D133" s="442">
        <f>+Assumptions!E94</f>
        <v>0</v>
      </c>
      <c r="E133" s="442">
        <f>+Assumptions!F94</f>
        <v>0</v>
      </c>
      <c r="F133" s="442">
        <f>+Assumptions!G94</f>
        <v>2</v>
      </c>
      <c r="G133" s="442">
        <f>+Assumptions!H94</f>
        <v>2</v>
      </c>
      <c r="H133" s="442">
        <f>+Assumptions!I94</f>
        <v>2</v>
      </c>
      <c r="I133" s="442">
        <f>+Assumptions!J94</f>
        <v>2</v>
      </c>
      <c r="J133" s="442">
        <f>+Assumptions!K94</f>
        <v>2</v>
      </c>
      <c r="K133" s="442">
        <f>+Assumptions!L94</f>
        <v>2</v>
      </c>
      <c r="L133" s="442">
        <f>+Assumptions!M94</f>
        <v>2</v>
      </c>
      <c r="M133" s="442">
        <f>+Assumptions!N94</f>
        <v>2</v>
      </c>
      <c r="N133" s="442">
        <f>+Assumptions!O94</f>
        <v>2</v>
      </c>
      <c r="O133" s="442">
        <f>+Assumptions!P94</f>
        <v>2</v>
      </c>
    </row>
    <row r="134" spans="2:20" x14ac:dyDescent="0.25">
      <c r="B134" s="442" t="str">
        <f>+Assumptions!B95</f>
        <v>Mangalore Coal</v>
      </c>
      <c r="C134" s="442">
        <f>+Assumptions!D95</f>
        <v>0</v>
      </c>
      <c r="D134" s="442">
        <f>+Assumptions!E95</f>
        <v>0</v>
      </c>
      <c r="E134" s="442">
        <f>+Assumptions!F95</f>
        <v>0</v>
      </c>
      <c r="F134" s="442">
        <f>+Assumptions!G95</f>
        <v>0</v>
      </c>
      <c r="G134" s="442">
        <f>+Assumptions!H95</f>
        <v>6.7</v>
      </c>
      <c r="H134" s="442">
        <f>+Assumptions!I95</f>
        <v>6.7</v>
      </c>
      <c r="I134" s="442">
        <f>+Assumptions!J95</f>
        <v>6.7</v>
      </c>
      <c r="J134" s="442">
        <f>+Assumptions!K95</f>
        <v>8.1</v>
      </c>
      <c r="K134" s="442">
        <f>+Assumptions!L95</f>
        <v>8.1</v>
      </c>
      <c r="L134" s="442">
        <f>+Assumptions!M95</f>
        <v>8.1</v>
      </c>
      <c r="M134" s="442">
        <f>+Assumptions!N95</f>
        <v>8.1</v>
      </c>
      <c r="N134" s="442">
        <f>+Assumptions!O95</f>
        <v>8.1</v>
      </c>
      <c r="O134" s="442">
        <f>+Assumptions!P95</f>
        <v>8.1</v>
      </c>
    </row>
    <row r="135" spans="2:20" x14ac:dyDescent="0.25">
      <c r="B135" s="442" t="str">
        <f>+Assumptions!B96</f>
        <v>Mangalore Container</v>
      </c>
      <c r="C135" s="442">
        <f>+Assumptions!D96</f>
        <v>0</v>
      </c>
      <c r="D135" s="442">
        <f>+Assumptions!E96</f>
        <v>0</v>
      </c>
      <c r="E135" s="442">
        <f>+Assumptions!F96</f>
        <v>0</v>
      </c>
      <c r="F135" s="442">
        <f>+Assumptions!G96</f>
        <v>0</v>
      </c>
      <c r="G135" s="442">
        <f>+Assumptions!H96</f>
        <v>0</v>
      </c>
      <c r="H135" s="442">
        <f>+Assumptions!I96</f>
        <v>4.2</v>
      </c>
      <c r="I135" s="442">
        <f>+Assumptions!J96</f>
        <v>4.2</v>
      </c>
      <c r="J135" s="442">
        <f>+Assumptions!K96</f>
        <v>4.2</v>
      </c>
      <c r="K135" s="442">
        <f>+Assumptions!L96</f>
        <v>4.2</v>
      </c>
      <c r="L135" s="442">
        <f>+Assumptions!M96</f>
        <v>6.0200000000000005</v>
      </c>
      <c r="M135" s="442">
        <f>+Assumptions!N96</f>
        <v>6.0200000000000005</v>
      </c>
      <c r="N135" s="442">
        <f>+Assumptions!O96</f>
        <v>6.0200000000000005</v>
      </c>
      <c r="O135" s="442">
        <f>+Assumptions!P96</f>
        <v>6.0200000000000005</v>
      </c>
    </row>
    <row r="136" spans="2:20" x14ac:dyDescent="0.25">
      <c r="B136" s="442" t="str">
        <f>+Assumptions!B97</f>
        <v>PNP Port</v>
      </c>
      <c r="C136" s="442">
        <f>+Assumptions!D97</f>
        <v>0</v>
      </c>
      <c r="D136" s="442">
        <f>+Assumptions!E97</f>
        <v>0</v>
      </c>
      <c r="E136" s="442">
        <f>+Assumptions!F97</f>
        <v>0</v>
      </c>
      <c r="F136" s="442">
        <f>+Assumptions!G97</f>
        <v>0</v>
      </c>
      <c r="G136" s="442">
        <f>+Assumptions!H97</f>
        <v>0</v>
      </c>
      <c r="H136" s="442">
        <f>+Assumptions!I97</f>
        <v>0</v>
      </c>
      <c r="I136" s="442">
        <f>+Assumptions!J97</f>
        <v>5</v>
      </c>
      <c r="J136" s="442">
        <f>+Assumptions!K97</f>
        <v>8</v>
      </c>
      <c r="K136" s="442">
        <f>+Assumptions!L97</f>
        <v>8</v>
      </c>
      <c r="L136" s="442">
        <f>+Assumptions!M97</f>
        <v>8</v>
      </c>
      <c r="M136" s="442">
        <f>+Assumptions!N97</f>
        <v>8</v>
      </c>
      <c r="N136" s="442">
        <f>+Assumptions!O97</f>
        <v>8</v>
      </c>
      <c r="O136" s="442">
        <f>+Assumptions!P97</f>
        <v>8</v>
      </c>
    </row>
    <row r="137" spans="2:20" x14ac:dyDescent="0.25">
      <c r="B137" s="442" t="str">
        <f>+Assumptions!B98</f>
        <v>Fujairah Liquid Storage</v>
      </c>
      <c r="C137" s="442">
        <f>+Assumptions!D98</f>
        <v>0</v>
      </c>
      <c r="D137" s="442">
        <f>+Assumptions!E98</f>
        <v>0</v>
      </c>
      <c r="E137" s="442">
        <f>+Assumptions!F98</f>
        <v>0</v>
      </c>
      <c r="F137" s="442">
        <f>+Assumptions!G98</f>
        <v>0</v>
      </c>
      <c r="G137" s="442">
        <f>+Assumptions!H98</f>
        <v>0</v>
      </c>
      <c r="H137" s="442">
        <f>+Assumptions!I98</f>
        <v>0</v>
      </c>
      <c r="I137" s="442">
        <f>+Assumptions!J98</f>
        <v>5</v>
      </c>
      <c r="J137" s="442">
        <f>+Assumptions!K98</f>
        <v>5</v>
      </c>
      <c r="K137" s="442">
        <f>+Assumptions!L98</f>
        <v>5</v>
      </c>
      <c r="L137" s="442">
        <f>+Assumptions!M98</f>
        <v>5</v>
      </c>
      <c r="M137" s="442">
        <f>+Assumptions!N98</f>
        <v>5</v>
      </c>
      <c r="N137" s="442">
        <f>+Assumptions!O98</f>
        <v>5</v>
      </c>
      <c r="O137" s="442">
        <f>+Assumptions!P98</f>
        <v>5</v>
      </c>
    </row>
    <row r="138" spans="2:20" x14ac:dyDescent="0.25">
      <c r="B138" s="442" t="str">
        <f>+Assumptions!B99</f>
        <v>Tuticorin Dry Bulk</v>
      </c>
      <c r="C138" s="442">
        <f>+Assumptions!D99</f>
        <v>0</v>
      </c>
      <c r="D138" s="442">
        <f>+Assumptions!E99</f>
        <v>0</v>
      </c>
      <c r="E138" s="442">
        <f>+Assumptions!F99</f>
        <v>0</v>
      </c>
      <c r="F138" s="442">
        <f>+Assumptions!G99</f>
        <v>0</v>
      </c>
      <c r="G138" s="442">
        <f>+Assumptions!H99</f>
        <v>0</v>
      </c>
      <c r="H138" s="442">
        <f>+Assumptions!I99</f>
        <v>0</v>
      </c>
      <c r="I138" s="442">
        <f>+Assumptions!J99</f>
        <v>0</v>
      </c>
      <c r="J138" s="442">
        <f>+Assumptions!K99</f>
        <v>0</v>
      </c>
      <c r="K138" s="442">
        <f>+Assumptions!L99</f>
        <v>0</v>
      </c>
      <c r="L138" s="442">
        <f>+Assumptions!M99</f>
        <v>7</v>
      </c>
      <c r="M138" s="442">
        <f>+Assumptions!N99</f>
        <v>7</v>
      </c>
      <c r="N138" s="442">
        <f>+Assumptions!O99</f>
        <v>7</v>
      </c>
      <c r="O138" s="442">
        <f>+Assumptions!P99</f>
        <v>7</v>
      </c>
    </row>
    <row r="139" spans="2:20" x14ac:dyDescent="0.25">
      <c r="B139" s="442" t="str">
        <f>+Assumptions!B100</f>
        <v>JNPT Liquid</v>
      </c>
      <c r="C139" s="442">
        <f>+Assumptions!D100</f>
        <v>0</v>
      </c>
      <c r="D139" s="442">
        <f>+Assumptions!E100</f>
        <v>0</v>
      </c>
      <c r="E139" s="442">
        <f>+Assumptions!F100</f>
        <v>0</v>
      </c>
      <c r="F139" s="442">
        <f>+Assumptions!G100</f>
        <v>0</v>
      </c>
      <c r="G139" s="442">
        <f>+Assumptions!H100</f>
        <v>0</v>
      </c>
      <c r="H139" s="442">
        <f>+Assumptions!I100</f>
        <v>0</v>
      </c>
      <c r="I139" s="442">
        <f>+Assumptions!J100</f>
        <v>0</v>
      </c>
      <c r="J139" s="442">
        <f>+Assumptions!K100</f>
        <v>0</v>
      </c>
      <c r="K139" s="442">
        <f>+Assumptions!L100</f>
        <v>4.5</v>
      </c>
      <c r="L139" s="442">
        <f>+Assumptions!M100</f>
        <v>4.5</v>
      </c>
      <c r="M139" s="442">
        <f>+Assumptions!N100</f>
        <v>4.5</v>
      </c>
      <c r="N139" s="442">
        <f>+Assumptions!O100</f>
        <v>4.5</v>
      </c>
      <c r="O139" s="442">
        <f>+Assumptions!P100</f>
        <v>4.5</v>
      </c>
    </row>
    <row r="140" spans="2:20" x14ac:dyDescent="0.25">
      <c r="B140" s="442" t="str">
        <f>+Assumptions!B101</f>
        <v>Keni</v>
      </c>
      <c r="C140" s="442">
        <f>+Assumptions!D101</f>
        <v>0</v>
      </c>
      <c r="D140" s="442">
        <f>+Assumptions!E101</f>
        <v>0</v>
      </c>
      <c r="E140" s="442">
        <f>+Assumptions!F101</f>
        <v>0</v>
      </c>
      <c r="F140" s="442">
        <f>+Assumptions!G101</f>
        <v>0</v>
      </c>
      <c r="G140" s="442">
        <f>+Assumptions!H101</f>
        <v>0</v>
      </c>
      <c r="H140" s="442">
        <f>+Assumptions!I101</f>
        <v>0</v>
      </c>
      <c r="I140" s="442">
        <f>+Assumptions!J101</f>
        <v>0</v>
      </c>
      <c r="J140" s="442">
        <f>+Assumptions!K101</f>
        <v>0</v>
      </c>
      <c r="K140" s="442">
        <f>+Assumptions!L101</f>
        <v>0</v>
      </c>
      <c r="L140" s="442">
        <f>+Assumptions!M101</f>
        <v>0</v>
      </c>
      <c r="M140" s="442">
        <f>+Assumptions!N101</f>
        <v>0</v>
      </c>
      <c r="N140" s="442">
        <f>+Assumptions!O101</f>
        <v>30</v>
      </c>
      <c r="O140" s="442">
        <f>+Assumptions!P101</f>
        <v>30</v>
      </c>
    </row>
    <row r="141" spans="2:20" x14ac:dyDescent="0.25">
      <c r="B141" s="442" t="str">
        <f>+Assumptions!B102</f>
        <v>Jatadhar</v>
      </c>
      <c r="C141" s="442">
        <f>+Assumptions!D102</f>
        <v>0</v>
      </c>
      <c r="D141" s="442">
        <f>+Assumptions!E102</f>
        <v>0</v>
      </c>
      <c r="E141" s="442">
        <f>+Assumptions!F102</f>
        <v>0</v>
      </c>
      <c r="F141" s="442">
        <f>+Assumptions!G102</f>
        <v>0</v>
      </c>
      <c r="G141" s="442">
        <f>+Assumptions!H102</f>
        <v>0</v>
      </c>
      <c r="H141" s="442">
        <f>+Assumptions!I102</f>
        <v>0</v>
      </c>
      <c r="I141" s="442">
        <f>+Assumptions!J102</f>
        <v>0</v>
      </c>
      <c r="J141" s="442">
        <f>+Assumptions!K102</f>
        <v>0</v>
      </c>
      <c r="K141" s="442">
        <f>+Assumptions!L102</f>
        <v>0</v>
      </c>
      <c r="L141" s="442">
        <f>+Assumptions!M102</f>
        <v>0</v>
      </c>
      <c r="M141" s="442">
        <f>+Assumptions!N102</f>
        <v>30</v>
      </c>
      <c r="N141" s="442">
        <f>+Assumptions!O102</f>
        <v>30</v>
      </c>
      <c r="O141" s="442">
        <f>+Assumptions!P102</f>
        <v>30</v>
      </c>
    </row>
    <row r="142" spans="2:20" x14ac:dyDescent="0.25">
      <c r="B142" s="442" t="str">
        <f>+Assumptions!B103</f>
        <v>Slurry Pipeline Phase I</v>
      </c>
      <c r="C142" s="442">
        <f>+Assumptions!D103</f>
        <v>0</v>
      </c>
      <c r="D142" s="442">
        <f>+Assumptions!E103</f>
        <v>0</v>
      </c>
      <c r="E142" s="442">
        <f>+Assumptions!F103</f>
        <v>0</v>
      </c>
      <c r="F142" s="442">
        <f>+Assumptions!G103</f>
        <v>0</v>
      </c>
      <c r="G142" s="442">
        <f>+Assumptions!H103</f>
        <v>0</v>
      </c>
      <c r="H142" s="442">
        <f>+Assumptions!I103</f>
        <v>0</v>
      </c>
      <c r="I142" s="442">
        <f>+Assumptions!J103</f>
        <v>0</v>
      </c>
      <c r="J142" s="442">
        <f>+Assumptions!K103</f>
        <v>0</v>
      </c>
      <c r="K142" s="442">
        <f>+Assumptions!L103</f>
        <v>0</v>
      </c>
      <c r="L142" s="442">
        <f>+Assumptions!M103</f>
        <v>0</v>
      </c>
      <c r="M142" s="442">
        <f>+Assumptions!N103</f>
        <v>30</v>
      </c>
      <c r="N142" s="442">
        <f>+Assumptions!O103</f>
        <v>30</v>
      </c>
      <c r="O142" s="442">
        <f>+Assumptions!P103</f>
        <v>30</v>
      </c>
    </row>
    <row r="143" spans="2:20" x14ac:dyDescent="0.25">
      <c r="B143" s="442" t="str">
        <f>+Assumptions!B104</f>
        <v>Slurry Pipeline Phase II</v>
      </c>
      <c r="C143" s="442">
        <f>+Assumptions!D104</f>
        <v>0</v>
      </c>
      <c r="D143" s="442">
        <f>+Assumptions!E104</f>
        <v>0</v>
      </c>
      <c r="E143" s="442">
        <f>+Assumptions!F104</f>
        <v>0</v>
      </c>
      <c r="F143" s="442">
        <f>+Assumptions!G104</f>
        <v>0</v>
      </c>
      <c r="G143" s="442">
        <f>+Assumptions!H104</f>
        <v>0</v>
      </c>
      <c r="H143" s="442">
        <f>+Assumptions!I104</f>
        <v>0</v>
      </c>
      <c r="I143" s="442">
        <f>+Assumptions!J104</f>
        <v>0</v>
      </c>
      <c r="J143" s="442">
        <f>+Assumptions!K104</f>
        <v>0</v>
      </c>
      <c r="K143" s="442">
        <f>+Assumptions!L104</f>
        <v>0</v>
      </c>
      <c r="L143" s="442">
        <f>+Assumptions!M104</f>
        <v>0</v>
      </c>
      <c r="M143" s="442">
        <f>+Assumptions!N104</f>
        <v>0</v>
      </c>
      <c r="N143" s="442">
        <f>+Assumptions!O104</f>
        <v>0</v>
      </c>
      <c r="O143" s="442">
        <f>+Assumptions!P104</f>
        <v>0</v>
      </c>
    </row>
    <row r="144" spans="2:20" x14ac:dyDescent="0.25">
      <c r="B144" s="442" t="str">
        <f>+Assumptions!B105</f>
        <v>Murbe</v>
      </c>
      <c r="C144" s="442">
        <f>+Assumptions!D105</f>
        <v>0</v>
      </c>
      <c r="D144" s="442">
        <f>+Assumptions!E105</f>
        <v>0</v>
      </c>
      <c r="E144" s="442">
        <f>+Assumptions!F105</f>
        <v>0</v>
      </c>
      <c r="F144" s="442">
        <f>+Assumptions!G105</f>
        <v>0</v>
      </c>
      <c r="G144" s="442">
        <f>+Assumptions!H105</f>
        <v>0</v>
      </c>
      <c r="H144" s="442">
        <f>+Assumptions!I105</f>
        <v>0</v>
      </c>
      <c r="I144" s="442">
        <f>+Assumptions!J105</f>
        <v>0</v>
      </c>
      <c r="J144" s="442">
        <f>+Assumptions!K105</f>
        <v>0</v>
      </c>
      <c r="K144" s="442">
        <f>+Assumptions!L105</f>
        <v>0</v>
      </c>
      <c r="L144" s="442">
        <f>+Assumptions!M105</f>
        <v>0</v>
      </c>
      <c r="M144" s="442">
        <f>+Assumptions!N105</f>
        <v>0</v>
      </c>
      <c r="N144" s="442">
        <f>+Assumptions!O105</f>
        <v>0</v>
      </c>
      <c r="O144" s="442">
        <f>+Assumptions!P105</f>
        <v>33</v>
      </c>
      <c r="T144" t="s">
        <v>1514</v>
      </c>
    </row>
    <row r="145" spans="2:16" x14ac:dyDescent="0.25">
      <c r="B145" s="442" t="str">
        <f>+Assumptions!B106</f>
        <v>Oman Port</v>
      </c>
      <c r="C145" s="442">
        <f>+Assumptions!D106</f>
        <v>0</v>
      </c>
      <c r="D145" s="442">
        <f>+Assumptions!E106</f>
        <v>0</v>
      </c>
      <c r="E145" s="442">
        <f>+Assumptions!F106</f>
        <v>0</v>
      </c>
      <c r="F145" s="442">
        <f>+Assumptions!G106</f>
        <v>0</v>
      </c>
      <c r="G145" s="442">
        <f>+Assumptions!H106</f>
        <v>0</v>
      </c>
      <c r="H145" s="442">
        <f>+Assumptions!I106</f>
        <v>0</v>
      </c>
      <c r="I145" s="442">
        <f>+Assumptions!J106</f>
        <v>0</v>
      </c>
      <c r="J145" s="442">
        <f>+Assumptions!K106</f>
        <v>0</v>
      </c>
      <c r="K145" s="442">
        <f>+Assumptions!L106</f>
        <v>0</v>
      </c>
      <c r="L145" s="442">
        <f>+Assumptions!M106</f>
        <v>0</v>
      </c>
      <c r="M145" s="442">
        <f>+Assumptions!N106</f>
        <v>0</v>
      </c>
      <c r="N145" s="442">
        <f>+Assumptions!O106</f>
        <v>0</v>
      </c>
      <c r="O145" s="442">
        <f>+Assumptions!P106</f>
        <v>27</v>
      </c>
    </row>
    <row r="146" spans="2:16" x14ac:dyDescent="0.25">
      <c r="B146" s="442" t="str">
        <f>+Assumptions!B107</f>
        <v>Kolkata Container Terminal</v>
      </c>
      <c r="C146" s="442">
        <f>+Assumptions!D107</f>
        <v>0</v>
      </c>
      <c r="D146" s="442">
        <f>+Assumptions!E107</f>
        <v>0</v>
      </c>
      <c r="E146" s="442">
        <f>+Assumptions!F107</f>
        <v>0</v>
      </c>
      <c r="F146" s="442">
        <f>+Assumptions!G107</f>
        <v>0</v>
      </c>
      <c r="G146" s="442">
        <f>+Assumptions!H107</f>
        <v>0</v>
      </c>
      <c r="H146" s="442">
        <f>+Assumptions!I107</f>
        <v>0</v>
      </c>
      <c r="I146" s="442">
        <f>+Assumptions!J107</f>
        <v>0</v>
      </c>
      <c r="J146" s="442">
        <f>+Assumptions!K107</f>
        <v>0</v>
      </c>
      <c r="K146" s="442">
        <f>+Assumptions!L107</f>
        <v>0</v>
      </c>
      <c r="L146" s="442">
        <f>+Assumptions!M107</f>
        <v>0</v>
      </c>
      <c r="M146" s="442">
        <f>+Assumptions!N107</f>
        <v>6.3</v>
      </c>
      <c r="N146" s="442">
        <f>+Assumptions!O107</f>
        <v>6.3</v>
      </c>
      <c r="O146" s="442">
        <f>+Assumptions!P107</f>
        <v>6.3</v>
      </c>
    </row>
    <row r="147" spans="2:16" x14ac:dyDescent="0.25">
      <c r="B147" s="442" t="str">
        <f>+Assumptions!B108</f>
        <v>Kolkata Container Terminal 2</v>
      </c>
      <c r="C147" s="442">
        <f>+Assumptions!D108</f>
        <v>0</v>
      </c>
      <c r="D147" s="442">
        <f>+Assumptions!E108</f>
        <v>0</v>
      </c>
      <c r="E147" s="442">
        <f>+Assumptions!F108</f>
        <v>0</v>
      </c>
      <c r="F147" s="442">
        <f>+Assumptions!G108</f>
        <v>0</v>
      </c>
      <c r="G147" s="442">
        <f>+Assumptions!H108</f>
        <v>0</v>
      </c>
      <c r="H147" s="442">
        <f>+Assumptions!I108</f>
        <v>0</v>
      </c>
      <c r="I147" s="442">
        <f>+Assumptions!J108</f>
        <v>0</v>
      </c>
      <c r="J147" s="442">
        <f>+Assumptions!K108</f>
        <v>0</v>
      </c>
      <c r="K147" s="442">
        <f>+Assumptions!L108</f>
        <v>0</v>
      </c>
      <c r="L147" s="442">
        <f>+Assumptions!M108</f>
        <v>0</v>
      </c>
      <c r="M147" s="442">
        <f>+Assumptions!N108</f>
        <v>0</v>
      </c>
      <c r="N147" s="442">
        <f>+Assumptions!O108</f>
        <v>12</v>
      </c>
      <c r="O147" s="442">
        <f>+Assumptions!P108</f>
        <v>12</v>
      </c>
    </row>
    <row r="148" spans="2:16" x14ac:dyDescent="0.25">
      <c r="B148" s="234" t="s">
        <v>1516</v>
      </c>
      <c r="C148" s="498">
        <f>SUM(C127:C147)</f>
        <v>0</v>
      </c>
      <c r="D148" s="498">
        <f t="shared" ref="D148:O148" si="45">SUM(D127:D147)</f>
        <v>0</v>
      </c>
      <c r="E148" s="498">
        <f t="shared" si="45"/>
        <v>85</v>
      </c>
      <c r="F148" s="498">
        <f t="shared" si="45"/>
        <v>111</v>
      </c>
      <c r="G148" s="498">
        <f t="shared" si="45"/>
        <v>154.19999999999999</v>
      </c>
      <c r="H148" s="498">
        <f t="shared" si="45"/>
        <v>158.39999999999998</v>
      </c>
      <c r="I148" s="498">
        <f t="shared" si="45"/>
        <v>169.99999999999997</v>
      </c>
      <c r="J148" s="498">
        <f t="shared" si="45"/>
        <v>176.89999999999998</v>
      </c>
      <c r="K148" s="498">
        <f t="shared" si="45"/>
        <v>182.79999999999998</v>
      </c>
      <c r="L148" s="498">
        <f t="shared" si="45"/>
        <v>197.62</v>
      </c>
      <c r="M148" s="498">
        <f t="shared" si="45"/>
        <v>299.92</v>
      </c>
      <c r="N148" s="498">
        <f t="shared" si="45"/>
        <v>341.92</v>
      </c>
      <c r="O148" s="498">
        <f t="shared" si="45"/>
        <v>401.92</v>
      </c>
      <c r="P148" s="541">
        <f>(J148/E148)^(1/5)-1</f>
        <v>0.15787527828721948</v>
      </c>
    </row>
    <row r="149" spans="2:16" x14ac:dyDescent="0.25">
      <c r="O149" s="442">
        <f>+O148-J148</f>
        <v>225.02000000000004</v>
      </c>
    </row>
    <row r="150" spans="2:16" x14ac:dyDescent="0.25">
      <c r="B150" s="501" t="s">
        <v>1520</v>
      </c>
      <c r="C150" s="497" t="s">
        <v>22</v>
      </c>
      <c r="D150" s="497" t="s">
        <v>23</v>
      </c>
      <c r="E150" s="497" t="s">
        <v>24</v>
      </c>
      <c r="F150" s="497" t="s">
        <v>25</v>
      </c>
      <c r="G150" s="497" t="s">
        <v>26</v>
      </c>
      <c r="H150" s="497" t="s">
        <v>27</v>
      </c>
      <c r="I150" s="497" t="s">
        <v>273</v>
      </c>
      <c r="J150" s="497" t="s">
        <v>347</v>
      </c>
      <c r="K150" s="497" t="s">
        <v>348</v>
      </c>
      <c r="L150" s="497" t="s">
        <v>178</v>
      </c>
      <c r="M150" s="497" t="s">
        <v>179</v>
      </c>
      <c r="N150" s="497" t="s">
        <v>231</v>
      </c>
      <c r="O150" s="497" t="s">
        <v>232</v>
      </c>
    </row>
    <row r="151" spans="2:16" x14ac:dyDescent="0.25">
      <c r="B151" s="442" t="s">
        <v>1520</v>
      </c>
      <c r="C151" s="442">
        <f>Consol!G190/1000</f>
        <v>9.3780200000000011</v>
      </c>
      <c r="D151" s="442">
        <f>Consol!H190/1000</f>
        <v>5.5187590000000002</v>
      </c>
      <c r="E151" s="442">
        <f>Consol!I190/1000</f>
        <v>6.7378660000000004</v>
      </c>
      <c r="F151" s="442">
        <f>Consol!J190/1000</f>
        <v>17.226119999999998</v>
      </c>
      <c r="G151" s="442">
        <f>Consol!K190/1000</f>
        <v>5.09077</v>
      </c>
      <c r="H151" s="442">
        <f>Consol!L190/1000</f>
        <v>2.7935599999999998</v>
      </c>
      <c r="I151" s="442">
        <f>Consol!M190/1000</f>
        <v>2.4870999999999999</v>
      </c>
      <c r="J151" s="442">
        <f>Consol!N190/1000</f>
        <v>20.755700000000001</v>
      </c>
      <c r="K151" s="442">
        <f>Consol!O190/1000</f>
        <v>24.916400000000003</v>
      </c>
      <c r="L151" s="442">
        <f>Consol!P190/1000</f>
        <v>72.388516586806674</v>
      </c>
      <c r="M151" s="442">
        <f>Consol!Q190/1000</f>
        <v>89.062124855980159</v>
      </c>
      <c r="N151" s="442">
        <f>Consol!R190/1000</f>
        <v>81.166634428177318</v>
      </c>
      <c r="O151" s="442">
        <f>Consol!S190/1000</f>
        <v>67.266454129035822</v>
      </c>
    </row>
    <row r="153" spans="2:16" x14ac:dyDescent="0.25">
      <c r="B153" s="501" t="s">
        <v>1521</v>
      </c>
      <c r="C153" s="497" t="s">
        <v>22</v>
      </c>
      <c r="D153" s="497" t="s">
        <v>23</v>
      </c>
      <c r="E153" s="497" t="s">
        <v>24</v>
      </c>
      <c r="F153" s="497" t="s">
        <v>25</v>
      </c>
      <c r="G153" s="497" t="s">
        <v>26</v>
      </c>
      <c r="H153" s="497" t="s">
        <v>27</v>
      </c>
      <c r="I153" s="497" t="s">
        <v>273</v>
      </c>
      <c r="J153" s="497" t="s">
        <v>347</v>
      </c>
      <c r="K153" s="497" t="s">
        <v>177</v>
      </c>
      <c r="L153" s="497" t="s">
        <v>178</v>
      </c>
      <c r="M153" s="497" t="s">
        <v>179</v>
      </c>
      <c r="N153" s="497" t="s">
        <v>231</v>
      </c>
      <c r="O153" s="497" t="s">
        <v>232</v>
      </c>
    </row>
    <row r="154" spans="2:16" x14ac:dyDescent="0.25">
      <c r="B154" s="442" t="s">
        <v>1521</v>
      </c>
      <c r="C154" s="442">
        <f>Consol!G78/1000</f>
        <v>16.799911000000002</v>
      </c>
      <c r="D154" s="442">
        <f>Consol!H78/1000</f>
        <v>20.001206</v>
      </c>
      <c r="E154" s="442">
        <f>Consol!I78/1000</f>
        <v>27.167159999999999</v>
      </c>
      <c r="F154" s="442">
        <f>Consol!J78/1000</f>
        <v>39.458179999999999</v>
      </c>
      <c r="G154" s="442">
        <f>Consol!K78/1000</f>
        <v>44.086940000000006</v>
      </c>
      <c r="H154" s="442">
        <f>Consol!L78/1000</f>
        <v>42.436980000000005</v>
      </c>
      <c r="I154" s="442">
        <f>Consol!M78/1000</f>
        <v>43.806800000000003</v>
      </c>
      <c r="J154" s="442">
        <f>Consol!N78/1000</f>
        <v>46.588299999999997</v>
      </c>
      <c r="K154" s="442">
        <f>Consol!O78/1000</f>
        <v>64.098500000000001</v>
      </c>
      <c r="L154" s="442">
        <f>Consol!P78/1000</f>
        <v>103.25789123008481</v>
      </c>
      <c r="M154" s="442">
        <f>Consol!Q78/1000</f>
        <v>133.15867992260425</v>
      </c>
      <c r="N154" s="442">
        <f>Consol!R78/1000</f>
        <v>137.06513864899509</v>
      </c>
      <c r="O154" s="442">
        <f>Consol!S78/1000</f>
        <v>153.55457116598683</v>
      </c>
    </row>
    <row r="156" spans="2:16" x14ac:dyDescent="0.25">
      <c r="B156" s="501" t="s">
        <v>1531</v>
      </c>
      <c r="C156" s="497" t="s">
        <v>22</v>
      </c>
      <c r="D156" s="497" t="s">
        <v>23</v>
      </c>
      <c r="E156" s="497" t="s">
        <v>24</v>
      </c>
      <c r="F156" s="497" t="s">
        <v>25</v>
      </c>
      <c r="G156" s="497" t="s">
        <v>26</v>
      </c>
      <c r="H156" s="497" t="s">
        <v>27</v>
      </c>
      <c r="I156" s="497" t="s">
        <v>273</v>
      </c>
      <c r="J156" s="497" t="s">
        <v>28</v>
      </c>
      <c r="K156" s="497" t="s">
        <v>177</v>
      </c>
      <c r="L156" s="497" t="s">
        <v>178</v>
      </c>
      <c r="M156" s="497" t="s">
        <v>179</v>
      </c>
      <c r="N156" s="497" t="s">
        <v>231</v>
      </c>
      <c r="O156" s="497" t="s">
        <v>232</v>
      </c>
    </row>
    <row r="157" spans="2:16" x14ac:dyDescent="0.25">
      <c r="B157" s="442" t="s">
        <v>1522</v>
      </c>
      <c r="C157" s="532">
        <f>Consol!G222</f>
        <v>7.9825280398223161E-2</v>
      </c>
      <c r="D157" s="532">
        <f>Consol!H222</f>
        <v>8.3184228547020858E-2</v>
      </c>
      <c r="E157" s="532">
        <f>Consol!I222</f>
        <v>7.0667832483507428E-2</v>
      </c>
      <c r="F157" s="532">
        <f>Consol!J222</f>
        <v>5.7397405962590922E-2</v>
      </c>
      <c r="G157" s="532">
        <f>Consol!K222</f>
        <v>7.4227294556233336E-2</v>
      </c>
      <c r="H157" s="532">
        <f>Consol!L222</f>
        <v>0.14636346684270354</v>
      </c>
      <c r="I157" s="532">
        <f>Consol!M222</f>
        <v>0.10780053031319661</v>
      </c>
      <c r="J157" s="532">
        <f>Consol!N222</f>
        <v>0.11065758374088255</v>
      </c>
      <c r="K157" s="532">
        <f>Consol!O222</f>
        <v>0.10223813388390543</v>
      </c>
      <c r="L157" s="532">
        <f ca="1">Consol!P222</f>
        <v>6.5187404509055927E-2</v>
      </c>
      <c r="M157" s="532">
        <f ca="1">Consol!Q222</f>
        <v>8.5124082592965736E-2</v>
      </c>
      <c r="N157" s="532">
        <f ca="1">Consol!R222</f>
        <v>8.7864621734563608E-2</v>
      </c>
      <c r="O157" s="532">
        <f ca="1">Consol!S222</f>
        <v>9.5771964124638356E-2</v>
      </c>
    </row>
    <row r="158" spans="2:16" x14ac:dyDescent="0.25">
      <c r="B158" s="442" t="s">
        <v>1523</v>
      </c>
      <c r="C158" s="532">
        <f>NewFinSumm!C65</f>
        <v>0.12321637951393519</v>
      </c>
      <c r="D158" s="532">
        <f>NewFinSumm!D65</f>
        <v>9.737571603772896E-2</v>
      </c>
      <c r="E158" s="532">
        <f>NewFinSumm!E65</f>
        <v>9.9630522905973171E-2</v>
      </c>
      <c r="F158" s="532">
        <f>NewFinSumm!F65</f>
        <v>0.10774786287998174</v>
      </c>
      <c r="G158" s="532">
        <f>NewFinSumm!G65</f>
        <v>0.11927532362055952</v>
      </c>
      <c r="H158" s="532">
        <f>NewFinSumm!H65</f>
        <v>0.18744126191510233</v>
      </c>
      <c r="I158" s="532">
        <f>NewFinSumm!I65</f>
        <v>0.21047912575460398</v>
      </c>
      <c r="J158" s="532">
        <f>NewFinSumm!J65</f>
        <v>0.1839322605925911</v>
      </c>
      <c r="K158" s="532">
        <f>NewFinSumm!K65</f>
        <v>0.17241084980114704</v>
      </c>
      <c r="L158" s="532">
        <f ca="1">NewFinSumm!L65</f>
        <v>0.15631751573354791</v>
      </c>
      <c r="M158" s="532">
        <f ca="1">NewFinSumm!M65</f>
        <v>0.16514072415133774</v>
      </c>
      <c r="N158" s="532">
        <f ca="1">NewFinSumm!N65</f>
        <v>0.13582471004410138</v>
      </c>
      <c r="O158" s="532">
        <f ca="1">NewFinSumm!O65</f>
        <v>0.13929477681831517</v>
      </c>
    </row>
    <row r="160" spans="2:16" x14ac:dyDescent="0.25">
      <c r="B160" s="501" t="s">
        <v>1530</v>
      </c>
      <c r="C160" s="497" t="s">
        <v>22</v>
      </c>
      <c r="D160" s="497" t="s">
        <v>23</v>
      </c>
      <c r="E160" s="497" t="s">
        <v>24</v>
      </c>
      <c r="F160" s="497" t="s">
        <v>25</v>
      </c>
      <c r="G160" s="497" t="s">
        <v>26</v>
      </c>
      <c r="H160" s="497" t="s">
        <v>27</v>
      </c>
      <c r="I160" s="497" t="s">
        <v>273</v>
      </c>
      <c r="J160" s="497" t="s">
        <v>347</v>
      </c>
      <c r="K160" s="497" t="s">
        <v>348</v>
      </c>
      <c r="L160" s="497" t="s">
        <v>178</v>
      </c>
      <c r="M160" s="497" t="s">
        <v>179</v>
      </c>
      <c r="N160" s="497" t="s">
        <v>231</v>
      </c>
      <c r="O160" s="497" t="s">
        <v>232</v>
      </c>
    </row>
    <row r="161" spans="2:16" x14ac:dyDescent="0.25">
      <c r="B161" t="s">
        <v>1530</v>
      </c>
      <c r="E161" s="532">
        <f>Assumptions!F163</f>
        <v>0.40012301190588234</v>
      </c>
      <c r="F161" s="532">
        <f>Assumptions!G163</f>
        <v>0.41025225225225231</v>
      </c>
      <c r="G161" s="532">
        <f>Assumptions!H163</f>
        <v>0.40183300399487676</v>
      </c>
      <c r="H161" s="532">
        <f>Assumptions!I163</f>
        <v>0.58592801567689878</v>
      </c>
      <c r="I161" s="532">
        <f>Assumptions!J163</f>
        <v>0.62963624967363674</v>
      </c>
      <c r="J161" s="532">
        <f>Assumptions!K163</f>
        <v>0.66139061616732631</v>
      </c>
      <c r="K161" s="532">
        <f>Assumptions!L163</f>
        <v>0.66050328227571109</v>
      </c>
      <c r="L161" s="532">
        <f ca="1">Assumptions!M163</f>
        <v>0.64748562898492068</v>
      </c>
      <c r="M161" s="532">
        <f ca="1">Assumptions!N163</f>
        <v>0.56197330788210198</v>
      </c>
      <c r="N161" s="532">
        <f ca="1">Assumptions!O163</f>
        <v>0.57596605192735151</v>
      </c>
      <c r="O161" s="532">
        <f ca="1">Assumptions!P163</f>
        <v>0.59064030935696166</v>
      </c>
    </row>
    <row r="163" spans="2:16" x14ac:dyDescent="0.25">
      <c r="B163" s="501" t="s">
        <v>1523</v>
      </c>
      <c r="C163" s="497" t="s">
        <v>22</v>
      </c>
      <c r="D163" s="497" t="s">
        <v>23</v>
      </c>
      <c r="E163" s="497" t="s">
        <v>24</v>
      </c>
      <c r="F163" s="497" t="s">
        <v>25</v>
      </c>
      <c r="G163" s="497" t="s">
        <v>26</v>
      </c>
      <c r="H163" s="497" t="s">
        <v>27</v>
      </c>
      <c r="I163" s="497" t="s">
        <v>273</v>
      </c>
      <c r="J163" s="497" t="s">
        <v>347</v>
      </c>
      <c r="K163" s="497" t="s">
        <v>177</v>
      </c>
      <c r="L163" s="497" t="s">
        <v>178</v>
      </c>
      <c r="M163" s="497" t="s">
        <v>179</v>
      </c>
      <c r="N163" s="497" t="s">
        <v>231</v>
      </c>
      <c r="O163" s="497" t="s">
        <v>232</v>
      </c>
    </row>
    <row r="164" spans="2:16" x14ac:dyDescent="0.25">
      <c r="B164" s="442" t="s">
        <v>212</v>
      </c>
      <c r="C164" s="532">
        <f>C158</f>
        <v>0.12321637951393519</v>
      </c>
      <c r="D164" s="532">
        <f t="shared" ref="D164:O164" si="46">D158</f>
        <v>9.737571603772896E-2</v>
      </c>
      <c r="E164" s="532">
        <f t="shared" si="46"/>
        <v>9.9630522905973171E-2</v>
      </c>
      <c r="F164" s="532">
        <f t="shared" si="46"/>
        <v>0.10774786287998174</v>
      </c>
      <c r="G164" s="532">
        <f t="shared" si="46"/>
        <v>0.11927532362055952</v>
      </c>
      <c r="H164" s="532">
        <f t="shared" si="46"/>
        <v>0.18744126191510233</v>
      </c>
      <c r="I164" s="532">
        <f t="shared" si="46"/>
        <v>0.21047912575460398</v>
      </c>
      <c r="J164" s="532">
        <f t="shared" si="46"/>
        <v>0.1839322605925911</v>
      </c>
      <c r="K164" s="532">
        <f t="shared" si="46"/>
        <v>0.17241084980114704</v>
      </c>
      <c r="L164" s="532">
        <f t="shared" ca="1" si="46"/>
        <v>0.15631751573354791</v>
      </c>
      <c r="M164" s="532">
        <f t="shared" ca="1" si="46"/>
        <v>0.16514072415133774</v>
      </c>
      <c r="N164" s="532">
        <f t="shared" ca="1" si="46"/>
        <v>0.13582471004410138</v>
      </c>
      <c r="O164" s="532">
        <f t="shared" ca="1" si="46"/>
        <v>0.13929477681831517</v>
      </c>
    </row>
    <row r="165" spans="2:16" x14ac:dyDescent="0.25">
      <c r="B165" s="442" t="s">
        <v>1535</v>
      </c>
      <c r="C165" s="532">
        <f>'[1]New FinSumm'!Q66</f>
        <v>0.18521811985831507</v>
      </c>
      <c r="D165" s="532">
        <f>'[1]New FinSumm'!R66</f>
        <v>0.14177866185057716</v>
      </c>
      <c r="E165" s="532">
        <f>'[1]New FinSumm'!S66</f>
        <v>0.10091766489822461</v>
      </c>
      <c r="F165" s="532">
        <f>'[1]New FinSumm'!T66</f>
        <v>0.1290904061163487</v>
      </c>
      <c r="G165" s="532">
        <f>'[1]New FinSumm'!U66</f>
        <v>9.4701093359315841E-2</v>
      </c>
      <c r="H165" s="532">
        <f>'[1]New FinSumm'!V66</f>
        <v>9.6063322141895807E-2</v>
      </c>
      <c r="I165" s="532">
        <f>'[1]New FinSumm'!W66</f>
        <v>0.13907076968563806</v>
      </c>
      <c r="J165" s="532">
        <f>'[1]New FinSumm'!X66</f>
        <v>0.15111415695894173</v>
      </c>
      <c r="K165" s="532">
        <f>'[1]New FinSumm'!Y66</f>
        <v>0.14707606284673339</v>
      </c>
      <c r="L165" s="532">
        <f>'[1]New FinSumm'!Z66</f>
        <v>0.13492612766597772</v>
      </c>
      <c r="M165" s="532">
        <f>'[1]New FinSumm'!AA66</f>
        <v>0.14620579611500201</v>
      </c>
      <c r="N165" s="532">
        <f>'[1]New FinSumm'!AB66</f>
        <v>0.1575777050435877</v>
      </c>
      <c r="O165" s="532">
        <f>'[1]New FinSumm'!AC66</f>
        <v>0.16059076157523824</v>
      </c>
    </row>
    <row r="167" spans="2:16" x14ac:dyDescent="0.25">
      <c r="B167" s="501" t="s">
        <v>1536</v>
      </c>
      <c r="C167" s="497" t="s">
        <v>22</v>
      </c>
      <c r="D167" s="497" t="s">
        <v>23</v>
      </c>
      <c r="E167" s="497" t="s">
        <v>24</v>
      </c>
      <c r="F167" s="497" t="s">
        <v>25</v>
      </c>
      <c r="G167" s="497" t="s">
        <v>26</v>
      </c>
      <c r="H167" s="497" t="s">
        <v>27</v>
      </c>
      <c r="I167" s="497" t="s">
        <v>273</v>
      </c>
      <c r="J167" s="497" t="s">
        <v>347</v>
      </c>
      <c r="K167" s="497" t="s">
        <v>348</v>
      </c>
      <c r="L167" s="497" t="s">
        <v>178</v>
      </c>
      <c r="M167" s="497" t="s">
        <v>179</v>
      </c>
      <c r="N167" s="497" t="s">
        <v>231</v>
      </c>
      <c r="O167" s="497" t="s">
        <v>232</v>
      </c>
    </row>
    <row r="168" spans="2:16" x14ac:dyDescent="0.25">
      <c r="B168" s="442" t="s">
        <v>212</v>
      </c>
      <c r="C168" s="235">
        <v>33</v>
      </c>
      <c r="D168" s="235">
        <v>33</v>
      </c>
      <c r="E168" s="235">
        <f>Assumptions!F111-Assumptions!F98-Assumptions!F106</f>
        <v>85</v>
      </c>
      <c r="F168" s="235">
        <f>Assumptions!G111-Assumptions!G98-Assumptions!G106</f>
        <v>111</v>
      </c>
      <c r="G168" s="235">
        <f>Assumptions!H111-Assumptions!H98-Assumptions!H106</f>
        <v>154.19999999999999</v>
      </c>
      <c r="H168" s="235">
        <f>Assumptions!I111-Assumptions!I98-Assumptions!I106</f>
        <v>158.39999999999998</v>
      </c>
      <c r="I168" s="235">
        <f>Assumptions!J111-Assumptions!J98-Assumptions!J106</f>
        <v>164.99999999999997</v>
      </c>
      <c r="J168" s="235">
        <f>Assumptions!K111-Assumptions!K98-Assumptions!K106</f>
        <v>171.89999999999998</v>
      </c>
      <c r="K168" s="235">
        <f>Assumptions!L111-Assumptions!L98-Assumptions!L106</f>
        <v>177.79999999999998</v>
      </c>
      <c r="L168" s="235">
        <f>Assumptions!M111-Assumptions!M98-Assumptions!M106</f>
        <v>192.62</v>
      </c>
      <c r="M168" s="235">
        <f>Assumptions!N111-Assumptions!N98-Assumptions!N106</f>
        <v>294.92</v>
      </c>
      <c r="N168" s="235">
        <f>Assumptions!O111-Assumptions!O98-Assumptions!O106</f>
        <v>336.92</v>
      </c>
      <c r="O168" s="235">
        <f>Assumptions!P111-Assumptions!P98-Assumptions!P106</f>
        <v>369.92</v>
      </c>
      <c r="P168" s="1165">
        <f>+O168/J168</f>
        <v>2.1519488074461899</v>
      </c>
    </row>
    <row r="169" spans="2:16" x14ac:dyDescent="0.25">
      <c r="B169" s="442" t="s">
        <v>1535</v>
      </c>
      <c r="C169" s="235">
        <f>+SUM([1]Charts!I93:I108)</f>
        <v>373</v>
      </c>
      <c r="D169" s="235">
        <f>+SUM([1]Charts!J93:J108)</f>
        <v>393</v>
      </c>
      <c r="E169" s="235">
        <f>+SUM([1]Charts!K93:K108)</f>
        <v>392.82</v>
      </c>
      <c r="F169" s="235">
        <f>+SUM([1]Charts!L93:L108)</f>
        <v>472.41</v>
      </c>
      <c r="G169" s="235">
        <f>+SUM([1]Charts!M93:M108)</f>
        <v>538</v>
      </c>
      <c r="H169" s="235">
        <f>+SUM([1]Charts!N93:N108)</f>
        <v>558</v>
      </c>
      <c r="I169" s="235">
        <f>+SUM([1]Charts!O93:O108)</f>
        <v>585</v>
      </c>
      <c r="J169" s="235">
        <f>+SUM([1]Charts!P93:P108)</f>
        <v>623</v>
      </c>
      <c r="K169" s="235">
        <f>+SUM([1]Charts!Q93:Q108)</f>
        <v>646.74</v>
      </c>
      <c r="L169" s="235">
        <f>+SUM([1]Charts!R93:R108)</f>
        <v>670.13799999999992</v>
      </c>
      <c r="M169" s="235">
        <f>+SUM([1]Charts!S93:S108)</f>
        <v>751.59799999999984</v>
      </c>
      <c r="N169" s="235">
        <f>+SUM([1]Charts!T93:T108)</f>
        <v>871.49149999999986</v>
      </c>
      <c r="O169" s="235">
        <f>+SUM([1]Charts!U93:U108)</f>
        <v>962.64047500000004</v>
      </c>
    </row>
    <row r="170" spans="2:16" x14ac:dyDescent="0.25">
      <c r="B170" t="s">
        <v>1538</v>
      </c>
      <c r="C170" s="442">
        <f>'[2]New Sector'!R34</f>
        <v>2308.59</v>
      </c>
      <c r="D170" s="442">
        <f>'[2]New Sector'!S34</f>
        <v>2426.8199999999997</v>
      </c>
      <c r="E170" s="442">
        <f>'[2]New Sector'!T34</f>
        <v>2496.89</v>
      </c>
      <c r="F170" s="442">
        <f>'[2]New Sector'!U34</f>
        <v>2503.12</v>
      </c>
      <c r="G170" s="442">
        <f>'[2]New Sector'!V34</f>
        <v>2530.8200000000002</v>
      </c>
      <c r="H170" s="442">
        <f>'[2]New Sector'!W34</f>
        <v>2626.9399999999996</v>
      </c>
      <c r="I170" s="442">
        <f>'[2]New Sector'!X34</f>
        <v>2710.39</v>
      </c>
      <c r="J170" s="442">
        <f>'[2]New Sector'!Y34</f>
        <v>2771.03</v>
      </c>
      <c r="K170" s="442">
        <f>[1]Charts!Q86</f>
        <v>2881.8712000000005</v>
      </c>
      <c r="L170" s="442">
        <f>[1]Charts!R86</f>
        <v>2997.1460480000005</v>
      </c>
      <c r="M170" s="442">
        <f>[1]Charts!S86</f>
        <v>3117.0318899200006</v>
      </c>
      <c r="N170" s="442">
        <f>[1]Charts!T86</f>
        <v>3241.7131655168009</v>
      </c>
      <c r="O170" s="442">
        <f>[1]Charts!U86</f>
        <v>3371.3816921374732</v>
      </c>
      <c r="P170" s="967">
        <f>(O170/K170)^(1/4)-1</f>
        <v>4.0000000000000036E-2</v>
      </c>
    </row>
    <row r="172" spans="2:16" x14ac:dyDescent="0.25">
      <c r="B172" s="501" t="s">
        <v>1537</v>
      </c>
      <c r="C172" s="497" t="s">
        <v>22</v>
      </c>
      <c r="D172" s="497" t="s">
        <v>23</v>
      </c>
      <c r="E172" s="497" t="s">
        <v>24</v>
      </c>
      <c r="F172" s="497" t="s">
        <v>25</v>
      </c>
      <c r="G172" s="497" t="s">
        <v>26</v>
      </c>
      <c r="H172" s="497" t="s">
        <v>27</v>
      </c>
      <c r="I172" s="497" t="s">
        <v>273</v>
      </c>
      <c r="J172" s="497" t="s">
        <v>347</v>
      </c>
      <c r="K172" s="497" t="s">
        <v>348</v>
      </c>
      <c r="L172" s="497" t="s">
        <v>178</v>
      </c>
      <c r="M172" s="497" t="s">
        <v>179</v>
      </c>
      <c r="N172" s="497" t="s">
        <v>231</v>
      </c>
      <c r="O172" s="497" t="s">
        <v>232</v>
      </c>
    </row>
    <row r="173" spans="2:16" x14ac:dyDescent="0.25">
      <c r="B173" s="442" t="s">
        <v>212</v>
      </c>
      <c r="C173" s="235">
        <f>Assumptions!D27-Assumptions!D14-Assumptions!D22</f>
        <v>32.094999999999999</v>
      </c>
      <c r="D173" s="235">
        <f>Assumptions!E27-Assumptions!E14-Assumptions!E22</f>
        <v>35.370000000000005</v>
      </c>
      <c r="E173" s="235">
        <f>Assumptions!F27-Assumptions!F14-Assumptions!F22</f>
        <v>34.010456011999999</v>
      </c>
      <c r="F173" s="235">
        <f>Assumptions!G27-Assumptions!G14-Assumptions!G22</f>
        <v>45.538000000000004</v>
      </c>
      <c r="G173" s="235">
        <f>Assumptions!H27-Assumptions!H14-Assumptions!H22</f>
        <v>61.962649216009993</v>
      </c>
      <c r="H173" s="235">
        <f>Assumptions!I27-Assumptions!I14-Assumptions!I22</f>
        <v>92.810997683220748</v>
      </c>
      <c r="I173" s="235">
        <f>Assumptions!J27-Assumptions!J14-Assumptions!J22</f>
        <v>105.03816244451822</v>
      </c>
      <c r="J173" s="235">
        <f>Assumptions!K27-Assumptions!K14-Assumptions!K22</f>
        <v>109.7</v>
      </c>
      <c r="K173" s="235">
        <f>Assumptions!L27-Assumptions!L14-Assumptions!L22</f>
        <v>115.02999999999999</v>
      </c>
      <c r="L173" s="235">
        <f ca="1">Assumptions!M27-Assumptions!M14-Assumptions!M22</f>
        <v>125.10111000000002</v>
      </c>
      <c r="M173" s="235">
        <f ca="1">Assumptions!N27-Assumptions!N14-Assumptions!N22</f>
        <v>163.55078450000002</v>
      </c>
      <c r="N173" s="235">
        <f ca="1">Assumptions!O27-Assumptions!O14-Assumptions!O22</f>
        <v>190.93881247500005</v>
      </c>
      <c r="O173" s="235">
        <f ca="1">Assumptions!P27-Assumptions!P14-Assumptions!P22</f>
        <v>220.35483313675002</v>
      </c>
    </row>
    <row r="174" spans="2:16" x14ac:dyDescent="0.25">
      <c r="B174" s="442" t="s">
        <v>1535</v>
      </c>
      <c r="C174" s="235">
        <f>+SUM([1]Charts!I25:I40)</f>
        <v>179.70039999999997</v>
      </c>
      <c r="D174" s="235">
        <f>+SUM([1]Charts!J25:J40)</f>
        <v>208.4529149294392</v>
      </c>
      <c r="E174" s="235">
        <f>+SUM([1]Charts!K25:K40)</f>
        <v>222.78270575399992</v>
      </c>
      <c r="F174" s="235">
        <f>+SUM([1]Charts!L25:L40)</f>
        <v>247.80163123899999</v>
      </c>
      <c r="G174" s="235">
        <f>+SUM([1]Charts!M25:M40)</f>
        <v>282.4519415298501</v>
      </c>
      <c r="H174" s="235">
        <f>+SUM([1]Charts!N25:N40)</f>
        <v>336.6121184098086</v>
      </c>
      <c r="I174" s="235">
        <f>+SUM([1]Charts!O25:O40)</f>
        <v>408.34980898100002</v>
      </c>
      <c r="J174" s="235">
        <f>+SUM([1]Charts!P25:P40)</f>
        <v>430.39483808093996</v>
      </c>
      <c r="K174" s="235">
        <f>+SUM([1]Charts!Q25:Q40)</f>
        <v>450.49169235990001</v>
      </c>
      <c r="L174" s="235">
        <f>+SUM([1]Charts!R25:R40)</f>
        <v>484.63381722259197</v>
      </c>
      <c r="M174" s="235">
        <f>+SUM([1]Charts!S25:S40)</f>
        <v>543.66025259348419</v>
      </c>
      <c r="N174" s="235">
        <f>+SUM([1]Charts!T25:T40)</f>
        <v>622.72349036393007</v>
      </c>
      <c r="O174" s="235">
        <f>+SUM([1]Charts!U25:U40)</f>
        <v>689.55124100014802</v>
      </c>
    </row>
    <row r="175" spans="2:16" x14ac:dyDescent="0.25">
      <c r="B175" t="s">
        <v>1539</v>
      </c>
      <c r="C175" s="442">
        <f>'[2]New Sector'!R100</f>
        <v>1208.4470000000001</v>
      </c>
      <c r="D175" s="442">
        <f>'[2]New Sector'!S100</f>
        <v>1281.779</v>
      </c>
      <c r="E175" s="442">
        <f>'[2]New Sector'!T100</f>
        <v>1319.9180000000001</v>
      </c>
      <c r="F175" s="442">
        <f>'[2]New Sector'!U100</f>
        <v>1251.4569999999999</v>
      </c>
      <c r="G175" s="442">
        <f>'[2]New Sector'!V100</f>
        <v>1318.9760000000001</v>
      </c>
      <c r="H175" s="442">
        <f>'[2]New Sector'!W100</f>
        <v>1434.192</v>
      </c>
      <c r="I175" s="442">
        <f>'[2]New Sector'!X100</f>
        <v>1540.2759999999998</v>
      </c>
      <c r="J175" s="442">
        <f>'[2]New Sector'!Y100</f>
        <v>1602.568</v>
      </c>
      <c r="K175" s="442">
        <f>'[2]New Sector'!Z100</f>
        <v>1665.8255260000001</v>
      </c>
      <c r="L175" s="442">
        <f>[1]Charts!R16</f>
        <v>1732.4585470400002</v>
      </c>
      <c r="M175" s="442">
        <f>[1]Charts!S16</f>
        <v>1801.7568889216002</v>
      </c>
      <c r="N175" s="442">
        <f>[1]Charts!T16</f>
        <v>1873.8271644784643</v>
      </c>
      <c r="O175" s="442">
        <f>[1]Charts!U16</f>
        <v>1948.780251057603</v>
      </c>
    </row>
    <row r="177" spans="2:15" x14ac:dyDescent="0.25">
      <c r="B177" s="501" t="s">
        <v>1536</v>
      </c>
      <c r="C177" s="497" t="s">
        <v>22</v>
      </c>
      <c r="D177" s="497" t="s">
        <v>23</v>
      </c>
      <c r="E177" s="497" t="s">
        <v>24</v>
      </c>
      <c r="F177" s="497" t="s">
        <v>25</v>
      </c>
      <c r="G177" s="497" t="s">
        <v>26</v>
      </c>
      <c r="H177" s="497" t="s">
        <v>27</v>
      </c>
      <c r="I177" s="497" t="s">
        <v>273</v>
      </c>
      <c r="J177" s="497"/>
      <c r="K177" s="497"/>
      <c r="L177" s="497"/>
      <c r="M177" s="497"/>
      <c r="N177" s="497"/>
      <c r="O177" s="497" t="s">
        <v>232</v>
      </c>
    </row>
    <row r="178" spans="2:15" x14ac:dyDescent="0.25">
      <c r="B178" s="442" t="s">
        <v>212</v>
      </c>
      <c r="C178" s="532">
        <f>C168/C$170</f>
        <v>1.4294439463048873E-2</v>
      </c>
      <c r="D178" s="532">
        <f t="shared" ref="D178:I178" si="47">D168/D$170</f>
        <v>1.3598041881968998E-2</v>
      </c>
      <c r="E178" s="532">
        <f t="shared" si="47"/>
        <v>3.4042348681760114E-2</v>
      </c>
      <c r="F178" s="532">
        <f t="shared" si="47"/>
        <v>4.434465786698201E-2</v>
      </c>
      <c r="G178" s="532">
        <f t="shared" si="47"/>
        <v>6.0928868904149634E-2</v>
      </c>
      <c r="H178" s="532">
        <f t="shared" si="47"/>
        <v>6.0298293832367698E-2</v>
      </c>
      <c r="I178" s="532">
        <f t="shared" si="47"/>
        <v>6.087684798128682E-2</v>
      </c>
      <c r="J178" s="532">
        <f>J168/J$170</f>
        <v>6.2034694680317415E-2</v>
      </c>
      <c r="K178" s="532">
        <f t="shared" ref="K178" si="48">K168/K$170</f>
        <v>6.1696025832105178E-2</v>
      </c>
      <c r="L178" s="532"/>
      <c r="M178" s="532"/>
      <c r="N178" s="532"/>
      <c r="O178" s="532">
        <f t="shared" ref="O178:O179" si="49">O168/O$170</f>
        <v>0.1097235595906285</v>
      </c>
    </row>
    <row r="179" spans="2:15" x14ac:dyDescent="0.25">
      <c r="B179" s="442" t="s">
        <v>1535</v>
      </c>
      <c r="C179" s="532">
        <f t="shared" ref="C179:I179" si="50">C169/C$170</f>
        <v>0.16157048241567362</v>
      </c>
      <c r="D179" s="532">
        <f t="shared" si="50"/>
        <v>0.16194031695799443</v>
      </c>
      <c r="E179" s="532">
        <f t="shared" si="50"/>
        <v>0.15732371069610596</v>
      </c>
      <c r="F179" s="532">
        <f t="shared" si="50"/>
        <v>0.18872846687334208</v>
      </c>
      <c r="G179" s="532">
        <f t="shared" si="50"/>
        <v>0.21257932211694233</v>
      </c>
      <c r="H179" s="532">
        <f t="shared" si="50"/>
        <v>0.21241444418220443</v>
      </c>
      <c r="I179" s="532">
        <f t="shared" si="50"/>
        <v>0.21583609738819876</v>
      </c>
      <c r="J179" s="532">
        <f>J169/J$170</f>
        <v>0.22482614767793924</v>
      </c>
      <c r="K179" s="532">
        <f t="shared" ref="K179" si="51">K169/K$170</f>
        <v>0.2244166914885023</v>
      </c>
      <c r="L179" s="532"/>
      <c r="M179" s="532"/>
      <c r="N179" s="532"/>
      <c r="O179" s="532">
        <f t="shared" si="49"/>
        <v>0.28553292474863062</v>
      </c>
    </row>
    <row r="181" spans="2:15" x14ac:dyDescent="0.25">
      <c r="B181" s="501" t="s">
        <v>1537</v>
      </c>
      <c r="C181" s="497" t="s">
        <v>22</v>
      </c>
      <c r="D181" s="497" t="s">
        <v>23</v>
      </c>
      <c r="E181" s="497" t="s">
        <v>24</v>
      </c>
      <c r="F181" s="497" t="s">
        <v>25</v>
      </c>
      <c r="G181" s="497" t="s">
        <v>26</v>
      </c>
      <c r="H181" s="497" t="s">
        <v>27</v>
      </c>
      <c r="I181" s="497" t="s">
        <v>273</v>
      </c>
      <c r="J181" s="497" t="str">
        <f>J172</f>
        <v>FY25</v>
      </c>
      <c r="K181" s="497"/>
      <c r="L181" s="497"/>
      <c r="M181" s="497"/>
      <c r="N181" s="497"/>
      <c r="O181" s="497" t="s">
        <v>232</v>
      </c>
    </row>
    <row r="182" spans="2:15" x14ac:dyDescent="0.25">
      <c r="B182" s="442" t="s">
        <v>212</v>
      </c>
      <c r="C182" s="532">
        <f>C173/C$175</f>
        <v>2.6558880943889137E-2</v>
      </c>
      <c r="D182" s="532">
        <f t="shared" ref="D182:I182" si="52">D173/D$175</f>
        <v>2.7594460511523439E-2</v>
      </c>
      <c r="E182" s="532">
        <f t="shared" si="52"/>
        <v>2.5767097662127491E-2</v>
      </c>
      <c r="F182" s="532">
        <f t="shared" si="52"/>
        <v>3.6387986163328029E-2</v>
      </c>
      <c r="G182" s="532">
        <f t="shared" si="52"/>
        <v>4.697784433985909E-2</v>
      </c>
      <c r="H182" s="532">
        <f t="shared" si="52"/>
        <v>6.471309119226766E-2</v>
      </c>
      <c r="I182" s="532">
        <f t="shared" si="52"/>
        <v>6.8194377140537304E-2</v>
      </c>
      <c r="J182" s="532">
        <f>J173/J$175</f>
        <v>6.8452633523195278E-2</v>
      </c>
      <c r="K182" s="532">
        <f>K173/K$175</f>
        <v>6.9052849896118096E-2</v>
      </c>
      <c r="L182" s="532"/>
      <c r="M182" s="532"/>
      <c r="N182" s="532"/>
      <c r="O182" s="532">
        <f ca="1">O173/O$175</f>
        <v>0.11307320721110728</v>
      </c>
    </row>
    <row r="183" spans="2:15" x14ac:dyDescent="0.25">
      <c r="B183" s="442" t="s">
        <v>1535</v>
      </c>
      <c r="C183" s="532">
        <f t="shared" ref="C183:I183" si="53">C174/C$175</f>
        <v>0.14870358402147546</v>
      </c>
      <c r="D183" s="532">
        <f t="shared" si="53"/>
        <v>0.16262781253978978</v>
      </c>
      <c r="E183" s="532">
        <f t="shared" si="53"/>
        <v>0.16878526223144158</v>
      </c>
      <c r="F183" s="532">
        <f t="shared" si="53"/>
        <v>0.19801050394779846</v>
      </c>
      <c r="G183" s="532">
        <f t="shared" si="53"/>
        <v>0.21414486808694783</v>
      </c>
      <c r="H183" s="532">
        <f t="shared" si="53"/>
        <v>0.23470505930155</v>
      </c>
      <c r="I183" s="532">
        <f t="shared" si="53"/>
        <v>0.26511469956098782</v>
      </c>
      <c r="J183" s="532">
        <f>J174/J$175</f>
        <v>0.26856572581066135</v>
      </c>
      <c r="K183" s="532">
        <f>K174/K$175</f>
        <v>0.27043149797423621</v>
      </c>
      <c r="L183" s="532"/>
      <c r="M183" s="532"/>
      <c r="N183" s="532"/>
      <c r="O183" s="532">
        <f>O174/O$175</f>
        <v>0.35383735063300675</v>
      </c>
    </row>
    <row r="185" spans="2:15" x14ac:dyDescent="0.25">
      <c r="B185" s="501" t="s">
        <v>1541</v>
      </c>
      <c r="C185" s="497"/>
    </row>
    <row r="186" spans="2:15" x14ac:dyDescent="0.25">
      <c r="B186" s="442" t="s">
        <v>212</v>
      </c>
      <c r="C186" s="235">
        <v>20</v>
      </c>
      <c r="O186">
        <f>1940/0.7</f>
        <v>2771.4285714285716</v>
      </c>
    </row>
    <row r="187" spans="2:15" x14ac:dyDescent="0.25">
      <c r="B187" s="442" t="s">
        <v>1535</v>
      </c>
      <c r="C187" s="235">
        <v>15</v>
      </c>
    </row>
    <row r="188" spans="2:15" x14ac:dyDescent="0.25">
      <c r="B188" s="442" t="s">
        <v>1540</v>
      </c>
      <c r="C188" s="235">
        <v>4</v>
      </c>
    </row>
    <row r="190" spans="2:15" x14ac:dyDescent="0.25">
      <c r="C190" s="497" t="s">
        <v>23</v>
      </c>
      <c r="D190" s="497" t="s">
        <v>24</v>
      </c>
      <c r="E190" s="497" t="s">
        <v>25</v>
      </c>
      <c r="F190" s="497" t="s">
        <v>26</v>
      </c>
      <c r="G190" s="497" t="s">
        <v>27</v>
      </c>
      <c r="H190" s="497" t="s">
        <v>273</v>
      </c>
      <c r="I190" s="497" t="s">
        <v>347</v>
      </c>
      <c r="J190" s="497" t="s">
        <v>348</v>
      </c>
      <c r="K190" s="497" t="s">
        <v>178</v>
      </c>
      <c r="L190" s="497" t="s">
        <v>179</v>
      </c>
      <c r="M190" s="497" t="s">
        <v>231</v>
      </c>
      <c r="N190" s="497" t="s">
        <v>232</v>
      </c>
    </row>
    <row r="191" spans="2:15" x14ac:dyDescent="0.25">
      <c r="B191" s="442" t="s">
        <v>1938</v>
      </c>
      <c r="C191" s="967">
        <f>+D175/C175-1</f>
        <v>6.0682843351839155E-2</v>
      </c>
      <c r="D191" s="967">
        <f t="shared" ref="D191:N191" si="54">+E175/D175-1</f>
        <v>2.9754739311535161E-2</v>
      </c>
      <c r="E191" s="967">
        <f t="shared" si="54"/>
        <v>-5.1867616018571039E-2</v>
      </c>
      <c r="F191" s="967">
        <f t="shared" si="54"/>
        <v>5.3952313183753153E-2</v>
      </c>
      <c r="G191" s="967">
        <f t="shared" si="54"/>
        <v>8.7352612936095753E-2</v>
      </c>
      <c r="H191" s="967">
        <f t="shared" si="54"/>
        <v>7.3967781161796919E-2</v>
      </c>
      <c r="I191" s="967">
        <f t="shared" si="54"/>
        <v>4.0442102584212325E-2</v>
      </c>
      <c r="J191" s="967">
        <f t="shared" si="54"/>
        <v>3.9472600226636345E-2</v>
      </c>
      <c r="K191" s="967">
        <f t="shared" si="54"/>
        <v>4.0000000000000036E-2</v>
      </c>
      <c r="L191" s="967">
        <f t="shared" si="54"/>
        <v>4.0000000000000036E-2</v>
      </c>
      <c r="M191" s="967">
        <f t="shared" si="54"/>
        <v>4.0000000000000036E-2</v>
      </c>
      <c r="N191" s="967">
        <f t="shared" si="54"/>
        <v>4.0000000000000036E-2</v>
      </c>
    </row>
    <row r="192" spans="2:15" x14ac:dyDescent="0.25">
      <c r="B192" s="442" t="s">
        <v>212</v>
      </c>
      <c r="C192" s="967">
        <f>+D173/C173-1</f>
        <v>0.10204081632653073</v>
      </c>
      <c r="D192" s="967">
        <f t="shared" ref="D192:N192" si="55">+E173/D173-1</f>
        <v>-3.8437771783997876E-2</v>
      </c>
      <c r="E192" s="967">
        <f t="shared" si="55"/>
        <v>0.33894117691138015</v>
      </c>
      <c r="F192" s="967">
        <f t="shared" si="55"/>
        <v>0.36068007413610581</v>
      </c>
      <c r="G192" s="967">
        <f t="shared" si="55"/>
        <v>0.49785393067474137</v>
      </c>
      <c r="H192" s="967">
        <f t="shared" si="55"/>
        <v>0.13174262820695892</v>
      </c>
      <c r="I192" s="967">
        <f t="shared" si="55"/>
        <v>4.4382322072172409E-2</v>
      </c>
      <c r="J192" s="967">
        <f t="shared" si="55"/>
        <v>4.858705560619847E-2</v>
      </c>
      <c r="K192" s="967">
        <f t="shared" ca="1" si="55"/>
        <v>8.7552029905242357E-2</v>
      </c>
      <c r="L192" s="967">
        <f t="shared" ca="1" si="55"/>
        <v>0.30734878771259488</v>
      </c>
      <c r="M192" s="967">
        <f t="shared" ca="1" si="55"/>
        <v>0.16745886030892154</v>
      </c>
      <c r="N192" s="967">
        <f t="shared" ca="1" si="55"/>
        <v>0.15405993302488707</v>
      </c>
    </row>
    <row r="203" spans="2:11" x14ac:dyDescent="0.25">
      <c r="B203" s="501" t="s">
        <v>1655</v>
      </c>
      <c r="C203" s="497" t="s">
        <v>22</v>
      </c>
      <c r="D203" s="497" t="s">
        <v>23</v>
      </c>
      <c r="E203" s="497" t="s">
        <v>24</v>
      </c>
      <c r="F203" s="497" t="s">
        <v>25</v>
      </c>
      <c r="G203" s="497" t="s">
        <v>26</v>
      </c>
      <c r="H203" s="497" t="s">
        <v>27</v>
      </c>
      <c r="I203" s="497" t="s">
        <v>273</v>
      </c>
      <c r="J203" s="497" t="s">
        <v>347</v>
      </c>
      <c r="K203" s="497" t="s">
        <v>177</v>
      </c>
    </row>
    <row r="204" spans="2:11" x14ac:dyDescent="0.25">
      <c r="B204" s="442" t="s">
        <v>1654</v>
      </c>
      <c r="C204" s="532">
        <f>C182</f>
        <v>2.6558880943889137E-2</v>
      </c>
      <c r="D204" s="532">
        <f t="shared" ref="D204:J204" si="56">D182</f>
        <v>2.7594460511523439E-2</v>
      </c>
      <c r="E204" s="532">
        <f t="shared" si="56"/>
        <v>2.5767097662127491E-2</v>
      </c>
      <c r="F204" s="532">
        <f t="shared" si="56"/>
        <v>3.6387986163328029E-2</v>
      </c>
      <c r="G204" s="532">
        <f t="shared" si="56"/>
        <v>4.697784433985909E-2</v>
      </c>
      <c r="H204" s="532">
        <f t="shared" si="56"/>
        <v>6.471309119226766E-2</v>
      </c>
      <c r="I204" s="532">
        <f t="shared" si="56"/>
        <v>6.8194377140537304E-2</v>
      </c>
      <c r="J204" s="532">
        <f t="shared" si="56"/>
        <v>6.8452633523195278E-2</v>
      </c>
      <c r="K204" s="532">
        <f t="shared" ref="K204" si="57">K182</f>
        <v>6.9052849896118096E-2</v>
      </c>
    </row>
    <row r="205" spans="2:11" x14ac:dyDescent="0.25">
      <c r="B205" s="442" t="s">
        <v>604</v>
      </c>
      <c r="C205" s="532">
        <f>C178</f>
        <v>1.4294439463048873E-2</v>
      </c>
      <c r="D205" s="532">
        <f t="shared" ref="D205:J205" si="58">D178</f>
        <v>1.3598041881968998E-2</v>
      </c>
      <c r="E205" s="532">
        <f t="shared" si="58"/>
        <v>3.4042348681760114E-2</v>
      </c>
      <c r="F205" s="532">
        <f t="shared" si="58"/>
        <v>4.434465786698201E-2</v>
      </c>
      <c r="G205" s="532">
        <f t="shared" si="58"/>
        <v>6.0928868904149634E-2</v>
      </c>
      <c r="H205" s="532">
        <f t="shared" si="58"/>
        <v>6.0298293832367698E-2</v>
      </c>
      <c r="I205" s="532">
        <f t="shared" si="58"/>
        <v>6.087684798128682E-2</v>
      </c>
      <c r="J205" s="532">
        <f t="shared" si="58"/>
        <v>6.2034694680317415E-2</v>
      </c>
      <c r="K205" s="532">
        <f t="shared" ref="K205" si="59">K178</f>
        <v>6.1696025832105178E-2</v>
      </c>
    </row>
    <row r="208" spans="2:11" x14ac:dyDescent="0.25">
      <c r="C208">
        <v>1000</v>
      </c>
    </row>
    <row r="209" spans="2:11" x14ac:dyDescent="0.25">
      <c r="B209" s="501" t="s">
        <v>1930</v>
      </c>
      <c r="C209" s="497" t="s">
        <v>347</v>
      </c>
      <c r="D209" s="497" t="s">
        <v>348</v>
      </c>
      <c r="E209" s="497" t="s">
        <v>178</v>
      </c>
      <c r="F209" s="497" t="s">
        <v>179</v>
      </c>
      <c r="G209" s="497" t="s">
        <v>231</v>
      </c>
      <c r="H209" s="497" t="s">
        <v>232</v>
      </c>
      <c r="I209" s="497"/>
      <c r="J209" s="497"/>
      <c r="K209" s="497"/>
    </row>
    <row r="210" spans="2:11" x14ac:dyDescent="0.25">
      <c r="B210" s="442" t="s">
        <v>1001</v>
      </c>
      <c r="C210" s="235">
        <f>(Qtrly!AM107)/1000</f>
        <v>42.261400000000002</v>
      </c>
      <c r="D210" s="235">
        <f>(Qtrly!AN107)/1000</f>
        <v>46.469100000000005</v>
      </c>
      <c r="E210" s="235">
        <f ca="1">(Qtrly!AO107)/1000</f>
        <v>56.778376356466381</v>
      </c>
      <c r="F210" s="235">
        <f ca="1">(Qtrly!AP107)/1000</f>
        <v>80.642965033257582</v>
      </c>
      <c r="G210" s="235">
        <f ca="1">(Qtrly!AQ107)/1000</f>
        <v>91.045521087915347</v>
      </c>
      <c r="H210" s="235">
        <f ca="1">(Qtrly!AR107)/1000</f>
        <v>112.33586105782224</v>
      </c>
      <c r="I210" s="532">
        <f ca="1">(H210/D210)^(1/4)-1</f>
        <v>0.24691985198195576</v>
      </c>
      <c r="J210" s="532"/>
      <c r="K210" s="532"/>
    </row>
    <row r="211" spans="2:11" x14ac:dyDescent="0.25">
      <c r="B211" s="442" t="s">
        <v>1656</v>
      </c>
      <c r="C211" s="235">
        <f>(Qtrly!AM108)/1000</f>
        <v>2.5</v>
      </c>
      <c r="D211" s="235">
        <f>(Qtrly!AN108)/1000</f>
        <v>7.1452999999999989</v>
      </c>
      <c r="E211" s="235">
        <f>(Qtrly!AO108)/1000</f>
        <v>16.156991336833332</v>
      </c>
      <c r="F211" s="235">
        <f>(Qtrly!AP108)/1000</f>
        <v>28.029626076938335</v>
      </c>
      <c r="G211" s="235">
        <f>(Qtrly!AQ108)/1000</f>
        <v>53.305665192579823</v>
      </c>
      <c r="H211" s="235">
        <f>(Qtrly!AR108)/1000</f>
        <v>76.214874383401124</v>
      </c>
      <c r="I211" s="532">
        <f t="shared" ref="I211:I212" si="60">(H211/D211)^(1/4)-1</f>
        <v>0.80719417311511399</v>
      </c>
      <c r="J211" s="532"/>
      <c r="K211" s="532"/>
    </row>
    <row r="212" spans="2:11" x14ac:dyDescent="0.25">
      <c r="B212" s="234" t="s">
        <v>551</v>
      </c>
      <c r="C212" s="529">
        <f>SUM(C210:C211)</f>
        <v>44.761400000000002</v>
      </c>
      <c r="D212" s="529">
        <f t="shared" ref="D212:H212" si="61">SUM(D210:D211)</f>
        <v>53.614400000000003</v>
      </c>
      <c r="E212" s="529">
        <f t="shared" ca="1" si="61"/>
        <v>72.93536769329971</v>
      </c>
      <c r="F212" s="529">
        <f t="shared" ca="1" si="61"/>
        <v>108.67259111019592</v>
      </c>
      <c r="G212" s="529">
        <f t="shared" ca="1" si="61"/>
        <v>144.35118628049517</v>
      </c>
      <c r="H212" s="529">
        <f t="shared" ca="1" si="61"/>
        <v>188.55073544122337</v>
      </c>
      <c r="I212" s="532">
        <f t="shared" ca="1" si="60"/>
        <v>0.36942009084633298</v>
      </c>
    </row>
    <row r="213" spans="2:11" x14ac:dyDescent="0.25">
      <c r="C213" s="497" t="s">
        <v>347</v>
      </c>
      <c r="D213" s="497" t="s">
        <v>348</v>
      </c>
      <c r="E213" s="497" t="s">
        <v>178</v>
      </c>
      <c r="F213" s="497" t="s">
        <v>179</v>
      </c>
      <c r="G213" s="497" t="s">
        <v>231</v>
      </c>
      <c r="H213" s="497" t="s">
        <v>232</v>
      </c>
    </row>
    <row r="214" spans="2:11" x14ac:dyDescent="0.25">
      <c r="B214" s="442" t="s">
        <v>1001</v>
      </c>
      <c r="C214" s="532">
        <f>C210/C$212</f>
        <v>0.94414830635324187</v>
      </c>
      <c r="D214" s="532">
        <f t="shared" ref="D214:H214" si="62">D210/D$212</f>
        <v>0.86672796860544932</v>
      </c>
      <c r="E214" s="532">
        <f t="shared" ca="1" si="62"/>
        <v>0.77847521925473739</v>
      </c>
      <c r="F214" s="532">
        <f t="shared" ca="1" si="62"/>
        <v>0.7420727177792622</v>
      </c>
      <c r="G214" s="532">
        <f t="shared" ca="1" si="62"/>
        <v>0.63072236144288252</v>
      </c>
      <c r="H214" s="532">
        <f t="shared" ca="1" si="62"/>
        <v>0.5957858546398539</v>
      </c>
    </row>
    <row r="215" spans="2:11" x14ac:dyDescent="0.25">
      <c r="B215" s="442" t="s">
        <v>1656</v>
      </c>
      <c r="C215" s="532">
        <f t="shared" ref="C215:H216" si="63">C211/C$212</f>
        <v>5.5851693646758141E-2</v>
      </c>
      <c r="D215" s="532">
        <f t="shared" si="63"/>
        <v>0.13327203139455068</v>
      </c>
      <c r="E215" s="532">
        <f t="shared" ca="1" si="63"/>
        <v>0.22152478074526266</v>
      </c>
      <c r="F215" s="532">
        <f t="shared" ca="1" si="63"/>
        <v>0.25792728222073769</v>
      </c>
      <c r="G215" s="532">
        <f t="shared" ca="1" si="63"/>
        <v>0.36927763855711743</v>
      </c>
      <c r="H215" s="532">
        <f t="shared" ca="1" si="63"/>
        <v>0.40421414536014616</v>
      </c>
    </row>
    <row r="216" spans="2:11" x14ac:dyDescent="0.25">
      <c r="B216" s="234" t="s">
        <v>551</v>
      </c>
      <c r="C216" s="541">
        <f t="shared" si="63"/>
        <v>1</v>
      </c>
      <c r="D216" s="541">
        <f t="shared" si="63"/>
        <v>1</v>
      </c>
      <c r="E216" s="541">
        <f t="shared" ca="1" si="63"/>
        <v>1</v>
      </c>
      <c r="F216" s="541">
        <f t="shared" ca="1" si="63"/>
        <v>1</v>
      </c>
      <c r="G216" s="541">
        <f t="shared" ca="1" si="63"/>
        <v>1</v>
      </c>
      <c r="H216" s="541">
        <f t="shared" ca="1" si="63"/>
        <v>1</v>
      </c>
    </row>
    <row r="218" spans="2:11" x14ac:dyDescent="0.25">
      <c r="B218" s="501" t="s">
        <v>1931</v>
      </c>
      <c r="C218" s="497" t="s">
        <v>347</v>
      </c>
      <c r="D218" s="497" t="s">
        <v>348</v>
      </c>
      <c r="E218" s="497" t="s">
        <v>178</v>
      </c>
      <c r="F218" s="497" t="s">
        <v>179</v>
      </c>
      <c r="G218" s="497" t="s">
        <v>231</v>
      </c>
      <c r="H218" s="497" t="s">
        <v>232</v>
      </c>
      <c r="I218" s="497"/>
      <c r="J218" s="497"/>
      <c r="K218" s="497"/>
    </row>
    <row r="219" spans="2:11" x14ac:dyDescent="0.25">
      <c r="B219" s="442" t="s">
        <v>1001</v>
      </c>
      <c r="C219" s="235">
        <f>(Qtrly!AM118)/1000</f>
        <v>22.311799999999998</v>
      </c>
      <c r="D219" s="235">
        <f>(Qtrly!AN118)/1000</f>
        <v>24.619799999999998</v>
      </c>
      <c r="E219" s="235">
        <f ca="1">(Qtrly!AO118)/1000</f>
        <v>25.596740006134336</v>
      </c>
      <c r="F219" s="235">
        <f ca="1">(Qtrly!AP118)/1000</f>
        <v>40.884776385041036</v>
      </c>
      <c r="G219" s="235">
        <f ca="1">(Qtrly!AQ118)/1000</f>
        <v>46.55162905029318</v>
      </c>
      <c r="H219" s="235">
        <f ca="1">(Qtrly!AR118)/1000</f>
        <v>59.196165722582535</v>
      </c>
      <c r="I219" s="532">
        <f ca="1">(H219/D219)^(1/4)-1</f>
        <v>0.24523771020938101</v>
      </c>
      <c r="J219" s="532"/>
      <c r="K219" s="532"/>
    </row>
    <row r="220" spans="2:11" x14ac:dyDescent="0.25">
      <c r="B220" s="442" t="s">
        <v>1656</v>
      </c>
      <c r="C220" s="235">
        <f>(Qtrly!AM119)/1000</f>
        <v>0.31</v>
      </c>
      <c r="D220" s="235">
        <f>(Qtrly!AN119)/1000</f>
        <v>1.4175</v>
      </c>
      <c r="E220" s="235">
        <f>(Qtrly!AO119)/1000</f>
        <v>3.9341363984650006</v>
      </c>
      <c r="F220" s="235">
        <f>(Qtrly!AP119)/1000</f>
        <v>6.5546445967271003</v>
      </c>
      <c r="G220" s="235">
        <f>(Qtrly!AQ119)/1000</f>
        <v>11.414798698093843</v>
      </c>
      <c r="H220" s="235">
        <f>(Qtrly!AR119)/1000</f>
        <v>16.310648394551272</v>
      </c>
      <c r="I220" s="532">
        <f t="shared" ref="I220:I221" si="64">(H220/D220)^(1/4)-1</f>
        <v>0.84177697599552781</v>
      </c>
      <c r="J220" s="532"/>
      <c r="K220" s="532"/>
    </row>
    <row r="221" spans="2:11" x14ac:dyDescent="0.25">
      <c r="B221" s="234" t="s">
        <v>551</v>
      </c>
      <c r="C221" s="498">
        <f>SUM(C219:C220)</f>
        <v>22.621799999999997</v>
      </c>
      <c r="D221" s="498">
        <f t="shared" ref="D221:H221" si="65">SUM(D219:D220)</f>
        <v>26.037299999999998</v>
      </c>
      <c r="E221" s="498">
        <f t="shared" ca="1" si="65"/>
        <v>29.530876404599336</v>
      </c>
      <c r="F221" s="498">
        <f t="shared" ca="1" si="65"/>
        <v>47.439420981768137</v>
      </c>
      <c r="G221" s="498">
        <f t="shared" ca="1" si="65"/>
        <v>57.966427748387019</v>
      </c>
      <c r="H221" s="498">
        <f t="shared" ca="1" si="65"/>
        <v>75.506814117133814</v>
      </c>
      <c r="I221" s="532">
        <f t="shared" ca="1" si="64"/>
        <v>0.30496105186515643</v>
      </c>
    </row>
    <row r="222" spans="2:11" x14ac:dyDescent="0.25">
      <c r="C222" s="497" t="s">
        <v>347</v>
      </c>
      <c r="D222" s="497" t="s">
        <v>177</v>
      </c>
      <c r="E222" s="497" t="s">
        <v>178</v>
      </c>
      <c r="F222" s="497" t="s">
        <v>179</v>
      </c>
      <c r="G222" s="497" t="s">
        <v>231</v>
      </c>
      <c r="H222" s="497" t="s">
        <v>232</v>
      </c>
    </row>
    <row r="223" spans="2:11" x14ac:dyDescent="0.25">
      <c r="B223" s="442" t="s">
        <v>1001</v>
      </c>
      <c r="C223" s="532">
        <f>C219/C$221</f>
        <v>0.986296404353323</v>
      </c>
      <c r="D223" s="532">
        <f t="shared" ref="D223:H223" si="66">D219/D$221</f>
        <v>0.94555887131154148</v>
      </c>
      <c r="E223" s="532">
        <f t="shared" ca="1" si="66"/>
        <v>0.86677888104085288</v>
      </c>
      <c r="F223" s="532">
        <f t="shared" ca="1" si="66"/>
        <v>0.86183126899364615</v>
      </c>
      <c r="G223" s="532">
        <f t="shared" ca="1" si="66"/>
        <v>0.80307914181564399</v>
      </c>
      <c r="H223" s="532">
        <f t="shared" ca="1" si="66"/>
        <v>0.78398441802552354</v>
      </c>
    </row>
    <row r="224" spans="2:11" x14ac:dyDescent="0.25">
      <c r="B224" s="442" t="s">
        <v>1656</v>
      </c>
      <c r="C224" s="532">
        <f t="shared" ref="C224:H225" si="67">C220/C$221</f>
        <v>1.3703595646677101E-2</v>
      </c>
      <c r="D224" s="532">
        <f t="shared" si="67"/>
        <v>5.4441128688458483E-2</v>
      </c>
      <c r="E224" s="532">
        <f t="shared" ca="1" si="67"/>
        <v>0.13322111895914718</v>
      </c>
      <c r="F224" s="532">
        <f t="shared" ca="1" si="67"/>
        <v>0.13816873100635385</v>
      </c>
      <c r="G224" s="532">
        <f t="shared" ca="1" si="67"/>
        <v>0.19692085818435609</v>
      </c>
      <c r="H224" s="532">
        <f t="shared" ca="1" si="67"/>
        <v>0.2160155819744764</v>
      </c>
    </row>
    <row r="225" spans="2:11" x14ac:dyDescent="0.25">
      <c r="B225" s="234" t="s">
        <v>551</v>
      </c>
      <c r="C225" s="541">
        <f t="shared" si="67"/>
        <v>1</v>
      </c>
      <c r="D225" s="541">
        <f t="shared" si="67"/>
        <v>1</v>
      </c>
      <c r="E225" s="541">
        <f t="shared" ca="1" si="67"/>
        <v>1</v>
      </c>
      <c r="F225" s="541">
        <f t="shared" ca="1" si="67"/>
        <v>1</v>
      </c>
      <c r="G225" s="541">
        <f t="shared" ca="1" si="67"/>
        <v>1</v>
      </c>
      <c r="H225" s="541">
        <f t="shared" ca="1" si="67"/>
        <v>1</v>
      </c>
    </row>
    <row r="227" spans="2:11" x14ac:dyDescent="0.25">
      <c r="C227" s="497" t="s">
        <v>347</v>
      </c>
      <c r="D227" s="497" t="s">
        <v>348</v>
      </c>
      <c r="E227" s="497" t="s">
        <v>178</v>
      </c>
      <c r="F227" s="497" t="s">
        <v>179</v>
      </c>
      <c r="G227" s="497" t="s">
        <v>231</v>
      </c>
      <c r="H227" s="497" t="s">
        <v>232</v>
      </c>
    </row>
    <row r="228" spans="2:11" x14ac:dyDescent="0.25">
      <c r="B228" t="s">
        <v>1935</v>
      </c>
      <c r="C228" s="235">
        <f ca="1">+(C210*1000)/J48</f>
        <v>361.20854700854704</v>
      </c>
      <c r="D228" s="235">
        <f t="shared" ref="D228:H228" ca="1" si="68">+(D210*1000)/K48</f>
        <v>384.91696003313319</v>
      </c>
      <c r="E228" s="235">
        <f t="shared" ca="1" si="68"/>
        <v>443.73321724508804</v>
      </c>
      <c r="F228" s="235">
        <f t="shared" ca="1" si="68"/>
        <v>478.4597087245553</v>
      </c>
      <c r="G228" s="235">
        <f t="shared" ca="1" si="68"/>
        <v>462.31415919190414</v>
      </c>
      <c r="H228" s="235">
        <f t="shared" ca="1" si="68"/>
        <v>473.21196592813391</v>
      </c>
    </row>
    <row r="229" spans="2:11" x14ac:dyDescent="0.25">
      <c r="B229" t="s">
        <v>1952</v>
      </c>
      <c r="C229" s="235">
        <f ca="1">+(C219*1000)/J48</f>
        <v>190.6991452991453</v>
      </c>
      <c r="D229" s="235">
        <f t="shared" ref="D229:H229" ca="1" si="69">+(D219*1000)/K48</f>
        <v>203.93290536342928</v>
      </c>
      <c r="E229" s="235">
        <f t="shared" ca="1" si="69"/>
        <v>200.04312420981177</v>
      </c>
      <c r="F229" s="235">
        <f t="shared" ca="1" si="69"/>
        <v>242.57191178905629</v>
      </c>
      <c r="G229" s="235">
        <f t="shared" ca="1" si="69"/>
        <v>236.38150439732394</v>
      </c>
      <c r="H229" s="235">
        <f t="shared" ca="1" si="69"/>
        <v>249.36234692296705</v>
      </c>
    </row>
    <row r="230" spans="2:11" x14ac:dyDescent="0.25">
      <c r="B230" t="s">
        <v>1936</v>
      </c>
      <c r="C230" s="497" t="s">
        <v>347</v>
      </c>
      <c r="D230" s="497" t="s">
        <v>348</v>
      </c>
      <c r="E230" s="497" t="s">
        <v>178</v>
      </c>
      <c r="F230" s="497" t="s">
        <v>179</v>
      </c>
      <c r="G230" s="497" t="s">
        <v>231</v>
      </c>
      <c r="H230" s="497" t="s">
        <v>232</v>
      </c>
    </row>
    <row r="231" spans="2:11" x14ac:dyDescent="0.25">
      <c r="B231" t="s">
        <v>1001</v>
      </c>
      <c r="C231" s="967">
        <f>+C219/(C210)</f>
        <v>0.52794748872493569</v>
      </c>
      <c r="D231" s="967">
        <f t="shared" ref="D231:H231" si="70">+D219/(D210)</f>
        <v>0.52981013189409731</v>
      </c>
      <c r="E231" s="967">
        <f t="shared" ca="1" si="70"/>
        <v>0.45081845675601417</v>
      </c>
      <c r="F231" s="967">
        <f t="shared" ca="1" si="70"/>
        <v>0.5069850341958525</v>
      </c>
      <c r="G231" s="967">
        <f t="shared" ca="1" si="70"/>
        <v>0.51130059440641795</v>
      </c>
      <c r="H231" s="967">
        <f t="shared" ca="1" si="70"/>
        <v>0.52695697674060382</v>
      </c>
    </row>
    <row r="232" spans="2:11" x14ac:dyDescent="0.25">
      <c r="B232" t="s">
        <v>1656</v>
      </c>
      <c r="C232" s="967">
        <f t="shared" ref="C232:H232" si="71">+C220/(C211)</f>
        <v>0.124</v>
      </c>
      <c r="D232" s="967">
        <f t="shared" si="71"/>
        <v>0.1983821533035702</v>
      </c>
      <c r="E232" s="967">
        <f t="shared" si="71"/>
        <v>0.243494368255078</v>
      </c>
      <c r="F232" s="967">
        <f t="shared" si="71"/>
        <v>0.23384702238750171</v>
      </c>
      <c r="G232" s="967">
        <f t="shared" si="71"/>
        <v>0.21413856588891775</v>
      </c>
      <c r="H232" s="967">
        <f t="shared" si="71"/>
        <v>0.2140087289588655</v>
      </c>
    </row>
    <row r="233" spans="2:11" x14ac:dyDescent="0.25">
      <c r="B233" t="s">
        <v>16</v>
      </c>
      <c r="C233" s="967">
        <f t="shared" ref="C233:H233" si="72">+C221/(C212)</f>
        <v>0.50538633733529326</v>
      </c>
      <c r="D233" s="967">
        <f t="shared" si="72"/>
        <v>0.48564005192634807</v>
      </c>
      <c r="E233" s="967">
        <f t="shared" ca="1" si="72"/>
        <v>0.40489103350763284</v>
      </c>
      <c r="F233" s="967">
        <f t="shared" ca="1" si="72"/>
        <v>0.43653528913894885</v>
      </c>
      <c r="G233" s="967">
        <f t="shared" ca="1" si="72"/>
        <v>0.40156530224663267</v>
      </c>
      <c r="H233" s="967">
        <f t="shared" ca="1" si="72"/>
        <v>0.40045886822155324</v>
      </c>
    </row>
    <row r="236" spans="2:11" x14ac:dyDescent="0.25">
      <c r="B236" s="501" t="s">
        <v>1932</v>
      </c>
      <c r="C236" s="497" t="s">
        <v>347</v>
      </c>
      <c r="D236" s="497" t="s">
        <v>177</v>
      </c>
      <c r="E236" s="497" t="s">
        <v>178</v>
      </c>
      <c r="F236" s="497" t="s">
        <v>179</v>
      </c>
      <c r="G236" s="497" t="s">
        <v>231</v>
      </c>
      <c r="H236" s="497" t="s">
        <v>232</v>
      </c>
      <c r="I236" s="497"/>
      <c r="J236" s="497"/>
      <c r="K236" s="497"/>
    </row>
    <row r="237" spans="2:11" x14ac:dyDescent="0.25">
      <c r="B237" s="442" t="s">
        <v>1933</v>
      </c>
      <c r="C237" s="537">
        <f>Consol!N231</f>
        <v>0.89160897894950875</v>
      </c>
      <c r="D237" s="537">
        <f>Consol!O231</f>
        <v>1.5708771646829742</v>
      </c>
      <c r="E237" s="537">
        <f ca="1">Consol!P231</f>
        <v>0.91473530150921256</v>
      </c>
      <c r="F237" s="537">
        <f ca="1">Consol!Q231</f>
        <v>1.8337019224366602</v>
      </c>
      <c r="G237" s="537">
        <f ca="1">Consol!R231</f>
        <v>2.2366778043597755</v>
      </c>
      <c r="H237" s="537">
        <f ca="1">Consol!S231</f>
        <v>1.9895481896072915</v>
      </c>
      <c r="I237" s="532"/>
      <c r="J237" s="532"/>
      <c r="K237" s="532"/>
    </row>
    <row r="239" spans="2:11" x14ac:dyDescent="0.25">
      <c r="B239" s="501" t="s">
        <v>1789</v>
      </c>
      <c r="C239" s="497" t="s">
        <v>347</v>
      </c>
      <c r="D239" s="497" t="s">
        <v>177</v>
      </c>
      <c r="E239" s="497" t="s">
        <v>178</v>
      </c>
      <c r="F239" s="497" t="s">
        <v>179</v>
      </c>
      <c r="G239" s="497" t="s">
        <v>231</v>
      </c>
      <c r="H239" s="497" t="s">
        <v>232</v>
      </c>
      <c r="I239" s="497"/>
      <c r="J239" s="497"/>
      <c r="K239" s="497"/>
    </row>
    <row r="240" spans="2:11" x14ac:dyDescent="0.25">
      <c r="B240" s="442" t="s">
        <v>1001</v>
      </c>
      <c r="C240" s="235">
        <f>+C242-C241</f>
        <v>20400.100000000002</v>
      </c>
      <c r="D240" s="235">
        <f t="shared" ref="D240:H240" si="73">+D242-D241</f>
        <v>9916.4000000000015</v>
      </c>
      <c r="E240" s="235">
        <f t="shared" si="73"/>
        <v>54888.516586806669</v>
      </c>
      <c r="F240" s="235">
        <f t="shared" si="73"/>
        <v>71562.124855980161</v>
      </c>
      <c r="G240" s="235">
        <f t="shared" si="73"/>
        <v>66166.63442817732</v>
      </c>
      <c r="H240" s="235">
        <f t="shared" si="73"/>
        <v>52266.454129035817</v>
      </c>
      <c r="I240" s="532"/>
      <c r="J240" s="532"/>
      <c r="K240" s="532"/>
    </row>
    <row r="241" spans="2:11" x14ac:dyDescent="0.25">
      <c r="B241" t="s">
        <v>1656</v>
      </c>
      <c r="C241" s="442">
        <f>Logistics!C190</f>
        <v>10000</v>
      </c>
      <c r="D241" s="442">
        <f>Logistics!D190</f>
        <v>15000</v>
      </c>
      <c r="E241" s="442">
        <f>Logistics!E190</f>
        <v>17500</v>
      </c>
      <c r="F241" s="442">
        <f>Logistics!F190</f>
        <v>17500</v>
      </c>
      <c r="G241" s="442">
        <f>Logistics!G190</f>
        <v>15000</v>
      </c>
      <c r="H241" s="442">
        <f>Logistics!H190</f>
        <v>15000</v>
      </c>
    </row>
    <row r="242" spans="2:11" x14ac:dyDescent="0.25">
      <c r="B242" s="234" t="s">
        <v>551</v>
      </c>
      <c r="C242" s="498">
        <f>Consol!N190+Consol!N192</f>
        <v>30400.100000000002</v>
      </c>
      <c r="D242" s="498">
        <f>Consol!O190+Consol!O192</f>
        <v>24916.400000000001</v>
      </c>
      <c r="E242" s="498">
        <f>Consol!P190+Consol!P192</f>
        <v>72388.516586806669</v>
      </c>
      <c r="F242" s="498">
        <f>Consol!Q190+Consol!Q192</f>
        <v>89062.124855980161</v>
      </c>
      <c r="G242" s="498">
        <f>Consol!R190+Consol!R192</f>
        <v>81166.63442817732</v>
      </c>
      <c r="H242" s="498">
        <f>Consol!S190+Consol!S192</f>
        <v>67266.454129035817</v>
      </c>
    </row>
    <row r="244" spans="2:11" x14ac:dyDescent="0.25">
      <c r="B244" s="234" t="s">
        <v>1934</v>
      </c>
      <c r="C244" s="497" t="s">
        <v>347</v>
      </c>
      <c r="D244" s="497" t="s">
        <v>177</v>
      </c>
      <c r="E244" s="497" t="s">
        <v>178</v>
      </c>
      <c r="F244" s="497" t="s">
        <v>179</v>
      </c>
      <c r="G244" s="497" t="s">
        <v>231</v>
      </c>
      <c r="H244" s="497" t="s">
        <v>232</v>
      </c>
    </row>
    <row r="245" spans="2:11" x14ac:dyDescent="0.25">
      <c r="B245" s="442" t="s">
        <v>1001</v>
      </c>
      <c r="C245" s="532">
        <f>C240/C$242</f>
        <v>0.67105371363909994</v>
      </c>
      <c r="D245" s="532">
        <f t="shared" ref="D245:H245" si="74">D240/D$242</f>
        <v>0.39798686808688255</v>
      </c>
      <c r="E245" s="532">
        <f t="shared" si="74"/>
        <v>0.7582489485191426</v>
      </c>
      <c r="F245" s="532">
        <f t="shared" si="74"/>
        <v>0.8035079442771127</v>
      </c>
      <c r="G245" s="532">
        <f t="shared" si="74"/>
        <v>0.81519499846610999</v>
      </c>
      <c r="H245" s="532">
        <f t="shared" si="74"/>
        <v>0.77700623298463423</v>
      </c>
    </row>
    <row r="246" spans="2:11" x14ac:dyDescent="0.25">
      <c r="B246" t="s">
        <v>1656</v>
      </c>
      <c r="C246" s="532">
        <f t="shared" ref="C246:H247" si="75">C241/C$242</f>
        <v>0.32894628636090012</v>
      </c>
      <c r="D246" s="532">
        <f t="shared" si="75"/>
        <v>0.60201313191311745</v>
      </c>
      <c r="E246" s="532">
        <f t="shared" si="75"/>
        <v>0.2417510514808574</v>
      </c>
      <c r="F246" s="532">
        <f t="shared" si="75"/>
        <v>0.1964920557228873</v>
      </c>
      <c r="G246" s="532">
        <f t="shared" si="75"/>
        <v>0.18480500153389001</v>
      </c>
      <c r="H246" s="532">
        <f t="shared" si="75"/>
        <v>0.22299376701536575</v>
      </c>
    </row>
    <row r="247" spans="2:11" x14ac:dyDescent="0.25">
      <c r="B247" s="234" t="s">
        <v>551</v>
      </c>
      <c r="C247" s="541">
        <f t="shared" si="75"/>
        <v>1</v>
      </c>
      <c r="D247" s="541">
        <f t="shared" si="75"/>
        <v>1</v>
      </c>
      <c r="E247" s="541">
        <f t="shared" si="75"/>
        <v>1</v>
      </c>
      <c r="F247" s="541">
        <f t="shared" si="75"/>
        <v>1</v>
      </c>
      <c r="G247" s="541">
        <f t="shared" si="75"/>
        <v>1</v>
      </c>
      <c r="H247" s="541">
        <f t="shared" si="75"/>
        <v>1</v>
      </c>
    </row>
    <row r="248" spans="2:11" x14ac:dyDescent="0.25">
      <c r="B248">
        <v>1000</v>
      </c>
    </row>
    <row r="249" spans="2:11" x14ac:dyDescent="0.25">
      <c r="B249" s="501" t="s">
        <v>1943</v>
      </c>
      <c r="C249" s="497" t="s">
        <v>348</v>
      </c>
      <c r="D249" s="497" t="s">
        <v>178</v>
      </c>
      <c r="E249" s="497" t="s">
        <v>179</v>
      </c>
      <c r="F249" s="497" t="s">
        <v>231</v>
      </c>
      <c r="G249" s="497" t="s">
        <v>232</v>
      </c>
      <c r="H249" s="497"/>
      <c r="I249" s="497"/>
      <c r="J249" s="497"/>
      <c r="K249" s="497"/>
    </row>
    <row r="250" spans="2:11" x14ac:dyDescent="0.25">
      <c r="B250" s="1166" t="s">
        <v>1637</v>
      </c>
      <c r="C250" s="1281">
        <f>(Logistics!N23)/1000</f>
        <v>1.1816390000000001</v>
      </c>
      <c r="D250" s="1281">
        <f>(Logistics!O23)/1000</f>
        <v>1.2035938984650003</v>
      </c>
      <c r="E250" s="1281">
        <f>(Logistics!P23)/1000</f>
        <v>1.4694391367271002</v>
      </c>
      <c r="F250" s="1281">
        <f>(Logistics!Q23)/1000</f>
        <v>1.6712753401271763</v>
      </c>
      <c r="G250" s="1281">
        <f>(Logistics!R23)/1000</f>
        <v>1.9251670402539389</v>
      </c>
      <c r="I250" s="532"/>
      <c r="J250" s="532"/>
      <c r="K250" s="532"/>
    </row>
    <row r="251" spans="2:11" x14ac:dyDescent="0.25">
      <c r="B251" s="530" t="s">
        <v>1941</v>
      </c>
      <c r="C251" s="702">
        <f>+C253-C250</f>
        <v>0.23586099999999988</v>
      </c>
      <c r="D251" s="702">
        <f>(Logistics!X23+Logistics!AG23+Logistics!AP23)/1000</f>
        <v>2.4305424999999996</v>
      </c>
      <c r="E251" s="702">
        <f>(Logistics!Y23+Logistics!AH23+Logistics!AQ23)/1000</f>
        <v>3.5852054599999996</v>
      </c>
      <c r="F251" s="702">
        <f>(Logistics!Z23+Logistics!AI23+Logistics!AR23)/1000</f>
        <v>5.2435233579666667</v>
      </c>
      <c r="G251" s="702">
        <f>(Logistics!AA23+Logistics!AJ23+Logistics!AS23)/1000</f>
        <v>6.7054813542973335</v>
      </c>
      <c r="I251">
        <v>8000</v>
      </c>
    </row>
    <row r="252" spans="2:11" x14ac:dyDescent="0.25">
      <c r="B252" s="530" t="s">
        <v>1951</v>
      </c>
      <c r="C252" s="702">
        <f>Logistics!D202</f>
        <v>0</v>
      </c>
      <c r="D252" s="702">
        <f>D253-D251-D250</f>
        <v>0.30000000000000071</v>
      </c>
      <c r="E252" s="702">
        <f t="shared" ref="E252:G252" si="76">E253-E251-E250</f>
        <v>1.5000000000000004</v>
      </c>
      <c r="F252" s="702">
        <f t="shared" si="76"/>
        <v>4.5</v>
      </c>
      <c r="G252" s="702">
        <f t="shared" si="76"/>
        <v>7.68</v>
      </c>
      <c r="I252">
        <v>2000</v>
      </c>
    </row>
    <row r="253" spans="2:11" x14ac:dyDescent="0.25">
      <c r="B253" s="234" t="s">
        <v>1942</v>
      </c>
      <c r="C253" s="498">
        <f>(Logistics!D23)/1000</f>
        <v>1.4175</v>
      </c>
      <c r="D253" s="498">
        <f>(Logistics!E23)/1000</f>
        <v>3.9341363984650006</v>
      </c>
      <c r="E253" s="498">
        <f>(Logistics!F23)/1000</f>
        <v>6.5546445967271003</v>
      </c>
      <c r="F253" s="498">
        <f>(Logistics!G23)/1000</f>
        <v>11.414798698093843</v>
      </c>
      <c r="G253" s="498">
        <f>(Logistics!H23)/1000</f>
        <v>16.310648394551272</v>
      </c>
      <c r="H253" s="967">
        <f>(G253/C253)^(1/4)-1</f>
        <v>0.84177697599552781</v>
      </c>
      <c r="I253" s="532">
        <f>I252/I251</f>
        <v>0.25</v>
      </c>
    </row>
    <row r="254" spans="2:11" x14ac:dyDescent="0.25">
      <c r="B254" t="s">
        <v>1957</v>
      </c>
      <c r="C254" s="967">
        <f t="shared" ref="C254:F254" si="77">+C253/D211</f>
        <v>0.1983821533035702</v>
      </c>
      <c r="D254" s="967">
        <f t="shared" si="77"/>
        <v>0.243494368255078</v>
      </c>
      <c r="E254" s="967">
        <f t="shared" si="77"/>
        <v>0.23384702238750171</v>
      </c>
      <c r="F254" s="967">
        <f t="shared" si="77"/>
        <v>0.21413856588891775</v>
      </c>
      <c r="G254" s="967">
        <f>+G253/H211</f>
        <v>0.2140087289588655</v>
      </c>
      <c r="H254" s="442"/>
    </row>
    <row r="255" spans="2:11" x14ac:dyDescent="0.25">
      <c r="B255" s="501" t="s">
        <v>1953</v>
      </c>
      <c r="C255" s="497" t="s">
        <v>348</v>
      </c>
      <c r="D255" s="497" t="s">
        <v>178</v>
      </c>
      <c r="E255" s="497" t="s">
        <v>179</v>
      </c>
      <c r="F255" s="497" t="s">
        <v>231</v>
      </c>
      <c r="G255" s="497" t="s">
        <v>232</v>
      </c>
      <c r="I255" s="497"/>
      <c r="J255" s="497"/>
      <c r="K255" s="497"/>
    </row>
    <row r="256" spans="2:11" x14ac:dyDescent="0.25">
      <c r="B256" s="1166" t="s">
        <v>1637</v>
      </c>
      <c r="C256" s="235">
        <f>(Logistics!N16)/1000</f>
        <v>6.8745890000000003</v>
      </c>
      <c r="D256" s="235">
        <f>(Logistics!O16)/1000</f>
        <v>7.434868003500001</v>
      </c>
      <c r="E256" s="235">
        <f>(Logistics!P16)/1000</f>
        <v>7.6579140436050013</v>
      </c>
      <c r="F256" s="235">
        <f>(Logistics!Q16)/1000</f>
        <v>7.8876514649131515</v>
      </c>
      <c r="G256" s="235">
        <f>(Logistics!R16)/1000</f>
        <v>8.6764166114044681</v>
      </c>
      <c r="I256" s="532"/>
      <c r="J256" s="532"/>
      <c r="K256" s="532"/>
    </row>
    <row r="257" spans="2:8" x14ac:dyDescent="0.25">
      <c r="B257" s="530" t="s">
        <v>1941</v>
      </c>
      <c r="C257" s="442">
        <f>+C259-C256</f>
        <v>0.27071099999999859</v>
      </c>
      <c r="D257" s="442">
        <f>(Logistics!X16+Logistics!AG16+Logistics!AP16)/1000</f>
        <v>6.7221233333333332</v>
      </c>
      <c r="E257" s="442">
        <f>(Logistics!Y16+Logistics!AH16+Logistics!AQ16)/1000</f>
        <v>10.371712033333333</v>
      </c>
      <c r="F257" s="442">
        <f>(Logistics!Z16+Logistics!AI16+Logistics!AR16)/1000</f>
        <v>15.418013727666667</v>
      </c>
      <c r="G257" s="442">
        <f>(Logistics!AA16+Logistics!AJ16+Logistics!AS16)/1000</f>
        <v>19.538457771996665</v>
      </c>
    </row>
    <row r="258" spans="2:8" x14ac:dyDescent="0.25">
      <c r="B258" s="530" t="s">
        <v>1951</v>
      </c>
      <c r="C258" s="442">
        <f>Logistics!D208</f>
        <v>0</v>
      </c>
      <c r="D258" s="442">
        <f>D259-D257-D256</f>
        <v>1.9999999999999991</v>
      </c>
      <c r="E258" s="442">
        <f t="shared" ref="E258:G258" si="78">E259-E257-E256</f>
        <v>10.000000000000004</v>
      </c>
      <c r="F258" s="442">
        <f t="shared" si="78"/>
        <v>30.000000000000004</v>
      </c>
      <c r="G258" s="442">
        <f t="shared" si="78"/>
        <v>47.999999999999993</v>
      </c>
    </row>
    <row r="259" spans="2:8" x14ac:dyDescent="0.25">
      <c r="B259" s="234" t="s">
        <v>2016</v>
      </c>
      <c r="C259" s="498">
        <f>(Logistics!D16)/1000</f>
        <v>7.1452999999999989</v>
      </c>
      <c r="D259" s="498">
        <f>(Logistics!E16)/1000</f>
        <v>16.156991336833332</v>
      </c>
      <c r="E259" s="498">
        <f>(Logistics!F16)/1000</f>
        <v>28.029626076938335</v>
      </c>
      <c r="F259" s="498">
        <f>(Logistics!G16)/1000</f>
        <v>53.305665192579823</v>
      </c>
      <c r="G259" s="498">
        <f>(Logistics!H16)/1000</f>
        <v>76.214874383401124</v>
      </c>
      <c r="H259" s="967">
        <f>(G259/C259)^(1/4)-1</f>
        <v>0.80719417311511399</v>
      </c>
    </row>
    <row r="261" spans="2:8" x14ac:dyDescent="0.25">
      <c r="B261" s="501" t="s">
        <v>1956</v>
      </c>
      <c r="C261" s="497" t="s">
        <v>348</v>
      </c>
      <c r="D261" s="497" t="s">
        <v>178</v>
      </c>
      <c r="E261" s="497" t="s">
        <v>179</v>
      </c>
      <c r="F261" s="497" t="s">
        <v>231</v>
      </c>
      <c r="G261" s="497" t="s">
        <v>232</v>
      </c>
    </row>
    <row r="262" spans="2:8" x14ac:dyDescent="0.25">
      <c r="B262" s="1166" t="s">
        <v>1637</v>
      </c>
      <c r="C262" s="1170">
        <f>+C250/C256</f>
        <v>0.17188503923652745</v>
      </c>
      <c r="D262" s="1170">
        <f t="shared" ref="D262:G262" si="79">+D250/D256</f>
        <v>0.16188503923652747</v>
      </c>
      <c r="E262" s="1170">
        <f t="shared" si="79"/>
        <v>0.19188503923652744</v>
      </c>
      <c r="F262" s="1170">
        <f t="shared" si="79"/>
        <v>0.21188503923652743</v>
      </c>
      <c r="G262" s="1170">
        <f t="shared" si="79"/>
        <v>0.22188503923652744</v>
      </c>
    </row>
    <row r="263" spans="2:8" x14ac:dyDescent="0.25">
      <c r="B263" s="530" t="s">
        <v>1941</v>
      </c>
      <c r="C263" s="1170">
        <f>+C251/C257</f>
        <v>0.87126492828145552</v>
      </c>
      <c r="D263" s="1170">
        <f t="shared" ref="D263:G263" si="80">+D251/D257</f>
        <v>0.36157362480208383</v>
      </c>
      <c r="E263" s="1170">
        <f t="shared" si="80"/>
        <v>0.34567151965631282</v>
      </c>
      <c r="F263" s="1170">
        <f t="shared" si="80"/>
        <v>0.34009071794750645</v>
      </c>
      <c r="G263" s="1170">
        <f t="shared" si="80"/>
        <v>0.3431939937402792</v>
      </c>
    </row>
    <row r="264" spans="2:8" x14ac:dyDescent="0.25">
      <c r="B264" s="530" t="s">
        <v>1951</v>
      </c>
      <c r="C264" s="1170"/>
      <c r="D264" s="1170">
        <f t="shared" ref="D264:G264" si="81">+D252/D258</f>
        <v>0.15000000000000041</v>
      </c>
      <c r="E264" s="1170">
        <f t="shared" si="81"/>
        <v>0.15</v>
      </c>
      <c r="F264" s="1170">
        <f t="shared" si="81"/>
        <v>0.15</v>
      </c>
      <c r="G264" s="1170">
        <f t="shared" si="81"/>
        <v>0.16000000000000003</v>
      </c>
    </row>
    <row r="265" spans="2:8" x14ac:dyDescent="0.25">
      <c r="B265" s="234" t="s">
        <v>1942</v>
      </c>
      <c r="C265" s="1170">
        <f>+C253/C259</f>
        <v>0.1983821533035702</v>
      </c>
      <c r="D265" s="1170">
        <f t="shared" ref="D265:G265" si="82">+D253/D259</f>
        <v>0.243494368255078</v>
      </c>
      <c r="E265" s="1170">
        <f t="shared" si="82"/>
        <v>0.23384702238750171</v>
      </c>
      <c r="F265" s="1170">
        <f t="shared" si="82"/>
        <v>0.21413856588891775</v>
      </c>
      <c r="G265" s="1170">
        <f t="shared" si="82"/>
        <v>0.2140087289588655</v>
      </c>
    </row>
    <row r="268" spans="2:8" x14ac:dyDescent="0.25">
      <c r="B268" s="501" t="s">
        <v>1954</v>
      </c>
      <c r="C268" s="497" t="s">
        <v>177</v>
      </c>
      <c r="D268" s="497" t="s">
        <v>178</v>
      </c>
      <c r="E268" s="497" t="s">
        <v>179</v>
      </c>
      <c r="F268" s="497" t="s">
        <v>231</v>
      </c>
      <c r="G268" s="497" t="s">
        <v>232</v>
      </c>
    </row>
    <row r="269" spans="2:8" x14ac:dyDescent="0.25">
      <c r="B269" s="1166" t="s">
        <v>1637</v>
      </c>
      <c r="C269" s="1170">
        <f>+C256/C$259</f>
        <v>0.96211341721131394</v>
      </c>
      <c r="D269" s="1170">
        <f t="shared" ref="D269:G269" si="83">+D256/D$259</f>
        <v>0.46016413876206164</v>
      </c>
      <c r="E269" s="1170">
        <f t="shared" si="83"/>
        <v>0.27320785595158648</v>
      </c>
      <c r="F269" s="1170">
        <f t="shared" si="83"/>
        <v>0.1479702286129827</v>
      </c>
      <c r="G269" s="1170">
        <f t="shared" si="83"/>
        <v>0.11384151298022882</v>
      </c>
    </row>
    <row r="270" spans="2:8" x14ac:dyDescent="0.25">
      <c r="B270" s="530" t="s">
        <v>1941</v>
      </c>
      <c r="C270" s="1170">
        <f t="shared" ref="C270:G271" si="84">+C257/C$259</f>
        <v>3.7886582788686077E-2</v>
      </c>
      <c r="D270" s="1170">
        <f t="shared" si="84"/>
        <v>0.41605043867349295</v>
      </c>
      <c r="E270" s="1170">
        <f t="shared" si="84"/>
        <v>0.37002677113366012</v>
      </c>
      <c r="F270" s="1170">
        <f t="shared" si="84"/>
        <v>0.28923780750067185</v>
      </c>
      <c r="G270" s="1170">
        <f t="shared" si="84"/>
        <v>0.25636016499493119</v>
      </c>
    </row>
    <row r="271" spans="2:8" x14ac:dyDescent="0.25">
      <c r="B271" s="530" t="s">
        <v>1951</v>
      </c>
      <c r="C271" s="1170">
        <f t="shared" si="84"/>
        <v>0</v>
      </c>
      <c r="D271" s="1170">
        <f t="shared" si="84"/>
        <v>0.1237854225644455</v>
      </c>
      <c r="E271" s="1170">
        <f t="shared" si="84"/>
        <v>0.35676537291475346</v>
      </c>
      <c r="F271" s="1170">
        <f t="shared" si="84"/>
        <v>0.56279196388634545</v>
      </c>
      <c r="G271" s="1170">
        <f t="shared" si="84"/>
        <v>0.62979832202483998</v>
      </c>
    </row>
    <row r="272" spans="2:8" x14ac:dyDescent="0.25">
      <c r="B272" s="234"/>
      <c r="C272" s="1170"/>
      <c r="D272" s="1170"/>
      <c r="E272" s="1170"/>
      <c r="F272" s="1170"/>
      <c r="G272" s="1170"/>
    </row>
    <row r="274" spans="2:8" x14ac:dyDescent="0.25">
      <c r="B274" s="501" t="s">
        <v>1955</v>
      </c>
      <c r="C274" s="497" t="s">
        <v>177</v>
      </c>
      <c r="D274" s="497" t="s">
        <v>178</v>
      </c>
      <c r="E274" s="497" t="s">
        <v>179</v>
      </c>
      <c r="F274" s="497" t="s">
        <v>231</v>
      </c>
      <c r="G274" s="497" t="s">
        <v>232</v>
      </c>
    </row>
    <row r="275" spans="2:8" x14ac:dyDescent="0.25">
      <c r="B275" s="1166" t="s">
        <v>1637</v>
      </c>
      <c r="C275" s="1170">
        <f>+C250/C$253</f>
        <v>0.83360776014109361</v>
      </c>
      <c r="D275" s="1170">
        <f t="shared" ref="D275:G275" si="85">+D250/D$253</f>
        <v>0.30593598608696226</v>
      </c>
      <c r="E275" s="1170">
        <f t="shared" si="85"/>
        <v>0.22418288513473764</v>
      </c>
      <c r="F275" s="1170">
        <f t="shared" si="85"/>
        <v>0.14641303664919317</v>
      </c>
      <c r="G275" s="1170">
        <f t="shared" si="85"/>
        <v>0.11803130039251286</v>
      </c>
    </row>
    <row r="276" spans="2:8" x14ac:dyDescent="0.25">
      <c r="B276" s="530" t="s">
        <v>1941</v>
      </c>
      <c r="C276" s="1170">
        <f t="shared" ref="C276:G277" si="86">+C251/C$253</f>
        <v>0.16639223985890644</v>
      </c>
      <c r="D276" s="1170">
        <f t="shared" si="86"/>
        <v>0.61780839651323094</v>
      </c>
      <c r="E276" s="1170">
        <f t="shared" si="86"/>
        <v>0.54697175523295094</v>
      </c>
      <c r="F276" s="1170">
        <f t="shared" si="86"/>
        <v>0.45936187721315508</v>
      </c>
      <c r="G276" s="1170">
        <f t="shared" si="86"/>
        <v>0.41111065557255</v>
      </c>
    </row>
    <row r="277" spans="2:8" x14ac:dyDescent="0.25">
      <c r="B277" s="530" t="s">
        <v>1951</v>
      </c>
      <c r="C277" s="1170">
        <f t="shared" si="86"/>
        <v>0</v>
      </c>
      <c r="D277" s="1170">
        <f t="shared" si="86"/>
        <v>7.6255617399806741E-2</v>
      </c>
      <c r="E277" s="1170">
        <f t="shared" si="86"/>
        <v>0.22884535963231148</v>
      </c>
      <c r="F277" s="1170">
        <f t="shared" si="86"/>
        <v>0.39422508613765173</v>
      </c>
      <c r="G277" s="1170">
        <f t="shared" si="86"/>
        <v>0.47085804403493714</v>
      </c>
    </row>
    <row r="278" spans="2:8" x14ac:dyDescent="0.25">
      <c r="B278" s="234"/>
      <c r="C278" s="1170"/>
      <c r="D278" s="1170"/>
      <c r="E278" s="1170"/>
      <c r="F278" s="1170"/>
      <c r="G278" s="1170"/>
    </row>
    <row r="286" spans="2:8" x14ac:dyDescent="0.25">
      <c r="B286" s="501" t="str">
        <f t="shared" ref="B286:H287" si="87">B218</f>
        <v>Consolidated EBITDA - by Segment</v>
      </c>
      <c r="C286" s="497" t="str">
        <f t="shared" si="87"/>
        <v>FY25</v>
      </c>
      <c r="D286" s="497" t="str">
        <f t="shared" si="87"/>
        <v>FY26</v>
      </c>
      <c r="E286" s="497" t="str">
        <f t="shared" si="87"/>
        <v>FY27E</v>
      </c>
      <c r="F286" s="497" t="str">
        <f t="shared" si="87"/>
        <v>FY28E</v>
      </c>
      <c r="G286" s="497" t="str">
        <f t="shared" si="87"/>
        <v>FY29E</v>
      </c>
      <c r="H286" s="497" t="str">
        <f t="shared" si="87"/>
        <v>FY30E</v>
      </c>
    </row>
    <row r="287" spans="2:8" x14ac:dyDescent="0.25">
      <c r="B287" s="442" t="str">
        <f t="shared" si="87"/>
        <v>Ports</v>
      </c>
      <c r="C287" s="235">
        <f t="shared" si="87"/>
        <v>22.311799999999998</v>
      </c>
      <c r="D287" s="235">
        <f t="shared" si="87"/>
        <v>24.619799999999998</v>
      </c>
      <c r="E287" s="235">
        <f t="shared" ca="1" si="87"/>
        <v>25.596740006134336</v>
      </c>
      <c r="F287" s="235">
        <f t="shared" ca="1" si="87"/>
        <v>40.884776385041036</v>
      </c>
      <c r="G287" s="235">
        <f t="shared" ca="1" si="87"/>
        <v>46.55162905029318</v>
      </c>
      <c r="H287" s="235">
        <f t="shared" ca="1" si="87"/>
        <v>59.196165722582535</v>
      </c>
    </row>
    <row r="288" spans="2:8" x14ac:dyDescent="0.25">
      <c r="B288" t="s">
        <v>892</v>
      </c>
      <c r="C288" s="967">
        <f t="shared" ref="C288:H288" si="88">+C287/C210</f>
        <v>0.52794748872493569</v>
      </c>
      <c r="D288" s="967">
        <f t="shared" si="88"/>
        <v>0.52981013189409731</v>
      </c>
      <c r="E288" s="967">
        <f t="shared" ca="1" si="88"/>
        <v>0.45081845675601417</v>
      </c>
      <c r="F288" s="967">
        <f t="shared" ca="1" si="88"/>
        <v>0.5069850341958525</v>
      </c>
      <c r="G288" s="967">
        <f t="shared" ca="1" si="88"/>
        <v>0.51130059440641795</v>
      </c>
      <c r="H288" s="967">
        <f t="shared" ca="1" si="88"/>
        <v>0.52695697674060382</v>
      </c>
    </row>
  </sheetData>
  <sortState xmlns:xlrd2="http://schemas.microsoft.com/office/spreadsheetml/2017/richdata2" ref="B17:O36">
    <sortCondition descending="1" ref="O17:O36"/>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8EACB-A05B-4C53-A188-E303593E7C9B}">
  <dimension ref="B1:BQ172"/>
  <sheetViews>
    <sheetView showGridLines="0" zoomScale="115" zoomScaleNormal="115" workbookViewId="0">
      <pane xSplit="3" ySplit="3" topLeftCell="P99" activePane="bottomRight" state="frozen"/>
      <selection pane="topRight" activeCell="D1" sqref="D1"/>
      <selection pane="bottomLeft" activeCell="A4" sqref="A4"/>
      <selection pane="bottomRight" activeCell="AD124" sqref="AD124"/>
    </sheetView>
  </sheetViews>
  <sheetFormatPr defaultColWidth="9.28515625" defaultRowHeight="12.6" customHeight="1" x14ac:dyDescent="0.2"/>
  <cols>
    <col min="1" max="1" width="2.7109375" style="37" customWidth="1"/>
    <col min="2" max="2" width="4.28515625" style="37" customWidth="1"/>
    <col min="3" max="4" width="35.28515625" style="37" customWidth="1"/>
    <col min="5" max="7" width="8.7109375" style="37" hidden="1" customWidth="1"/>
    <col min="8" max="8" width="8.28515625" style="37" hidden="1" customWidth="1"/>
    <col min="9" max="25" width="8.7109375" style="37" customWidth="1"/>
    <col min="26" max="28" width="8.7109375" style="37" hidden="1" customWidth="1"/>
    <col min="29" max="29" width="8.7109375" style="87" customWidth="1" collapsed="1"/>
    <col min="30" max="30" width="11.28515625" style="37" customWidth="1"/>
    <col min="31" max="31" width="8.7109375" style="87" hidden="1" customWidth="1"/>
    <col min="32" max="32" width="8.7109375" style="39" hidden="1" customWidth="1"/>
    <col min="33" max="35" width="8.7109375" style="37" hidden="1" customWidth="1"/>
    <col min="36" max="40" width="9.28515625" style="37" customWidth="1"/>
    <col min="41" max="41" width="11.85546875" style="37" customWidth="1"/>
    <col min="42" max="42" width="9.7109375" style="37" customWidth="1"/>
    <col min="43" max="43" width="10.5703125" style="37" customWidth="1"/>
    <col min="44" max="44" width="9.28515625" style="37" customWidth="1"/>
    <col min="45" max="45" width="9.28515625" style="37"/>
    <col min="46" max="46" width="9.28515625" style="37" customWidth="1"/>
    <col min="47" max="55" width="9.28515625" style="37"/>
    <col min="56" max="56" width="10.7109375" style="37" customWidth="1"/>
    <col min="57" max="61" width="9.28515625" style="37"/>
    <col min="62" max="62" width="8.28515625" style="37" customWidth="1"/>
    <col min="63" max="16384" width="9.28515625" style="37"/>
  </cols>
  <sheetData>
    <row r="1" spans="2:68" ht="12.6" customHeight="1" thickBot="1" x14ac:dyDescent="0.25">
      <c r="C1" s="38" t="s">
        <v>212</v>
      </c>
      <c r="D1" s="38"/>
      <c r="E1" s="39"/>
      <c r="F1" s="39"/>
      <c r="G1" s="39"/>
      <c r="H1" s="39"/>
      <c r="I1" s="39"/>
      <c r="J1" s="39"/>
      <c r="K1" s="39"/>
      <c r="L1" s="39"/>
      <c r="M1" s="39"/>
      <c r="N1" s="39"/>
      <c r="O1" s="39"/>
      <c r="P1" s="39"/>
      <c r="Q1" s="39"/>
      <c r="R1" s="39"/>
      <c r="S1" s="39"/>
      <c r="T1" s="39"/>
      <c r="U1" s="39"/>
      <c r="V1" s="39"/>
      <c r="W1" s="39"/>
      <c r="X1" s="39"/>
      <c r="Y1" s="39"/>
      <c r="Z1" s="39"/>
      <c r="AA1" s="39"/>
      <c r="AB1" s="39"/>
      <c r="AC1" s="1045"/>
      <c r="AD1" s="39"/>
      <c r="AE1" s="42" t="s">
        <v>155</v>
      </c>
      <c r="AF1" s="43" t="s">
        <v>1965</v>
      </c>
      <c r="AG1" s="41" t="str">
        <f>AF1</f>
        <v>12M</v>
      </c>
      <c r="AH1" s="41" t="str">
        <f>AG1</f>
        <v>12M</v>
      </c>
      <c r="AI1" s="41" t="str">
        <f>AH1</f>
        <v>12M</v>
      </c>
      <c r="AK1" s="821" t="s">
        <v>180</v>
      </c>
      <c r="AL1" s="820"/>
      <c r="AM1" s="820"/>
      <c r="AN1" s="820"/>
      <c r="AO1" s="820"/>
      <c r="AP1" s="820"/>
      <c r="AQ1" s="820"/>
      <c r="AR1" s="820"/>
      <c r="AY1" s="1004"/>
      <c r="AZ1" s="1005" t="str">
        <f>CONCATENATE(IF(AF1="6M","1H",IF(AF1="12M","12M",AF1)),BL3)</f>
        <v>12MFY26</v>
      </c>
      <c r="BA1" s="1005" t="str">
        <f>CONCATENATE(IF(AF1="6M","1H",IF(AF1="12M","12M",AF1)),BM3)</f>
        <v>12MFY25</v>
      </c>
      <c r="BB1" s="1004"/>
    </row>
    <row r="2" spans="2:68" ht="12.6" customHeight="1" thickBot="1" x14ac:dyDescent="0.25">
      <c r="B2" s="362">
        <v>1</v>
      </c>
      <c r="C2" s="45"/>
      <c r="D2" s="45"/>
      <c r="E2" s="46" t="s">
        <v>181</v>
      </c>
      <c r="F2" s="46" t="s">
        <v>182</v>
      </c>
      <c r="G2" s="46" t="s">
        <v>183</v>
      </c>
      <c r="H2" s="46" t="s">
        <v>184</v>
      </c>
      <c r="I2" s="46" t="s">
        <v>185</v>
      </c>
      <c r="J2" s="46" t="s">
        <v>186</v>
      </c>
      <c r="K2" s="46" t="s">
        <v>187</v>
      </c>
      <c r="L2" s="46" t="s">
        <v>188</v>
      </c>
      <c r="M2" s="46" t="s">
        <v>189</v>
      </c>
      <c r="N2" s="46" t="s">
        <v>190</v>
      </c>
      <c r="O2" s="46" t="s">
        <v>191</v>
      </c>
      <c r="P2" s="46" t="s">
        <v>192</v>
      </c>
      <c r="Q2" s="46" t="s">
        <v>193</v>
      </c>
      <c r="R2" s="46" t="s">
        <v>194</v>
      </c>
      <c r="S2" s="46" t="s">
        <v>195</v>
      </c>
      <c r="T2" s="46" t="s">
        <v>196</v>
      </c>
      <c r="U2" s="46" t="s">
        <v>1556</v>
      </c>
      <c r="V2" s="46" t="s">
        <v>1557</v>
      </c>
      <c r="W2" s="46" t="s">
        <v>1558</v>
      </c>
      <c r="X2" s="46" t="s">
        <v>1559</v>
      </c>
      <c r="Y2" s="46" t="s">
        <v>2047</v>
      </c>
      <c r="Z2" s="46" t="s">
        <v>2049</v>
      </c>
      <c r="AA2" s="46" t="s">
        <v>2050</v>
      </c>
      <c r="AB2" s="46" t="s">
        <v>2051</v>
      </c>
      <c r="AC2" s="47"/>
      <c r="AD2" s="817" t="s">
        <v>1543</v>
      </c>
      <c r="AE2" s="47"/>
      <c r="AF2" s="48" t="str">
        <f>CONCATENATE(IF(AF1="6M","1H",AF1),"FY23")</f>
        <v>12MFY23</v>
      </c>
      <c r="AG2" s="48" t="str">
        <f>CONCATENATE(IF(AG1="6M","1H",AG1),"FY24")</f>
        <v>12MFY24</v>
      </c>
      <c r="AH2" s="48" t="str">
        <f>CONCATENATE(IF(AH1="6M","1H",AH1),"FY25")</f>
        <v>12MFY25</v>
      </c>
      <c r="AI2" s="48" t="str">
        <f>CONCATENATE(IF(AI1="6M","1H",AI1),"FY26")</f>
        <v>12MFY26</v>
      </c>
      <c r="AK2" s="49" t="s">
        <v>27</v>
      </c>
      <c r="AL2" s="49" t="s">
        <v>273</v>
      </c>
      <c r="AM2" s="49" t="s">
        <v>347</v>
      </c>
      <c r="AN2" s="49" t="s">
        <v>348</v>
      </c>
      <c r="AO2" s="49" t="s">
        <v>178</v>
      </c>
      <c r="AP2" s="49" t="s">
        <v>179</v>
      </c>
      <c r="AQ2" s="49" t="s">
        <v>231</v>
      </c>
      <c r="AR2" s="49" t="s">
        <v>232</v>
      </c>
      <c r="AT2" s="896" t="s">
        <v>1595</v>
      </c>
      <c r="AU2" s="896"/>
      <c r="AV2" s="896"/>
      <c r="AW2" s="896"/>
      <c r="AX2" s="896"/>
      <c r="AY2" s="896"/>
      <c r="AZ2" s="896"/>
      <c r="BA2" s="896"/>
      <c r="BB2" s="896"/>
      <c r="BI2" s="38" t="s">
        <v>1550</v>
      </c>
      <c r="BJ2" s="38" t="s">
        <v>1551</v>
      </c>
      <c r="BK2" s="38" t="s">
        <v>1552</v>
      </c>
      <c r="BL2" s="38" t="s">
        <v>1555</v>
      </c>
      <c r="BM2" s="38" t="s">
        <v>1554</v>
      </c>
    </row>
    <row r="3" spans="2:68" ht="12.75" thickBot="1" x14ac:dyDescent="0.25">
      <c r="B3" s="362">
        <f>B2+1</f>
        <v>2</v>
      </c>
      <c r="C3" s="50" t="s">
        <v>197</v>
      </c>
      <c r="D3" s="50" t="s">
        <v>234</v>
      </c>
      <c r="E3" s="52"/>
      <c r="F3" s="52"/>
      <c r="G3" s="52"/>
      <c r="H3" s="52"/>
      <c r="I3" s="52"/>
      <c r="J3" s="52"/>
      <c r="K3" s="52"/>
      <c r="L3" s="52"/>
      <c r="M3" s="52"/>
      <c r="N3" s="52"/>
      <c r="O3" s="52"/>
      <c r="P3" s="52"/>
      <c r="Q3" s="52"/>
      <c r="R3" s="52"/>
      <c r="S3" s="52"/>
      <c r="T3" s="52"/>
      <c r="U3" s="52"/>
      <c r="V3" s="52"/>
      <c r="W3" s="52"/>
      <c r="X3" s="52"/>
      <c r="Y3" s="52"/>
      <c r="Z3" s="52"/>
      <c r="AA3" s="52"/>
      <c r="AB3" s="52"/>
      <c r="AC3" s="53"/>
      <c r="AD3" s="52" t="s">
        <v>2048</v>
      </c>
      <c r="AE3" s="47"/>
      <c r="AF3" s="51"/>
      <c r="AG3" s="841"/>
      <c r="AH3" s="841"/>
      <c r="AI3" s="841"/>
      <c r="AK3" s="55"/>
      <c r="AL3" s="55"/>
      <c r="AM3" s="55"/>
      <c r="AN3" s="55"/>
      <c r="AO3" s="822"/>
      <c r="AP3" s="822"/>
      <c r="AQ3" s="822"/>
      <c r="AR3" s="822"/>
      <c r="AT3" s="828"/>
      <c r="AU3" s="829" t="str">
        <f>BI3</f>
        <v>4QFY26</v>
      </c>
      <c r="AV3" s="829" t="str">
        <f>BJ3</f>
        <v>4QFY25</v>
      </c>
      <c r="AW3" s="829" t="s">
        <v>1546</v>
      </c>
      <c r="AX3" s="829" t="str">
        <f>BK3</f>
        <v>3QFY26</v>
      </c>
      <c r="AY3" s="829" t="s">
        <v>1547</v>
      </c>
      <c r="AZ3" s="829" t="str">
        <f t="shared" ref="AZ3:BA3" si="0">AZ1</f>
        <v>12MFY26</v>
      </c>
      <c r="BA3" s="829" t="str">
        <f t="shared" si="0"/>
        <v>12MFY25</v>
      </c>
      <c r="BB3" s="829" t="s">
        <v>1548</v>
      </c>
      <c r="BI3" s="839" t="s">
        <v>1559</v>
      </c>
      <c r="BJ3" s="839" t="s">
        <v>196</v>
      </c>
      <c r="BK3" s="839" t="s">
        <v>1558</v>
      </c>
      <c r="BL3" s="840" t="s">
        <v>348</v>
      </c>
      <c r="BM3" s="840" t="s">
        <v>347</v>
      </c>
      <c r="BN3" s="196" t="s">
        <v>1553</v>
      </c>
    </row>
    <row r="4" spans="2:68" ht="12" customHeight="1" x14ac:dyDescent="0.2">
      <c r="B4" s="362">
        <f>B3+1</f>
        <v>3</v>
      </c>
      <c r="C4" s="56" t="s">
        <v>213</v>
      </c>
      <c r="D4" s="61" t="s">
        <v>212</v>
      </c>
      <c r="E4" s="57"/>
      <c r="F4" s="57"/>
      <c r="G4" s="57"/>
      <c r="H4" s="57"/>
      <c r="I4" s="57">
        <v>0.60000000000000009</v>
      </c>
      <c r="J4" s="57">
        <v>0.5</v>
      </c>
      <c r="K4" s="57">
        <v>1</v>
      </c>
      <c r="L4" s="57">
        <v>0.6</v>
      </c>
      <c r="M4" s="66">
        <v>0.9</v>
      </c>
      <c r="N4" s="66">
        <v>0.4</v>
      </c>
      <c r="O4" s="66">
        <v>0.8</v>
      </c>
      <c r="P4" s="66">
        <v>0.8</v>
      </c>
      <c r="Q4" s="931">
        <v>0.8</v>
      </c>
      <c r="R4" s="931">
        <v>0.7</v>
      </c>
      <c r="S4" s="931">
        <v>0.4</v>
      </c>
      <c r="T4" s="931">
        <v>0.52</v>
      </c>
      <c r="U4" s="931">
        <v>0.7</v>
      </c>
      <c r="V4" s="931">
        <v>0.79</v>
      </c>
      <c r="W4" s="931">
        <v>0.87</v>
      </c>
      <c r="X4" s="931">
        <v>0.67</v>
      </c>
      <c r="Y4" s="931"/>
      <c r="Z4" s="931"/>
      <c r="AA4" s="931"/>
      <c r="AB4" s="931"/>
      <c r="AC4" s="70"/>
      <c r="AD4" s="893">
        <f>U4*(1+AD37)</f>
        <v>0.80499999999999994</v>
      </c>
      <c r="AE4" s="1002"/>
      <c r="AF4" s="57">
        <f t="shared" ref="AF4:AF29" si="1">IF(AF$1="3M",I4,IF(AF$1="6M",SUM(I4:J4),IF(AF$1="9M",SUM(I4:K4),SUM(I4:L4))))</f>
        <v>2.7</v>
      </c>
      <c r="AG4" s="118">
        <f t="shared" ref="AG4:AG29" si="2">IF(AG$1="3M",M4,IF(AG$1="6M",SUM(M4:N4),IF(AG$1="9M",SUM(M4:O4),SUM(M4:P4))))</f>
        <v>2.9000000000000004</v>
      </c>
      <c r="AH4" s="118">
        <f t="shared" ref="AH4:AH29" si="3">IF(AH$1="3M",Q4,IF(AH$1="6M",SUM(Q4:R4),IF(AH$1="9M",SUM(Q4:S4),SUM(Q4:T4))))</f>
        <v>2.42</v>
      </c>
      <c r="AI4" s="118">
        <f>IF(AI$1="3M",U4,IF(AI$1="6M",SUM(U4:V4),IF(AI$1="9M",SUM(U4:W4),SUM(U4:X4))))</f>
        <v>3.03</v>
      </c>
      <c r="AK4" s="59">
        <f>Assumptions!I3</f>
        <v>2.7</v>
      </c>
      <c r="AL4" s="59">
        <f>Assumptions!J3</f>
        <v>2.65</v>
      </c>
      <c r="AM4" s="59">
        <f>Assumptions!K3</f>
        <v>2.4</v>
      </c>
      <c r="AN4" s="59">
        <f>Assumptions!L3</f>
        <v>2.99</v>
      </c>
      <c r="AO4" s="60">
        <f>Assumptions!M3</f>
        <v>2.9900000000000007</v>
      </c>
      <c r="AP4" s="60">
        <f>Assumptions!N3</f>
        <v>3.0498000000000007</v>
      </c>
      <c r="AQ4" s="60">
        <f>Assumptions!O3</f>
        <v>3.110796000000001</v>
      </c>
      <c r="AR4" s="60">
        <f>Assumptions!P3</f>
        <v>3.1730119200000009</v>
      </c>
      <c r="AT4" s="830" t="s">
        <v>1549</v>
      </c>
      <c r="AU4" s="830"/>
      <c r="AV4" s="830"/>
      <c r="AW4" s="830"/>
      <c r="AX4" s="830"/>
      <c r="AY4" s="830"/>
      <c r="AZ4" s="830"/>
      <c r="BA4" s="830"/>
      <c r="BB4" s="830"/>
    </row>
    <row r="5" spans="2:68" ht="12.6" customHeight="1" x14ac:dyDescent="0.2">
      <c r="B5" s="362">
        <f t="shared" ref="B5:B82" si="4">B4+1</f>
        <v>4</v>
      </c>
      <c r="C5" s="56" t="s">
        <v>3</v>
      </c>
      <c r="D5" s="61" t="s">
        <v>217</v>
      </c>
      <c r="E5" s="57"/>
      <c r="F5" s="57"/>
      <c r="G5" s="57"/>
      <c r="H5" s="57"/>
      <c r="I5" s="57">
        <v>5.7</v>
      </c>
      <c r="J5" s="57">
        <v>3.8</v>
      </c>
      <c r="K5" s="57">
        <v>5.2</v>
      </c>
      <c r="L5" s="57">
        <v>5.6</v>
      </c>
      <c r="M5" s="66">
        <v>5.9</v>
      </c>
      <c r="N5" s="66">
        <v>5.0999999999999996</v>
      </c>
      <c r="O5" s="66">
        <v>5.7</v>
      </c>
      <c r="P5" s="66">
        <v>4.9000000000000004</v>
      </c>
      <c r="Q5" s="931">
        <v>4.5999999999999996</v>
      </c>
      <c r="R5" s="931">
        <v>5.2</v>
      </c>
      <c r="S5" s="931">
        <v>5.0999999999999996</v>
      </c>
      <c r="T5" s="931">
        <v>4.92</v>
      </c>
      <c r="U5" s="931">
        <v>4.3</v>
      </c>
      <c r="V5" s="931">
        <v>5.46</v>
      </c>
      <c r="W5" s="931">
        <v>5.27</v>
      </c>
      <c r="X5" s="931">
        <v>5.26</v>
      </c>
      <c r="Y5" s="931"/>
      <c r="Z5" s="931"/>
      <c r="AA5" s="931"/>
      <c r="AB5" s="931"/>
      <c r="AC5" s="70"/>
      <c r="AD5" s="893">
        <f t="shared" ref="AD5:AD27" si="5">U5*(1+AD38)</f>
        <v>5.1599999999999993</v>
      </c>
      <c r="AE5" s="1002"/>
      <c r="AF5" s="57">
        <f t="shared" si="1"/>
        <v>20.299999999999997</v>
      </c>
      <c r="AG5" s="57">
        <f t="shared" si="2"/>
        <v>21.6</v>
      </c>
      <c r="AH5" s="57">
        <f t="shared" si="3"/>
        <v>19.82</v>
      </c>
      <c r="AI5" s="57">
        <f t="shared" ref="AI5:AI29" si="6">IF(AI$1="3M",U5,IF(AI$1="6M",SUM(U5:V5),IF(AI$1="9M",SUM(U5:W5),SUM(U5:X5))))</f>
        <v>20.29</v>
      </c>
      <c r="AK5" s="59">
        <f>Assumptions!I4</f>
        <v>20.237000000000002</v>
      </c>
      <c r="AL5" s="59">
        <f>Assumptions!J4</f>
        <v>21.51</v>
      </c>
      <c r="AM5" s="59">
        <f>Assumptions!K4</f>
        <v>19.899999999999999</v>
      </c>
      <c r="AN5" s="59">
        <f>Assumptions!L4</f>
        <v>20.27</v>
      </c>
      <c r="AO5" s="60">
        <f>Assumptions!M4</f>
        <v>21.0808</v>
      </c>
      <c r="AP5" s="60">
        <f>Assumptions!N4</f>
        <v>26.303367999999999</v>
      </c>
      <c r="AQ5" s="60">
        <f>Assumptions!O4</f>
        <v>28.933704799999997</v>
      </c>
      <c r="AR5" s="60">
        <f>Assumptions!P4</f>
        <v>30.380390040000002</v>
      </c>
      <c r="AT5" s="831" t="s">
        <v>213</v>
      </c>
      <c r="AU5" s="832">
        <f t="shared" ref="AU5:AU30" si="7">HLOOKUP(AU$3,$B$2:$AI$103,$B4,0)</f>
        <v>0.67</v>
      </c>
      <c r="AV5" s="832">
        <f t="shared" ref="AV5:AV30" si="8">HLOOKUP(AV$3,$B$2:$AI$103,$B4,0)</f>
        <v>0.52</v>
      </c>
      <c r="AW5" s="842">
        <f>IFERROR(AU5/AV5-1," ")</f>
        <v>0.28846153846153855</v>
      </c>
      <c r="AX5" s="832">
        <f t="shared" ref="AX5:AX30" si="9">HLOOKUP(AX$3,$B$2:$AI$103,$B4,0)</f>
        <v>0.87</v>
      </c>
      <c r="AY5" s="842">
        <f>IFERROR(AU5/AX5-1," ")</f>
        <v>-0.22988505747126431</v>
      </c>
      <c r="AZ5" s="832">
        <f t="shared" ref="AZ5:AZ30" si="10">HLOOKUP(AZ$1,$B$2:$AI$103,$B4,0)</f>
        <v>3.03</v>
      </c>
      <c r="BA5" s="832">
        <f t="shared" ref="BA5:BA30" si="11">HLOOKUP(BA$1,$B$2:$AI$103,$B4,0)</f>
        <v>2.42</v>
      </c>
      <c r="BB5" s="842">
        <f>IFERROR(AZ5/BA5-1," ")</f>
        <v>0.25206611570247928</v>
      </c>
      <c r="BI5" s="362"/>
      <c r="BJ5" s="37" t="str">
        <f>CONCATENATE("Cargo Volumes for ",AU3," came in at ",ROUND(AU30,0),"MT",IF(AW30&gt;0," (up by "," (down by "),ROUND(AW30*100,0),"% yoy)")</f>
        <v>Cargo Volumes for 4QFY26 came in at 32MT (up by 2% yoy)</v>
      </c>
    </row>
    <row r="6" spans="2:68" s="38" customFormat="1" ht="12.6" customHeight="1" x14ac:dyDescent="0.2">
      <c r="B6" s="362">
        <f t="shared" si="4"/>
        <v>5</v>
      </c>
      <c r="C6" s="56" t="s">
        <v>790</v>
      </c>
      <c r="D6" s="61" t="s">
        <v>218</v>
      </c>
      <c r="E6" s="57"/>
      <c r="F6" s="57"/>
      <c r="G6" s="57"/>
      <c r="H6" s="57"/>
      <c r="I6" s="57">
        <v>5.8000000000000007</v>
      </c>
      <c r="J6" s="57">
        <v>4.5999999999999996</v>
      </c>
      <c r="K6" s="57">
        <v>6.8</v>
      </c>
      <c r="L6" s="57">
        <v>6.9</v>
      </c>
      <c r="M6" s="66">
        <v>6.6</v>
      </c>
      <c r="N6" s="66">
        <v>6.1</v>
      </c>
      <c r="O6" s="66">
        <v>6.3</v>
      </c>
      <c r="P6" s="66">
        <v>6.1</v>
      </c>
      <c r="Q6" s="931">
        <v>5.0999999999999996</v>
      </c>
      <c r="R6" s="931">
        <v>5.9</v>
      </c>
      <c r="S6" s="931">
        <v>6</v>
      </c>
      <c r="T6" s="931">
        <v>6.12</v>
      </c>
      <c r="U6" s="931">
        <v>5.5</v>
      </c>
      <c r="V6" s="931">
        <v>6.15</v>
      </c>
      <c r="W6" s="931">
        <v>6.48</v>
      </c>
      <c r="X6" s="931">
        <v>6.43</v>
      </c>
      <c r="Y6" s="931"/>
      <c r="Z6" s="931"/>
      <c r="AA6" s="931"/>
      <c r="AB6" s="931"/>
      <c r="AC6" s="70"/>
      <c r="AD6" s="893">
        <f t="shared" si="5"/>
        <v>6.0500000000000007</v>
      </c>
      <c r="AE6" s="1002"/>
      <c r="AF6" s="57">
        <f t="shared" si="1"/>
        <v>24.1</v>
      </c>
      <c r="AG6" s="57">
        <f t="shared" si="2"/>
        <v>25.1</v>
      </c>
      <c r="AH6" s="57">
        <f t="shared" si="3"/>
        <v>23.12</v>
      </c>
      <c r="AI6" s="57">
        <f t="shared" si="6"/>
        <v>24.560000000000002</v>
      </c>
      <c r="AJ6" s="37"/>
      <c r="AK6" s="59">
        <f>Assumptions!I5</f>
        <v>24.029999999999998</v>
      </c>
      <c r="AL6" s="59">
        <f>Assumptions!J5</f>
        <v>25.14</v>
      </c>
      <c r="AM6" s="59">
        <f>Assumptions!K5</f>
        <v>23.1</v>
      </c>
      <c r="AN6" s="59">
        <f>Assumptions!L5</f>
        <v>24.53</v>
      </c>
      <c r="AO6" s="60">
        <f>Assumptions!M5</f>
        <v>25.479959999999998</v>
      </c>
      <c r="AP6" s="60">
        <f>Assumptions!N5</f>
        <v>31.648199999999999</v>
      </c>
      <c r="AQ6" s="60">
        <f>Assumptions!O5</f>
        <v>34.732320000000009</v>
      </c>
      <c r="AR6" s="60">
        <f>Assumptions!P5</f>
        <v>35.750079600000007</v>
      </c>
      <c r="AT6" s="833" t="s">
        <v>3</v>
      </c>
      <c r="AU6" s="834">
        <f t="shared" si="7"/>
        <v>5.26</v>
      </c>
      <c r="AV6" s="834">
        <f t="shared" si="8"/>
        <v>4.92</v>
      </c>
      <c r="AW6" s="843">
        <f t="shared" ref="AW6:AW30" si="12">IFERROR(AU6/AV6-1," ")</f>
        <v>6.9105691056910556E-2</v>
      </c>
      <c r="AX6" s="834">
        <f t="shared" si="9"/>
        <v>5.27</v>
      </c>
      <c r="AY6" s="843">
        <f t="shared" ref="AY6:AY30" si="13">IFERROR(AU6/AX6-1," ")</f>
        <v>-1.8975332068310591E-3</v>
      </c>
      <c r="AZ6" s="834">
        <f t="shared" si="10"/>
        <v>20.29</v>
      </c>
      <c r="BA6" s="834">
        <f t="shared" si="11"/>
        <v>19.82</v>
      </c>
      <c r="BB6" s="843">
        <f t="shared" ref="BB6:BB30" si="14">IFERROR(AZ6/BA6-1," ")</f>
        <v>2.3713420787083717E-2</v>
      </c>
      <c r="BI6" s="840"/>
      <c r="BJ6" s="37" t="str">
        <f>CONCATENATE("Revenue per tonne for ",AU3," came in at Rs. ",ROUND(AU38,0),"/tn",IF(AY38&gt;0," (up by "," (down by "),ROUND(AY38*100,0),"% yoy)")</f>
        <v>Revenue per tonne for 4QFY26 came in at Rs. 408/tn (up by 11% yoy)</v>
      </c>
    </row>
    <row r="7" spans="2:68" ht="12.6" customHeight="1" x14ac:dyDescent="0.2">
      <c r="B7" s="362">
        <f t="shared" si="4"/>
        <v>6</v>
      </c>
      <c r="C7" s="56" t="s">
        <v>214</v>
      </c>
      <c r="D7" s="61" t="s">
        <v>219</v>
      </c>
      <c r="E7" s="57"/>
      <c r="F7" s="57"/>
      <c r="G7" s="57"/>
      <c r="H7" s="57"/>
      <c r="I7" s="57">
        <v>1.8</v>
      </c>
      <c r="J7" s="57">
        <v>1.8</v>
      </c>
      <c r="K7" s="57">
        <v>1.6</v>
      </c>
      <c r="L7" s="57">
        <v>1.9</v>
      </c>
      <c r="M7" s="66">
        <v>1.7999999999999998</v>
      </c>
      <c r="N7" s="66">
        <v>1.6</v>
      </c>
      <c r="O7" s="66">
        <v>1.9</v>
      </c>
      <c r="P7" s="66">
        <v>1.8</v>
      </c>
      <c r="Q7" s="931">
        <v>1.7</v>
      </c>
      <c r="R7" s="931">
        <v>1.3</v>
      </c>
      <c r="S7" s="931">
        <v>1.7</v>
      </c>
      <c r="T7" s="931">
        <v>1.8</v>
      </c>
      <c r="U7" s="931">
        <v>1.9</v>
      </c>
      <c r="V7" s="931">
        <v>2.2200000000000002</v>
      </c>
      <c r="W7" s="931">
        <v>2.25</v>
      </c>
      <c r="X7" s="931">
        <v>2.2000000000000002</v>
      </c>
      <c r="Y7" s="931"/>
      <c r="Z7" s="931"/>
      <c r="AA7" s="931"/>
      <c r="AB7" s="931"/>
      <c r="AC7" s="70"/>
      <c r="AD7" s="893">
        <f t="shared" si="5"/>
        <v>2.09</v>
      </c>
      <c r="AE7" s="1002"/>
      <c r="AF7" s="57">
        <f t="shared" si="1"/>
        <v>7.1</v>
      </c>
      <c r="AG7" s="57">
        <f t="shared" si="2"/>
        <v>7.1</v>
      </c>
      <c r="AH7" s="57">
        <f t="shared" si="3"/>
        <v>6.5</v>
      </c>
      <c r="AI7" s="57">
        <f t="shared" si="6"/>
        <v>8.57</v>
      </c>
      <c r="AK7" s="59">
        <f>Assumptions!I6</f>
        <v>7.0679999999999996</v>
      </c>
      <c r="AL7" s="59">
        <f>Assumptions!J6</f>
        <v>7.1559999999999997</v>
      </c>
      <c r="AM7" s="59">
        <f>Assumptions!K6</f>
        <v>6.4</v>
      </c>
      <c r="AN7" s="59">
        <f>Assumptions!L6</f>
        <v>8.5500000000000007</v>
      </c>
      <c r="AO7" s="60">
        <f ca="1">Assumptions!M6</f>
        <v>9.3918000000000017</v>
      </c>
      <c r="AP7" s="60">
        <f ca="1">Assumptions!N6</f>
        <v>10.80057</v>
      </c>
      <c r="AQ7" s="60">
        <f ca="1">Assumptions!O6</f>
        <v>11.273464950000001</v>
      </c>
      <c r="AR7" s="60">
        <f ca="1">Assumptions!P6</f>
        <v>11.767319305500001</v>
      </c>
      <c r="AT7" s="835" t="s">
        <v>790</v>
      </c>
      <c r="AU7" s="836">
        <f t="shared" si="7"/>
        <v>6.43</v>
      </c>
      <c r="AV7" s="836">
        <f t="shared" si="8"/>
        <v>6.12</v>
      </c>
      <c r="AW7" s="844">
        <f t="shared" si="12"/>
        <v>5.0653594771241872E-2</v>
      </c>
      <c r="AX7" s="836">
        <f t="shared" si="9"/>
        <v>6.48</v>
      </c>
      <c r="AY7" s="844">
        <f t="shared" si="13"/>
        <v>-7.7160493827161947E-3</v>
      </c>
      <c r="AZ7" s="836">
        <f t="shared" si="10"/>
        <v>24.560000000000002</v>
      </c>
      <c r="BA7" s="836">
        <f t="shared" si="11"/>
        <v>23.12</v>
      </c>
      <c r="BB7" s="844">
        <f t="shared" si="14"/>
        <v>6.2283737024221519E-2</v>
      </c>
      <c r="BI7" s="362"/>
      <c r="BJ7" s="37" t="str">
        <f>CONCATENATE("EBITDA per tonne for ",AU3," came in at Rs. ",ROUND(AU39,0),"/tn",IF(AY39&gt;0," (up by "," (down by "),ROUND(AY39*100,0),"% yoy)")</f>
        <v>EBITDA per tonne for 4QFY26 came in at Rs. 222/tn (up by 11% yoy)</v>
      </c>
    </row>
    <row r="8" spans="2:68" ht="12.6" customHeight="1" x14ac:dyDescent="0.2">
      <c r="B8" s="362">
        <f t="shared" si="4"/>
        <v>7</v>
      </c>
      <c r="C8" s="56" t="s">
        <v>10</v>
      </c>
      <c r="D8" s="61" t="s">
        <v>220</v>
      </c>
      <c r="E8" s="57"/>
      <c r="F8" s="57"/>
      <c r="G8" s="57"/>
      <c r="H8" s="57"/>
      <c r="I8" s="57">
        <v>2.7</v>
      </c>
      <c r="J8" s="57">
        <v>1.3</v>
      </c>
      <c r="K8" s="57">
        <v>2.1</v>
      </c>
      <c r="L8" s="57">
        <v>3.5</v>
      </c>
      <c r="M8" s="66">
        <v>2.1999999999999997</v>
      </c>
      <c r="N8" s="66">
        <v>2.9</v>
      </c>
      <c r="O8" s="66">
        <v>3.9</v>
      </c>
      <c r="P8" s="66">
        <v>3.3</v>
      </c>
      <c r="Q8" s="931">
        <v>3.4</v>
      </c>
      <c r="R8" s="931">
        <v>3.1</v>
      </c>
      <c r="S8" s="931">
        <v>2.8</v>
      </c>
      <c r="T8" s="931">
        <v>2.21</v>
      </c>
      <c r="U8" s="931">
        <v>2.1</v>
      </c>
      <c r="V8" s="931">
        <v>0.96</v>
      </c>
      <c r="W8" s="931">
        <v>2.2799999999999998</v>
      </c>
      <c r="X8" s="931">
        <v>1.95</v>
      </c>
      <c r="Y8" s="931"/>
      <c r="Z8" s="931"/>
      <c r="AA8" s="931"/>
      <c r="AB8" s="931"/>
      <c r="AC8" s="70"/>
      <c r="AD8" s="893">
        <f t="shared" si="5"/>
        <v>2.1</v>
      </c>
      <c r="AE8" s="1002"/>
      <c r="AF8" s="57">
        <f t="shared" si="1"/>
        <v>9.6</v>
      </c>
      <c r="AG8" s="57">
        <f t="shared" si="2"/>
        <v>12.3</v>
      </c>
      <c r="AH8" s="57">
        <f t="shared" si="3"/>
        <v>11.510000000000002</v>
      </c>
      <c r="AI8" s="57">
        <f t="shared" si="6"/>
        <v>7.29</v>
      </c>
      <c r="AK8" s="59">
        <f>Assumptions!I7</f>
        <v>9.52</v>
      </c>
      <c r="AL8" s="59">
        <f>Assumptions!J7</f>
        <v>12.37</v>
      </c>
      <c r="AM8" s="59">
        <f>Assumptions!K7</f>
        <v>11.4</v>
      </c>
      <c r="AN8" s="59">
        <f>Assumptions!L7</f>
        <v>7.26</v>
      </c>
      <c r="AO8" s="60">
        <f ca="1">Assumptions!M7</f>
        <v>9.4380000000000006</v>
      </c>
      <c r="AP8" s="60">
        <f ca="1">Assumptions!N7</f>
        <v>9.5323799999999999</v>
      </c>
      <c r="AQ8" s="60">
        <f ca="1">Assumptions!O7</f>
        <v>9.6277038000000008</v>
      </c>
      <c r="AR8" s="60">
        <f ca="1">Assumptions!P7</f>
        <v>9.723980838000001</v>
      </c>
      <c r="AT8" s="833" t="s">
        <v>214</v>
      </c>
      <c r="AU8" s="834">
        <f t="shared" si="7"/>
        <v>2.2000000000000002</v>
      </c>
      <c r="AV8" s="834">
        <f t="shared" si="8"/>
        <v>1.8</v>
      </c>
      <c r="AW8" s="843">
        <f t="shared" si="12"/>
        <v>0.22222222222222232</v>
      </c>
      <c r="AX8" s="834">
        <f t="shared" si="9"/>
        <v>2.25</v>
      </c>
      <c r="AY8" s="843">
        <f t="shared" si="13"/>
        <v>-2.2222222222222143E-2</v>
      </c>
      <c r="AZ8" s="834">
        <f t="shared" si="10"/>
        <v>8.57</v>
      </c>
      <c r="BA8" s="834">
        <f t="shared" si="11"/>
        <v>6.5</v>
      </c>
      <c r="BB8" s="843">
        <f t="shared" si="14"/>
        <v>0.31846153846153857</v>
      </c>
      <c r="BI8" s="840" t="s">
        <v>1575</v>
      </c>
      <c r="BJ8" s="37" t="str">
        <f>CONCATENATE("Third party cargo mix came in at ",ROUND(AU32*100,0),"% in ",AU3," vs ",ROUND(AV32*100,0),"% in ",AV3," and ",ROUND(AX32*100,0),"% in ",AX3)</f>
        <v>Third party cargo mix came in at 46% in 4QFY26 vs 50% in 4QFY25 and 50% in 3QFY26</v>
      </c>
    </row>
    <row r="9" spans="2:68" ht="12.6" customHeight="1" x14ac:dyDescent="0.2">
      <c r="B9" s="362">
        <f t="shared" si="4"/>
        <v>8</v>
      </c>
      <c r="C9" s="56" t="s">
        <v>568</v>
      </c>
      <c r="D9" s="61" t="s">
        <v>221</v>
      </c>
      <c r="E9" s="57"/>
      <c r="F9" s="57"/>
      <c r="G9" s="57"/>
      <c r="H9" s="57"/>
      <c r="I9" s="57">
        <v>2</v>
      </c>
      <c r="J9" s="57">
        <v>2.8</v>
      </c>
      <c r="K9" s="57">
        <v>3.2</v>
      </c>
      <c r="L9" s="57">
        <v>4.0999999999999996</v>
      </c>
      <c r="M9" s="66">
        <v>3.9</v>
      </c>
      <c r="N9" s="66">
        <v>3.6</v>
      </c>
      <c r="O9" s="66">
        <v>4.0999999999999996</v>
      </c>
      <c r="P9" s="66">
        <v>5.0999999999999996</v>
      </c>
      <c r="Q9" s="931">
        <v>4.5</v>
      </c>
      <c r="R9" s="931">
        <v>4.2</v>
      </c>
      <c r="S9" s="931">
        <v>4.9000000000000004</v>
      </c>
      <c r="T9" s="931">
        <v>5.35</v>
      </c>
      <c r="U9" s="931">
        <v>4.9000000000000004</v>
      </c>
      <c r="V9" s="931">
        <v>4.1900000000000004</v>
      </c>
      <c r="W9" s="931">
        <v>4.28</v>
      </c>
      <c r="X9" s="931">
        <v>5.69</v>
      </c>
      <c r="Y9" s="931"/>
      <c r="Z9" s="931"/>
      <c r="AA9" s="931"/>
      <c r="AB9" s="931"/>
      <c r="AC9" s="70"/>
      <c r="AD9" s="893">
        <f t="shared" si="5"/>
        <v>5.1450000000000005</v>
      </c>
      <c r="AE9" s="1002"/>
      <c r="AF9" s="57">
        <f t="shared" si="1"/>
        <v>12.1</v>
      </c>
      <c r="AG9" s="57">
        <f t="shared" si="2"/>
        <v>16.7</v>
      </c>
      <c r="AH9" s="57">
        <f t="shared" si="3"/>
        <v>18.95</v>
      </c>
      <c r="AI9" s="57">
        <f t="shared" si="6"/>
        <v>19.060000000000002</v>
      </c>
      <c r="AK9" s="59">
        <f>Assumptions!I8</f>
        <v>12.034000000000001</v>
      </c>
      <c r="AL9" s="59">
        <f>Assumptions!J8</f>
        <v>16.77</v>
      </c>
      <c r="AM9" s="59">
        <f>Assumptions!K8</f>
        <v>18.899999999999999</v>
      </c>
      <c r="AN9" s="59">
        <f>Assumptions!L8</f>
        <v>19.010000000000002</v>
      </c>
      <c r="AO9" s="60">
        <f>Assumptions!M8</f>
        <v>19.390200000000004</v>
      </c>
      <c r="AP9" s="60">
        <f>Assumptions!N8</f>
        <v>20.553612000000005</v>
      </c>
      <c r="AQ9" s="60">
        <f>Assumptions!O8</f>
        <v>21.786828720000006</v>
      </c>
      <c r="AR9" s="60">
        <f>Assumptions!P8</f>
        <v>23.094038443200009</v>
      </c>
      <c r="AT9" s="835" t="s">
        <v>10</v>
      </c>
      <c r="AU9" s="836">
        <f t="shared" si="7"/>
        <v>1.95</v>
      </c>
      <c r="AV9" s="836">
        <f t="shared" si="8"/>
        <v>2.21</v>
      </c>
      <c r="AW9" s="844">
        <f t="shared" si="12"/>
        <v>-0.11764705882352944</v>
      </c>
      <c r="AX9" s="836">
        <f t="shared" si="9"/>
        <v>2.2799999999999998</v>
      </c>
      <c r="AY9" s="844">
        <f t="shared" si="13"/>
        <v>-0.14473684210526305</v>
      </c>
      <c r="AZ9" s="836">
        <f t="shared" si="10"/>
        <v>7.29</v>
      </c>
      <c r="BA9" s="836">
        <f t="shared" si="11"/>
        <v>11.510000000000002</v>
      </c>
      <c r="BB9" s="844">
        <f t="shared" si="14"/>
        <v>-0.36663770634231108</v>
      </c>
      <c r="BI9" s="362"/>
      <c r="BJ9" s="37" t="str">
        <f>CONCATENATE("Consolidated Revenue for ",AU3," came in at Rs. ",ROUND(AU43,0),"mn",IF(AY43&gt;0," (up by "," (down by "),ROUND(AY43*100,0),"% yoy)")</f>
        <v>Consolidated Revenue for 4QFY26 came in at Rs. 15223mn (up by 19% yoy)</v>
      </c>
    </row>
    <row r="10" spans="2:68" ht="12.6" customHeight="1" x14ac:dyDescent="0.2">
      <c r="B10" s="362">
        <f t="shared" si="4"/>
        <v>9</v>
      </c>
      <c r="C10" s="56" t="s">
        <v>8</v>
      </c>
      <c r="D10" s="61" t="s">
        <v>222</v>
      </c>
      <c r="E10" s="57"/>
      <c r="F10" s="57"/>
      <c r="G10" s="57"/>
      <c r="H10" s="57"/>
      <c r="I10" s="57">
        <v>2.5000000000000004</v>
      </c>
      <c r="J10" s="57">
        <v>1.9</v>
      </c>
      <c r="K10" s="57">
        <v>2.2000000000000002</v>
      </c>
      <c r="L10" s="57">
        <v>2.2000000000000002</v>
      </c>
      <c r="M10" s="66">
        <v>2.2999999999999998</v>
      </c>
      <c r="N10" s="66">
        <v>2.2000000000000002</v>
      </c>
      <c r="O10" s="66">
        <v>2.2999999999999998</v>
      </c>
      <c r="P10" s="66">
        <v>2.6</v>
      </c>
      <c r="Q10" s="931">
        <v>2.4</v>
      </c>
      <c r="R10" s="931">
        <v>2.6</v>
      </c>
      <c r="S10" s="931">
        <v>2.2999999999999998</v>
      </c>
      <c r="T10" s="931">
        <v>2.94</v>
      </c>
      <c r="U10" s="931">
        <v>3</v>
      </c>
      <c r="V10" s="931">
        <v>2.4300000000000002</v>
      </c>
      <c r="W10" s="931">
        <v>2.25</v>
      </c>
      <c r="X10" s="931">
        <v>2.7</v>
      </c>
      <c r="Y10" s="931"/>
      <c r="Z10" s="931"/>
      <c r="AA10" s="931"/>
      <c r="AB10" s="931"/>
      <c r="AC10" s="70"/>
      <c r="AD10" s="893">
        <f t="shared" si="5"/>
        <v>3.1500000000000004</v>
      </c>
      <c r="AE10" s="1002"/>
      <c r="AF10" s="57">
        <f t="shared" si="1"/>
        <v>8.8000000000000007</v>
      </c>
      <c r="AG10" s="57">
        <f t="shared" si="2"/>
        <v>9.4</v>
      </c>
      <c r="AH10" s="57">
        <f t="shared" si="3"/>
        <v>10.24</v>
      </c>
      <c r="AI10" s="57">
        <f t="shared" si="6"/>
        <v>10.379999999999999</v>
      </c>
      <c r="AK10" s="59">
        <f>Assumptions!I9</f>
        <v>8.7040000000000006</v>
      </c>
      <c r="AL10" s="59">
        <f>Assumptions!J9</f>
        <v>9.31</v>
      </c>
      <c r="AM10" s="59">
        <f>Assumptions!K9</f>
        <v>10.199999999999999</v>
      </c>
      <c r="AN10" s="59">
        <f>Assumptions!L9</f>
        <v>10.38</v>
      </c>
      <c r="AO10" s="60">
        <f ca="1">Assumptions!M9</f>
        <v>10.4838</v>
      </c>
      <c r="AP10" s="60">
        <f ca="1">Assumptions!N9</f>
        <v>10.588638000000001</v>
      </c>
      <c r="AQ10" s="60">
        <f ca="1">Assumptions!O9</f>
        <v>10.694524380000001</v>
      </c>
      <c r="AR10" s="60">
        <f ca="1">Assumptions!P9</f>
        <v>10.801469623800001</v>
      </c>
      <c r="AT10" s="833" t="s">
        <v>568</v>
      </c>
      <c r="AU10" s="834">
        <f t="shared" si="7"/>
        <v>5.69</v>
      </c>
      <c r="AV10" s="834">
        <f t="shared" si="8"/>
        <v>5.35</v>
      </c>
      <c r="AW10" s="843">
        <f t="shared" si="12"/>
        <v>6.3551401869158974E-2</v>
      </c>
      <c r="AX10" s="834">
        <f t="shared" si="9"/>
        <v>4.28</v>
      </c>
      <c r="AY10" s="843">
        <f t="shared" si="13"/>
        <v>0.32943925233644866</v>
      </c>
      <c r="AZ10" s="834">
        <f t="shared" si="10"/>
        <v>19.060000000000002</v>
      </c>
      <c r="BA10" s="834">
        <f t="shared" si="11"/>
        <v>18.95</v>
      </c>
      <c r="BB10" s="843">
        <f t="shared" si="14"/>
        <v>5.8047493403694528E-3</v>
      </c>
      <c r="BI10" s="362"/>
      <c r="BJ10" s="37" t="str">
        <f>CONCATENATE("Consolidated EBITDA for ",AU3," came in at Rs. ",ROUND(AU44,0),"mn",IF(AY44&gt;0," (up by "," (down by "),ROUND(AY44*100,0),"% yoy)")</f>
        <v>Consolidated EBITDA for 4QFY26 came in at Rs. 7692mn (up by 20% yoy)</v>
      </c>
    </row>
    <row r="11" spans="2:68" ht="12.6" customHeight="1" x14ac:dyDescent="0.2">
      <c r="B11" s="362">
        <f t="shared" si="4"/>
        <v>10</v>
      </c>
      <c r="C11" s="56" t="s">
        <v>9</v>
      </c>
      <c r="D11" s="61" t="s">
        <v>223</v>
      </c>
      <c r="E11" s="57"/>
      <c r="F11" s="57"/>
      <c r="G11" s="57"/>
      <c r="H11" s="57"/>
      <c r="I11" s="57">
        <v>0.50000000000000011</v>
      </c>
      <c r="J11" s="57">
        <v>0.6</v>
      </c>
      <c r="K11" s="57">
        <v>0.4</v>
      </c>
      <c r="L11" s="57">
        <v>0.4</v>
      </c>
      <c r="M11" s="66">
        <v>0.39999999999999997</v>
      </c>
      <c r="N11" s="66">
        <v>0.3</v>
      </c>
      <c r="O11" s="66">
        <v>0.4</v>
      </c>
      <c r="P11" s="66">
        <v>0.4</v>
      </c>
      <c r="Q11" s="931">
        <v>0.4</v>
      </c>
      <c r="R11" s="931">
        <v>0.3</v>
      </c>
      <c r="S11" s="931">
        <v>0.5</v>
      </c>
      <c r="T11" s="931">
        <v>0.95</v>
      </c>
      <c r="U11" s="931">
        <v>0.4</v>
      </c>
      <c r="V11" s="931">
        <v>0.32</v>
      </c>
      <c r="W11" s="931">
        <v>0.41</v>
      </c>
      <c r="X11" s="931">
        <v>0.54</v>
      </c>
      <c r="Y11" s="931"/>
      <c r="Z11" s="931"/>
      <c r="AA11" s="931"/>
      <c r="AB11" s="931"/>
      <c r="AC11" s="70"/>
      <c r="AD11" s="893">
        <f t="shared" si="5"/>
        <v>0.45999999999999996</v>
      </c>
      <c r="AE11" s="1002"/>
      <c r="AF11" s="57">
        <f t="shared" si="1"/>
        <v>1.9</v>
      </c>
      <c r="AG11" s="57">
        <f t="shared" si="2"/>
        <v>1.5</v>
      </c>
      <c r="AH11" s="57">
        <f t="shared" si="3"/>
        <v>2.15</v>
      </c>
      <c r="AI11" s="57">
        <f t="shared" si="6"/>
        <v>1.67</v>
      </c>
      <c r="AK11" s="59">
        <f>Assumptions!I10</f>
        <v>1.89</v>
      </c>
      <c r="AL11" s="59">
        <f>Assumptions!J10</f>
        <v>1.46</v>
      </c>
      <c r="AM11" s="59">
        <f>Assumptions!K10</f>
        <v>2.1</v>
      </c>
      <c r="AN11" s="59">
        <f>Assumptions!L10</f>
        <v>1.65</v>
      </c>
      <c r="AO11" s="60">
        <f>Assumptions!M10</f>
        <v>1.7293500000000004</v>
      </c>
      <c r="AP11" s="60">
        <f>Assumptions!N10</f>
        <v>1.8158175000000005</v>
      </c>
      <c r="AQ11" s="60">
        <f>Assumptions!O10</f>
        <v>1.9066083750000007</v>
      </c>
      <c r="AR11" s="60">
        <f>Assumptions!P10</f>
        <v>2.0019387937500008</v>
      </c>
      <c r="AT11" s="835" t="s">
        <v>8</v>
      </c>
      <c r="AU11" s="836">
        <f t="shared" si="7"/>
        <v>2.7</v>
      </c>
      <c r="AV11" s="836">
        <f t="shared" si="8"/>
        <v>2.94</v>
      </c>
      <c r="AW11" s="844">
        <f t="shared" si="12"/>
        <v>-8.1632653061224358E-2</v>
      </c>
      <c r="AX11" s="836">
        <f t="shared" si="9"/>
        <v>2.25</v>
      </c>
      <c r="AY11" s="844">
        <f t="shared" si="13"/>
        <v>0.20000000000000018</v>
      </c>
      <c r="AZ11" s="836">
        <f t="shared" si="10"/>
        <v>10.379999999999999</v>
      </c>
      <c r="BA11" s="836">
        <f t="shared" si="11"/>
        <v>10.24</v>
      </c>
      <c r="BB11" s="844">
        <f t="shared" si="14"/>
        <v>1.3671874999999778E-2</v>
      </c>
      <c r="BI11" s="362"/>
      <c r="BJ11" s="37" t="str">
        <f>CONCATENATE("Consolidated EBITDA margin came in at ",ROUND(AU45*100,0),"% in ",AU3," vs ",ROUND(AX45*100,0),"% in ",AV3," and ",ROUND(AZ45*100,0),"% in ",AX3)</f>
        <v>Consolidated EBITDA margin came in at 51% in 4QFY26 vs 50% in 4QFY25 and 48% in 3QFY26</v>
      </c>
    </row>
    <row r="12" spans="2:68" ht="12.6" customHeight="1" x14ac:dyDescent="0.2">
      <c r="B12" s="362">
        <f t="shared" si="4"/>
        <v>11</v>
      </c>
      <c r="C12" s="56" t="s">
        <v>215</v>
      </c>
      <c r="D12" s="61" t="s">
        <v>224</v>
      </c>
      <c r="E12" s="57"/>
      <c r="F12" s="57"/>
      <c r="G12" s="57"/>
      <c r="H12" s="57"/>
      <c r="I12" s="57">
        <v>1.2</v>
      </c>
      <c r="J12" s="57">
        <v>0.8</v>
      </c>
      <c r="K12" s="57">
        <v>1.2</v>
      </c>
      <c r="L12" s="57">
        <v>1.3</v>
      </c>
      <c r="M12" s="66">
        <v>1.2000000000000002</v>
      </c>
      <c r="N12" s="66">
        <v>0.6</v>
      </c>
      <c r="O12" s="66">
        <v>1.8</v>
      </c>
      <c r="P12" s="66">
        <v>1.2</v>
      </c>
      <c r="Q12" s="931">
        <v>1.7</v>
      </c>
      <c r="R12" s="931">
        <v>1.1000000000000001</v>
      </c>
      <c r="S12" s="931">
        <v>1.7</v>
      </c>
      <c r="T12" s="931">
        <v>1.71</v>
      </c>
      <c r="U12" s="931">
        <v>1.6</v>
      </c>
      <c r="V12" s="931">
        <v>1.22</v>
      </c>
      <c r="W12" s="931">
        <v>1.43</v>
      </c>
      <c r="X12" s="931">
        <v>2.02</v>
      </c>
      <c r="Y12" s="931"/>
      <c r="Z12" s="931"/>
      <c r="AA12" s="931"/>
      <c r="AB12" s="931"/>
      <c r="AC12" s="70"/>
      <c r="AD12" s="893">
        <f t="shared" si="5"/>
        <v>1.52</v>
      </c>
      <c r="AE12" s="1002"/>
      <c r="AF12" s="57">
        <f t="shared" si="1"/>
        <v>4.5</v>
      </c>
      <c r="AG12" s="57">
        <f t="shared" si="2"/>
        <v>4.8000000000000007</v>
      </c>
      <c r="AH12" s="57">
        <f t="shared" si="3"/>
        <v>6.21</v>
      </c>
      <c r="AI12" s="57">
        <f t="shared" si="6"/>
        <v>6.27</v>
      </c>
      <c r="AK12" s="59">
        <f>Assumptions!I11</f>
        <v>4.4539999999999997</v>
      </c>
      <c r="AL12" s="59">
        <f>Assumptions!J11</f>
        <v>4.7699999999999996</v>
      </c>
      <c r="AM12" s="59">
        <f>Assumptions!K11</f>
        <v>6.3</v>
      </c>
      <c r="AN12" s="59">
        <f>Assumptions!L11</f>
        <v>6.27</v>
      </c>
      <c r="AO12" s="60">
        <f ca="1">Assumptions!M11</f>
        <v>6.5834999999999999</v>
      </c>
      <c r="AP12" s="60">
        <f ca="1">Assumptions!N11</f>
        <v>6.9126750000000001</v>
      </c>
      <c r="AQ12" s="60">
        <f ca="1">Assumptions!O11</f>
        <v>7.2583087500000003</v>
      </c>
      <c r="AR12" s="60">
        <f ca="1">Assumptions!P11</f>
        <v>7.6212241875000011</v>
      </c>
      <c r="AT12" s="833" t="s">
        <v>9</v>
      </c>
      <c r="AU12" s="834">
        <f t="shared" si="7"/>
        <v>0.54</v>
      </c>
      <c r="AV12" s="834">
        <f t="shared" si="8"/>
        <v>0.95</v>
      </c>
      <c r="AW12" s="843">
        <f t="shared" si="12"/>
        <v>-0.43157894736842095</v>
      </c>
      <c r="AX12" s="834">
        <f t="shared" si="9"/>
        <v>0.41</v>
      </c>
      <c r="AY12" s="843">
        <f t="shared" si="13"/>
        <v>0.31707317073170738</v>
      </c>
      <c r="AZ12" s="834">
        <f t="shared" si="10"/>
        <v>1.67</v>
      </c>
      <c r="BA12" s="834">
        <f t="shared" si="11"/>
        <v>2.15</v>
      </c>
      <c r="BB12" s="843">
        <f t="shared" si="14"/>
        <v>-0.22325581395348837</v>
      </c>
      <c r="BI12" s="362"/>
      <c r="BJ12" s="37" t="str">
        <f>CONCATENATE("Consolidated PAT for ",AU3," came in at Rs. ",ROUND(AU46,0),"mn",IF(AY46&gt;0," (up by "," (down by "),ROUND(AY46*100,0),"% yoy)")</f>
        <v>Consolidated PAT for 4QFY26 came in at Rs. 4183mn (down by -18% yoy)</v>
      </c>
    </row>
    <row r="13" spans="2:68" s="38" customFormat="1" ht="12.6" customHeight="1" x14ac:dyDescent="0.2">
      <c r="B13" s="362">
        <f t="shared" si="4"/>
        <v>12</v>
      </c>
      <c r="C13" s="56" t="s">
        <v>216</v>
      </c>
      <c r="D13" s="61" t="s">
        <v>225</v>
      </c>
      <c r="E13" s="57"/>
      <c r="F13" s="57"/>
      <c r="G13" s="57"/>
      <c r="H13" s="57"/>
      <c r="I13" s="57">
        <v>0.50000000000000011</v>
      </c>
      <c r="J13" s="57">
        <v>0.6</v>
      </c>
      <c r="K13" s="57">
        <v>0.5</v>
      </c>
      <c r="L13" s="57">
        <v>0.6</v>
      </c>
      <c r="M13" s="66">
        <v>0.60000000000000009</v>
      </c>
      <c r="N13" s="66">
        <v>0.7</v>
      </c>
      <c r="O13" s="66">
        <v>0.6</v>
      </c>
      <c r="P13" s="66">
        <v>0.6</v>
      </c>
      <c r="Q13" s="931">
        <v>0.6</v>
      </c>
      <c r="R13" s="931">
        <v>0.6</v>
      </c>
      <c r="S13" s="931">
        <v>0.6</v>
      </c>
      <c r="T13" s="931">
        <v>0.54</v>
      </c>
      <c r="U13" s="931">
        <v>0.7</v>
      </c>
      <c r="V13" s="931">
        <v>0.63</v>
      </c>
      <c r="W13" s="931">
        <v>0.62</v>
      </c>
      <c r="X13" s="931">
        <v>0.6</v>
      </c>
      <c r="Y13" s="931"/>
      <c r="Z13" s="931"/>
      <c r="AA13" s="931"/>
      <c r="AB13" s="931"/>
      <c r="AC13" s="70"/>
      <c r="AD13" s="893">
        <f t="shared" si="5"/>
        <v>0.7</v>
      </c>
      <c r="AE13" s="1002"/>
      <c r="AF13" s="57">
        <f t="shared" si="1"/>
        <v>2.2000000000000002</v>
      </c>
      <c r="AG13" s="57">
        <f t="shared" si="2"/>
        <v>2.5</v>
      </c>
      <c r="AH13" s="57">
        <f t="shared" si="3"/>
        <v>2.34</v>
      </c>
      <c r="AI13" s="57">
        <f t="shared" si="6"/>
        <v>2.5500000000000003</v>
      </c>
      <c r="AJ13" s="37"/>
      <c r="AK13" s="59">
        <f>Assumptions!I12</f>
        <v>2.1739976832207537</v>
      </c>
      <c r="AL13" s="59">
        <f>Assumptions!J12</f>
        <v>2.5821624445182496</v>
      </c>
      <c r="AM13" s="59">
        <f>Assumptions!K12</f>
        <v>2.4</v>
      </c>
      <c r="AN13" s="59">
        <f>Assumptions!L12</f>
        <v>2.4900000000000002</v>
      </c>
      <c r="AO13" s="60">
        <f>Assumptions!M12</f>
        <v>3.1175000000000002</v>
      </c>
      <c r="AP13" s="60">
        <f>Assumptions!N12</f>
        <v>3.4292500000000006</v>
      </c>
      <c r="AQ13" s="60">
        <f>Assumptions!O12</f>
        <v>3.6350050000000009</v>
      </c>
      <c r="AR13" s="60">
        <f>Assumptions!P12</f>
        <v>3.8531053000000011</v>
      </c>
      <c r="AT13" s="835" t="s">
        <v>215</v>
      </c>
      <c r="AU13" s="836">
        <f t="shared" si="7"/>
        <v>2.02</v>
      </c>
      <c r="AV13" s="836">
        <f t="shared" si="8"/>
        <v>1.71</v>
      </c>
      <c r="AW13" s="844">
        <f t="shared" si="12"/>
        <v>0.18128654970760238</v>
      </c>
      <c r="AX13" s="836">
        <f t="shared" si="9"/>
        <v>1.43</v>
      </c>
      <c r="AY13" s="844">
        <f t="shared" si="13"/>
        <v>0.41258741258741272</v>
      </c>
      <c r="AZ13" s="836">
        <f t="shared" si="10"/>
        <v>6.27</v>
      </c>
      <c r="BA13" s="836">
        <f t="shared" si="11"/>
        <v>6.21</v>
      </c>
      <c r="BB13" s="844">
        <f t="shared" si="14"/>
        <v>9.6618357487923134E-3</v>
      </c>
      <c r="BD13" s="1001"/>
      <c r="BJ13" s="37"/>
    </row>
    <row r="14" spans="2:68" s="38" customFormat="1" ht="12.6" customHeight="1" x14ac:dyDescent="0.2">
      <c r="B14" s="362">
        <f t="shared" si="4"/>
        <v>13</v>
      </c>
      <c r="C14" s="56" t="s">
        <v>2</v>
      </c>
      <c r="D14" s="61" t="s">
        <v>492</v>
      </c>
      <c r="E14" s="57"/>
      <c r="F14" s="57"/>
      <c r="G14" s="57"/>
      <c r="H14" s="57"/>
      <c r="I14" s="288">
        <v>0</v>
      </c>
      <c r="J14" s="288">
        <v>0</v>
      </c>
      <c r="K14" s="288">
        <v>0</v>
      </c>
      <c r="L14" s="288">
        <v>0</v>
      </c>
      <c r="M14" s="888">
        <v>0</v>
      </c>
      <c r="N14" s="888">
        <v>0</v>
      </c>
      <c r="O14" s="888">
        <v>0</v>
      </c>
      <c r="P14" s="66">
        <v>1.2</v>
      </c>
      <c r="Q14" s="931">
        <v>1.5</v>
      </c>
      <c r="R14" s="931">
        <v>1.2</v>
      </c>
      <c r="S14" s="931">
        <v>1.5</v>
      </c>
      <c r="T14" s="931">
        <v>1.34</v>
      </c>
      <c r="U14" s="931">
        <v>1.6</v>
      </c>
      <c r="V14" s="931">
        <v>1.33</v>
      </c>
      <c r="W14" s="931">
        <v>1.3</v>
      </c>
      <c r="X14" s="931">
        <v>1.1200000000000001</v>
      </c>
      <c r="Y14" s="931"/>
      <c r="Z14" s="931"/>
      <c r="AA14" s="931"/>
      <c r="AB14" s="931"/>
      <c r="AC14" s="70"/>
      <c r="AD14" s="893">
        <f t="shared" si="5"/>
        <v>1.6800000000000002</v>
      </c>
      <c r="AE14" s="1002"/>
      <c r="AF14" s="57">
        <f t="shared" si="1"/>
        <v>0</v>
      </c>
      <c r="AG14" s="57">
        <f t="shared" si="2"/>
        <v>1.2</v>
      </c>
      <c r="AH14" s="57">
        <f t="shared" si="3"/>
        <v>5.54</v>
      </c>
      <c r="AI14" s="57">
        <f t="shared" si="6"/>
        <v>5.3500000000000005</v>
      </c>
      <c r="AJ14" s="37"/>
      <c r="AK14" s="59">
        <f>Assumptions!I13</f>
        <v>0</v>
      </c>
      <c r="AL14" s="59">
        <f>Assumptions!J13</f>
        <v>1.32</v>
      </c>
      <c r="AM14" s="59">
        <f>Assumptions!K13</f>
        <v>5.5</v>
      </c>
      <c r="AN14" s="59">
        <f>Assumptions!L13</f>
        <v>5.34</v>
      </c>
      <c r="AO14" s="60">
        <f>Assumptions!M13</f>
        <v>6.1387</v>
      </c>
      <c r="AP14" s="60">
        <f>Assumptions!N13</f>
        <v>6.2614739999999998</v>
      </c>
      <c r="AQ14" s="60">
        <f>Assumptions!O13</f>
        <v>6.5745477000000001</v>
      </c>
      <c r="AR14" s="60">
        <f>Assumptions!P13</f>
        <v>6.9032750850000006</v>
      </c>
      <c r="AT14" s="833" t="s">
        <v>216</v>
      </c>
      <c r="AU14" s="834">
        <f t="shared" si="7"/>
        <v>0.6</v>
      </c>
      <c r="AV14" s="834">
        <f t="shared" si="8"/>
        <v>0.54</v>
      </c>
      <c r="AW14" s="843">
        <f t="shared" si="12"/>
        <v>0.11111111111111094</v>
      </c>
      <c r="AX14" s="834">
        <f t="shared" si="9"/>
        <v>0.62</v>
      </c>
      <c r="AY14" s="843">
        <f t="shared" si="13"/>
        <v>-3.2258064516129115E-2</v>
      </c>
      <c r="AZ14" s="834">
        <f t="shared" si="10"/>
        <v>2.5500000000000003</v>
      </c>
      <c r="BA14" s="834">
        <f t="shared" si="11"/>
        <v>2.34</v>
      </c>
      <c r="BB14" s="843">
        <f t="shared" si="14"/>
        <v>8.9743589743589869E-2</v>
      </c>
      <c r="BI14" s="362"/>
      <c r="BJ14" s="37" t="str">
        <f>CONCATENATE("Cargo Volumes for ",AZ1," came in at ",ROUND(AZ30,0),"MT",IF(BB30&gt;0," (up by "," (down by "),ROUND(BB30*100,0),"% yoy)")</f>
        <v>Cargo Volumes for 12MFY26 came in at 122MT (up by 5% yoy)</v>
      </c>
      <c r="BP14" s="37"/>
    </row>
    <row r="15" spans="2:68" s="38" customFormat="1" ht="12.6" customHeight="1" x14ac:dyDescent="0.2">
      <c r="B15" s="362">
        <f t="shared" si="4"/>
        <v>14</v>
      </c>
      <c r="C15" s="56" t="s">
        <v>791</v>
      </c>
      <c r="D15" s="61" t="s">
        <v>493</v>
      </c>
      <c r="E15" s="57"/>
      <c r="F15" s="57"/>
      <c r="G15" s="57"/>
      <c r="H15" s="57"/>
      <c r="I15" s="288">
        <v>0</v>
      </c>
      <c r="J15" s="288">
        <v>0</v>
      </c>
      <c r="K15" s="288">
        <v>0</v>
      </c>
      <c r="L15" s="288">
        <v>0</v>
      </c>
      <c r="M15" s="888">
        <v>0</v>
      </c>
      <c r="N15" s="888">
        <v>0</v>
      </c>
      <c r="O15" s="888">
        <v>0.1</v>
      </c>
      <c r="P15" s="66">
        <v>1.9</v>
      </c>
      <c r="Q15" s="931">
        <v>1.6</v>
      </c>
      <c r="R15" s="931">
        <v>1.3</v>
      </c>
      <c r="S15" s="931">
        <v>2</v>
      </c>
      <c r="T15" s="931">
        <v>1.89</v>
      </c>
      <c r="U15" s="931">
        <v>1.6</v>
      </c>
      <c r="V15" s="931">
        <v>1.63</v>
      </c>
      <c r="W15" s="931">
        <f>1.76+0.84</f>
        <v>2.6</v>
      </c>
      <c r="X15" s="931">
        <v>0.72</v>
      </c>
      <c r="Y15" s="931"/>
      <c r="Z15" s="931"/>
      <c r="AA15" s="931"/>
      <c r="AB15" s="931"/>
      <c r="AC15" s="70"/>
      <c r="AD15" s="893">
        <f>U15*(1+AD48)</f>
        <v>0.31999999999999995</v>
      </c>
      <c r="AE15" s="1002"/>
      <c r="AF15" s="57">
        <f t="shared" si="1"/>
        <v>0</v>
      </c>
      <c r="AG15" s="57">
        <f t="shared" si="2"/>
        <v>2</v>
      </c>
      <c r="AH15" s="57">
        <f t="shared" si="3"/>
        <v>6.79</v>
      </c>
      <c r="AI15" s="57">
        <f t="shared" si="6"/>
        <v>6.55</v>
      </c>
      <c r="AJ15" s="37">
        <v>0.2</v>
      </c>
      <c r="AK15" s="59">
        <f>Assumptions!I14</f>
        <v>0</v>
      </c>
      <c r="AL15" s="59">
        <f>Assumptions!J14</f>
        <v>2</v>
      </c>
      <c r="AM15" s="59">
        <f>Assumptions!K14</f>
        <v>7.3</v>
      </c>
      <c r="AN15" s="59">
        <f>Assumptions!L14</f>
        <v>5.71</v>
      </c>
      <c r="AO15" s="60">
        <f>Assumptions!M14</f>
        <v>2.855</v>
      </c>
      <c r="AP15" s="60">
        <f>Assumptions!N14</f>
        <v>4.9962499999999999</v>
      </c>
      <c r="AQ15" s="60">
        <f>Assumptions!O14</f>
        <v>5.9954999999999998</v>
      </c>
      <c r="AR15" s="60">
        <f>Assumptions!P14</f>
        <v>6.2353199999999998</v>
      </c>
      <c r="AT15" s="835" t="s">
        <v>2</v>
      </c>
      <c r="AU15" s="836">
        <f t="shared" si="7"/>
        <v>1.1200000000000001</v>
      </c>
      <c r="AV15" s="836">
        <f t="shared" si="8"/>
        <v>1.34</v>
      </c>
      <c r="AW15" s="844">
        <f t="shared" si="12"/>
        <v>-0.16417910447761186</v>
      </c>
      <c r="AX15" s="836">
        <f t="shared" si="9"/>
        <v>1.3</v>
      </c>
      <c r="AY15" s="844">
        <f t="shared" si="13"/>
        <v>-0.13846153846153841</v>
      </c>
      <c r="AZ15" s="836">
        <f t="shared" si="10"/>
        <v>5.3500000000000005</v>
      </c>
      <c r="BA15" s="836">
        <f t="shared" si="11"/>
        <v>5.54</v>
      </c>
      <c r="BB15" s="844">
        <f t="shared" si="14"/>
        <v>-3.4296028880866358E-2</v>
      </c>
      <c r="BI15" s="840"/>
      <c r="BJ15" s="37" t="str">
        <f>CONCATENATE("Revenue per tonne for ",BB36," came in at Rs. ",ROUND(BB38,0),"/tn",IF(BD38&gt;0," (up by "," (down by "),ROUND(BD38*100,0),"% yoy)")</f>
        <v>Revenue per tonne for 12MFY26 came in at Rs. 382/tn (up by 5% yoy)</v>
      </c>
      <c r="BP15" s="37"/>
    </row>
    <row r="16" spans="2:68" s="38" customFormat="1" ht="12.6" customHeight="1" x14ac:dyDescent="0.2">
      <c r="B16" s="362">
        <f t="shared" si="4"/>
        <v>15</v>
      </c>
      <c r="C16" s="56" t="s">
        <v>553</v>
      </c>
      <c r="D16" s="61"/>
      <c r="E16" s="57"/>
      <c r="F16" s="57"/>
      <c r="G16" s="57"/>
      <c r="H16" s="57"/>
      <c r="I16" s="288">
        <v>0</v>
      </c>
      <c r="J16" s="288">
        <v>0</v>
      </c>
      <c r="K16" s="288">
        <v>0</v>
      </c>
      <c r="L16" s="288">
        <v>0</v>
      </c>
      <c r="M16" s="888">
        <v>0</v>
      </c>
      <c r="N16" s="888">
        <v>0</v>
      </c>
      <c r="O16" s="888">
        <v>0</v>
      </c>
      <c r="P16" s="66">
        <v>0</v>
      </c>
      <c r="Q16" s="931">
        <v>0</v>
      </c>
      <c r="R16" s="931">
        <v>0</v>
      </c>
      <c r="S16" s="931">
        <v>0</v>
      </c>
      <c r="T16" s="931">
        <v>0.85</v>
      </c>
      <c r="U16" s="931">
        <v>1.1000000000000001</v>
      </c>
      <c r="V16" s="931">
        <v>1.0900000000000001</v>
      </c>
      <c r="W16" s="931">
        <v>1.38</v>
      </c>
      <c r="X16" s="931">
        <v>1.46</v>
      </c>
      <c r="Y16" s="931"/>
      <c r="Z16" s="931"/>
      <c r="AA16" s="931"/>
      <c r="AB16" s="931"/>
      <c r="AC16" s="70"/>
      <c r="AD16" s="893">
        <f t="shared" si="5"/>
        <v>1.4300000000000002</v>
      </c>
      <c r="AE16" s="1002"/>
      <c r="AF16" s="57">
        <f t="shared" si="1"/>
        <v>0</v>
      </c>
      <c r="AG16" s="57">
        <f t="shared" si="2"/>
        <v>0</v>
      </c>
      <c r="AH16" s="57">
        <f t="shared" si="3"/>
        <v>0.85</v>
      </c>
      <c r="AI16" s="57">
        <f t="shared" si="6"/>
        <v>5.03</v>
      </c>
      <c r="AJ16" s="37"/>
      <c r="AK16" s="59">
        <f>Assumptions!I15</f>
        <v>0</v>
      </c>
      <c r="AL16" s="59">
        <f>Assumptions!J15</f>
        <v>0</v>
      </c>
      <c r="AM16" s="59">
        <f>Assumptions!K15</f>
        <v>0.9</v>
      </c>
      <c r="AN16" s="59">
        <f>Assumptions!L15</f>
        <v>4.99</v>
      </c>
      <c r="AO16" s="60">
        <f ca="1">Assumptions!M15</f>
        <v>5.25</v>
      </c>
      <c r="AP16" s="60">
        <f ca="1">Assumptions!N15</f>
        <v>5.25</v>
      </c>
      <c r="AQ16" s="60">
        <f ca="1">Assumptions!O15</f>
        <v>5.25</v>
      </c>
      <c r="AR16" s="60">
        <f ca="1">Assumptions!P15</f>
        <v>5.25</v>
      </c>
      <c r="AT16" s="833" t="s">
        <v>791</v>
      </c>
      <c r="AU16" s="834">
        <f t="shared" si="7"/>
        <v>0.72</v>
      </c>
      <c r="AV16" s="834">
        <f t="shared" si="8"/>
        <v>1.89</v>
      </c>
      <c r="AW16" s="843">
        <f t="shared" si="12"/>
        <v>-0.61904761904761907</v>
      </c>
      <c r="AX16" s="834">
        <f t="shared" si="9"/>
        <v>2.6</v>
      </c>
      <c r="AY16" s="843">
        <f t="shared" si="13"/>
        <v>-0.72307692307692317</v>
      </c>
      <c r="AZ16" s="834">
        <f t="shared" si="10"/>
        <v>6.55</v>
      </c>
      <c r="BA16" s="834">
        <f t="shared" si="11"/>
        <v>6.79</v>
      </c>
      <c r="BB16" s="843">
        <f t="shared" si="14"/>
        <v>-3.534609720176729E-2</v>
      </c>
      <c r="BI16" s="362"/>
      <c r="BJ16" s="37" t="str">
        <f>CONCATENATE("EBITDA per tonne for ",BB36," came in at Rs. ",ROUND(BB39,0),"/tn",IF(BD39&gt;0," (up by "," (down by "),ROUND(BD39*100,0),"% yoy)")</f>
        <v>EBITDA per tonne for 12MFY26 came in at Rs. 214/tn (up by 10% yoy)</v>
      </c>
      <c r="BP16" s="37"/>
    </row>
    <row r="17" spans="2:69" s="38" customFormat="1" ht="12.6" customHeight="1" x14ac:dyDescent="0.2">
      <c r="B17" s="362">
        <f t="shared" si="4"/>
        <v>16</v>
      </c>
      <c r="C17" s="56" t="s">
        <v>788</v>
      </c>
      <c r="D17" s="61"/>
      <c r="E17" s="57"/>
      <c r="F17" s="57"/>
      <c r="G17" s="57"/>
      <c r="H17" s="57"/>
      <c r="I17" s="288">
        <v>0</v>
      </c>
      <c r="J17" s="288">
        <v>0</v>
      </c>
      <c r="K17" s="288">
        <v>0</v>
      </c>
      <c r="L17" s="288">
        <v>0</v>
      </c>
      <c r="M17" s="888">
        <v>0</v>
      </c>
      <c r="N17" s="888">
        <v>0</v>
      </c>
      <c r="O17" s="888">
        <v>0</v>
      </c>
      <c r="P17" s="66">
        <v>0</v>
      </c>
      <c r="Q17" s="881">
        <v>0</v>
      </c>
      <c r="R17" s="931">
        <v>0</v>
      </c>
      <c r="S17" s="931">
        <v>0</v>
      </c>
      <c r="T17" s="931">
        <v>0.11</v>
      </c>
      <c r="U17" s="931">
        <v>0.3</v>
      </c>
      <c r="V17" s="931">
        <v>0.44</v>
      </c>
      <c r="W17" s="931">
        <v>0.3</v>
      </c>
      <c r="X17" s="931">
        <v>0.26</v>
      </c>
      <c r="Y17" s="931"/>
      <c r="Z17" s="931"/>
      <c r="AA17" s="931"/>
      <c r="AB17" s="931"/>
      <c r="AC17" s="70"/>
      <c r="AD17" s="893">
        <f t="shared" si="5"/>
        <v>0.39</v>
      </c>
      <c r="AE17" s="1002"/>
      <c r="AF17" s="57">
        <f t="shared" si="1"/>
        <v>0</v>
      </c>
      <c r="AG17" s="57">
        <f t="shared" si="2"/>
        <v>0</v>
      </c>
      <c r="AH17" s="57">
        <f t="shared" si="3"/>
        <v>0.11</v>
      </c>
      <c r="AI17" s="57">
        <f t="shared" si="6"/>
        <v>1.3</v>
      </c>
      <c r="AJ17" s="37"/>
      <c r="AK17" s="59">
        <f>Assumptions!I16</f>
        <v>0</v>
      </c>
      <c r="AL17" s="59">
        <f>Assumptions!J16</f>
        <v>0</v>
      </c>
      <c r="AM17" s="59">
        <f>Assumptions!K16</f>
        <v>0.2</v>
      </c>
      <c r="AN17" s="59">
        <f>Assumptions!L16</f>
        <v>1.3</v>
      </c>
      <c r="AO17" s="60">
        <f>Assumptions!M16</f>
        <v>2.9250000000000003</v>
      </c>
      <c r="AP17" s="60">
        <f>Assumptions!N16</f>
        <v>3.15</v>
      </c>
      <c r="AQ17" s="60">
        <f>Assumptions!O16</f>
        <v>3.375</v>
      </c>
      <c r="AR17" s="60">
        <f>Assumptions!P16</f>
        <v>3.375</v>
      </c>
      <c r="AT17" s="835" t="s">
        <v>553</v>
      </c>
      <c r="AU17" s="836">
        <f t="shared" si="7"/>
        <v>1.46</v>
      </c>
      <c r="AV17" s="836">
        <f t="shared" si="8"/>
        <v>0.85</v>
      </c>
      <c r="AW17" s="844">
        <f t="shared" si="12"/>
        <v>0.7176470588235293</v>
      </c>
      <c r="AX17" s="836">
        <f t="shared" si="9"/>
        <v>1.38</v>
      </c>
      <c r="AY17" s="844">
        <f t="shared" si="13"/>
        <v>5.7971014492753659E-2</v>
      </c>
      <c r="AZ17" s="836">
        <f t="shared" si="10"/>
        <v>5.03</v>
      </c>
      <c r="BA17" s="836">
        <f t="shared" si="11"/>
        <v>0.85</v>
      </c>
      <c r="BB17" s="844">
        <f t="shared" si="14"/>
        <v>4.9176470588235297</v>
      </c>
      <c r="BI17" s="840" t="s">
        <v>1573</v>
      </c>
      <c r="BJ17" s="886"/>
    </row>
    <row r="18" spans="2:69" s="38" customFormat="1" ht="12.6" customHeight="1" x14ac:dyDescent="0.2">
      <c r="B18" s="362">
        <f t="shared" si="4"/>
        <v>17</v>
      </c>
      <c r="C18" s="56" t="s">
        <v>789</v>
      </c>
      <c r="D18" s="61"/>
      <c r="E18" s="57"/>
      <c r="F18" s="57"/>
      <c r="G18" s="57"/>
      <c r="H18" s="57"/>
      <c r="I18" s="288">
        <v>0</v>
      </c>
      <c r="J18" s="288">
        <v>0</v>
      </c>
      <c r="K18" s="288">
        <v>0</v>
      </c>
      <c r="L18" s="288">
        <v>0</v>
      </c>
      <c r="M18" s="888">
        <v>0</v>
      </c>
      <c r="N18" s="888">
        <v>0</v>
      </c>
      <c r="O18" s="888">
        <v>0</v>
      </c>
      <c r="P18" s="66">
        <v>0</v>
      </c>
      <c r="Q18" s="881">
        <v>0</v>
      </c>
      <c r="R18" s="931">
        <v>0</v>
      </c>
      <c r="S18" s="931">
        <v>0</v>
      </c>
      <c r="T18" s="931">
        <v>0</v>
      </c>
      <c r="U18" s="931">
        <v>0</v>
      </c>
      <c r="V18" s="931">
        <v>0</v>
      </c>
      <c r="W18" s="931">
        <v>0</v>
      </c>
      <c r="X18" s="931"/>
      <c r="Y18" s="931"/>
      <c r="Z18" s="931"/>
      <c r="AA18" s="931"/>
      <c r="AB18" s="931"/>
      <c r="AC18" s="70"/>
      <c r="AD18" s="893">
        <f t="shared" si="5"/>
        <v>0</v>
      </c>
      <c r="AE18" s="1002"/>
      <c r="AF18" s="57">
        <f t="shared" si="1"/>
        <v>0</v>
      </c>
      <c r="AG18" s="57">
        <f t="shared" si="2"/>
        <v>0</v>
      </c>
      <c r="AH18" s="57">
        <f t="shared" si="3"/>
        <v>0</v>
      </c>
      <c r="AI18" s="57">
        <f t="shared" si="6"/>
        <v>0</v>
      </c>
      <c r="AK18" s="59">
        <f>Assumptions!I17</f>
        <v>0</v>
      </c>
      <c r="AL18" s="59">
        <f>Assumptions!J17</f>
        <v>0</v>
      </c>
      <c r="AM18" s="59">
        <f>Assumptions!K17</f>
        <v>0</v>
      </c>
      <c r="AN18" s="59">
        <f>Assumptions!L17</f>
        <v>0</v>
      </c>
      <c r="AO18" s="60">
        <f>Assumptions!M17</f>
        <v>0</v>
      </c>
      <c r="AP18" s="60">
        <f>Assumptions!N17</f>
        <v>0</v>
      </c>
      <c r="AQ18" s="60">
        <f>Assumptions!O17</f>
        <v>1.5</v>
      </c>
      <c r="AR18" s="60">
        <f>Assumptions!P17</f>
        <v>9</v>
      </c>
      <c r="AT18" s="833" t="s">
        <v>788</v>
      </c>
      <c r="AU18" s="834">
        <f t="shared" si="7"/>
        <v>0.26</v>
      </c>
      <c r="AV18" s="834">
        <f t="shared" si="8"/>
        <v>0.11</v>
      </c>
      <c r="AW18" s="843">
        <f t="shared" si="12"/>
        <v>1.3636363636363638</v>
      </c>
      <c r="AX18" s="834">
        <f t="shared" si="9"/>
        <v>0.3</v>
      </c>
      <c r="AY18" s="843">
        <f t="shared" si="13"/>
        <v>-0.1333333333333333</v>
      </c>
      <c r="AZ18" s="834">
        <f t="shared" si="10"/>
        <v>1.3</v>
      </c>
      <c r="BA18" s="834">
        <f t="shared" si="11"/>
        <v>0.11</v>
      </c>
      <c r="BB18" s="843">
        <f t="shared" si="14"/>
        <v>10.818181818181818</v>
      </c>
      <c r="BI18" s="362"/>
      <c r="BJ18" s="37" t="str">
        <f>CONCATENATE("Consolidated Revenue for ",BB36," came in at Rs. ",ROUND(BB43,0),"mn",IF(BD43&gt;0," (up by "," (down by "),ROUND(BD43*100,0),"% yoy)")</f>
        <v>Consolidated Revenue for 12MFY26 came in at Rs. 53614mn (up by 20% yoy)</v>
      </c>
      <c r="BQ18" s="37" t="s">
        <v>1966</v>
      </c>
    </row>
    <row r="19" spans="2:69" s="38" customFormat="1" ht="12.6" customHeight="1" x14ac:dyDescent="0.2">
      <c r="B19" s="362">
        <f t="shared" si="4"/>
        <v>18</v>
      </c>
      <c r="C19" s="56" t="s">
        <v>558</v>
      </c>
      <c r="D19" s="61"/>
      <c r="E19" s="57"/>
      <c r="F19" s="57"/>
      <c r="G19" s="57"/>
      <c r="H19" s="57"/>
      <c r="I19" s="288">
        <v>0</v>
      </c>
      <c r="J19" s="288">
        <v>0</v>
      </c>
      <c r="K19" s="288">
        <v>0</v>
      </c>
      <c r="L19" s="288">
        <v>0</v>
      </c>
      <c r="M19" s="888">
        <v>0</v>
      </c>
      <c r="N19" s="888">
        <v>0</v>
      </c>
      <c r="O19" s="888">
        <v>0</v>
      </c>
      <c r="P19" s="66">
        <v>0</v>
      </c>
      <c r="Q19" s="881">
        <v>0</v>
      </c>
      <c r="R19" s="931">
        <v>0</v>
      </c>
      <c r="S19" s="931">
        <v>0</v>
      </c>
      <c r="T19" s="931">
        <v>0</v>
      </c>
      <c r="U19" s="931">
        <v>0</v>
      </c>
      <c r="V19" s="931">
        <v>0</v>
      </c>
      <c r="W19" s="931">
        <v>0</v>
      </c>
      <c r="X19" s="931"/>
      <c r="Y19" s="931"/>
      <c r="Z19" s="931"/>
      <c r="AA19" s="931"/>
      <c r="AB19" s="931"/>
      <c r="AC19" s="70"/>
      <c r="AD19" s="893">
        <f t="shared" si="5"/>
        <v>0</v>
      </c>
      <c r="AE19" s="1002"/>
      <c r="AF19" s="57">
        <f t="shared" si="1"/>
        <v>0</v>
      </c>
      <c r="AG19" s="57">
        <f t="shared" si="2"/>
        <v>0</v>
      </c>
      <c r="AH19" s="57">
        <f t="shared" si="3"/>
        <v>0</v>
      </c>
      <c r="AI19" s="57">
        <f t="shared" si="6"/>
        <v>0</v>
      </c>
      <c r="AK19" s="59">
        <f>Assumptions!I18</f>
        <v>0</v>
      </c>
      <c r="AL19" s="59">
        <f>Assumptions!J18</f>
        <v>0</v>
      </c>
      <c r="AM19" s="59">
        <f>Assumptions!K18</f>
        <v>0</v>
      </c>
      <c r="AN19" s="59">
        <f>Assumptions!L18</f>
        <v>0</v>
      </c>
      <c r="AO19" s="60">
        <f>Assumptions!M18</f>
        <v>0</v>
      </c>
      <c r="AP19" s="60">
        <f>Assumptions!N18</f>
        <v>10.050000000000001</v>
      </c>
      <c r="AQ19" s="60">
        <f>Assumptions!O18</f>
        <v>16.5</v>
      </c>
      <c r="AR19" s="60">
        <f>Assumptions!P18</f>
        <v>21</v>
      </c>
      <c r="AT19" s="835" t="s">
        <v>789</v>
      </c>
      <c r="AU19" s="836">
        <f t="shared" si="7"/>
        <v>0</v>
      </c>
      <c r="AV19" s="836">
        <f t="shared" si="8"/>
        <v>0</v>
      </c>
      <c r="AW19" s="844" t="str">
        <f t="shared" si="12"/>
        <v xml:space="preserve"> </v>
      </c>
      <c r="AX19" s="836">
        <f t="shared" si="9"/>
        <v>0</v>
      </c>
      <c r="AY19" s="844" t="str">
        <f t="shared" si="13"/>
        <v xml:space="preserve"> </v>
      </c>
      <c r="AZ19" s="836">
        <f t="shared" si="10"/>
        <v>0</v>
      </c>
      <c r="BA19" s="836">
        <f t="shared" si="11"/>
        <v>0</v>
      </c>
      <c r="BB19" s="844" t="str">
        <f t="shared" si="14"/>
        <v xml:space="preserve"> </v>
      </c>
      <c r="BI19" s="362"/>
      <c r="BJ19" s="37" t="str">
        <f>CONCATENATE("Consolidated EBITDA for ",BB36," came in at Rs. ",ROUND(BB44,0),"mn",IF(BD44&gt;0," (up by "," (down by "),ROUND(BD44*100,0),"% yoy)")</f>
        <v>Consolidated EBITDA for 12MFY26 came in at Rs. 26037mn (up by 15% yoy)</v>
      </c>
    </row>
    <row r="20" spans="2:69" s="38" customFormat="1" ht="12.6" customHeight="1" x14ac:dyDescent="0.2">
      <c r="B20" s="362">
        <f t="shared" si="4"/>
        <v>19</v>
      </c>
      <c r="C20" s="56" t="s">
        <v>760</v>
      </c>
      <c r="D20" s="61"/>
      <c r="E20" s="57"/>
      <c r="F20" s="57"/>
      <c r="G20" s="57"/>
      <c r="H20" s="57"/>
      <c r="I20" s="288">
        <v>0</v>
      </c>
      <c r="J20" s="288">
        <v>0</v>
      </c>
      <c r="K20" s="288">
        <v>0</v>
      </c>
      <c r="L20" s="288">
        <v>0</v>
      </c>
      <c r="M20" s="888">
        <v>0</v>
      </c>
      <c r="N20" s="888">
        <v>0</v>
      </c>
      <c r="O20" s="888">
        <v>0</v>
      </c>
      <c r="P20" s="66">
        <v>0</v>
      </c>
      <c r="Q20" s="881">
        <v>0</v>
      </c>
      <c r="R20" s="931">
        <v>0</v>
      </c>
      <c r="S20" s="931">
        <v>0</v>
      </c>
      <c r="T20" s="931">
        <v>0</v>
      </c>
      <c r="U20" s="931">
        <v>0</v>
      </c>
      <c r="V20" s="931">
        <v>0</v>
      </c>
      <c r="W20" s="931">
        <v>0</v>
      </c>
      <c r="X20" s="931"/>
      <c r="Y20" s="931"/>
      <c r="Z20" s="931"/>
      <c r="AA20" s="931"/>
      <c r="AB20" s="931"/>
      <c r="AC20" s="70"/>
      <c r="AD20" s="893">
        <f t="shared" si="5"/>
        <v>0</v>
      </c>
      <c r="AE20" s="1002"/>
      <c r="AF20" s="57">
        <f t="shared" si="1"/>
        <v>0</v>
      </c>
      <c r="AG20" s="57">
        <f t="shared" si="2"/>
        <v>0</v>
      </c>
      <c r="AH20" s="57">
        <f t="shared" si="3"/>
        <v>0</v>
      </c>
      <c r="AI20" s="57">
        <f t="shared" si="6"/>
        <v>0</v>
      </c>
      <c r="AK20" s="59">
        <f>Assumptions!I19</f>
        <v>0</v>
      </c>
      <c r="AL20" s="59">
        <f>Assumptions!J19</f>
        <v>0</v>
      </c>
      <c r="AM20" s="59">
        <f>Assumptions!K19</f>
        <v>0</v>
      </c>
      <c r="AN20" s="59">
        <f>Assumptions!L19</f>
        <v>0</v>
      </c>
      <c r="AO20" s="60">
        <f>Assumptions!M19</f>
        <v>0</v>
      </c>
      <c r="AP20" s="60">
        <f>Assumptions!N19</f>
        <v>12</v>
      </c>
      <c r="AQ20" s="60">
        <f>Assumptions!O19</f>
        <v>18</v>
      </c>
      <c r="AR20" s="60">
        <f>Assumptions!P19</f>
        <v>18</v>
      </c>
      <c r="AT20" s="833" t="s">
        <v>558</v>
      </c>
      <c r="AU20" s="834">
        <f t="shared" si="7"/>
        <v>0</v>
      </c>
      <c r="AV20" s="834">
        <f t="shared" si="8"/>
        <v>0</v>
      </c>
      <c r="AW20" s="843" t="str">
        <f t="shared" si="12"/>
        <v xml:space="preserve"> </v>
      </c>
      <c r="AX20" s="834">
        <f t="shared" si="9"/>
        <v>0</v>
      </c>
      <c r="AY20" s="843" t="str">
        <f t="shared" si="13"/>
        <v xml:space="preserve"> </v>
      </c>
      <c r="AZ20" s="834">
        <f t="shared" si="10"/>
        <v>0</v>
      </c>
      <c r="BA20" s="834">
        <f t="shared" si="11"/>
        <v>0</v>
      </c>
      <c r="BB20" s="843" t="str">
        <f t="shared" si="14"/>
        <v xml:space="preserve"> </v>
      </c>
      <c r="BI20" s="362"/>
    </row>
    <row r="21" spans="2:69" s="38" customFormat="1" ht="12.6" customHeight="1" x14ac:dyDescent="0.2">
      <c r="B21" s="362">
        <f t="shared" si="4"/>
        <v>20</v>
      </c>
      <c r="C21" s="56" t="s">
        <v>761</v>
      </c>
      <c r="D21" s="61"/>
      <c r="E21" s="57"/>
      <c r="F21" s="57"/>
      <c r="G21" s="57"/>
      <c r="H21" s="57"/>
      <c r="I21" s="288">
        <v>0</v>
      </c>
      <c r="J21" s="288">
        <v>0</v>
      </c>
      <c r="K21" s="288">
        <v>0</v>
      </c>
      <c r="L21" s="288">
        <v>0</v>
      </c>
      <c r="M21" s="888">
        <v>0</v>
      </c>
      <c r="N21" s="888">
        <v>0</v>
      </c>
      <c r="O21" s="888">
        <v>0</v>
      </c>
      <c r="P21" s="66">
        <v>0</v>
      </c>
      <c r="Q21" s="881">
        <v>0</v>
      </c>
      <c r="R21" s="931">
        <v>0</v>
      </c>
      <c r="S21" s="931">
        <v>0</v>
      </c>
      <c r="T21" s="931">
        <v>0</v>
      </c>
      <c r="U21" s="931">
        <v>0</v>
      </c>
      <c r="V21" s="931">
        <v>0</v>
      </c>
      <c r="W21" s="931">
        <v>0</v>
      </c>
      <c r="X21" s="931"/>
      <c r="Y21" s="931"/>
      <c r="Z21" s="931"/>
      <c r="AA21" s="931"/>
      <c r="AB21" s="931"/>
      <c r="AC21" s="70"/>
      <c r="AD21" s="893">
        <f t="shared" si="5"/>
        <v>0</v>
      </c>
      <c r="AE21" s="1002"/>
      <c r="AF21" s="57">
        <f t="shared" si="1"/>
        <v>0</v>
      </c>
      <c r="AG21" s="57">
        <f t="shared" si="2"/>
        <v>0</v>
      </c>
      <c r="AH21" s="57">
        <f t="shared" si="3"/>
        <v>0</v>
      </c>
      <c r="AI21" s="57">
        <f t="shared" si="6"/>
        <v>0</v>
      </c>
      <c r="AK21" s="59">
        <f>Assumptions!I20</f>
        <v>0</v>
      </c>
      <c r="AL21" s="59">
        <f>Assumptions!J20</f>
        <v>0</v>
      </c>
      <c r="AM21" s="59">
        <f>Assumptions!K20</f>
        <v>0</v>
      </c>
      <c r="AN21" s="59">
        <f>Assumptions!L20</f>
        <v>0</v>
      </c>
      <c r="AO21" s="60">
        <f>Assumptions!M20</f>
        <v>0</v>
      </c>
      <c r="AP21" s="60">
        <f>Assumptions!N20</f>
        <v>0</v>
      </c>
      <c r="AQ21" s="60">
        <f>Assumptions!O20</f>
        <v>0</v>
      </c>
      <c r="AR21" s="60">
        <f>Assumptions!P20</f>
        <v>0</v>
      </c>
      <c r="AT21" s="835" t="s">
        <v>760</v>
      </c>
      <c r="AU21" s="836">
        <f t="shared" si="7"/>
        <v>0</v>
      </c>
      <c r="AV21" s="836">
        <f t="shared" si="8"/>
        <v>0</v>
      </c>
      <c r="AW21" s="844" t="str">
        <f t="shared" si="12"/>
        <v xml:space="preserve"> </v>
      </c>
      <c r="AX21" s="836">
        <f t="shared" si="9"/>
        <v>0</v>
      </c>
      <c r="AY21" s="844" t="str">
        <f t="shared" si="13"/>
        <v xml:space="preserve"> </v>
      </c>
      <c r="AZ21" s="836">
        <f t="shared" si="10"/>
        <v>0</v>
      </c>
      <c r="BA21" s="836">
        <f t="shared" si="11"/>
        <v>0</v>
      </c>
      <c r="BB21" s="844" t="str">
        <f t="shared" si="14"/>
        <v xml:space="preserve"> </v>
      </c>
      <c r="BI21" s="362"/>
      <c r="BJ21" s="37" t="str">
        <f>CONCATENATE("Consolidated PAT for ",BB36," came in at Rs. ",ROUND(BB46,0),"mn",IF(BD46&gt;0," (up by "," (down by "),ROUND(BD46*100,0),"% yoy)")</f>
        <v>Consolidated PAT for 12MFY26 came in at Rs. 15233mn (up by 1% yoy)</v>
      </c>
    </row>
    <row r="22" spans="2:69" s="38" customFormat="1" ht="12.6" customHeight="1" x14ac:dyDescent="0.2">
      <c r="B22" s="362">
        <f t="shared" si="4"/>
        <v>21</v>
      </c>
      <c r="C22" s="56" t="s">
        <v>664</v>
      </c>
      <c r="D22" s="61"/>
      <c r="E22" s="57"/>
      <c r="F22" s="57"/>
      <c r="G22" s="57"/>
      <c r="H22" s="57"/>
      <c r="I22" s="288">
        <v>0</v>
      </c>
      <c r="J22" s="288">
        <v>0</v>
      </c>
      <c r="K22" s="288">
        <v>0</v>
      </c>
      <c r="L22" s="288">
        <v>0</v>
      </c>
      <c r="M22" s="888">
        <v>0</v>
      </c>
      <c r="N22" s="888">
        <v>0</v>
      </c>
      <c r="O22" s="888">
        <v>0</v>
      </c>
      <c r="P22" s="66">
        <v>0</v>
      </c>
      <c r="Q22" s="881">
        <v>0</v>
      </c>
      <c r="R22" s="931">
        <v>0</v>
      </c>
      <c r="S22" s="931">
        <v>0</v>
      </c>
      <c r="T22" s="931">
        <v>0</v>
      </c>
      <c r="U22" s="931">
        <v>0</v>
      </c>
      <c r="V22" s="931">
        <v>0</v>
      </c>
      <c r="W22" s="931">
        <v>0</v>
      </c>
      <c r="X22" s="931"/>
      <c r="Y22" s="931"/>
      <c r="Z22" s="931"/>
      <c r="AA22" s="931"/>
      <c r="AB22" s="931"/>
      <c r="AC22" s="70"/>
      <c r="AD22" s="893">
        <f t="shared" si="5"/>
        <v>0</v>
      </c>
      <c r="AE22" s="1002"/>
      <c r="AF22" s="57">
        <f t="shared" si="1"/>
        <v>0</v>
      </c>
      <c r="AG22" s="57">
        <f t="shared" si="2"/>
        <v>0</v>
      </c>
      <c r="AH22" s="57">
        <f t="shared" si="3"/>
        <v>0</v>
      </c>
      <c r="AI22" s="57">
        <f t="shared" si="6"/>
        <v>0</v>
      </c>
      <c r="AK22" s="59">
        <f>Assumptions!I21</f>
        <v>0</v>
      </c>
      <c r="AL22" s="59">
        <f>Assumptions!J21</f>
        <v>0</v>
      </c>
      <c r="AM22" s="59">
        <f>Assumptions!K21</f>
        <v>0</v>
      </c>
      <c r="AN22" s="59">
        <f>Assumptions!L21</f>
        <v>0</v>
      </c>
      <c r="AO22" s="60">
        <f>Assumptions!M21</f>
        <v>0</v>
      </c>
      <c r="AP22" s="60">
        <f>Assumptions!N21</f>
        <v>0</v>
      </c>
      <c r="AQ22" s="60">
        <f>Assumptions!O21</f>
        <v>0</v>
      </c>
      <c r="AR22" s="60">
        <f>Assumptions!P21</f>
        <v>8.25</v>
      </c>
      <c r="AT22" s="833" t="s">
        <v>761</v>
      </c>
      <c r="AU22" s="834">
        <f t="shared" si="7"/>
        <v>0</v>
      </c>
      <c r="AV22" s="834">
        <f t="shared" si="8"/>
        <v>0</v>
      </c>
      <c r="AW22" s="843" t="str">
        <f t="shared" si="12"/>
        <v xml:space="preserve"> </v>
      </c>
      <c r="AX22" s="834">
        <f t="shared" si="9"/>
        <v>0</v>
      </c>
      <c r="AY22" s="843" t="str">
        <f t="shared" si="13"/>
        <v xml:space="preserve"> </v>
      </c>
      <c r="AZ22" s="834">
        <f t="shared" si="10"/>
        <v>0</v>
      </c>
      <c r="BA22" s="834">
        <f t="shared" si="11"/>
        <v>0</v>
      </c>
      <c r="BB22" s="843" t="str">
        <f t="shared" si="14"/>
        <v xml:space="preserve"> </v>
      </c>
    </row>
    <row r="23" spans="2:69" s="38" customFormat="1" ht="12.6" customHeight="1" x14ac:dyDescent="0.2">
      <c r="B23" s="362">
        <f t="shared" si="4"/>
        <v>22</v>
      </c>
      <c r="C23" s="56" t="s">
        <v>707</v>
      </c>
      <c r="D23" s="61"/>
      <c r="E23" s="57"/>
      <c r="F23" s="57"/>
      <c r="G23" s="57"/>
      <c r="H23" s="57"/>
      <c r="I23" s="288">
        <v>0</v>
      </c>
      <c r="J23" s="288">
        <v>0</v>
      </c>
      <c r="K23" s="288">
        <v>0</v>
      </c>
      <c r="L23" s="288">
        <v>0</v>
      </c>
      <c r="M23" s="888">
        <v>0</v>
      </c>
      <c r="N23" s="888">
        <v>0</v>
      </c>
      <c r="O23" s="888">
        <v>0</v>
      </c>
      <c r="P23" s="66">
        <v>0</v>
      </c>
      <c r="Q23" s="881">
        <v>0</v>
      </c>
      <c r="R23" s="931">
        <v>0</v>
      </c>
      <c r="S23" s="931">
        <v>0</v>
      </c>
      <c r="T23" s="931">
        <v>0</v>
      </c>
      <c r="U23" s="931">
        <v>0</v>
      </c>
      <c r="V23" s="931">
        <v>0</v>
      </c>
      <c r="W23" s="931">
        <v>0</v>
      </c>
      <c r="X23" s="931"/>
      <c r="Y23" s="931"/>
      <c r="Z23" s="931"/>
      <c r="AA23" s="931"/>
      <c r="AB23" s="931"/>
      <c r="AC23" s="70"/>
      <c r="AD23" s="893">
        <f t="shared" si="5"/>
        <v>0</v>
      </c>
      <c r="AE23" s="1002"/>
      <c r="AF23" s="57">
        <f t="shared" si="1"/>
        <v>0</v>
      </c>
      <c r="AG23" s="57">
        <f t="shared" si="2"/>
        <v>0</v>
      </c>
      <c r="AH23" s="57">
        <f t="shared" si="3"/>
        <v>0</v>
      </c>
      <c r="AI23" s="57">
        <f t="shared" si="6"/>
        <v>0</v>
      </c>
      <c r="AK23" s="59">
        <f>Assumptions!I22</f>
        <v>0</v>
      </c>
      <c r="AL23" s="59">
        <f>Assumptions!J22</f>
        <v>0</v>
      </c>
      <c r="AM23" s="59">
        <f>Assumptions!K22</f>
        <v>0</v>
      </c>
      <c r="AN23" s="59">
        <f>Assumptions!L22</f>
        <v>0</v>
      </c>
      <c r="AO23" s="60">
        <f>Assumptions!M22</f>
        <v>0</v>
      </c>
      <c r="AP23" s="60">
        <f>Assumptions!N22</f>
        <v>0</v>
      </c>
      <c r="AQ23" s="60">
        <f>Assumptions!O22</f>
        <v>0</v>
      </c>
      <c r="AR23" s="60">
        <f>Assumptions!P22</f>
        <v>10.8</v>
      </c>
      <c r="AT23" s="835" t="s">
        <v>664</v>
      </c>
      <c r="AU23" s="836">
        <f t="shared" si="7"/>
        <v>0</v>
      </c>
      <c r="AV23" s="836">
        <f t="shared" si="8"/>
        <v>0</v>
      </c>
      <c r="AW23" s="844" t="str">
        <f t="shared" si="12"/>
        <v xml:space="preserve"> </v>
      </c>
      <c r="AX23" s="836">
        <f t="shared" si="9"/>
        <v>0</v>
      </c>
      <c r="AY23" s="844" t="str">
        <f t="shared" si="13"/>
        <v xml:space="preserve"> </v>
      </c>
      <c r="AZ23" s="836">
        <f t="shared" si="10"/>
        <v>0</v>
      </c>
      <c r="BA23" s="836">
        <f t="shared" si="11"/>
        <v>0</v>
      </c>
      <c r="BB23" s="844" t="str">
        <f t="shared" si="14"/>
        <v xml:space="preserve"> </v>
      </c>
      <c r="BI23" s="362"/>
      <c r="BJ23" s="37" t="str">
        <f t="shared" ref="BJ23:BJ30" si="15">CONCATENATE("- ",BJ5,". ",BJ14)</f>
        <v>- Cargo Volumes for 4QFY26 came in at 32MT (up by 2% yoy). Cargo Volumes for 12MFY26 came in at 122MT (up by 5% yoy)</v>
      </c>
    </row>
    <row r="24" spans="2:69" s="38" customFormat="1" ht="12.6" customHeight="1" x14ac:dyDescent="0.2">
      <c r="B24" s="362">
        <f t="shared" si="4"/>
        <v>23</v>
      </c>
      <c r="C24" s="56" t="s">
        <v>472</v>
      </c>
      <c r="D24" s="61"/>
      <c r="E24" s="57"/>
      <c r="F24" s="57"/>
      <c r="G24" s="57"/>
      <c r="H24" s="57"/>
      <c r="I24" s="288">
        <v>0</v>
      </c>
      <c r="J24" s="288">
        <v>0</v>
      </c>
      <c r="K24" s="288">
        <v>0</v>
      </c>
      <c r="L24" s="288">
        <v>0</v>
      </c>
      <c r="M24" s="888">
        <v>0</v>
      </c>
      <c r="N24" s="888">
        <v>0</v>
      </c>
      <c r="O24" s="888">
        <v>0</v>
      </c>
      <c r="P24" s="66">
        <v>0</v>
      </c>
      <c r="Q24" s="881">
        <v>0</v>
      </c>
      <c r="R24" s="931">
        <v>0</v>
      </c>
      <c r="S24" s="931">
        <v>0</v>
      </c>
      <c r="T24" s="931">
        <v>0</v>
      </c>
      <c r="U24" s="931">
        <v>0</v>
      </c>
      <c r="V24" s="931">
        <v>0</v>
      </c>
      <c r="W24" s="931">
        <v>0</v>
      </c>
      <c r="X24" s="931"/>
      <c r="Y24" s="931"/>
      <c r="Z24" s="931"/>
      <c r="AA24" s="931"/>
      <c r="AB24" s="931"/>
      <c r="AC24" s="70"/>
      <c r="AD24" s="893">
        <f t="shared" si="5"/>
        <v>0</v>
      </c>
      <c r="AE24" s="1002"/>
      <c r="AF24" s="57">
        <f t="shared" si="1"/>
        <v>0</v>
      </c>
      <c r="AG24" s="57">
        <f t="shared" si="2"/>
        <v>0</v>
      </c>
      <c r="AH24" s="57">
        <f t="shared" si="3"/>
        <v>0</v>
      </c>
      <c r="AI24" s="57">
        <f t="shared" si="6"/>
        <v>0</v>
      </c>
      <c r="AK24" s="59">
        <f>Assumptions!I23</f>
        <v>0</v>
      </c>
      <c r="AL24" s="59">
        <f>Assumptions!J23</f>
        <v>0</v>
      </c>
      <c r="AM24" s="59">
        <f>Assumptions!K23</f>
        <v>0</v>
      </c>
      <c r="AN24" s="59">
        <f>Assumptions!L23</f>
        <v>0</v>
      </c>
      <c r="AO24" s="60">
        <f>Assumptions!M23</f>
        <v>1.1024999999999998</v>
      </c>
      <c r="AP24" s="60">
        <f>Assumptions!N23</f>
        <v>2.2049999999999996</v>
      </c>
      <c r="AQ24" s="60">
        <f>Assumptions!O23</f>
        <v>3.78</v>
      </c>
      <c r="AR24" s="60">
        <f>Assumptions!P23</f>
        <v>4.4099999999999993</v>
      </c>
      <c r="AT24" s="833" t="s">
        <v>707</v>
      </c>
      <c r="AU24" s="834">
        <f t="shared" si="7"/>
        <v>0</v>
      </c>
      <c r="AV24" s="834">
        <f t="shared" si="8"/>
        <v>0</v>
      </c>
      <c r="AW24" s="843" t="str">
        <f t="shared" si="12"/>
        <v xml:space="preserve"> </v>
      </c>
      <c r="AX24" s="834">
        <f t="shared" si="9"/>
        <v>0</v>
      </c>
      <c r="AY24" s="843" t="str">
        <f t="shared" si="13"/>
        <v xml:space="preserve"> </v>
      </c>
      <c r="AZ24" s="834">
        <f t="shared" si="10"/>
        <v>0</v>
      </c>
      <c r="BA24" s="834">
        <f t="shared" si="11"/>
        <v>0</v>
      </c>
      <c r="BB24" s="843" t="str">
        <f t="shared" si="14"/>
        <v xml:space="preserve"> </v>
      </c>
      <c r="BI24" s="840"/>
      <c r="BJ24" s="37" t="str">
        <f t="shared" si="15"/>
        <v>- Revenue per tonne for 4QFY26 came in at Rs. 408/tn (up by 11% yoy). Revenue per tonne for 12MFY26 came in at Rs. 382/tn (up by 5% yoy)</v>
      </c>
    </row>
    <row r="25" spans="2:69" s="38" customFormat="1" ht="12.6" customHeight="1" x14ac:dyDescent="0.2">
      <c r="B25" s="362">
        <f t="shared" si="4"/>
        <v>24</v>
      </c>
      <c r="C25" s="56" t="s">
        <v>472</v>
      </c>
      <c r="D25" s="61"/>
      <c r="E25" s="57"/>
      <c r="F25" s="57"/>
      <c r="G25" s="57"/>
      <c r="H25" s="57"/>
      <c r="I25" s="288">
        <v>0</v>
      </c>
      <c r="J25" s="288">
        <v>0</v>
      </c>
      <c r="K25" s="288">
        <v>0</v>
      </c>
      <c r="L25" s="288">
        <v>0</v>
      </c>
      <c r="M25" s="888">
        <v>0</v>
      </c>
      <c r="N25" s="888">
        <v>0</v>
      </c>
      <c r="O25" s="888">
        <v>0</v>
      </c>
      <c r="P25" s="66">
        <v>0</v>
      </c>
      <c r="Q25" s="881">
        <v>0</v>
      </c>
      <c r="R25" s="931">
        <v>0</v>
      </c>
      <c r="S25" s="931">
        <v>0</v>
      </c>
      <c r="T25" s="931">
        <v>0</v>
      </c>
      <c r="U25" s="931">
        <v>0</v>
      </c>
      <c r="V25" s="931">
        <v>0</v>
      </c>
      <c r="W25" s="931">
        <v>0</v>
      </c>
      <c r="X25" s="931"/>
      <c r="Y25" s="931"/>
      <c r="Z25" s="931"/>
      <c r="AA25" s="931"/>
      <c r="AB25" s="931"/>
      <c r="AC25" s="70"/>
      <c r="AD25" s="893">
        <f t="shared" si="5"/>
        <v>0</v>
      </c>
      <c r="AE25" s="1002"/>
      <c r="AF25" s="57">
        <f t="shared" si="1"/>
        <v>0</v>
      </c>
      <c r="AG25" s="57">
        <f t="shared" si="2"/>
        <v>0</v>
      </c>
      <c r="AH25" s="57">
        <f t="shared" si="3"/>
        <v>0</v>
      </c>
      <c r="AI25" s="57">
        <f t="shared" si="6"/>
        <v>0</v>
      </c>
      <c r="AK25" s="59">
        <f>Assumptions!I24</f>
        <v>0</v>
      </c>
      <c r="AL25" s="59">
        <f>Assumptions!J24</f>
        <v>0</v>
      </c>
      <c r="AM25" s="59">
        <f>Assumptions!K24</f>
        <v>0</v>
      </c>
      <c r="AN25" s="59">
        <f>Assumptions!L24</f>
        <v>0</v>
      </c>
      <c r="AO25" s="60">
        <f ca="1">Assumptions!M24</f>
        <v>0</v>
      </c>
      <c r="AP25" s="60">
        <f ca="1">Assumptions!N24</f>
        <v>0</v>
      </c>
      <c r="AQ25" s="60">
        <f>Assumptions!O24</f>
        <v>3</v>
      </c>
      <c r="AR25" s="60">
        <f>Assumptions!P24</f>
        <v>6</v>
      </c>
      <c r="AT25" s="835" t="s">
        <v>472</v>
      </c>
      <c r="AU25" s="836">
        <f t="shared" si="7"/>
        <v>0</v>
      </c>
      <c r="AV25" s="836">
        <f t="shared" si="8"/>
        <v>0</v>
      </c>
      <c r="AW25" s="844" t="str">
        <f t="shared" si="12"/>
        <v xml:space="preserve"> </v>
      </c>
      <c r="AX25" s="836">
        <f t="shared" si="9"/>
        <v>0</v>
      </c>
      <c r="AY25" s="844" t="str">
        <f t="shared" si="13"/>
        <v xml:space="preserve"> </v>
      </c>
      <c r="AZ25" s="836">
        <f t="shared" si="10"/>
        <v>0</v>
      </c>
      <c r="BA25" s="836">
        <f t="shared" si="11"/>
        <v>0</v>
      </c>
      <c r="BB25" s="844" t="str">
        <f t="shared" si="14"/>
        <v xml:space="preserve"> </v>
      </c>
      <c r="BI25" s="362"/>
      <c r="BJ25" s="37" t="str">
        <f t="shared" si="15"/>
        <v>- EBITDA per tonne for 4QFY26 came in at Rs. 222/tn (up by 11% yoy). EBITDA per tonne for 12MFY26 came in at Rs. 214/tn (up by 10% yoy)</v>
      </c>
    </row>
    <row r="26" spans="2:69" s="38" customFormat="1" ht="12.6" customHeight="1" x14ac:dyDescent="0.2">
      <c r="B26" s="362">
        <f t="shared" si="4"/>
        <v>25</v>
      </c>
      <c r="C26" s="56" t="s">
        <v>472</v>
      </c>
      <c r="D26" s="61"/>
      <c r="E26" s="57"/>
      <c r="F26" s="57"/>
      <c r="G26" s="57"/>
      <c r="H26" s="57"/>
      <c r="I26" s="288">
        <v>0</v>
      </c>
      <c r="J26" s="288">
        <v>0</v>
      </c>
      <c r="K26" s="288">
        <v>0</v>
      </c>
      <c r="L26" s="288">
        <v>0</v>
      </c>
      <c r="M26" s="888">
        <v>0</v>
      </c>
      <c r="N26" s="888">
        <v>0</v>
      </c>
      <c r="O26" s="888">
        <v>0</v>
      </c>
      <c r="P26" s="66">
        <v>0</v>
      </c>
      <c r="Q26" s="881">
        <v>0</v>
      </c>
      <c r="R26" s="931">
        <v>0</v>
      </c>
      <c r="S26" s="931">
        <v>0</v>
      </c>
      <c r="T26" s="931">
        <v>0</v>
      </c>
      <c r="U26" s="931">
        <v>0</v>
      </c>
      <c r="V26" s="931">
        <v>0</v>
      </c>
      <c r="W26" s="931">
        <v>0</v>
      </c>
      <c r="X26" s="931"/>
      <c r="Y26" s="931"/>
      <c r="Z26" s="931"/>
      <c r="AA26" s="931"/>
      <c r="AB26" s="931"/>
      <c r="AC26" s="70"/>
      <c r="AD26" s="893">
        <f t="shared" si="5"/>
        <v>0</v>
      </c>
      <c r="AE26" s="1002"/>
      <c r="AF26" s="57">
        <f t="shared" si="1"/>
        <v>0</v>
      </c>
      <c r="AG26" s="57">
        <f t="shared" si="2"/>
        <v>0</v>
      </c>
      <c r="AH26" s="57">
        <f t="shared" si="3"/>
        <v>0</v>
      </c>
      <c r="AI26" s="57">
        <f t="shared" si="6"/>
        <v>0</v>
      </c>
      <c r="AK26" s="59">
        <f>Assumptions!I25</f>
        <v>0</v>
      </c>
      <c r="AL26" s="59">
        <f>Assumptions!J25</f>
        <v>0</v>
      </c>
      <c r="AM26" s="59">
        <f>Assumptions!K25</f>
        <v>0</v>
      </c>
      <c r="AN26" s="59">
        <f>Assumptions!L25</f>
        <v>0</v>
      </c>
      <c r="AO26" s="60">
        <f>Assumptions!M25</f>
        <v>0</v>
      </c>
      <c r="AP26" s="60">
        <f>Assumptions!N25</f>
        <v>0</v>
      </c>
      <c r="AQ26" s="60">
        <f>Assumptions!O25</f>
        <v>0</v>
      </c>
      <c r="AR26" s="60">
        <f>Assumptions!P25</f>
        <v>0</v>
      </c>
      <c r="AT26" s="833" t="s">
        <v>472</v>
      </c>
      <c r="AU26" s="834">
        <f t="shared" si="7"/>
        <v>0</v>
      </c>
      <c r="AV26" s="834">
        <f t="shared" si="8"/>
        <v>0</v>
      </c>
      <c r="AW26" s="843" t="str">
        <f t="shared" si="12"/>
        <v xml:space="preserve"> </v>
      </c>
      <c r="AX26" s="834">
        <f t="shared" si="9"/>
        <v>0</v>
      </c>
      <c r="AY26" s="843" t="str">
        <f t="shared" si="13"/>
        <v xml:space="preserve"> </v>
      </c>
      <c r="AZ26" s="834">
        <f t="shared" si="10"/>
        <v>0</v>
      </c>
      <c r="BA26" s="834">
        <f t="shared" si="11"/>
        <v>0</v>
      </c>
      <c r="BB26" s="843" t="str">
        <f t="shared" si="14"/>
        <v xml:space="preserve"> </v>
      </c>
      <c r="BI26" s="840" t="s">
        <v>1574</v>
      </c>
      <c r="BJ26" s="37" t="str">
        <f t="shared" si="15"/>
        <v xml:space="preserve">- Third party cargo mix came in at 46% in 4QFY26 vs 50% in 4QFY25 and 50% in 3QFY26. </v>
      </c>
    </row>
    <row r="27" spans="2:69" s="38" customFormat="1" ht="12.6" customHeight="1" x14ac:dyDescent="0.2">
      <c r="B27" s="362">
        <f t="shared" si="4"/>
        <v>26</v>
      </c>
      <c r="C27" s="56" t="s">
        <v>472</v>
      </c>
      <c r="D27" s="61"/>
      <c r="E27" s="57"/>
      <c r="F27" s="57"/>
      <c r="G27" s="57"/>
      <c r="H27" s="57"/>
      <c r="I27" s="288">
        <v>0</v>
      </c>
      <c r="J27" s="288">
        <v>0</v>
      </c>
      <c r="K27" s="288">
        <v>0</v>
      </c>
      <c r="L27" s="288">
        <v>0</v>
      </c>
      <c r="M27" s="888">
        <v>0</v>
      </c>
      <c r="N27" s="888">
        <v>0</v>
      </c>
      <c r="O27" s="888">
        <v>0</v>
      </c>
      <c r="P27" s="66">
        <v>0</v>
      </c>
      <c r="Q27" s="881">
        <v>0</v>
      </c>
      <c r="R27" s="931">
        <v>0</v>
      </c>
      <c r="S27" s="931">
        <v>0</v>
      </c>
      <c r="T27" s="931">
        <v>0</v>
      </c>
      <c r="U27" s="931">
        <v>0</v>
      </c>
      <c r="V27" s="931">
        <v>0</v>
      </c>
      <c r="W27" s="931">
        <v>0</v>
      </c>
      <c r="X27" s="931"/>
      <c r="Y27" s="931"/>
      <c r="Z27" s="931"/>
      <c r="AA27" s="931"/>
      <c r="AB27" s="931"/>
      <c r="AC27" s="70"/>
      <c r="AD27" s="893">
        <f t="shared" si="5"/>
        <v>0</v>
      </c>
      <c r="AE27" s="1002"/>
      <c r="AF27" s="57">
        <f t="shared" si="1"/>
        <v>0</v>
      </c>
      <c r="AG27" s="57">
        <f t="shared" si="2"/>
        <v>0</v>
      </c>
      <c r="AH27" s="57">
        <f t="shared" si="3"/>
        <v>0</v>
      </c>
      <c r="AI27" s="57">
        <f t="shared" si="6"/>
        <v>0</v>
      </c>
      <c r="AK27" s="59">
        <f>Assumptions!I26</f>
        <v>0</v>
      </c>
      <c r="AL27" s="59">
        <f>Assumptions!J26</f>
        <v>0</v>
      </c>
      <c r="AM27" s="59">
        <f>Assumptions!K26</f>
        <v>0</v>
      </c>
      <c r="AN27" s="59">
        <f>Assumptions!L26</f>
        <v>0</v>
      </c>
      <c r="AO27" s="60">
        <f>Assumptions!M26</f>
        <v>0</v>
      </c>
      <c r="AP27" s="60">
        <f>Assumptions!N26</f>
        <v>0</v>
      </c>
      <c r="AQ27" s="60">
        <f>Assumptions!O26</f>
        <v>0</v>
      </c>
      <c r="AR27" s="60">
        <f>Assumptions!P26</f>
        <v>0</v>
      </c>
      <c r="AT27" s="835" t="s">
        <v>472</v>
      </c>
      <c r="AU27" s="836">
        <f t="shared" si="7"/>
        <v>0</v>
      </c>
      <c r="AV27" s="836">
        <f t="shared" si="8"/>
        <v>0</v>
      </c>
      <c r="AW27" s="844" t="str">
        <f t="shared" si="12"/>
        <v xml:space="preserve"> </v>
      </c>
      <c r="AX27" s="836">
        <f t="shared" si="9"/>
        <v>0</v>
      </c>
      <c r="AY27" s="844" t="str">
        <f t="shared" si="13"/>
        <v xml:space="preserve"> </v>
      </c>
      <c r="AZ27" s="836">
        <f t="shared" si="10"/>
        <v>0</v>
      </c>
      <c r="BA27" s="836">
        <f t="shared" si="11"/>
        <v>0</v>
      </c>
      <c r="BB27" s="844" t="str">
        <f t="shared" si="14"/>
        <v xml:space="preserve"> </v>
      </c>
      <c r="BI27" s="362"/>
      <c r="BJ27" s="37" t="str">
        <f t="shared" si="15"/>
        <v>- Consolidated Revenue for 4QFY26 came in at Rs. 15223mn (up by 19% yoy). Consolidated Revenue for 12MFY26 came in at Rs. 53614mn (up by 20% yoy)</v>
      </c>
    </row>
    <row r="28" spans="2:69" s="77" customFormat="1" ht="12.6" customHeight="1" x14ac:dyDescent="0.2">
      <c r="B28" s="362">
        <f t="shared" si="4"/>
        <v>27</v>
      </c>
      <c r="C28" s="56" t="s">
        <v>111</v>
      </c>
      <c r="D28" s="57"/>
      <c r="E28" s="57"/>
      <c r="F28" s="57"/>
      <c r="G28" s="57"/>
      <c r="H28" s="57"/>
      <c r="I28" s="57">
        <f t="shared" ref="I28:N28" si="16">I29-SUM(I4:I27)</f>
        <v>0.10000000000000142</v>
      </c>
      <c r="J28" s="57">
        <f t="shared" si="16"/>
        <v>0</v>
      </c>
      <c r="K28" s="57">
        <f t="shared" si="16"/>
        <v>-0.19999999999999574</v>
      </c>
      <c r="L28" s="57">
        <f t="shared" si="16"/>
        <v>-0.30000000000000071</v>
      </c>
      <c r="M28" s="66">
        <f t="shared" si="16"/>
        <v>-0.39999999999999503</v>
      </c>
      <c r="N28" s="66">
        <f t="shared" si="16"/>
        <v>0.19999999999999929</v>
      </c>
      <c r="O28" s="66">
        <f t="shared" ref="O28:X28" si="17">O29-SUM(O4:O27)</f>
        <v>0.19999999999999574</v>
      </c>
      <c r="P28" s="66">
        <f t="shared" si="17"/>
        <v>0</v>
      </c>
      <c r="Q28" s="66">
        <f t="shared" si="17"/>
        <v>-0.19999999999999929</v>
      </c>
      <c r="R28" s="66">
        <f t="shared" si="17"/>
        <v>0</v>
      </c>
      <c r="S28" s="66">
        <f t="shared" si="17"/>
        <v>-0.10000000000000142</v>
      </c>
      <c r="T28" s="66">
        <f t="shared" si="17"/>
        <v>-5.0000000000004263E-2</v>
      </c>
      <c r="U28" s="66">
        <f t="shared" si="17"/>
        <v>-0.30000000000000426</v>
      </c>
      <c r="V28" s="66">
        <f t="shared" si="17"/>
        <v>9.9999999999980105E-3</v>
      </c>
      <c r="W28" s="66">
        <f t="shared" si="17"/>
        <v>-2.0000000000006679E-2</v>
      </c>
      <c r="X28" s="66">
        <f t="shared" si="17"/>
        <v>7.9999999999998295E-2</v>
      </c>
      <c r="Y28" s="66">
        <f t="shared" ref="Y28:AB28" si="18">Y29-SUM(Y4:Y27)</f>
        <v>0</v>
      </c>
      <c r="Z28" s="66">
        <f t="shared" si="18"/>
        <v>0</v>
      </c>
      <c r="AA28" s="66">
        <f t="shared" si="18"/>
        <v>0</v>
      </c>
      <c r="AB28" s="66">
        <f t="shared" si="18"/>
        <v>0</v>
      </c>
      <c r="AC28" s="75"/>
      <c r="AD28" s="66"/>
      <c r="AE28" s="1002"/>
      <c r="AF28" s="57">
        <f t="shared" si="1"/>
        <v>-0.39999999999999503</v>
      </c>
      <c r="AG28" s="57">
        <f t="shared" si="2"/>
        <v>0</v>
      </c>
      <c r="AH28" s="57">
        <f t="shared" si="3"/>
        <v>-0.35000000000000497</v>
      </c>
      <c r="AI28" s="57">
        <f t="shared" si="6"/>
        <v>-0.23000000000001464</v>
      </c>
      <c r="AK28" s="59">
        <v>0</v>
      </c>
      <c r="AL28" s="59">
        <v>0</v>
      </c>
      <c r="AM28" s="59">
        <v>0</v>
      </c>
      <c r="AN28" s="59">
        <v>0</v>
      </c>
      <c r="AO28" s="60">
        <v>0</v>
      </c>
      <c r="AP28" s="60">
        <v>0</v>
      </c>
      <c r="AQ28" s="60">
        <v>0</v>
      </c>
      <c r="AR28" s="60">
        <v>0</v>
      </c>
      <c r="AT28" s="833" t="s">
        <v>472</v>
      </c>
      <c r="AU28" s="834">
        <f t="shared" si="7"/>
        <v>0</v>
      </c>
      <c r="AV28" s="834">
        <f t="shared" si="8"/>
        <v>0</v>
      </c>
      <c r="AW28" s="843" t="str">
        <f t="shared" si="12"/>
        <v xml:space="preserve"> </v>
      </c>
      <c r="AX28" s="834">
        <f t="shared" si="9"/>
        <v>0</v>
      </c>
      <c r="AY28" s="843" t="str">
        <f t="shared" si="13"/>
        <v xml:space="preserve"> </v>
      </c>
      <c r="AZ28" s="834">
        <f t="shared" si="10"/>
        <v>0</v>
      </c>
      <c r="BA28" s="834">
        <f t="shared" si="11"/>
        <v>0</v>
      </c>
      <c r="BB28" s="843" t="str">
        <f t="shared" si="14"/>
        <v xml:space="preserve"> </v>
      </c>
      <c r="BI28" s="362"/>
      <c r="BJ28" s="37" t="str">
        <f t="shared" si="15"/>
        <v>- Consolidated EBITDA for 4QFY26 came in at Rs. 7692mn (up by 20% yoy). Consolidated EBITDA for 12MFY26 came in at Rs. 26037mn (up by 15% yoy)</v>
      </c>
    </row>
    <row r="29" spans="2:69" ht="12" x14ac:dyDescent="0.2">
      <c r="B29" s="362">
        <f t="shared" si="4"/>
        <v>28</v>
      </c>
      <c r="C29" s="95" t="s">
        <v>226</v>
      </c>
      <c r="D29" s="57"/>
      <c r="E29" s="57"/>
      <c r="F29" s="57"/>
      <c r="G29" s="57"/>
      <c r="H29" s="57"/>
      <c r="I29" s="74">
        <v>23.400000000000002</v>
      </c>
      <c r="J29" s="74">
        <v>18.7</v>
      </c>
      <c r="K29" s="74">
        <v>24</v>
      </c>
      <c r="L29" s="63">
        <v>26.8</v>
      </c>
      <c r="M29" s="74">
        <v>25.400000000000002</v>
      </c>
      <c r="N29" s="74">
        <v>23.7</v>
      </c>
      <c r="O29" s="74">
        <v>28.1</v>
      </c>
      <c r="P29" s="74">
        <v>29.9</v>
      </c>
      <c r="Q29" s="74">
        <v>28.1</v>
      </c>
      <c r="R29" s="74">
        <f>27.5</f>
        <v>27.5</v>
      </c>
      <c r="S29" s="74">
        <v>29.4</v>
      </c>
      <c r="T29" s="74">
        <v>31.2</v>
      </c>
      <c r="U29" s="74">
        <v>29.4</v>
      </c>
      <c r="V29" s="74">
        <v>28.87</v>
      </c>
      <c r="W29" s="74">
        <v>31.7</v>
      </c>
      <c r="X29" s="74">
        <v>31.7</v>
      </c>
      <c r="Y29" s="74"/>
      <c r="Z29" s="74"/>
      <c r="AA29" s="74"/>
      <c r="AB29" s="74"/>
      <c r="AC29" s="1173"/>
      <c r="AD29" s="979">
        <f>SUM(AD4:AD27)</f>
        <v>31</v>
      </c>
      <c r="AE29" s="1002"/>
      <c r="AF29" s="63">
        <f t="shared" si="1"/>
        <v>92.899999999999991</v>
      </c>
      <c r="AG29" s="63">
        <f t="shared" si="2"/>
        <v>107.1</v>
      </c>
      <c r="AH29" s="63">
        <f t="shared" si="3"/>
        <v>116.2</v>
      </c>
      <c r="AI29" s="63">
        <f t="shared" si="6"/>
        <v>121.67</v>
      </c>
      <c r="AK29" s="72">
        <f>Assumptions!I27</f>
        <v>92.810997683220748</v>
      </c>
      <c r="AL29" s="72">
        <f>Assumptions!J27</f>
        <v>107.03816244451822</v>
      </c>
      <c r="AM29" s="72">
        <f>Assumptions!K27</f>
        <v>117</v>
      </c>
      <c r="AN29" s="72">
        <f>Assumptions!L27</f>
        <v>120.73999999999998</v>
      </c>
      <c r="AO29" s="73">
        <f ca="1">Assumptions!M27</f>
        <v>127.95611000000002</v>
      </c>
      <c r="AP29" s="73">
        <f ca="1">Assumptions!N27</f>
        <v>168.54703450000002</v>
      </c>
      <c r="AQ29" s="73">
        <f ca="1">Assumptions!O27</f>
        <v>196.93431247500004</v>
      </c>
      <c r="AR29" s="73">
        <f ca="1">Assumptions!P27</f>
        <v>237.39015313675003</v>
      </c>
      <c r="AT29" s="835" t="s">
        <v>111</v>
      </c>
      <c r="AU29" s="836">
        <f t="shared" si="7"/>
        <v>7.9999999999998295E-2</v>
      </c>
      <c r="AV29" s="836">
        <f t="shared" si="8"/>
        <v>-5.0000000000004263E-2</v>
      </c>
      <c r="AW29" s="844"/>
      <c r="AX29" s="836">
        <f t="shared" si="9"/>
        <v>-2.0000000000006679E-2</v>
      </c>
      <c r="AY29" s="844"/>
      <c r="AZ29" s="836">
        <f t="shared" si="10"/>
        <v>-0.23000000000001464</v>
      </c>
      <c r="BA29" s="836">
        <f t="shared" si="11"/>
        <v>-0.35000000000000497</v>
      </c>
      <c r="BB29" s="844"/>
      <c r="BI29" s="362"/>
      <c r="BJ29" s="37" t="str">
        <f t="shared" si="15"/>
        <v xml:space="preserve">- Consolidated EBITDA margin came in at 51% in 4QFY26 vs 50% in 4QFY25 and 48% in 3QFY26. </v>
      </c>
    </row>
    <row r="30" spans="2:69" ht="12.6" customHeight="1" x14ac:dyDescent="0.2">
      <c r="B30" s="362">
        <f t="shared" si="4"/>
        <v>29</v>
      </c>
      <c r="C30" s="95"/>
      <c r="D30" s="57"/>
      <c r="E30" s="57"/>
      <c r="F30" s="57"/>
      <c r="G30" s="57"/>
      <c r="H30" s="57"/>
      <c r="I30" s="74"/>
      <c r="J30" s="74"/>
      <c r="K30" s="74"/>
      <c r="L30" s="63"/>
      <c r="M30" s="74"/>
      <c r="N30" s="74"/>
      <c r="O30" s="74"/>
      <c r="P30" s="74"/>
      <c r="Q30" s="78"/>
      <c r="R30" s="78"/>
      <c r="S30" s="78"/>
      <c r="T30" s="78"/>
      <c r="U30" s="78"/>
      <c r="V30" s="78"/>
      <c r="W30" s="78"/>
      <c r="X30" s="78"/>
      <c r="Y30" s="78"/>
      <c r="Z30" s="78"/>
      <c r="AA30" s="78"/>
      <c r="AB30" s="78"/>
      <c r="AC30" s="1174"/>
      <c r="AD30" s="335"/>
      <c r="AE30" s="80"/>
      <c r="AF30" s="74"/>
      <c r="AG30" s="74"/>
      <c r="AH30" s="74"/>
      <c r="AI30" s="74"/>
      <c r="AK30" s="59"/>
      <c r="AL30" s="59"/>
      <c r="AM30" s="59"/>
      <c r="AN30" s="59"/>
      <c r="AO30" s="60"/>
      <c r="AP30" s="60"/>
      <c r="AQ30" s="60"/>
      <c r="AR30" s="60"/>
      <c r="AT30" s="837" t="s">
        <v>551</v>
      </c>
      <c r="AU30" s="838">
        <f t="shared" si="7"/>
        <v>31.7</v>
      </c>
      <c r="AV30" s="838">
        <f t="shared" si="8"/>
        <v>31.2</v>
      </c>
      <c r="AW30" s="845">
        <f t="shared" si="12"/>
        <v>1.6025641025640969E-2</v>
      </c>
      <c r="AX30" s="838">
        <f t="shared" si="9"/>
        <v>31.7</v>
      </c>
      <c r="AY30" s="845">
        <f t="shared" si="13"/>
        <v>0</v>
      </c>
      <c r="AZ30" s="838">
        <f t="shared" si="10"/>
        <v>121.67</v>
      </c>
      <c r="BA30" s="838">
        <f t="shared" si="11"/>
        <v>116.2</v>
      </c>
      <c r="BB30" s="845">
        <f t="shared" si="14"/>
        <v>4.7074010327022409E-2</v>
      </c>
      <c r="BD30" s="352"/>
      <c r="BI30" s="362"/>
      <c r="BJ30" s="37" t="str">
        <f t="shared" si="15"/>
        <v>- Consolidated PAT for 4QFY26 came in at Rs. 4183mn (down by -18% yoy). Consolidated PAT for 12MFY26 came in at Rs. 15233mn (up by 1% yoy)</v>
      </c>
      <c r="BQ30" s="37" t="s">
        <v>1967</v>
      </c>
    </row>
    <row r="31" spans="2:69" ht="12.6" customHeight="1" x14ac:dyDescent="0.2">
      <c r="B31" s="362">
        <f t="shared" si="4"/>
        <v>30</v>
      </c>
      <c r="C31" s="56" t="s">
        <v>299</v>
      </c>
      <c r="D31" s="57"/>
      <c r="E31" s="57"/>
      <c r="F31" s="57"/>
      <c r="G31" s="57"/>
      <c r="H31" s="57"/>
      <c r="I31" s="66">
        <f>21-SUM(J31:K31)</f>
        <v>7</v>
      </c>
      <c r="J31" s="66">
        <v>6.6</v>
      </c>
      <c r="K31" s="66">
        <v>7.4</v>
      </c>
      <c r="L31" s="57">
        <v>10</v>
      </c>
      <c r="M31" s="66">
        <f>28.8-SUM(N31:O31)</f>
        <v>9.3000000000000007</v>
      </c>
      <c r="N31" s="66">
        <v>8.6</v>
      </c>
      <c r="O31" s="66">
        <v>10.9</v>
      </c>
      <c r="P31" s="66">
        <v>13.5</v>
      </c>
      <c r="Q31" s="66">
        <v>14.1</v>
      </c>
      <c r="R31" s="66">
        <v>13.4</v>
      </c>
      <c r="S31" s="66">
        <v>14.3</v>
      </c>
      <c r="T31" s="66">
        <v>15.5</v>
      </c>
      <c r="U31" s="66">
        <v>15.3</v>
      </c>
      <c r="V31" s="66">
        <v>13.2</v>
      </c>
      <c r="W31" s="66">
        <v>15.7</v>
      </c>
      <c r="X31" s="66">
        <v>14.6</v>
      </c>
      <c r="Y31" s="66"/>
      <c r="Z31" s="66"/>
      <c r="AA31" s="66"/>
      <c r="AB31" s="66"/>
      <c r="AC31" s="79"/>
      <c r="AD31" s="66"/>
      <c r="AE31" s="80"/>
      <c r="AF31" s="63">
        <f>IF(AF$1="3M",I31,IF(AF$1="6M",SUM(I31:J31),IF(AF$1="9M",SUM(I31:K31),SUM(I31:L31))))</f>
        <v>31</v>
      </c>
      <c r="AG31" s="63">
        <f>IF(AG$1="3M",M31,IF(AG$1="6M",SUM(M31:N31),IF(AG$1="9M",SUM(M31:O31),SUM(M31:P31))))</f>
        <v>42.3</v>
      </c>
      <c r="AH31" s="63">
        <f>IF(AH$1="3M",Q31,IF(AH$1="6M",SUM(Q31:R31),IF(AH$1="9M",SUM(Q31:S31),SUM(Q31:T31))))</f>
        <v>57.3</v>
      </c>
      <c r="AI31" s="63">
        <f>IF(AI$1="3M",U31,IF(AI$1="6M",SUM(U31:V31),IF(AI$1="9M",SUM(U31:W31),SUM(U31:X31))))</f>
        <v>58.800000000000004</v>
      </c>
      <c r="AJ31" s="352">
        <f>+AI31/AH31-1</f>
        <v>2.6178010471204383E-2</v>
      </c>
      <c r="AK31" s="59"/>
      <c r="AL31" s="59"/>
      <c r="AM31" s="59"/>
      <c r="AN31" s="59"/>
      <c r="AO31" s="60"/>
      <c r="AP31" s="60"/>
      <c r="AQ31" s="60"/>
      <c r="AR31" s="60"/>
      <c r="AT31" s="835"/>
      <c r="AU31" s="836"/>
      <c r="AV31" s="836"/>
      <c r="AW31" s="844"/>
      <c r="AX31" s="836"/>
      <c r="AY31" s="844"/>
      <c r="AZ31" s="836"/>
      <c r="BA31" s="836"/>
      <c r="BB31" s="844"/>
      <c r="BI31" s="362"/>
      <c r="BJ31" s="37" t="str">
        <f>CONCATENATE("- ",AD129)</f>
        <v>- Consolidated CFO Post tax for FY26 came in at Rs. 20215mn (down by -4% yoy)</v>
      </c>
    </row>
    <row r="32" spans="2:69" ht="12.6" customHeight="1" x14ac:dyDescent="0.2">
      <c r="B32" s="362">
        <f t="shared" si="4"/>
        <v>31</v>
      </c>
      <c r="C32" s="56" t="s">
        <v>300</v>
      </c>
      <c r="D32" s="57"/>
      <c r="E32" s="57"/>
      <c r="F32" s="57"/>
      <c r="G32" s="57"/>
      <c r="H32" s="57"/>
      <c r="I32" s="115">
        <f t="shared" ref="I32:N32" si="19">I31/I29</f>
        <v>0.29914529914529914</v>
      </c>
      <c r="J32" s="115">
        <f t="shared" si="19"/>
        <v>0.3529411764705882</v>
      </c>
      <c r="K32" s="115">
        <f t="shared" si="19"/>
        <v>0.30833333333333335</v>
      </c>
      <c r="L32" s="115">
        <f t="shared" si="19"/>
        <v>0.37313432835820892</v>
      </c>
      <c r="M32" s="115">
        <f t="shared" si="19"/>
        <v>0.36614173228346458</v>
      </c>
      <c r="N32" s="115">
        <f t="shared" si="19"/>
        <v>0.3628691983122363</v>
      </c>
      <c r="O32" s="115">
        <f t="shared" ref="O32:X32" si="20">O31/O29</f>
        <v>0.38790035587188609</v>
      </c>
      <c r="P32" s="115">
        <f t="shared" si="20"/>
        <v>0.45150501672240806</v>
      </c>
      <c r="Q32" s="115">
        <f t="shared" si="20"/>
        <v>0.50177935943060492</v>
      </c>
      <c r="R32" s="115">
        <f>R31/R29</f>
        <v>0.4872727272727273</v>
      </c>
      <c r="S32" s="115">
        <f t="shared" si="20"/>
        <v>0.48639455782312929</v>
      </c>
      <c r="T32" s="115">
        <f t="shared" si="20"/>
        <v>0.49679487179487181</v>
      </c>
      <c r="U32" s="115">
        <f t="shared" si="20"/>
        <v>0.52040816326530615</v>
      </c>
      <c r="V32" s="115">
        <f t="shared" si="20"/>
        <v>0.45722202978870796</v>
      </c>
      <c r="W32" s="115">
        <f t="shared" si="20"/>
        <v>0.4952681388012618</v>
      </c>
      <c r="X32" s="115">
        <f t="shared" si="20"/>
        <v>0.4605678233438486</v>
      </c>
      <c r="Y32" s="115" t="e">
        <f t="shared" ref="Y32:AB32" si="21">Y31/Y29</f>
        <v>#DIV/0!</v>
      </c>
      <c r="Z32" s="115" t="e">
        <f t="shared" si="21"/>
        <v>#DIV/0!</v>
      </c>
      <c r="AA32" s="115" t="e">
        <f t="shared" si="21"/>
        <v>#DIV/0!</v>
      </c>
      <c r="AB32" s="115" t="e">
        <f t="shared" si="21"/>
        <v>#DIV/0!</v>
      </c>
      <c r="AC32" s="79"/>
      <c r="AD32" s="115"/>
      <c r="AE32" s="80"/>
      <c r="AF32" s="884">
        <f>AF31/AF29</f>
        <v>0.33369214208826697</v>
      </c>
      <c r="AG32" s="884">
        <f>AG31/AG29</f>
        <v>0.3949579831932773</v>
      </c>
      <c r="AH32" s="884">
        <f>AH31/AH29</f>
        <v>0.49311531841652317</v>
      </c>
      <c r="AI32" s="884">
        <f>AI31/AI29</f>
        <v>0.48327443083751132</v>
      </c>
      <c r="AK32" s="59"/>
      <c r="AL32" s="59"/>
      <c r="AM32" s="59"/>
      <c r="AN32" s="59"/>
      <c r="AO32" s="60"/>
      <c r="AP32" s="60"/>
      <c r="AQ32" s="60"/>
      <c r="AR32" s="60"/>
      <c r="AT32" s="837" t="s">
        <v>1594</v>
      </c>
      <c r="AU32" s="882">
        <f>HLOOKUP(AU$3,$B$2:$AI$103,$B32,0)</f>
        <v>0.4605678233438486</v>
      </c>
      <c r="AV32" s="882">
        <f>HLOOKUP(AV$3,$B$2:$AI$103,$B32,0)</f>
        <v>0.49679487179487181</v>
      </c>
      <c r="AW32" s="883"/>
      <c r="AX32" s="882">
        <f>HLOOKUP(AX$3,$B$2:$AI$103,$B32,0)</f>
        <v>0.4952681388012618</v>
      </c>
      <c r="AY32" s="883"/>
      <c r="AZ32" s="882">
        <f>HLOOKUP(AZ$1,$B$2:$AI$103,$B32,0)</f>
        <v>0.48327443083751132</v>
      </c>
      <c r="BA32" s="882">
        <f>HLOOKUP(BA$1,$B$2:$AI$103,$B32,0)</f>
        <v>0.49311531841652317</v>
      </c>
      <c r="BB32" s="845"/>
      <c r="BI32" s="362"/>
      <c r="BJ32" s="37" t="str">
        <f>CONCATENATE("- ",AD130)</f>
        <v>- Consolidated CAPEX for FY26 came in at Rs. 24916mn (up by 20% yoy)</v>
      </c>
    </row>
    <row r="33" spans="2:62" ht="12.6" customHeight="1" x14ac:dyDescent="0.2">
      <c r="B33" s="362">
        <f t="shared" si="4"/>
        <v>32</v>
      </c>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40"/>
      <c r="AD33" s="57"/>
      <c r="AE33" s="82"/>
      <c r="AF33" s="57"/>
      <c r="AG33" s="57"/>
      <c r="AH33" s="57"/>
      <c r="AI33" s="57"/>
      <c r="AJ33" s="37">
        <f>+AH29-AH31</f>
        <v>58.900000000000006</v>
      </c>
      <c r="AK33" s="59"/>
      <c r="AL33" s="59"/>
      <c r="AM33" s="59"/>
      <c r="AN33" s="59"/>
      <c r="AO33" s="60"/>
      <c r="AP33" s="60"/>
      <c r="AQ33" s="60"/>
      <c r="AR33" s="60"/>
      <c r="BI33" s="362"/>
      <c r="BJ33" s="37" t="str">
        <f>CONCATENATE("- ",AD131)</f>
        <v>- Consolidated Borrowings for FY26 came in at Rs. 64099mn (up by 38% yoy)</v>
      </c>
    </row>
    <row r="34" spans="2:62" ht="12.6" customHeight="1" x14ac:dyDescent="0.2">
      <c r="B34" s="362">
        <f t="shared" si="4"/>
        <v>33</v>
      </c>
      <c r="C34" s="95" t="s">
        <v>893</v>
      </c>
      <c r="D34" s="61" t="s">
        <v>1544</v>
      </c>
      <c r="E34" s="57"/>
      <c r="F34" s="57"/>
      <c r="G34" s="57"/>
      <c r="H34" s="57"/>
      <c r="I34" s="57">
        <f>I66/I29</f>
        <v>350.29914529914527</v>
      </c>
      <c r="J34" s="57">
        <f>J66/J29</f>
        <v>354.01069518716577</v>
      </c>
      <c r="K34" s="57">
        <f>K66/K29</f>
        <v>332.38749999999999</v>
      </c>
      <c r="L34" s="57">
        <f>L66/L29</f>
        <v>341.52985074626866</v>
      </c>
      <c r="M34" s="57">
        <f t="shared" ref="M34:R34" si="22">M66/M29</f>
        <v>345.70866141732279</v>
      </c>
      <c r="N34" s="57">
        <f t="shared" si="22"/>
        <v>357.9367088607595</v>
      </c>
      <c r="O34" s="57">
        <f t="shared" si="22"/>
        <v>334.55871886120997</v>
      </c>
      <c r="P34" s="57">
        <f t="shared" si="22"/>
        <v>366.68227424749165</v>
      </c>
      <c r="Q34" s="57">
        <f t="shared" si="22"/>
        <v>359.34875444839861</v>
      </c>
      <c r="R34" s="57">
        <f t="shared" si="22"/>
        <v>364.13090909090909</v>
      </c>
      <c r="S34" s="57">
        <f>(S66)/S29</f>
        <v>361.5680272108844</v>
      </c>
      <c r="T34" s="57">
        <f>(T66)/T29</f>
        <v>369.31730769230774</v>
      </c>
      <c r="U34" s="57">
        <f>(U66)/U29</f>
        <v>369.28911564625855</v>
      </c>
      <c r="V34" s="57">
        <f>V107/V29</f>
        <v>382.01939729823346</v>
      </c>
      <c r="W34" s="57">
        <f>W107/W29</f>
        <v>367.13249211356469</v>
      </c>
      <c r="X34" s="57">
        <f>X107/X29</f>
        <v>408.35962145110409</v>
      </c>
      <c r="Y34" s="57" t="e">
        <f>Y107/Y29</f>
        <v>#DIV/0!</v>
      </c>
      <c r="Z34" s="57" t="e">
        <f t="shared" ref="Z34:AB34" si="23">Z107/Z29</f>
        <v>#DIV/0!</v>
      </c>
      <c r="AA34" s="57" t="e">
        <f t="shared" si="23"/>
        <v>#DIV/0!</v>
      </c>
      <c r="AB34" s="57" t="e">
        <f t="shared" si="23"/>
        <v>#DIV/0!</v>
      </c>
      <c r="AC34" s="902"/>
      <c r="AD34" s="819">
        <f>+AVERAGE(U34:W34)</f>
        <v>372.81366835268562</v>
      </c>
      <c r="AE34" s="82"/>
      <c r="AF34" s="57">
        <f>AF66/AF29</f>
        <v>343.88912809472555</v>
      </c>
      <c r="AG34" s="57">
        <f>AG66/AG29</f>
        <v>351.34453781512605</v>
      </c>
      <c r="AH34" s="57">
        <f>(AH66)/AH29</f>
        <v>363.71858864027541</v>
      </c>
      <c r="AI34" s="57">
        <f>(AI66)/AI29</f>
        <v>381.92734445631623</v>
      </c>
      <c r="AJ34" s="37">
        <f>+AI29-AI31</f>
        <v>62.87</v>
      </c>
      <c r="AK34" s="59"/>
      <c r="AL34" s="59"/>
      <c r="AM34" s="59"/>
      <c r="AN34" s="59"/>
      <c r="AO34" s="60"/>
      <c r="AP34" s="60"/>
      <c r="AQ34" s="60"/>
      <c r="AR34" s="60"/>
      <c r="BI34" s="362"/>
      <c r="BJ34" s="37" t="str">
        <f>CONCATENATE("- ",AD132)</f>
        <v>- Consolidated Working Capital Days for FY26 came in at 57 days vs 48 days yoy</v>
      </c>
    </row>
    <row r="35" spans="2:62" ht="12.6" customHeight="1" x14ac:dyDescent="0.2">
      <c r="B35" s="362">
        <f t="shared" si="4"/>
        <v>34</v>
      </c>
      <c r="C35" s="95" t="s">
        <v>894</v>
      </c>
      <c r="D35" s="61" t="s">
        <v>1544</v>
      </c>
      <c r="E35" s="57"/>
      <c r="F35" s="57"/>
      <c r="G35" s="57"/>
      <c r="H35" s="57"/>
      <c r="I35" s="57">
        <f>I76/I29</f>
        <v>184.18376068376068</v>
      </c>
      <c r="J35" s="57">
        <f t="shared" ref="J35:P35" si="24">J76/J29</f>
        <v>182.33155080213905</v>
      </c>
      <c r="K35" s="57">
        <f t="shared" si="24"/>
        <v>156.84583333333333</v>
      </c>
      <c r="L35" s="57">
        <f t="shared" si="24"/>
        <v>176.04477611940297</v>
      </c>
      <c r="M35" s="57">
        <f t="shared" si="24"/>
        <v>179.1692913385827</v>
      </c>
      <c r="N35" s="57">
        <f t="shared" si="24"/>
        <v>190.78902953586501</v>
      </c>
      <c r="O35" s="57">
        <f t="shared" si="24"/>
        <v>170.77935943060496</v>
      </c>
      <c r="P35" s="57">
        <f t="shared" si="24"/>
        <v>194.37458193979933</v>
      </c>
      <c r="Q35" s="57">
        <f>Q76/Q29</f>
        <v>183.14590747330965</v>
      </c>
      <c r="R35" s="57">
        <f>R76/R29</f>
        <v>189.28727272727275</v>
      </c>
      <c r="S35" s="57">
        <f>S76/S29</f>
        <v>199.34693877551024</v>
      </c>
      <c r="T35" s="57">
        <f t="shared" ref="T35:Y35" si="25">T118/T29</f>
        <v>200.90384615384622</v>
      </c>
      <c r="U35" s="57">
        <f t="shared" si="25"/>
        <v>190.81632653061226</v>
      </c>
      <c r="V35" s="57">
        <f t="shared" si="25"/>
        <v>202.62556286802911</v>
      </c>
      <c r="W35" s="57">
        <f t="shared" si="25"/>
        <v>192.74447949526814</v>
      </c>
      <c r="X35" s="57">
        <f t="shared" si="25"/>
        <v>222.397476340694</v>
      </c>
      <c r="Y35" s="57" t="e">
        <f t="shared" si="25"/>
        <v>#DIV/0!</v>
      </c>
      <c r="Z35" s="57" t="e">
        <f t="shared" ref="Z35:AB35" si="26">Z118/Z29</f>
        <v>#DIV/0!</v>
      </c>
      <c r="AA35" s="57" t="e">
        <f t="shared" si="26"/>
        <v>#DIV/0!</v>
      </c>
      <c r="AB35" s="57" t="e">
        <f t="shared" si="26"/>
        <v>#DIV/0!</v>
      </c>
      <c r="AC35" s="40"/>
      <c r="AD35" s="57"/>
      <c r="AE35" s="82"/>
      <c r="AF35" s="57">
        <f>AF76/AF29</f>
        <v>174.40043057050593</v>
      </c>
      <c r="AG35" s="57">
        <f>AG76/AG29</f>
        <v>183.78431372549022</v>
      </c>
      <c r="AH35" s="57">
        <f>AH76/AH29</f>
        <v>194.67986230636839</v>
      </c>
      <c r="AI35" s="57">
        <f>AI76/AI29</f>
        <v>213.99934248376758</v>
      </c>
      <c r="AJ35" s="352">
        <f>+AJ34/AJ33-1</f>
        <v>6.7402376910016937E-2</v>
      </c>
      <c r="AK35" s="59"/>
      <c r="AL35" s="59"/>
      <c r="AM35" s="59"/>
      <c r="AN35" s="59"/>
      <c r="AO35" s="60"/>
      <c r="AP35" s="60"/>
      <c r="AQ35" s="60"/>
      <c r="AR35" s="60"/>
      <c r="AT35" s="897" t="s">
        <v>1566</v>
      </c>
      <c r="AU35" s="897"/>
      <c r="AV35" s="897"/>
      <c r="AW35" s="897"/>
      <c r="AX35" s="897"/>
      <c r="AY35" s="897"/>
      <c r="AZ35" s="897"/>
      <c r="BA35" s="897"/>
      <c r="BB35" s="897"/>
      <c r="BC35" s="897"/>
      <c r="BD35" s="897"/>
    </row>
    <row r="36" spans="2:62" ht="21" customHeight="1" x14ac:dyDescent="0.2">
      <c r="B36" s="362">
        <f t="shared" si="4"/>
        <v>35</v>
      </c>
      <c r="C36" s="111" t="s">
        <v>227</v>
      </c>
      <c r="D36" s="85"/>
      <c r="E36" s="85"/>
      <c r="F36" s="85"/>
      <c r="G36" s="85"/>
      <c r="H36" s="85"/>
      <c r="I36" s="85"/>
      <c r="J36" s="85"/>
      <c r="K36" s="85"/>
      <c r="L36" s="85"/>
      <c r="M36" s="85"/>
      <c r="N36" s="85"/>
      <c r="O36" s="85"/>
      <c r="P36" s="85"/>
      <c r="Q36" s="57"/>
      <c r="R36" s="57"/>
      <c r="S36" s="57"/>
      <c r="T36" s="57"/>
      <c r="U36" s="57"/>
      <c r="V36" s="57"/>
      <c r="W36" s="57"/>
      <c r="X36" s="57"/>
      <c r="Y36" s="57"/>
      <c r="Z36" s="57"/>
      <c r="AA36" s="57"/>
      <c r="AB36" s="57"/>
      <c r="AC36" s="40"/>
      <c r="AD36" s="330"/>
      <c r="AE36" s="82"/>
      <c r="AF36" s="57"/>
      <c r="AG36" s="57"/>
      <c r="AH36" s="57"/>
      <c r="AI36" s="57"/>
      <c r="AK36" s="59"/>
      <c r="AL36" s="59"/>
      <c r="AM36" s="59"/>
      <c r="AN36" s="59"/>
      <c r="AO36" s="60"/>
      <c r="AP36" s="60"/>
      <c r="AQ36" s="60"/>
      <c r="AR36" s="60"/>
      <c r="AT36" s="898" t="str">
        <f>BI3</f>
        <v>4QFY26</v>
      </c>
      <c r="AU36" s="899" t="s">
        <v>1560</v>
      </c>
      <c r="AV36" s="899" t="s">
        <v>1561</v>
      </c>
      <c r="AW36" s="899" t="s">
        <v>639</v>
      </c>
      <c r="AX36" s="900" t="str">
        <f>BJ3</f>
        <v>4QFY25</v>
      </c>
      <c r="AY36" s="899" t="s">
        <v>1563</v>
      </c>
      <c r="AZ36" s="900" t="str">
        <f>BK3</f>
        <v>3QFY26</v>
      </c>
      <c r="BA36" s="899" t="s">
        <v>1562</v>
      </c>
      <c r="BB36" s="857" t="str">
        <f>AZ3</f>
        <v>12MFY26</v>
      </c>
      <c r="BC36" s="857" t="str">
        <f>BA3</f>
        <v>12MFY25</v>
      </c>
      <c r="BD36" s="846" t="s">
        <v>1563</v>
      </c>
      <c r="BI36" s="38" t="str">
        <f>CONCATENATE("JSW Infra ",BI3, " Results First Cut")</f>
        <v>JSW Infra 4QFY26 Results First Cut</v>
      </c>
    </row>
    <row r="37" spans="2:62" ht="12.6" customHeight="1" x14ac:dyDescent="0.2">
      <c r="B37" s="362">
        <f t="shared" si="4"/>
        <v>36</v>
      </c>
      <c r="C37" s="112" t="s">
        <v>213</v>
      </c>
      <c r="D37" s="105" t="s">
        <v>212</v>
      </c>
      <c r="E37" s="85"/>
      <c r="F37" s="85"/>
      <c r="G37" s="85"/>
      <c r="H37" s="85"/>
      <c r="I37" s="85"/>
      <c r="J37" s="85"/>
      <c r="K37" s="85"/>
      <c r="L37" s="85"/>
      <c r="M37" s="113">
        <f t="shared" ref="M37:M46" si="27">IFERROR(M4/I4-1," ")</f>
        <v>0.49999999999999978</v>
      </c>
      <c r="N37" s="113">
        <f t="shared" ref="N37:N46" si="28">IFERROR(N4/J4-1," ")</f>
        <v>-0.19999999999999996</v>
      </c>
      <c r="O37" s="113">
        <f t="shared" ref="O37:O46" si="29">IFERROR(O4/K4-1," ")</f>
        <v>-0.19999999999999996</v>
      </c>
      <c r="P37" s="113">
        <f t="shared" ref="P37:P46" si="30">IFERROR(P4/L4-1," ")</f>
        <v>0.33333333333333348</v>
      </c>
      <c r="Q37" s="113">
        <f t="shared" ref="Q37:Q46" si="31">IFERROR(Q4/M4-1," ")</f>
        <v>-0.11111111111111105</v>
      </c>
      <c r="R37" s="113">
        <f t="shared" ref="R37:R47" si="32">IFERROR(R4/N4-1," ")</f>
        <v>0.74999999999999978</v>
      </c>
      <c r="S37" s="113">
        <f t="shared" ref="S37:S47" si="33">IFERROR(S4/O4-1," ")</f>
        <v>-0.5</v>
      </c>
      <c r="T37" s="113">
        <f t="shared" ref="T37:T50" si="34">IFERROR(T4/P4-1," ")</f>
        <v>-0.35</v>
      </c>
      <c r="U37" s="113">
        <f t="shared" ref="U37:U47" si="35">IFERROR(U4/Q4-1," ")</f>
        <v>-0.12500000000000011</v>
      </c>
      <c r="V37" s="113">
        <f t="shared" ref="V37:W47" si="36">IFERROR(V4/R4-1," ")</f>
        <v>0.12857142857142878</v>
      </c>
      <c r="W37" s="113">
        <f t="shared" si="36"/>
        <v>1.1749999999999998</v>
      </c>
      <c r="X37" s="113">
        <f t="shared" ref="X37:Y47" si="37">IFERROR(X4/T4-1," ")</f>
        <v>0.28846153846153855</v>
      </c>
      <c r="Y37" s="113">
        <f t="shared" si="37"/>
        <v>-1</v>
      </c>
      <c r="Z37" s="113">
        <f t="shared" ref="Z37:Z47" si="38">IFERROR(Z4/V4-1," ")</f>
        <v>-1</v>
      </c>
      <c r="AA37" s="113">
        <f t="shared" ref="AA37:AA47" si="39">IFERROR(AA4/W4-1," ")</f>
        <v>-1</v>
      </c>
      <c r="AB37" s="113">
        <f t="shared" ref="AB37:AB47" si="40">IFERROR(AB4/X4-1," ")</f>
        <v>-1</v>
      </c>
      <c r="AC37" s="84"/>
      <c r="AD37" s="892">
        <v>0.15</v>
      </c>
      <c r="AE37" s="80"/>
      <c r="AF37" s="81" t="str">
        <f>IFERROR(AF5/#REF!-1," ")</f>
        <v xml:space="preserve"> </v>
      </c>
      <c r="AG37" s="106">
        <f t="shared" ref="AG37:AI46" si="41">IFERROR(AG4/AF4-1," ")</f>
        <v>7.4074074074074181E-2</v>
      </c>
      <c r="AH37" s="106">
        <f>IFERROR(AH4/AG4-1," ")</f>
        <v>-0.16551724137931045</v>
      </c>
      <c r="AI37" s="106">
        <f>IFERROR(AI4/AH4-1," ")</f>
        <v>0.25206611570247928</v>
      </c>
      <c r="AK37" s="59" t="str">
        <f t="shared" ref="AK37:AN46" si="42">IFERROR(AK4/AJ4-1," ")</f>
        <v xml:space="preserve"> </v>
      </c>
      <c r="AL37" s="330">
        <f t="shared" si="42"/>
        <v>-1.8518518518518601E-2</v>
      </c>
      <c r="AM37" s="330">
        <f t="shared" si="42"/>
        <v>-9.4339622641509413E-2</v>
      </c>
      <c r="AN37" s="330">
        <f t="shared" si="42"/>
        <v>0.24583333333333357</v>
      </c>
      <c r="AO37" s="940">
        <f t="shared" ref="AO37:AO45" si="43">IFERROR(AO4/AN4-1," ")</f>
        <v>2.2204460492503131E-16</v>
      </c>
      <c r="AP37" s="940">
        <f t="shared" ref="AP37:AP45" si="44">IFERROR(AP4/AO4-1," ")</f>
        <v>2.0000000000000018E-2</v>
      </c>
      <c r="AQ37" s="940">
        <f t="shared" ref="AQ37:AQ45" si="45">IFERROR(AQ4/AP4-1," ")</f>
        <v>2.0000000000000018E-2</v>
      </c>
      <c r="AR37" s="940">
        <f t="shared" ref="AR37:AR45" si="46">IFERROR(AR4/AQ4-1," ")</f>
        <v>2.0000000000000018E-2</v>
      </c>
      <c r="AT37" s="860" t="s">
        <v>1569</v>
      </c>
      <c r="AU37" s="861"/>
      <c r="AV37" s="861"/>
      <c r="AW37" s="862"/>
      <c r="AX37" s="861"/>
      <c r="AY37" s="862"/>
      <c r="AZ37" s="861"/>
      <c r="BA37" s="862"/>
      <c r="BB37" s="861"/>
      <c r="BC37" s="861"/>
      <c r="BD37" s="862"/>
      <c r="BI37" s="37" t="s">
        <v>1791</v>
      </c>
    </row>
    <row r="38" spans="2:62" ht="12.6" customHeight="1" x14ac:dyDescent="0.2">
      <c r="B38" s="362">
        <f t="shared" si="4"/>
        <v>37</v>
      </c>
      <c r="C38" s="112" t="s">
        <v>3</v>
      </c>
      <c r="D38" s="105" t="s">
        <v>217</v>
      </c>
      <c r="E38" s="85"/>
      <c r="F38" s="85"/>
      <c r="G38" s="85"/>
      <c r="H38" s="85"/>
      <c r="I38" s="85"/>
      <c r="J38" s="85"/>
      <c r="K38" s="85"/>
      <c r="L38" s="85"/>
      <c r="M38" s="113">
        <f t="shared" si="27"/>
        <v>3.5087719298245723E-2</v>
      </c>
      <c r="N38" s="113">
        <f t="shared" si="28"/>
        <v>0.34210526315789469</v>
      </c>
      <c r="O38" s="113">
        <f t="shared" si="29"/>
        <v>9.6153846153846256E-2</v>
      </c>
      <c r="P38" s="113">
        <f t="shared" si="30"/>
        <v>-0.12499999999999989</v>
      </c>
      <c r="Q38" s="113">
        <f t="shared" si="31"/>
        <v>-0.22033898305084754</v>
      </c>
      <c r="R38" s="113">
        <f t="shared" si="32"/>
        <v>1.9607843137255054E-2</v>
      </c>
      <c r="S38" s="113">
        <f>IFERROR(S5/O5-1," ")</f>
        <v>-0.10526315789473695</v>
      </c>
      <c r="T38" s="113">
        <f t="shared" si="34"/>
        <v>4.0816326530610514E-3</v>
      </c>
      <c r="U38" s="113">
        <f t="shared" si="35"/>
        <v>-6.5217391304347783E-2</v>
      </c>
      <c r="V38" s="113">
        <f t="shared" si="36"/>
        <v>5.0000000000000044E-2</v>
      </c>
      <c r="W38" s="113">
        <f t="shared" si="36"/>
        <v>3.3333333333333215E-2</v>
      </c>
      <c r="X38" s="113">
        <f t="shared" si="37"/>
        <v>6.9105691056910556E-2</v>
      </c>
      <c r="Y38" s="113">
        <f t="shared" si="37"/>
        <v>-1</v>
      </c>
      <c r="Z38" s="113">
        <f t="shared" si="38"/>
        <v>-1</v>
      </c>
      <c r="AA38" s="113">
        <f t="shared" si="39"/>
        <v>-1</v>
      </c>
      <c r="AB38" s="113">
        <f t="shared" si="40"/>
        <v>-1</v>
      </c>
      <c r="AC38" s="40"/>
      <c r="AD38" s="892">
        <v>0.2</v>
      </c>
      <c r="AE38" s="80"/>
      <c r="AF38" s="81" t="str">
        <f>IFERROR(AF6/#REF!-1," ")</f>
        <v xml:space="preserve"> </v>
      </c>
      <c r="AG38" s="106">
        <f t="shared" si="41"/>
        <v>6.4039408866995329E-2</v>
      </c>
      <c r="AH38" s="106">
        <f>IFERROR(AH5/AG5-1," ")</f>
        <v>-8.2407407407407485E-2</v>
      </c>
      <c r="AI38" s="106">
        <f>IFERROR(AI5/AH5-1," ")</f>
        <v>2.3713420787083717E-2</v>
      </c>
      <c r="AK38" s="59" t="str">
        <f t="shared" si="42"/>
        <v xml:space="preserve"> </v>
      </c>
      <c r="AL38" s="330">
        <f t="shared" si="42"/>
        <v>6.2904580718485814E-2</v>
      </c>
      <c r="AM38" s="330">
        <f t="shared" si="42"/>
        <v>-7.4848907484890925E-2</v>
      </c>
      <c r="AN38" s="330">
        <f t="shared" si="42"/>
        <v>1.8592964824120761E-2</v>
      </c>
      <c r="AO38" s="940">
        <f t="shared" si="43"/>
        <v>4.0000000000000036E-2</v>
      </c>
      <c r="AP38" s="940">
        <f t="shared" si="44"/>
        <v>0.24774050320670948</v>
      </c>
      <c r="AQ38" s="940">
        <f t="shared" si="45"/>
        <v>9.9999999999999867E-2</v>
      </c>
      <c r="AR38" s="940">
        <f t="shared" si="46"/>
        <v>5.0000000000000044E-2</v>
      </c>
      <c r="AT38" s="869" t="s">
        <v>1571</v>
      </c>
      <c r="AU38" s="878">
        <f>HLOOKUP(AT$36,$B$2:$AI$103,$B34,0)</f>
        <v>408.35962145110409</v>
      </c>
      <c r="AV38" s="876"/>
      <c r="AW38" s="877"/>
      <c r="AX38" s="878">
        <f>HLOOKUP(AX$36,$B$2:$AI$103,$B34,0)</f>
        <v>369.31730769230774</v>
      </c>
      <c r="AY38" s="879">
        <f>AU38/AX38-1</f>
        <v>0.10571482285180078</v>
      </c>
      <c r="AZ38" s="878">
        <f>HLOOKUP(AZ$36,$B$2:$AI$103,$B34,0)</f>
        <v>367.13249211356469</v>
      </c>
      <c r="BA38" s="877">
        <f>AU38/AZ38-1</f>
        <v>0.1122949622361038</v>
      </c>
      <c r="BB38" s="878">
        <f>HLOOKUP(AZ$1,$B$2:$AI$103,$B34,0)</f>
        <v>381.92734445631623</v>
      </c>
      <c r="BC38" s="878">
        <f>HLOOKUP(BA$1,$B$2:$AI$103,$B34,0)</f>
        <v>363.71858864027541</v>
      </c>
      <c r="BD38" s="877">
        <f>BB38/BC38-1</f>
        <v>5.0062758365230664E-2</v>
      </c>
      <c r="BI38" s="37" t="s">
        <v>1792</v>
      </c>
    </row>
    <row r="39" spans="2:62" ht="12.6" customHeight="1" x14ac:dyDescent="0.2">
      <c r="B39" s="362">
        <f t="shared" si="4"/>
        <v>38</v>
      </c>
      <c r="C39" s="112" t="s">
        <v>790</v>
      </c>
      <c r="D39" s="105" t="s">
        <v>218</v>
      </c>
      <c r="E39" s="85"/>
      <c r="F39" s="85"/>
      <c r="G39" s="85"/>
      <c r="H39" s="85"/>
      <c r="I39" s="85"/>
      <c r="J39" s="85"/>
      <c r="K39" s="85"/>
      <c r="L39" s="85"/>
      <c r="M39" s="113">
        <f t="shared" si="27"/>
        <v>0.13793103448275845</v>
      </c>
      <c r="N39" s="113">
        <f t="shared" si="28"/>
        <v>0.32608695652173925</v>
      </c>
      <c r="O39" s="113">
        <f t="shared" si="29"/>
        <v>-7.3529411764705843E-2</v>
      </c>
      <c r="P39" s="113">
        <f t="shared" si="30"/>
        <v>-0.11594202898550732</v>
      </c>
      <c r="Q39" s="113">
        <f t="shared" si="31"/>
        <v>-0.22727272727272729</v>
      </c>
      <c r="R39" s="113">
        <f t="shared" si="32"/>
        <v>-3.2786885245901565E-2</v>
      </c>
      <c r="S39" s="113">
        <f t="shared" si="33"/>
        <v>-4.7619047619047561E-2</v>
      </c>
      <c r="T39" s="113">
        <f t="shared" si="34"/>
        <v>3.2786885245903452E-3</v>
      </c>
      <c r="U39" s="113">
        <f t="shared" si="35"/>
        <v>7.8431372549019773E-2</v>
      </c>
      <c r="V39" s="113">
        <f t="shared" si="36"/>
        <v>4.237288135593209E-2</v>
      </c>
      <c r="W39" s="113">
        <f t="shared" si="36"/>
        <v>8.0000000000000071E-2</v>
      </c>
      <c r="X39" s="113">
        <f t="shared" si="37"/>
        <v>5.0653594771241872E-2</v>
      </c>
      <c r="Y39" s="113">
        <f t="shared" si="37"/>
        <v>-1</v>
      </c>
      <c r="Z39" s="113">
        <f t="shared" si="38"/>
        <v>-1</v>
      </c>
      <c r="AA39" s="113">
        <f t="shared" si="39"/>
        <v>-1</v>
      </c>
      <c r="AB39" s="113">
        <f t="shared" si="40"/>
        <v>-1</v>
      </c>
      <c r="AC39" s="84"/>
      <c r="AD39" s="892">
        <v>0.1</v>
      </c>
      <c r="AE39" s="84"/>
      <c r="AF39" s="81" t="str">
        <f>IFERROR(AF7/#REF!-1," ")</f>
        <v xml:space="preserve"> </v>
      </c>
      <c r="AG39" s="106">
        <f t="shared" si="41"/>
        <v>4.1493775933610033E-2</v>
      </c>
      <c r="AH39" s="106">
        <f t="shared" si="41"/>
        <v>-7.8884462151394441E-2</v>
      </c>
      <c r="AI39" s="106">
        <f t="shared" si="41"/>
        <v>6.2283737024221519E-2</v>
      </c>
      <c r="AK39" s="59" t="str">
        <f t="shared" si="42"/>
        <v xml:space="preserve"> </v>
      </c>
      <c r="AL39" s="330">
        <f t="shared" si="42"/>
        <v>4.6192259675405856E-2</v>
      </c>
      <c r="AM39" s="330">
        <f t="shared" si="42"/>
        <v>-8.1145584725537012E-2</v>
      </c>
      <c r="AN39" s="330">
        <f t="shared" si="42"/>
        <v>6.1904761904761907E-2</v>
      </c>
      <c r="AO39" s="940">
        <f t="shared" si="43"/>
        <v>3.8726457399103076E-2</v>
      </c>
      <c r="AP39" s="940">
        <f t="shared" si="44"/>
        <v>0.24208201268761798</v>
      </c>
      <c r="AQ39" s="940">
        <f t="shared" si="45"/>
        <v>9.7450091948357631E-2</v>
      </c>
      <c r="AR39" s="940">
        <f t="shared" si="46"/>
        <v>2.9302954711922347E-2</v>
      </c>
      <c r="AT39" s="870" t="s">
        <v>1572</v>
      </c>
      <c r="AU39" s="865">
        <f>HLOOKUP(AT$36,$B$2:$AI$103,$B35,0)</f>
        <v>222.397476340694</v>
      </c>
      <c r="AV39" s="865"/>
      <c r="AW39" s="866"/>
      <c r="AX39" s="865">
        <f>HLOOKUP(AX$36,$B$2:$AI$103,$B35,0)</f>
        <v>200.90384615384622</v>
      </c>
      <c r="AY39" s="880">
        <f>AU39/AX39-1</f>
        <v>0.10698466255538275</v>
      </c>
      <c r="AZ39" s="865">
        <f>HLOOKUP(AZ$36,$B$2:$AI$103,$B35,0)</f>
        <v>192.74447949526814</v>
      </c>
      <c r="BA39" s="867">
        <f>AU39/AZ39-1</f>
        <v>0.15384615384615374</v>
      </c>
      <c r="BB39" s="865">
        <f>HLOOKUP(AZ$1,$B$2:$AI$103,$B35,0)</f>
        <v>213.99934248376758</v>
      </c>
      <c r="BC39" s="865">
        <f>HLOOKUP(BA$1,$B$2:$AI$103,$B35,0)</f>
        <v>194.67986230636839</v>
      </c>
      <c r="BD39" s="866">
        <f>BB39/BC39-1</f>
        <v>9.9237178147352667E-2</v>
      </c>
      <c r="BI39" s="37" t="s">
        <v>1793</v>
      </c>
    </row>
    <row r="40" spans="2:62" ht="12.6" customHeight="1" x14ac:dyDescent="0.2">
      <c r="B40" s="362">
        <f t="shared" si="4"/>
        <v>39</v>
      </c>
      <c r="C40" s="112" t="s">
        <v>214</v>
      </c>
      <c r="D40" s="105" t="s">
        <v>219</v>
      </c>
      <c r="E40" s="85"/>
      <c r="F40" s="85"/>
      <c r="G40" s="85"/>
      <c r="H40" s="85"/>
      <c r="I40" s="85"/>
      <c r="J40" s="85"/>
      <c r="K40" s="85"/>
      <c r="L40" s="85"/>
      <c r="M40" s="113">
        <f t="shared" si="27"/>
        <v>-1.1102230246251565E-16</v>
      </c>
      <c r="N40" s="113">
        <f t="shared" si="28"/>
        <v>-0.11111111111111105</v>
      </c>
      <c r="O40" s="113">
        <f t="shared" si="29"/>
        <v>0.18749999999999978</v>
      </c>
      <c r="P40" s="113">
        <f t="shared" si="30"/>
        <v>-5.2631578947368363E-2</v>
      </c>
      <c r="Q40" s="113">
        <f t="shared" si="31"/>
        <v>-5.5555555555555469E-2</v>
      </c>
      <c r="R40" s="113">
        <f t="shared" si="32"/>
        <v>-0.1875</v>
      </c>
      <c r="S40" s="113">
        <f t="shared" si="33"/>
        <v>-0.10526315789473684</v>
      </c>
      <c r="T40" s="113">
        <f t="shared" si="34"/>
        <v>0</v>
      </c>
      <c r="U40" s="113">
        <f t="shared" si="35"/>
        <v>0.11764705882352944</v>
      </c>
      <c r="V40" s="113">
        <f t="shared" si="36"/>
        <v>0.70769230769230784</v>
      </c>
      <c r="W40" s="113">
        <f t="shared" si="36"/>
        <v>0.32352941176470584</v>
      </c>
      <c r="X40" s="113">
        <f t="shared" si="37"/>
        <v>0.22222222222222232</v>
      </c>
      <c r="Y40" s="113">
        <f t="shared" si="37"/>
        <v>-1</v>
      </c>
      <c r="Z40" s="113">
        <f t="shared" si="38"/>
        <v>-1</v>
      </c>
      <c r="AA40" s="113">
        <f t="shared" si="39"/>
        <v>-1</v>
      </c>
      <c r="AB40" s="113">
        <f t="shared" si="40"/>
        <v>-1</v>
      </c>
      <c r="AC40" s="40"/>
      <c r="AD40" s="892">
        <v>0.1</v>
      </c>
      <c r="AE40" s="80"/>
      <c r="AF40" s="81" t="str">
        <f>IFERROR(AF8/#REF!-1," ")</f>
        <v xml:space="preserve"> </v>
      </c>
      <c r="AG40" s="106">
        <f t="shared" si="41"/>
        <v>0</v>
      </c>
      <c r="AH40" s="106">
        <f t="shared" si="41"/>
        <v>-8.4507042253521125E-2</v>
      </c>
      <c r="AI40" s="106">
        <f t="shared" si="41"/>
        <v>0.31846153846153857</v>
      </c>
      <c r="AK40" s="59" t="str">
        <f t="shared" si="42"/>
        <v xml:space="preserve"> </v>
      </c>
      <c r="AL40" s="330">
        <f t="shared" si="42"/>
        <v>1.2450481041313077E-2</v>
      </c>
      <c r="AM40" s="330">
        <f t="shared" si="42"/>
        <v>-0.1056456120737842</v>
      </c>
      <c r="AN40" s="330">
        <f t="shared" si="42"/>
        <v>0.3359375</v>
      </c>
      <c r="AO40" s="940">
        <f t="shared" ca="1" si="43"/>
        <v>9.8456140350877241E-2</v>
      </c>
      <c r="AP40" s="940">
        <f t="shared" ca="1" si="44"/>
        <v>0.14999999999999991</v>
      </c>
      <c r="AQ40" s="940">
        <f t="shared" ca="1" si="45"/>
        <v>4.378425860857349E-2</v>
      </c>
      <c r="AR40" s="940">
        <f t="shared" ca="1" si="46"/>
        <v>4.3806793890817097E-2</v>
      </c>
      <c r="AT40" s="869" t="s">
        <v>1570</v>
      </c>
      <c r="AU40" s="878">
        <f>AU30</f>
        <v>31.7</v>
      </c>
      <c r="AV40" s="878"/>
      <c r="AW40" s="878"/>
      <c r="AX40" s="878">
        <f>AV30</f>
        <v>31.2</v>
      </c>
      <c r="AY40" s="879">
        <f>AU40/AX40-1</f>
        <v>1.6025641025640969E-2</v>
      </c>
      <c r="AZ40" s="878">
        <f>AX30</f>
        <v>31.7</v>
      </c>
      <c r="BA40" s="877">
        <f>AU40/AZ40-1</f>
        <v>0</v>
      </c>
      <c r="BB40" s="878">
        <f>HLOOKUP(AZ$1,$B$2:$AI$103,$B29,0)</f>
        <v>121.67</v>
      </c>
      <c r="BC40" s="878">
        <f>HLOOKUP(BA$1,$B$2:$AI$103,$B29,0)</f>
        <v>116.2</v>
      </c>
      <c r="BD40" s="879">
        <f>BB40/BC40-1</f>
        <v>4.7074010327022409E-2</v>
      </c>
      <c r="BI40" s="37" t="s">
        <v>1794</v>
      </c>
    </row>
    <row r="41" spans="2:62" ht="12.6" customHeight="1" x14ac:dyDescent="0.2">
      <c r="B41" s="362">
        <f t="shared" si="4"/>
        <v>40</v>
      </c>
      <c r="C41" s="112" t="s">
        <v>10</v>
      </c>
      <c r="D41" s="105" t="s">
        <v>220</v>
      </c>
      <c r="E41" s="85"/>
      <c r="F41" s="85"/>
      <c r="G41" s="85"/>
      <c r="H41" s="85"/>
      <c r="I41" s="85"/>
      <c r="J41" s="85"/>
      <c r="K41" s="85"/>
      <c r="L41" s="85"/>
      <c r="M41" s="113">
        <f t="shared" si="27"/>
        <v>-0.18518518518518534</v>
      </c>
      <c r="N41" s="113">
        <f t="shared" si="28"/>
        <v>1.2307692307692308</v>
      </c>
      <c r="O41" s="113">
        <f t="shared" si="29"/>
        <v>0.85714285714285698</v>
      </c>
      <c r="P41" s="113">
        <f t="shared" si="30"/>
        <v>-5.7142857142857162E-2</v>
      </c>
      <c r="Q41" s="113">
        <f t="shared" si="31"/>
        <v>0.54545454545454564</v>
      </c>
      <c r="R41" s="113">
        <f t="shared" si="32"/>
        <v>6.8965517241379448E-2</v>
      </c>
      <c r="S41" s="113">
        <f t="shared" si="33"/>
        <v>-0.28205128205128205</v>
      </c>
      <c r="T41" s="113">
        <f t="shared" si="34"/>
        <v>-0.33030303030303032</v>
      </c>
      <c r="U41" s="113">
        <f t="shared" si="35"/>
        <v>-0.38235294117647056</v>
      </c>
      <c r="V41" s="113">
        <f t="shared" si="36"/>
        <v>-0.69032258064516139</v>
      </c>
      <c r="W41" s="113">
        <f t="shared" si="36"/>
        <v>-0.18571428571428572</v>
      </c>
      <c r="X41" s="113">
        <f t="shared" si="37"/>
        <v>-0.11764705882352944</v>
      </c>
      <c r="Y41" s="113">
        <f t="shared" si="37"/>
        <v>-1</v>
      </c>
      <c r="Z41" s="113">
        <f t="shared" si="38"/>
        <v>-1</v>
      </c>
      <c r="AA41" s="113">
        <f t="shared" si="39"/>
        <v>-1</v>
      </c>
      <c r="AB41" s="113">
        <f t="shared" si="40"/>
        <v>-1</v>
      </c>
      <c r="AC41" s="40"/>
      <c r="AD41" s="892">
        <v>0</v>
      </c>
      <c r="AE41" s="80"/>
      <c r="AF41" s="81" t="str">
        <f>IFERROR(AF9/#REF!-1," ")</f>
        <v xml:space="preserve"> </v>
      </c>
      <c r="AG41" s="106">
        <f t="shared" si="41"/>
        <v>0.28125000000000022</v>
      </c>
      <c r="AH41" s="106">
        <f t="shared" si="41"/>
        <v>-6.4227642276422636E-2</v>
      </c>
      <c r="AI41" s="106">
        <f t="shared" si="41"/>
        <v>-0.36663770634231108</v>
      </c>
      <c r="AK41" s="59" t="str">
        <f t="shared" si="42"/>
        <v xml:space="preserve"> </v>
      </c>
      <c r="AL41" s="330">
        <f t="shared" si="42"/>
        <v>0.29936974789915971</v>
      </c>
      <c r="AM41" s="330">
        <f t="shared" si="42"/>
        <v>-7.8415521422796952E-2</v>
      </c>
      <c r="AN41" s="330">
        <f t="shared" si="42"/>
        <v>-0.36315789473684212</v>
      </c>
      <c r="AO41" s="940">
        <f t="shared" ca="1" si="43"/>
        <v>0.30000000000000004</v>
      </c>
      <c r="AP41" s="940">
        <f t="shared" ca="1" si="44"/>
        <v>1.0000000000000009E-2</v>
      </c>
      <c r="AQ41" s="940">
        <f t="shared" ca="1" si="45"/>
        <v>1.0000000000000009E-2</v>
      </c>
      <c r="AR41" s="940">
        <f t="shared" ca="1" si="46"/>
        <v>1.0000000000000009E-2</v>
      </c>
      <c r="AT41" s="871"/>
      <c r="AU41" s="865"/>
      <c r="AV41" s="865"/>
      <c r="AW41" s="866"/>
      <c r="AX41" s="865"/>
      <c r="AY41" s="866"/>
      <c r="AZ41" s="865"/>
      <c r="BA41" s="867"/>
      <c r="BB41" s="865"/>
      <c r="BC41" s="865"/>
      <c r="BD41" s="866"/>
      <c r="BI41" s="37" t="s">
        <v>1795</v>
      </c>
    </row>
    <row r="42" spans="2:62" ht="12.6" customHeight="1" x14ac:dyDescent="0.2">
      <c r="B42" s="362">
        <f t="shared" si="4"/>
        <v>41</v>
      </c>
      <c r="C42" s="112" t="s">
        <v>568</v>
      </c>
      <c r="D42" s="105" t="s">
        <v>221</v>
      </c>
      <c r="E42" s="85"/>
      <c r="F42" s="85"/>
      <c r="G42" s="85"/>
      <c r="H42" s="85"/>
      <c r="I42" s="85"/>
      <c r="J42" s="85"/>
      <c r="K42" s="85"/>
      <c r="L42" s="85"/>
      <c r="M42" s="113">
        <f t="shared" si="27"/>
        <v>0.95</v>
      </c>
      <c r="N42" s="113">
        <f t="shared" si="28"/>
        <v>0.28571428571428581</v>
      </c>
      <c r="O42" s="113">
        <f t="shared" si="29"/>
        <v>0.28124999999999978</v>
      </c>
      <c r="P42" s="113">
        <f t="shared" si="30"/>
        <v>0.24390243902439024</v>
      </c>
      <c r="Q42" s="113">
        <f t="shared" si="31"/>
        <v>0.15384615384615397</v>
      </c>
      <c r="R42" s="113">
        <f t="shared" si="32"/>
        <v>0.16666666666666674</v>
      </c>
      <c r="S42" s="113">
        <f t="shared" si="33"/>
        <v>0.19512195121951237</v>
      </c>
      <c r="T42" s="113">
        <f t="shared" si="34"/>
        <v>4.9019607843137303E-2</v>
      </c>
      <c r="U42" s="113">
        <f t="shared" si="35"/>
        <v>8.8888888888889017E-2</v>
      </c>
      <c r="V42" s="113">
        <f t="shared" si="36"/>
        <v>-2.3809523809523725E-3</v>
      </c>
      <c r="W42" s="113">
        <f t="shared" si="36"/>
        <v>-0.12653061224489792</v>
      </c>
      <c r="X42" s="113">
        <f t="shared" si="37"/>
        <v>6.3551401869158974E-2</v>
      </c>
      <c r="Y42" s="113">
        <f t="shared" si="37"/>
        <v>-1</v>
      </c>
      <c r="Z42" s="113">
        <f t="shared" si="38"/>
        <v>-1</v>
      </c>
      <c r="AA42" s="113">
        <f t="shared" si="39"/>
        <v>-1</v>
      </c>
      <c r="AB42" s="113">
        <f t="shared" si="40"/>
        <v>-1</v>
      </c>
      <c r="AC42" s="40"/>
      <c r="AD42" s="892">
        <v>0.05</v>
      </c>
      <c r="AE42" s="80"/>
      <c r="AF42" s="81" t="str">
        <f>IFERROR(AF10/#REF!-1," ")</f>
        <v xml:space="preserve"> </v>
      </c>
      <c r="AG42" s="106">
        <f t="shared" si="41"/>
        <v>0.38016528925619841</v>
      </c>
      <c r="AH42" s="106">
        <f t="shared" si="41"/>
        <v>0.13473053892215558</v>
      </c>
      <c r="AI42" s="106">
        <f t="shared" si="41"/>
        <v>5.8047493403694528E-3</v>
      </c>
      <c r="AK42" s="59" t="str">
        <f t="shared" si="42"/>
        <v xml:space="preserve"> </v>
      </c>
      <c r="AL42" s="330">
        <f t="shared" si="42"/>
        <v>0.39355160378926368</v>
      </c>
      <c r="AM42" s="330">
        <f t="shared" si="42"/>
        <v>0.12701252236135963</v>
      </c>
      <c r="AN42" s="330">
        <f t="shared" si="42"/>
        <v>5.8201058201059475E-3</v>
      </c>
      <c r="AO42" s="940">
        <f t="shared" si="43"/>
        <v>2.0000000000000018E-2</v>
      </c>
      <c r="AP42" s="940">
        <f t="shared" si="44"/>
        <v>6.0000000000000053E-2</v>
      </c>
      <c r="AQ42" s="940">
        <f t="shared" si="45"/>
        <v>6.0000000000000053E-2</v>
      </c>
      <c r="AR42" s="940">
        <f t="shared" si="46"/>
        <v>6.0000000000000053E-2</v>
      </c>
      <c r="AT42" s="868" t="s">
        <v>1568</v>
      </c>
      <c r="AU42" s="863"/>
      <c r="AV42" s="863"/>
      <c r="AW42" s="864"/>
      <c r="AX42" s="863"/>
      <c r="AY42" s="864"/>
      <c r="AZ42" s="863"/>
      <c r="BA42" s="864"/>
      <c r="BB42" s="863"/>
      <c r="BC42" s="863"/>
      <c r="BD42" s="864"/>
      <c r="BI42" s="37" t="s">
        <v>1796</v>
      </c>
    </row>
    <row r="43" spans="2:62" ht="12.6" customHeight="1" x14ac:dyDescent="0.2">
      <c r="B43" s="362">
        <f t="shared" si="4"/>
        <v>42</v>
      </c>
      <c r="C43" s="112" t="s">
        <v>8</v>
      </c>
      <c r="D43" s="105" t="s">
        <v>222</v>
      </c>
      <c r="E43" s="85"/>
      <c r="F43" s="85"/>
      <c r="G43" s="85"/>
      <c r="H43" s="85"/>
      <c r="I43" s="85"/>
      <c r="J43" s="85"/>
      <c r="K43" s="85"/>
      <c r="L43" s="85"/>
      <c r="M43" s="113">
        <f t="shared" si="27"/>
        <v>-8.0000000000000182E-2</v>
      </c>
      <c r="N43" s="113">
        <f t="shared" si="28"/>
        <v>0.15789473684210531</v>
      </c>
      <c r="O43" s="113">
        <f t="shared" si="29"/>
        <v>4.5454545454545192E-2</v>
      </c>
      <c r="P43" s="113">
        <f t="shared" si="30"/>
        <v>0.18181818181818166</v>
      </c>
      <c r="Q43" s="113">
        <f t="shared" si="31"/>
        <v>4.3478260869565188E-2</v>
      </c>
      <c r="R43" s="113">
        <f t="shared" si="32"/>
        <v>0.18181818181818166</v>
      </c>
      <c r="S43" s="113">
        <f t="shared" si="33"/>
        <v>0</v>
      </c>
      <c r="T43" s="113">
        <f t="shared" si="34"/>
        <v>0.13076923076923075</v>
      </c>
      <c r="U43" s="113">
        <f t="shared" si="35"/>
        <v>0.25</v>
      </c>
      <c r="V43" s="113">
        <f t="shared" si="36"/>
        <v>-6.5384615384615374E-2</v>
      </c>
      <c r="W43" s="113">
        <f t="shared" si="36"/>
        <v>-2.1739130434782483E-2</v>
      </c>
      <c r="X43" s="113">
        <f t="shared" si="37"/>
        <v>-8.1632653061224358E-2</v>
      </c>
      <c r="Y43" s="113">
        <f t="shared" si="37"/>
        <v>-1</v>
      </c>
      <c r="Z43" s="113">
        <f t="shared" si="38"/>
        <v>-1</v>
      </c>
      <c r="AA43" s="113">
        <f t="shared" si="39"/>
        <v>-1</v>
      </c>
      <c r="AB43" s="113">
        <f t="shared" si="40"/>
        <v>-1</v>
      </c>
      <c r="AC43" s="40"/>
      <c r="AD43" s="892">
        <v>0.05</v>
      </c>
      <c r="AE43" s="80"/>
      <c r="AF43" s="81" t="str">
        <f>IFERROR(AF11/#REF!-1," ")</f>
        <v xml:space="preserve"> </v>
      </c>
      <c r="AG43" s="106">
        <f t="shared" si="41"/>
        <v>6.8181818181818121E-2</v>
      </c>
      <c r="AH43" s="106">
        <f t="shared" si="41"/>
        <v>8.9361702127659592E-2</v>
      </c>
      <c r="AI43" s="106">
        <f t="shared" si="41"/>
        <v>1.3671874999999778E-2</v>
      </c>
      <c r="AK43" s="59" t="str">
        <f t="shared" si="42"/>
        <v xml:space="preserve"> </v>
      </c>
      <c r="AL43" s="330">
        <f t="shared" si="42"/>
        <v>6.9623161764705843E-2</v>
      </c>
      <c r="AM43" s="330">
        <f t="shared" si="42"/>
        <v>9.559613319011806E-2</v>
      </c>
      <c r="AN43" s="330">
        <f t="shared" si="42"/>
        <v>1.7647058823529571E-2</v>
      </c>
      <c r="AO43" s="940">
        <f t="shared" ca="1" si="43"/>
        <v>1.0000000000000009E-2</v>
      </c>
      <c r="AP43" s="940">
        <f t="shared" ca="1" si="44"/>
        <v>1.0000000000000009E-2</v>
      </c>
      <c r="AQ43" s="940">
        <f t="shared" ca="1" si="45"/>
        <v>1.0000000000000009E-2</v>
      </c>
      <c r="AR43" s="940">
        <f t="shared" ca="1" si="46"/>
        <v>1.0000000000000009E-2</v>
      </c>
      <c r="AT43" s="870" t="s">
        <v>1564</v>
      </c>
      <c r="AU43" s="865">
        <f>HLOOKUP(AT$36,$B$2:$AI$103,$B68,0)</f>
        <v>15223.4</v>
      </c>
      <c r="AV43" s="865">
        <f>HLOOKUP(AD$2,$B$2:$AI$103,$B68,0)</f>
        <v>13980.772419458253</v>
      </c>
      <c r="AW43" s="866">
        <f>AU43/AV43-1</f>
        <v>8.888118218792207E-2</v>
      </c>
      <c r="AX43" s="865">
        <f>HLOOKUP(AX$36,$B$2:$AI$103,$B68,0)</f>
        <v>12831.800000000001</v>
      </c>
      <c r="AY43" s="866">
        <f>AU43/AX43-1</f>
        <v>0.18638071042254389</v>
      </c>
      <c r="AZ43" s="865">
        <f>HLOOKUP(AZ$36,$B$2:$AI$103,$B68,0)</f>
        <v>13496.6</v>
      </c>
      <c r="BA43" s="867">
        <f>AU43/AZ43-1</f>
        <v>0.12794333387668</v>
      </c>
      <c r="BB43" s="858">
        <f>HLOOKUP(AZ$1,$B$2:$AI$103,$B68,0)</f>
        <v>53614.400000000001</v>
      </c>
      <c r="BC43" s="858">
        <f>HLOOKUP(BA$1,$B$2:$AI$103,$B68,0)</f>
        <v>44761.400000000009</v>
      </c>
      <c r="BD43" s="859">
        <f>BB43/BC43-1</f>
        <v>0.19778201754189983</v>
      </c>
      <c r="BI43" s="37" t="s">
        <v>1797</v>
      </c>
    </row>
    <row r="44" spans="2:62" ht="12.6" customHeight="1" x14ac:dyDescent="0.2">
      <c r="B44" s="362">
        <f t="shared" si="4"/>
        <v>43</v>
      </c>
      <c r="C44" s="112" t="s">
        <v>9</v>
      </c>
      <c r="D44" s="105" t="s">
        <v>223</v>
      </c>
      <c r="E44" s="85"/>
      <c r="F44" s="85"/>
      <c r="G44" s="85"/>
      <c r="H44" s="85"/>
      <c r="I44" s="85"/>
      <c r="J44" s="85"/>
      <c r="K44" s="85"/>
      <c r="L44" s="85"/>
      <c r="M44" s="113">
        <f t="shared" si="27"/>
        <v>-0.20000000000000029</v>
      </c>
      <c r="N44" s="113">
        <f t="shared" si="28"/>
        <v>-0.5</v>
      </c>
      <c r="O44" s="113">
        <f t="shared" si="29"/>
        <v>0</v>
      </c>
      <c r="P44" s="113">
        <f t="shared" si="30"/>
        <v>0</v>
      </c>
      <c r="Q44" s="113">
        <f t="shared" si="31"/>
        <v>2.2204460492503131E-16</v>
      </c>
      <c r="R44" s="113">
        <f t="shared" si="32"/>
        <v>0</v>
      </c>
      <c r="S44" s="113">
        <f t="shared" si="33"/>
        <v>0.25</v>
      </c>
      <c r="T44" s="113">
        <f t="shared" si="34"/>
        <v>1.3749999999999996</v>
      </c>
      <c r="U44" s="113">
        <f t="shared" si="35"/>
        <v>0</v>
      </c>
      <c r="V44" s="113">
        <f t="shared" si="36"/>
        <v>6.6666666666666652E-2</v>
      </c>
      <c r="W44" s="113">
        <f t="shared" si="36"/>
        <v>-0.18000000000000005</v>
      </c>
      <c r="X44" s="113">
        <f t="shared" si="37"/>
        <v>-0.43157894736842095</v>
      </c>
      <c r="Y44" s="113">
        <f t="shared" si="37"/>
        <v>-1</v>
      </c>
      <c r="Z44" s="113">
        <f t="shared" si="38"/>
        <v>-1</v>
      </c>
      <c r="AA44" s="113">
        <f t="shared" si="39"/>
        <v>-1</v>
      </c>
      <c r="AB44" s="113">
        <f t="shared" si="40"/>
        <v>-1</v>
      </c>
      <c r="AC44" s="71"/>
      <c r="AD44" s="892">
        <v>0.15</v>
      </c>
      <c r="AE44" s="80"/>
      <c r="AF44" s="81" t="str">
        <f>IFERROR(AF12/#REF!-1," ")</f>
        <v xml:space="preserve"> </v>
      </c>
      <c r="AG44" s="106">
        <f t="shared" si="41"/>
        <v>-0.21052631578947367</v>
      </c>
      <c r="AH44" s="106">
        <f t="shared" si="41"/>
        <v>0.43333333333333335</v>
      </c>
      <c r="AI44" s="106">
        <f t="shared" si="41"/>
        <v>-0.22325581395348837</v>
      </c>
      <c r="AK44" s="59" t="str">
        <f t="shared" si="42"/>
        <v xml:space="preserve"> </v>
      </c>
      <c r="AL44" s="330">
        <f t="shared" si="42"/>
        <v>-0.22751322751322745</v>
      </c>
      <c r="AM44" s="330">
        <f t="shared" si="42"/>
        <v>0.43835616438356184</v>
      </c>
      <c r="AN44" s="330">
        <f t="shared" si="42"/>
        <v>-0.21428571428571441</v>
      </c>
      <c r="AO44" s="940">
        <f t="shared" si="43"/>
        <v>4.8090909090909406E-2</v>
      </c>
      <c r="AP44" s="940">
        <f t="shared" si="44"/>
        <v>5.0000000000000044E-2</v>
      </c>
      <c r="AQ44" s="940">
        <f t="shared" si="45"/>
        <v>5.0000000000000044E-2</v>
      </c>
      <c r="AR44" s="940">
        <f t="shared" si="46"/>
        <v>5.0000000000000044E-2</v>
      </c>
      <c r="AT44" s="869" t="s">
        <v>1565</v>
      </c>
      <c r="AU44" s="872">
        <f>HLOOKUP(AT$36,$B$2:$AI$103,$B76,0)</f>
        <v>7691.9</v>
      </c>
      <c r="AV44" s="872">
        <f>HLOOKUP(AD$2,$B$2:$AI$103,$B76,0)</f>
        <v>6459.2677266439341</v>
      </c>
      <c r="AW44" s="864">
        <f>AU44/AV44-1</f>
        <v>0.19083158115146115</v>
      </c>
      <c r="AX44" s="872">
        <f>HLOOKUP(AX$36,$B$2:$AI$103,$B76,0)</f>
        <v>6409.2000000000016</v>
      </c>
      <c r="AY44" s="864">
        <f>AU44/AX44-1</f>
        <v>0.20013418211321188</v>
      </c>
      <c r="AZ44" s="872">
        <f>HLOOKUP(AZ$36,$B$2:$AI$103,$B76,0)</f>
        <v>6437</v>
      </c>
      <c r="BA44" s="864">
        <f>AU44/AZ44-1</f>
        <v>0.19495106416032315</v>
      </c>
      <c r="BB44" s="847">
        <f>HLOOKUP(AZ$1,$B$2:$AI$103,$B76,0)</f>
        <v>26037.300000000003</v>
      </c>
      <c r="BC44" s="847">
        <f>HLOOKUP(BA$1,$B$2:$AI$103,$B76,0)</f>
        <v>22621.800000000007</v>
      </c>
      <c r="BD44" s="848">
        <f>BB44/BC44-1</f>
        <v>0.15098268042330831</v>
      </c>
      <c r="BI44" s="37" t="s">
        <v>1798</v>
      </c>
    </row>
    <row r="45" spans="2:62" ht="12.6" customHeight="1" x14ac:dyDescent="0.2">
      <c r="B45" s="362">
        <f t="shared" si="4"/>
        <v>44</v>
      </c>
      <c r="C45" s="112" t="s">
        <v>215</v>
      </c>
      <c r="D45" s="105" t="s">
        <v>224</v>
      </c>
      <c r="E45" s="85"/>
      <c r="F45" s="85"/>
      <c r="G45" s="85"/>
      <c r="H45" s="85"/>
      <c r="I45" s="85"/>
      <c r="J45" s="85"/>
      <c r="K45" s="85"/>
      <c r="L45" s="85"/>
      <c r="M45" s="113">
        <f t="shared" si="27"/>
        <v>2.2204460492503131E-16</v>
      </c>
      <c r="N45" s="113">
        <f t="shared" si="28"/>
        <v>-0.25000000000000011</v>
      </c>
      <c r="O45" s="113">
        <f t="shared" si="29"/>
        <v>0.5</v>
      </c>
      <c r="P45" s="113">
        <f t="shared" si="30"/>
        <v>-7.6923076923076983E-2</v>
      </c>
      <c r="Q45" s="113">
        <f t="shared" si="31"/>
        <v>0.41666666666666652</v>
      </c>
      <c r="R45" s="113">
        <f t="shared" si="32"/>
        <v>0.83333333333333348</v>
      </c>
      <c r="S45" s="113">
        <f t="shared" si="33"/>
        <v>-5.555555555555558E-2</v>
      </c>
      <c r="T45" s="113">
        <f t="shared" si="34"/>
        <v>0.42500000000000004</v>
      </c>
      <c r="U45" s="113">
        <f t="shared" si="35"/>
        <v>-5.8823529411764608E-2</v>
      </c>
      <c r="V45" s="113">
        <f t="shared" si="36"/>
        <v>0.10909090909090891</v>
      </c>
      <c r="W45" s="113">
        <f t="shared" si="36"/>
        <v>-0.1588235294117647</v>
      </c>
      <c r="X45" s="113">
        <f t="shared" si="37"/>
        <v>0.18128654970760238</v>
      </c>
      <c r="Y45" s="113">
        <f t="shared" si="37"/>
        <v>-1</v>
      </c>
      <c r="Z45" s="113">
        <f t="shared" si="38"/>
        <v>-1</v>
      </c>
      <c r="AA45" s="113">
        <f t="shared" si="39"/>
        <v>-1</v>
      </c>
      <c r="AB45" s="113">
        <f t="shared" si="40"/>
        <v>-1</v>
      </c>
      <c r="AC45" s="40"/>
      <c r="AD45" s="892">
        <v>-0.05</v>
      </c>
      <c r="AE45" s="88"/>
      <c r="AF45" s="81" t="str">
        <f>IFERROR(AF13/#REF!-1," ")</f>
        <v xml:space="preserve"> </v>
      </c>
      <c r="AG45" s="106">
        <f t="shared" si="41"/>
        <v>6.6666666666666874E-2</v>
      </c>
      <c r="AH45" s="106">
        <f t="shared" si="41"/>
        <v>0.29374999999999973</v>
      </c>
      <c r="AI45" s="106">
        <f t="shared" si="41"/>
        <v>9.6618357487923134E-3</v>
      </c>
      <c r="AK45" s="59" t="str">
        <f t="shared" si="42"/>
        <v xml:space="preserve"> </v>
      </c>
      <c r="AL45" s="330">
        <f t="shared" si="42"/>
        <v>7.0947462954647378E-2</v>
      </c>
      <c r="AM45" s="330">
        <f t="shared" si="42"/>
        <v>0.32075471698113223</v>
      </c>
      <c r="AN45" s="330">
        <f t="shared" si="42"/>
        <v>-4.761904761904856E-3</v>
      </c>
      <c r="AO45" s="940">
        <f t="shared" ca="1" si="43"/>
        <v>5.0000000000000044E-2</v>
      </c>
      <c r="AP45" s="940">
        <f t="shared" ca="1" si="44"/>
        <v>5.0000000000000044E-2</v>
      </c>
      <c r="AQ45" s="940">
        <f t="shared" ca="1" si="45"/>
        <v>5.0000000000000044E-2</v>
      </c>
      <c r="AR45" s="940">
        <f t="shared" ca="1" si="46"/>
        <v>5.0000000000000044E-2</v>
      </c>
      <c r="AT45" s="873" t="s">
        <v>35</v>
      </c>
      <c r="AU45" s="849">
        <f>AU44/AU43</f>
        <v>0.50526820552570384</v>
      </c>
      <c r="AV45" s="849">
        <f>AV44/AV43</f>
        <v>0.46201079116730426</v>
      </c>
      <c r="AW45" s="850"/>
      <c r="AX45" s="849">
        <f>AX44/AX43</f>
        <v>0.49947785969232694</v>
      </c>
      <c r="AY45" s="850"/>
      <c r="AZ45" s="849">
        <f>AZ44/AZ43</f>
        <v>0.47693493176059154</v>
      </c>
      <c r="BA45" s="850"/>
      <c r="BB45" s="849">
        <f>BB44/BB43</f>
        <v>0.48564005192634818</v>
      </c>
      <c r="BC45" s="849">
        <f>BC44/BC43</f>
        <v>0.50538633733529337</v>
      </c>
      <c r="BD45" s="850"/>
    </row>
    <row r="46" spans="2:62" ht="12.6" customHeight="1" x14ac:dyDescent="0.2">
      <c r="B46" s="362">
        <f t="shared" si="4"/>
        <v>45</v>
      </c>
      <c r="C46" s="112" t="s">
        <v>216</v>
      </c>
      <c r="D46" s="105" t="s">
        <v>225</v>
      </c>
      <c r="E46" s="85"/>
      <c r="F46" s="85"/>
      <c r="G46" s="85"/>
      <c r="H46" s="85"/>
      <c r="I46" s="85"/>
      <c r="J46" s="85"/>
      <c r="K46" s="85"/>
      <c r="L46" s="85"/>
      <c r="M46" s="113">
        <f t="shared" si="27"/>
        <v>0.19999999999999996</v>
      </c>
      <c r="N46" s="113">
        <f t="shared" si="28"/>
        <v>0.16666666666666674</v>
      </c>
      <c r="O46" s="113">
        <f t="shared" si="29"/>
        <v>0.19999999999999996</v>
      </c>
      <c r="P46" s="113">
        <f t="shared" si="30"/>
        <v>0</v>
      </c>
      <c r="Q46" s="113">
        <f t="shared" si="31"/>
        <v>-2.2204460492503131E-16</v>
      </c>
      <c r="R46" s="113">
        <f t="shared" si="32"/>
        <v>-0.14285714285714279</v>
      </c>
      <c r="S46" s="113">
        <f t="shared" si="33"/>
        <v>0</v>
      </c>
      <c r="T46" s="113">
        <f t="shared" si="34"/>
        <v>-9.9999999999999867E-2</v>
      </c>
      <c r="U46" s="113">
        <f t="shared" si="35"/>
        <v>0.16666666666666674</v>
      </c>
      <c r="V46" s="113">
        <f t="shared" si="36"/>
        <v>5.0000000000000044E-2</v>
      </c>
      <c r="W46" s="113">
        <f t="shared" si="36"/>
        <v>3.3333333333333437E-2</v>
      </c>
      <c r="X46" s="113">
        <f t="shared" si="37"/>
        <v>0.11111111111111094</v>
      </c>
      <c r="Y46" s="113">
        <f t="shared" si="37"/>
        <v>-1</v>
      </c>
      <c r="Z46" s="113">
        <f t="shared" si="38"/>
        <v>-1</v>
      </c>
      <c r="AA46" s="113">
        <f t="shared" si="39"/>
        <v>-1</v>
      </c>
      <c r="AB46" s="113">
        <f t="shared" si="40"/>
        <v>-1</v>
      </c>
      <c r="AC46" s="84"/>
      <c r="AD46" s="892">
        <v>0</v>
      </c>
      <c r="AE46" s="89"/>
      <c r="AF46" s="81" t="str">
        <f>IFERROR(AF28/#REF!-1," ")</f>
        <v xml:space="preserve"> </v>
      </c>
      <c r="AG46" s="106">
        <f t="shared" si="41"/>
        <v>0.13636363636363624</v>
      </c>
      <c r="AH46" s="106">
        <f t="shared" si="41"/>
        <v>-6.4000000000000057E-2</v>
      </c>
      <c r="AI46" s="106">
        <f t="shared" si="41"/>
        <v>8.9743589743589869E-2</v>
      </c>
      <c r="AK46" s="59" t="str">
        <f t="shared" si="42"/>
        <v xml:space="preserve"> </v>
      </c>
      <c r="AL46" s="330">
        <f t="shared" si="42"/>
        <v>0.1877484803446543</v>
      </c>
      <c r="AM46" s="330">
        <f t="shared" si="42"/>
        <v>-7.0546469647937093E-2</v>
      </c>
      <c r="AN46" s="330">
        <f t="shared" si="42"/>
        <v>3.7500000000000089E-2</v>
      </c>
      <c r="AO46" s="940">
        <f t="shared" ref="AO46:AO62" si="47">IFERROR(AO13/AN13-1," ")</f>
        <v>0.25200803212851408</v>
      </c>
      <c r="AP46" s="940">
        <f t="shared" ref="AP46:AP62" si="48">IFERROR(AP13/AO13-1," ")</f>
        <v>0.10000000000000009</v>
      </c>
      <c r="AQ46" s="940">
        <f t="shared" ref="AQ46:AQ62" si="49">IFERROR(AQ13/AP13-1," ")</f>
        <v>6.0000000000000053E-2</v>
      </c>
      <c r="AR46" s="940">
        <f t="shared" ref="AR46:AR62" si="50">IFERROR(AR13/AQ13-1," ")</f>
        <v>6.0000000000000053E-2</v>
      </c>
      <c r="AT46" s="874" t="s">
        <v>1567</v>
      </c>
      <c r="AU46" s="847">
        <f>HLOOKUP(AT$36,$B$2:$AI$103,$B99,0)</f>
        <v>4182.8999999999996</v>
      </c>
      <c r="AV46" s="847">
        <f>HLOOKUP(AD$2,$B$2:$AI$103,$B99,0)</f>
        <v>3889.2342025146932</v>
      </c>
      <c r="AW46" s="848">
        <f>AU46/AV46-1</f>
        <v>7.5507357539802644E-2</v>
      </c>
      <c r="AX46" s="847">
        <f>HLOOKUP(AX$36,$B$2:$AI$103,$B99,0)</f>
        <v>5093.7000000000007</v>
      </c>
      <c r="AY46" s="848">
        <f>AU46/AX46-1</f>
        <v>-0.17880911714470837</v>
      </c>
      <c r="AZ46" s="847">
        <f>HLOOKUP(AZ$36,$B$2:$AI$103,$B99,0)</f>
        <v>3591</v>
      </c>
      <c r="BA46" s="848">
        <f>AU46/AZ46-1</f>
        <v>0.16482873851294899</v>
      </c>
      <c r="BB46" s="853">
        <f>HLOOKUP(AZ$1,$B$2:$AI$103,$B99,0)</f>
        <v>15233.1</v>
      </c>
      <c r="BC46" s="853">
        <f>HLOOKUP(BA$1,$B$2:$AI$103,$B99,0)</f>
        <v>15030.800000000003</v>
      </c>
      <c r="BD46" s="854">
        <f>BB46/BC46-1</f>
        <v>1.3459030790110793E-2</v>
      </c>
    </row>
    <row r="47" spans="2:62" ht="12.6" customHeight="1" x14ac:dyDescent="0.2">
      <c r="B47" s="362">
        <f t="shared" si="4"/>
        <v>46</v>
      </c>
      <c r="C47" s="112" t="s">
        <v>2</v>
      </c>
      <c r="D47" s="105" t="s">
        <v>492</v>
      </c>
      <c r="E47" s="85"/>
      <c r="F47" s="85"/>
      <c r="G47" s="85"/>
      <c r="H47" s="85"/>
      <c r="I47" s="85"/>
      <c r="J47" s="85"/>
      <c r="K47" s="85"/>
      <c r="L47" s="85"/>
      <c r="M47" s="113" t="str">
        <f t="shared" ref="M47:M62" si="51">IFERROR(M14/I14-1," ")</f>
        <v xml:space="preserve"> </v>
      </c>
      <c r="N47" s="113" t="str">
        <f t="shared" ref="N47:N62" si="52">IFERROR(N14/J14-1," ")</f>
        <v xml:space="preserve"> </v>
      </c>
      <c r="O47" s="113" t="str">
        <f t="shared" ref="O47:O62" si="53">IFERROR(O14/K14-1," ")</f>
        <v xml:space="preserve"> </v>
      </c>
      <c r="P47" s="113" t="str">
        <f t="shared" ref="P47:P62" si="54">IFERROR(P14/L14-1," ")</f>
        <v xml:space="preserve"> </v>
      </c>
      <c r="Q47" s="113" t="str">
        <f t="shared" ref="Q47:Q61" si="55">IFERROR(Q14/M14-1," ")</f>
        <v xml:space="preserve"> </v>
      </c>
      <c r="R47" s="113" t="str">
        <f t="shared" si="32"/>
        <v xml:space="preserve"> </v>
      </c>
      <c r="S47" s="113" t="str">
        <f t="shared" si="33"/>
        <v xml:space="preserve"> </v>
      </c>
      <c r="T47" s="113">
        <f t="shared" si="34"/>
        <v>0.1166666666666667</v>
      </c>
      <c r="U47" s="113">
        <f t="shared" si="35"/>
        <v>6.6666666666666652E-2</v>
      </c>
      <c r="V47" s="113">
        <f t="shared" si="36"/>
        <v>0.10833333333333339</v>
      </c>
      <c r="W47" s="113">
        <f t="shared" si="36"/>
        <v>-0.1333333333333333</v>
      </c>
      <c r="X47" s="113">
        <f t="shared" si="37"/>
        <v>-0.16417910447761186</v>
      </c>
      <c r="Y47" s="113">
        <f t="shared" si="37"/>
        <v>-1</v>
      </c>
      <c r="Z47" s="113">
        <f t="shared" si="38"/>
        <v>-1</v>
      </c>
      <c r="AA47" s="113">
        <f t="shared" si="39"/>
        <v>-1</v>
      </c>
      <c r="AB47" s="113">
        <f t="shared" si="40"/>
        <v>-1</v>
      </c>
      <c r="AC47" s="40"/>
      <c r="AD47" s="892">
        <v>0.05</v>
      </c>
      <c r="AE47" s="80"/>
      <c r="AF47" s="81" t="str">
        <f>IFERROR(AF29/#REF!-1," ")</f>
        <v xml:space="preserve"> </v>
      </c>
      <c r="AG47" s="106">
        <f>IFERROR(AG28/AF28-1," ")</f>
        <v>-1</v>
      </c>
      <c r="AH47" s="106" t="str">
        <f>IFERROR(AH28/AG28-1," ")</f>
        <v xml:space="preserve"> </v>
      </c>
      <c r="AI47" s="106">
        <f>IFERROR(AI28/AH28-1," ")</f>
        <v>-0.34285714285711033</v>
      </c>
      <c r="AK47" s="59" t="str">
        <f t="shared" ref="AK47:AN62" si="56">IFERROR(AK14/AJ14-1," ")</f>
        <v xml:space="preserve"> </v>
      </c>
      <c r="AL47" s="330" t="str">
        <f t="shared" si="56"/>
        <v xml:space="preserve"> </v>
      </c>
      <c r="AM47" s="330">
        <f t="shared" si="56"/>
        <v>3.1666666666666661</v>
      </c>
      <c r="AN47" s="330">
        <f t="shared" si="56"/>
        <v>-2.9090909090909167E-2</v>
      </c>
      <c r="AO47" s="940">
        <f t="shared" si="47"/>
        <v>0.14956928838951322</v>
      </c>
      <c r="AP47" s="940">
        <f t="shared" si="48"/>
        <v>2.0000000000000018E-2</v>
      </c>
      <c r="AQ47" s="940">
        <f t="shared" si="49"/>
        <v>5.0000000000000044E-2</v>
      </c>
      <c r="AR47" s="940">
        <f t="shared" si="50"/>
        <v>5.0000000000000044E-2</v>
      </c>
      <c r="AT47" s="875" t="s">
        <v>941</v>
      </c>
      <c r="AU47" s="851">
        <f>HLOOKUP(AT$36,$B$2:$AI$103,$B103,0)</f>
        <v>1.7952360515021457</v>
      </c>
      <c r="AV47" s="851">
        <f>HLOOKUP(AD$2,$B$2:$AI$103,$B103,0)</f>
        <v>1.6691992285470787</v>
      </c>
      <c r="AW47" s="852">
        <f>AU47/AV47-1</f>
        <v>7.5507357539802644E-2</v>
      </c>
      <c r="AX47" s="851">
        <f>HLOOKUP(AX$36,$B$2:$AI$103,$B103,0)</f>
        <v>2.1861373390557941</v>
      </c>
      <c r="AY47" s="852">
        <f>AU47/AX47-1</f>
        <v>-0.17880911714470826</v>
      </c>
      <c r="AZ47" s="851">
        <f>HLOOKUP(AZ$36,$B$2:$AI$103,$B103,0)</f>
        <v>1.5412017167381975</v>
      </c>
      <c r="BA47" s="852">
        <f>AU47/AZ47-1</f>
        <v>0.16482873851294877</v>
      </c>
      <c r="BB47" s="855">
        <f>HLOOKUP(AZ$1,$B$2:$AI$103,$B103,0)</f>
        <v>6.5378111587982835</v>
      </c>
      <c r="BC47" s="855">
        <f>HLOOKUP(BA$1,$B$2:$AI$103,$B103,0)</f>
        <v>6.4509871244635208</v>
      </c>
      <c r="BD47" s="856">
        <f>BB47/BC47-1</f>
        <v>1.3459030790110793E-2</v>
      </c>
    </row>
    <row r="48" spans="2:62" ht="12.6" customHeight="1" x14ac:dyDescent="0.2">
      <c r="B48" s="362">
        <f t="shared" si="4"/>
        <v>47</v>
      </c>
      <c r="C48" s="112" t="s">
        <v>791</v>
      </c>
      <c r="D48" s="105" t="s">
        <v>493</v>
      </c>
      <c r="E48" s="85"/>
      <c r="F48" s="85"/>
      <c r="G48" s="85"/>
      <c r="H48" s="85"/>
      <c r="I48" s="85"/>
      <c r="J48" s="85"/>
      <c r="K48" s="85"/>
      <c r="L48" s="85"/>
      <c r="M48" s="113" t="str">
        <f t="shared" si="51"/>
        <v xml:space="preserve"> </v>
      </c>
      <c r="N48" s="113" t="str">
        <f t="shared" si="52"/>
        <v xml:space="preserve"> </v>
      </c>
      <c r="O48" s="113" t="str">
        <f t="shared" si="53"/>
        <v xml:space="preserve"> </v>
      </c>
      <c r="P48" s="113" t="str">
        <f t="shared" si="54"/>
        <v xml:space="preserve"> </v>
      </c>
      <c r="Q48" s="113" t="str">
        <f t="shared" si="55"/>
        <v xml:space="preserve"> </v>
      </c>
      <c r="R48" s="113"/>
      <c r="S48" s="113"/>
      <c r="T48" s="113">
        <f t="shared" si="34"/>
        <v>-5.2631578947368585E-3</v>
      </c>
      <c r="U48" s="113"/>
      <c r="V48" s="113"/>
      <c r="W48" s="113"/>
      <c r="X48" s="113"/>
      <c r="Y48" s="113"/>
      <c r="Z48" s="113"/>
      <c r="AA48" s="113"/>
      <c r="AB48" s="113"/>
      <c r="AC48" s="40"/>
      <c r="AD48" s="892">
        <v>-0.8</v>
      </c>
      <c r="AE48" s="80"/>
      <c r="AF48" s="81"/>
      <c r="AG48" s="106"/>
      <c r="AH48" s="106"/>
      <c r="AI48" s="106"/>
      <c r="AK48" s="59">
        <f t="shared" si="56"/>
        <v>-1</v>
      </c>
      <c r="AL48" s="330" t="str">
        <f t="shared" si="56"/>
        <v xml:space="preserve"> </v>
      </c>
      <c r="AM48" s="330">
        <f t="shared" si="56"/>
        <v>2.65</v>
      </c>
      <c r="AN48" s="330">
        <f t="shared" si="56"/>
        <v>-0.21780821917808213</v>
      </c>
      <c r="AO48" s="940">
        <f t="shared" si="47"/>
        <v>-0.5</v>
      </c>
      <c r="AP48" s="940">
        <f t="shared" si="48"/>
        <v>0.75</v>
      </c>
      <c r="AQ48" s="940">
        <f t="shared" si="49"/>
        <v>0.19999999999999996</v>
      </c>
      <c r="AR48" s="940">
        <f t="shared" si="50"/>
        <v>4.0000000000000036E-2</v>
      </c>
      <c r="AT48" s="889"/>
      <c r="AU48" s="890"/>
      <c r="AV48" s="890"/>
      <c r="AW48" s="891"/>
      <c r="AX48" s="890"/>
      <c r="AY48" s="891"/>
      <c r="AZ48" s="890"/>
      <c r="BA48" s="891"/>
    </row>
    <row r="49" spans="2:61" ht="12.6" customHeight="1" x14ac:dyDescent="0.2">
      <c r="B49" s="362">
        <f t="shared" si="4"/>
        <v>48</v>
      </c>
      <c r="C49" s="112" t="s">
        <v>553</v>
      </c>
      <c r="D49" s="105"/>
      <c r="E49" s="85"/>
      <c r="F49" s="85"/>
      <c r="G49" s="85"/>
      <c r="H49" s="85"/>
      <c r="I49" s="85"/>
      <c r="J49" s="85"/>
      <c r="K49" s="85"/>
      <c r="L49" s="85"/>
      <c r="M49" s="113" t="str">
        <f t="shared" si="51"/>
        <v xml:space="preserve"> </v>
      </c>
      <c r="N49" s="113" t="str">
        <f t="shared" si="52"/>
        <v xml:space="preserve"> </v>
      </c>
      <c r="O49" s="113" t="str">
        <f t="shared" si="53"/>
        <v xml:space="preserve"> </v>
      </c>
      <c r="P49" s="113" t="str">
        <f t="shared" si="54"/>
        <v xml:space="preserve"> </v>
      </c>
      <c r="Q49" s="113" t="str">
        <f t="shared" si="55"/>
        <v xml:space="preserve"> </v>
      </c>
      <c r="R49" s="113"/>
      <c r="S49" s="113"/>
      <c r="T49" s="113" t="str">
        <f t="shared" si="34"/>
        <v xml:space="preserve"> </v>
      </c>
      <c r="U49" s="113"/>
      <c r="V49" s="113"/>
      <c r="W49" s="113"/>
      <c r="X49" s="113"/>
      <c r="Y49" s="113"/>
      <c r="Z49" s="113"/>
      <c r="AA49" s="113"/>
      <c r="AB49" s="113"/>
      <c r="AC49" s="40"/>
      <c r="AD49" s="892">
        <v>0.3</v>
      </c>
      <c r="AE49" s="80"/>
      <c r="AF49" s="81"/>
      <c r="AG49" s="106"/>
      <c r="AH49" s="106"/>
      <c r="AI49" s="106"/>
      <c r="AK49" s="59" t="str">
        <f t="shared" si="56"/>
        <v xml:space="preserve"> </v>
      </c>
      <c r="AL49" s="330" t="str">
        <f t="shared" si="56"/>
        <v xml:space="preserve"> </v>
      </c>
      <c r="AM49" s="330" t="str">
        <f t="shared" si="56"/>
        <v xml:space="preserve"> </v>
      </c>
      <c r="AN49" s="330">
        <f t="shared" si="56"/>
        <v>4.5444444444444443</v>
      </c>
      <c r="AO49" s="940">
        <f t="shared" ca="1" si="47"/>
        <v>5.2104208416833719E-2</v>
      </c>
      <c r="AP49" s="940">
        <f t="shared" ca="1" si="48"/>
        <v>0</v>
      </c>
      <c r="AQ49" s="940">
        <f t="shared" ca="1" si="49"/>
        <v>0</v>
      </c>
      <c r="AR49" s="940">
        <f t="shared" ca="1" si="50"/>
        <v>0</v>
      </c>
      <c r="BI49" s="887" t="s">
        <v>1576</v>
      </c>
    </row>
    <row r="50" spans="2:61" ht="12.6" customHeight="1" x14ac:dyDescent="0.2">
      <c r="B50" s="362">
        <f t="shared" si="4"/>
        <v>49</v>
      </c>
      <c r="C50" s="112" t="s">
        <v>788</v>
      </c>
      <c r="D50" s="105"/>
      <c r="E50" s="85"/>
      <c r="F50" s="85"/>
      <c r="G50" s="85"/>
      <c r="H50" s="85"/>
      <c r="I50" s="85"/>
      <c r="J50" s="85"/>
      <c r="K50" s="85"/>
      <c r="L50" s="85"/>
      <c r="M50" s="113" t="str">
        <f t="shared" si="51"/>
        <v xml:space="preserve"> </v>
      </c>
      <c r="N50" s="113" t="str">
        <f t="shared" si="52"/>
        <v xml:space="preserve"> </v>
      </c>
      <c r="O50" s="113" t="str">
        <f t="shared" si="53"/>
        <v xml:space="preserve"> </v>
      </c>
      <c r="P50" s="113" t="str">
        <f t="shared" si="54"/>
        <v xml:space="preserve"> </v>
      </c>
      <c r="Q50" s="113" t="str">
        <f t="shared" si="55"/>
        <v xml:space="preserve"> </v>
      </c>
      <c r="R50" s="113"/>
      <c r="S50" s="113"/>
      <c r="T50" s="113" t="str">
        <f t="shared" si="34"/>
        <v xml:space="preserve"> </v>
      </c>
      <c r="U50" s="113"/>
      <c r="V50" s="113"/>
      <c r="W50" s="113"/>
      <c r="X50" s="113"/>
      <c r="Y50" s="113"/>
      <c r="Z50" s="113"/>
      <c r="AA50" s="113"/>
      <c r="AB50" s="113"/>
      <c r="AC50" s="40"/>
      <c r="AD50" s="892">
        <v>0.3</v>
      </c>
      <c r="AE50" s="80"/>
      <c r="AF50" s="81"/>
      <c r="AG50" s="106"/>
      <c r="AH50" s="106"/>
      <c r="AI50" s="106"/>
      <c r="AK50" s="59" t="str">
        <f t="shared" si="56"/>
        <v xml:space="preserve"> </v>
      </c>
      <c r="AL50" s="330" t="str">
        <f t="shared" si="56"/>
        <v xml:space="preserve"> </v>
      </c>
      <c r="AM50" s="330" t="str">
        <f t="shared" si="56"/>
        <v xml:space="preserve"> </v>
      </c>
      <c r="AN50" s="330">
        <f t="shared" si="56"/>
        <v>5.5</v>
      </c>
      <c r="AO50" s="940">
        <f t="shared" si="47"/>
        <v>1.25</v>
      </c>
      <c r="AP50" s="940">
        <f t="shared" si="48"/>
        <v>7.6923076923076872E-2</v>
      </c>
      <c r="AQ50" s="940">
        <f t="shared" si="49"/>
        <v>7.1428571428571397E-2</v>
      </c>
      <c r="AR50" s="940">
        <f t="shared" si="50"/>
        <v>0</v>
      </c>
      <c r="BC50" s="1006"/>
      <c r="BD50" s="1006"/>
    </row>
    <row r="51" spans="2:61" ht="12.6" customHeight="1" x14ac:dyDescent="0.2">
      <c r="B51" s="362">
        <f t="shared" si="4"/>
        <v>50</v>
      </c>
      <c r="C51" s="112" t="s">
        <v>789</v>
      </c>
      <c r="D51" s="105"/>
      <c r="E51" s="85"/>
      <c r="F51" s="85"/>
      <c r="G51" s="85"/>
      <c r="H51" s="85"/>
      <c r="I51" s="85"/>
      <c r="J51" s="85"/>
      <c r="K51" s="85"/>
      <c r="L51" s="85"/>
      <c r="M51" s="113" t="str">
        <f t="shared" si="51"/>
        <v xml:space="preserve"> </v>
      </c>
      <c r="N51" s="113" t="str">
        <f t="shared" si="52"/>
        <v xml:space="preserve"> </v>
      </c>
      <c r="O51" s="113" t="str">
        <f t="shared" si="53"/>
        <v xml:space="preserve"> </v>
      </c>
      <c r="P51" s="113" t="str">
        <f t="shared" si="54"/>
        <v xml:space="preserve"> </v>
      </c>
      <c r="Q51" s="113" t="str">
        <f t="shared" si="55"/>
        <v xml:space="preserve"> </v>
      </c>
      <c r="R51" s="113"/>
      <c r="S51" s="113"/>
      <c r="T51" s="113"/>
      <c r="U51" s="113"/>
      <c r="V51" s="113"/>
      <c r="W51" s="113"/>
      <c r="X51" s="113"/>
      <c r="Y51" s="113"/>
      <c r="Z51" s="113"/>
      <c r="AA51" s="113"/>
      <c r="AB51" s="113"/>
      <c r="AC51" s="40"/>
      <c r="AD51" s="113"/>
      <c r="AE51" s="80"/>
      <c r="AF51" s="81"/>
      <c r="AG51" s="106"/>
      <c r="AH51" s="106"/>
      <c r="AI51" s="106"/>
      <c r="AK51" s="59" t="str">
        <f t="shared" si="56"/>
        <v xml:space="preserve"> </v>
      </c>
      <c r="AL51" s="330" t="str">
        <f t="shared" si="56"/>
        <v xml:space="preserve"> </v>
      </c>
      <c r="AM51" s="330" t="str">
        <f t="shared" si="56"/>
        <v xml:space="preserve"> </v>
      </c>
      <c r="AN51" s="330" t="str">
        <f t="shared" si="56"/>
        <v xml:space="preserve"> </v>
      </c>
      <c r="AO51" s="940" t="str">
        <f t="shared" si="47"/>
        <v xml:space="preserve"> </v>
      </c>
      <c r="AP51" s="940" t="str">
        <f t="shared" si="48"/>
        <v xml:space="preserve"> </v>
      </c>
      <c r="AQ51" s="940" t="str">
        <f t="shared" si="49"/>
        <v xml:space="preserve"> </v>
      </c>
      <c r="AR51" s="940">
        <f t="shared" si="50"/>
        <v>5</v>
      </c>
      <c r="BC51" s="1006"/>
      <c r="BD51" s="1006"/>
    </row>
    <row r="52" spans="2:61" ht="12.6" customHeight="1" x14ac:dyDescent="0.2">
      <c r="B52" s="362">
        <f t="shared" si="4"/>
        <v>51</v>
      </c>
      <c r="C52" s="112" t="s">
        <v>558</v>
      </c>
      <c r="D52" s="105"/>
      <c r="E52" s="85"/>
      <c r="F52" s="85"/>
      <c r="G52" s="85"/>
      <c r="H52" s="85"/>
      <c r="I52" s="85"/>
      <c r="J52" s="85"/>
      <c r="K52" s="85"/>
      <c r="L52" s="85"/>
      <c r="M52" s="113" t="str">
        <f t="shared" si="51"/>
        <v xml:space="preserve"> </v>
      </c>
      <c r="N52" s="113" t="str">
        <f t="shared" si="52"/>
        <v xml:space="preserve"> </v>
      </c>
      <c r="O52" s="113" t="str">
        <f t="shared" si="53"/>
        <v xml:space="preserve"> </v>
      </c>
      <c r="P52" s="113" t="str">
        <f t="shared" si="54"/>
        <v xml:space="preserve"> </v>
      </c>
      <c r="Q52" s="113" t="str">
        <f t="shared" si="55"/>
        <v xml:space="preserve"> </v>
      </c>
      <c r="R52" s="113"/>
      <c r="S52" s="113"/>
      <c r="T52" s="113"/>
      <c r="U52" s="113"/>
      <c r="V52" s="113"/>
      <c r="W52" s="113"/>
      <c r="X52" s="113"/>
      <c r="Y52" s="113"/>
      <c r="Z52" s="113"/>
      <c r="AA52" s="113"/>
      <c r="AB52" s="113"/>
      <c r="AC52" s="40"/>
      <c r="AD52" s="113"/>
      <c r="AE52" s="80"/>
      <c r="AF52" s="81"/>
      <c r="AG52" s="106"/>
      <c r="AH52" s="106"/>
      <c r="AI52" s="106"/>
      <c r="AK52" s="59" t="str">
        <f t="shared" si="56"/>
        <v xml:space="preserve"> </v>
      </c>
      <c r="AL52" s="330" t="str">
        <f t="shared" si="56"/>
        <v xml:space="preserve"> </v>
      </c>
      <c r="AM52" s="330" t="str">
        <f t="shared" si="56"/>
        <v xml:space="preserve"> </v>
      </c>
      <c r="AN52" s="330" t="str">
        <f t="shared" si="56"/>
        <v xml:space="preserve"> </v>
      </c>
      <c r="AO52" s="940" t="str">
        <f t="shared" si="47"/>
        <v xml:space="preserve"> </v>
      </c>
      <c r="AP52" s="940" t="str">
        <f t="shared" si="48"/>
        <v xml:space="preserve"> </v>
      </c>
      <c r="AQ52" s="940">
        <f t="shared" si="49"/>
        <v>0.64179104477611926</v>
      </c>
      <c r="AR52" s="940">
        <f t="shared" si="50"/>
        <v>0.27272727272727271</v>
      </c>
    </row>
    <row r="53" spans="2:61" ht="12.6" customHeight="1" x14ac:dyDescent="0.2">
      <c r="B53" s="362">
        <f t="shared" si="4"/>
        <v>52</v>
      </c>
      <c r="C53" s="112" t="s">
        <v>760</v>
      </c>
      <c r="D53" s="105"/>
      <c r="E53" s="85"/>
      <c r="F53" s="85"/>
      <c r="G53" s="85"/>
      <c r="H53" s="85"/>
      <c r="I53" s="85"/>
      <c r="J53" s="85"/>
      <c r="K53" s="85"/>
      <c r="L53" s="85"/>
      <c r="M53" s="113" t="str">
        <f t="shared" si="51"/>
        <v xml:space="preserve"> </v>
      </c>
      <c r="N53" s="113" t="str">
        <f t="shared" si="52"/>
        <v xml:space="preserve"> </v>
      </c>
      <c r="O53" s="113" t="str">
        <f t="shared" si="53"/>
        <v xml:space="preserve"> </v>
      </c>
      <c r="P53" s="113" t="str">
        <f t="shared" si="54"/>
        <v xml:space="preserve"> </v>
      </c>
      <c r="Q53" s="113" t="str">
        <f t="shared" si="55"/>
        <v xml:space="preserve"> </v>
      </c>
      <c r="R53" s="113"/>
      <c r="S53" s="113"/>
      <c r="T53" s="113"/>
      <c r="U53" s="113"/>
      <c r="V53" s="113"/>
      <c r="W53" s="113"/>
      <c r="X53" s="113"/>
      <c r="Y53" s="113"/>
      <c r="Z53" s="113"/>
      <c r="AA53" s="113"/>
      <c r="AB53" s="113"/>
      <c r="AC53" s="40"/>
      <c r="AD53" s="113"/>
      <c r="AE53" s="80"/>
      <c r="AF53" s="81"/>
      <c r="AG53" s="106"/>
      <c r="AH53" s="106"/>
      <c r="AI53" s="106"/>
      <c r="AK53" s="59" t="str">
        <f t="shared" si="56"/>
        <v xml:space="preserve"> </v>
      </c>
      <c r="AL53" s="330" t="str">
        <f t="shared" si="56"/>
        <v xml:space="preserve"> </v>
      </c>
      <c r="AM53" s="330" t="str">
        <f t="shared" si="56"/>
        <v xml:space="preserve"> </v>
      </c>
      <c r="AN53" s="330" t="str">
        <f t="shared" si="56"/>
        <v xml:space="preserve"> </v>
      </c>
      <c r="AO53" s="940" t="str">
        <f t="shared" si="47"/>
        <v xml:space="preserve"> </v>
      </c>
      <c r="AP53" s="940" t="str">
        <f t="shared" si="48"/>
        <v xml:space="preserve"> </v>
      </c>
      <c r="AQ53" s="940">
        <f t="shared" si="49"/>
        <v>0.5</v>
      </c>
      <c r="AR53" s="940">
        <f t="shared" si="50"/>
        <v>0</v>
      </c>
    </row>
    <row r="54" spans="2:61" ht="12.6" customHeight="1" x14ac:dyDescent="0.2">
      <c r="B54" s="362">
        <f t="shared" si="4"/>
        <v>53</v>
      </c>
      <c r="C54" s="112" t="s">
        <v>761</v>
      </c>
      <c r="D54" s="105"/>
      <c r="E54" s="85"/>
      <c r="F54" s="85"/>
      <c r="G54" s="85"/>
      <c r="H54" s="85"/>
      <c r="I54" s="85"/>
      <c r="J54" s="85"/>
      <c r="K54" s="85"/>
      <c r="L54" s="85"/>
      <c r="M54" s="113" t="str">
        <f t="shared" si="51"/>
        <v xml:space="preserve"> </v>
      </c>
      <c r="N54" s="113" t="str">
        <f t="shared" si="52"/>
        <v xml:space="preserve"> </v>
      </c>
      <c r="O54" s="113" t="str">
        <f t="shared" si="53"/>
        <v xml:space="preserve"> </v>
      </c>
      <c r="P54" s="113" t="str">
        <f t="shared" si="54"/>
        <v xml:space="preserve"> </v>
      </c>
      <c r="Q54" s="113" t="str">
        <f t="shared" si="55"/>
        <v xml:space="preserve"> </v>
      </c>
      <c r="R54" s="113"/>
      <c r="S54" s="113"/>
      <c r="T54" s="113"/>
      <c r="U54" s="113"/>
      <c r="V54" s="113"/>
      <c r="W54" s="113"/>
      <c r="X54" s="113"/>
      <c r="Y54" s="113"/>
      <c r="Z54" s="113"/>
      <c r="AA54" s="113"/>
      <c r="AB54" s="113"/>
      <c r="AC54" s="40"/>
      <c r="AD54" s="113"/>
      <c r="AE54" s="80"/>
      <c r="AF54" s="81"/>
      <c r="AG54" s="106"/>
      <c r="AH54" s="106"/>
      <c r="AI54" s="106"/>
      <c r="AK54" s="59" t="str">
        <f t="shared" si="56"/>
        <v xml:space="preserve"> </v>
      </c>
      <c r="AL54" s="330" t="str">
        <f t="shared" si="56"/>
        <v xml:space="preserve"> </v>
      </c>
      <c r="AM54" s="330" t="str">
        <f t="shared" si="56"/>
        <v xml:space="preserve"> </v>
      </c>
      <c r="AN54" s="330" t="str">
        <f t="shared" si="56"/>
        <v xml:space="preserve"> </v>
      </c>
      <c r="AO54" s="940" t="str">
        <f t="shared" si="47"/>
        <v xml:space="preserve"> </v>
      </c>
      <c r="AP54" s="940" t="str">
        <f t="shared" si="48"/>
        <v xml:space="preserve"> </v>
      </c>
      <c r="AQ54" s="940" t="str">
        <f t="shared" si="49"/>
        <v xml:space="preserve"> </v>
      </c>
      <c r="AR54" s="940" t="str">
        <f t="shared" si="50"/>
        <v xml:space="preserve"> </v>
      </c>
    </row>
    <row r="55" spans="2:61" ht="12.6" customHeight="1" x14ac:dyDescent="0.2">
      <c r="B55" s="362">
        <f t="shared" si="4"/>
        <v>54</v>
      </c>
      <c r="C55" s="112" t="s">
        <v>664</v>
      </c>
      <c r="D55" s="105"/>
      <c r="E55" s="85"/>
      <c r="F55" s="85"/>
      <c r="G55" s="85"/>
      <c r="H55" s="85"/>
      <c r="I55" s="85"/>
      <c r="J55" s="85"/>
      <c r="K55" s="85"/>
      <c r="L55" s="85"/>
      <c r="M55" s="113" t="str">
        <f t="shared" si="51"/>
        <v xml:space="preserve"> </v>
      </c>
      <c r="N55" s="113" t="str">
        <f t="shared" si="52"/>
        <v xml:space="preserve"> </v>
      </c>
      <c r="O55" s="113" t="str">
        <f t="shared" si="53"/>
        <v xml:space="preserve"> </v>
      </c>
      <c r="P55" s="113" t="str">
        <f t="shared" si="54"/>
        <v xml:space="preserve"> </v>
      </c>
      <c r="Q55" s="113" t="str">
        <f t="shared" si="55"/>
        <v xml:space="preserve"> </v>
      </c>
      <c r="R55" s="113"/>
      <c r="S55" s="113"/>
      <c r="T55" s="113"/>
      <c r="U55" s="113"/>
      <c r="V55" s="113"/>
      <c r="W55" s="113"/>
      <c r="X55" s="113"/>
      <c r="Y55" s="113"/>
      <c r="Z55" s="113"/>
      <c r="AA55" s="113"/>
      <c r="AB55" s="113"/>
      <c r="AC55" s="40"/>
      <c r="AD55" s="113"/>
      <c r="AE55" s="80"/>
      <c r="AF55" s="81"/>
      <c r="AG55" s="106"/>
      <c r="AH55" s="106"/>
      <c r="AI55" s="106"/>
      <c r="AK55" s="59" t="str">
        <f t="shared" si="56"/>
        <v xml:space="preserve"> </v>
      </c>
      <c r="AL55" s="330" t="str">
        <f t="shared" si="56"/>
        <v xml:space="preserve"> </v>
      </c>
      <c r="AM55" s="330" t="str">
        <f t="shared" si="56"/>
        <v xml:space="preserve"> </v>
      </c>
      <c r="AN55" s="330" t="str">
        <f t="shared" si="56"/>
        <v xml:space="preserve"> </v>
      </c>
      <c r="AO55" s="940" t="str">
        <f t="shared" si="47"/>
        <v xml:space="preserve"> </v>
      </c>
      <c r="AP55" s="940" t="str">
        <f t="shared" si="48"/>
        <v xml:space="preserve"> </v>
      </c>
      <c r="AQ55" s="940" t="str">
        <f t="shared" si="49"/>
        <v xml:space="preserve"> </v>
      </c>
      <c r="AR55" s="940" t="str">
        <f t="shared" si="50"/>
        <v xml:space="preserve"> </v>
      </c>
    </row>
    <row r="56" spans="2:61" ht="12.6" customHeight="1" x14ac:dyDescent="0.2">
      <c r="B56" s="362">
        <f t="shared" si="4"/>
        <v>55</v>
      </c>
      <c r="C56" s="112" t="s">
        <v>707</v>
      </c>
      <c r="D56" s="105"/>
      <c r="E56" s="85"/>
      <c r="F56" s="85"/>
      <c r="G56" s="85"/>
      <c r="H56" s="85"/>
      <c r="I56" s="85"/>
      <c r="J56" s="85"/>
      <c r="K56" s="85"/>
      <c r="L56" s="85"/>
      <c r="M56" s="113" t="str">
        <f t="shared" si="51"/>
        <v xml:space="preserve"> </v>
      </c>
      <c r="N56" s="113" t="str">
        <f t="shared" si="52"/>
        <v xml:space="preserve"> </v>
      </c>
      <c r="O56" s="113" t="str">
        <f t="shared" si="53"/>
        <v xml:space="preserve"> </v>
      </c>
      <c r="P56" s="113" t="str">
        <f t="shared" si="54"/>
        <v xml:space="preserve"> </v>
      </c>
      <c r="Q56" s="113" t="str">
        <f t="shared" si="55"/>
        <v xml:space="preserve"> </v>
      </c>
      <c r="R56" s="113"/>
      <c r="S56" s="113"/>
      <c r="T56" s="113"/>
      <c r="U56" s="113"/>
      <c r="V56" s="113"/>
      <c r="W56" s="113"/>
      <c r="X56" s="113"/>
      <c r="Y56" s="113"/>
      <c r="Z56" s="113"/>
      <c r="AA56" s="113"/>
      <c r="AB56" s="113"/>
      <c r="AC56" s="40"/>
      <c r="AD56" s="113"/>
      <c r="AE56" s="80"/>
      <c r="AF56" s="81"/>
      <c r="AG56" s="106"/>
      <c r="AH56" s="106"/>
      <c r="AI56" s="106"/>
      <c r="AK56" s="59" t="str">
        <f t="shared" si="56"/>
        <v xml:space="preserve"> </v>
      </c>
      <c r="AL56" s="330" t="str">
        <f t="shared" si="56"/>
        <v xml:space="preserve"> </v>
      </c>
      <c r="AM56" s="330" t="str">
        <f t="shared" si="56"/>
        <v xml:space="preserve"> </v>
      </c>
      <c r="AN56" s="330" t="str">
        <f t="shared" si="56"/>
        <v xml:space="preserve"> </v>
      </c>
      <c r="AO56" s="940" t="str">
        <f t="shared" si="47"/>
        <v xml:space="preserve"> </v>
      </c>
      <c r="AP56" s="940" t="str">
        <f t="shared" si="48"/>
        <v xml:space="preserve"> </v>
      </c>
      <c r="AQ56" s="940" t="str">
        <f t="shared" si="49"/>
        <v xml:space="preserve"> </v>
      </c>
      <c r="AR56" s="940" t="str">
        <f t="shared" si="50"/>
        <v xml:space="preserve"> </v>
      </c>
    </row>
    <row r="57" spans="2:61" ht="12.6" customHeight="1" x14ac:dyDescent="0.2">
      <c r="B57" s="362">
        <f t="shared" si="4"/>
        <v>56</v>
      </c>
      <c r="C57" s="112" t="s">
        <v>472</v>
      </c>
      <c r="D57" s="105"/>
      <c r="E57" s="85"/>
      <c r="F57" s="85"/>
      <c r="G57" s="85"/>
      <c r="H57" s="85"/>
      <c r="I57" s="85"/>
      <c r="J57" s="85"/>
      <c r="K57" s="85"/>
      <c r="L57" s="85"/>
      <c r="M57" s="113" t="str">
        <f t="shared" si="51"/>
        <v xml:space="preserve"> </v>
      </c>
      <c r="N57" s="113" t="str">
        <f t="shared" si="52"/>
        <v xml:space="preserve"> </v>
      </c>
      <c r="O57" s="113" t="str">
        <f t="shared" si="53"/>
        <v xml:space="preserve"> </v>
      </c>
      <c r="P57" s="113" t="str">
        <f t="shared" si="54"/>
        <v xml:space="preserve"> </v>
      </c>
      <c r="Q57" s="113" t="str">
        <f t="shared" si="55"/>
        <v xml:space="preserve"> </v>
      </c>
      <c r="R57" s="113"/>
      <c r="S57" s="113"/>
      <c r="T57" s="113"/>
      <c r="U57" s="113"/>
      <c r="V57" s="113"/>
      <c r="W57" s="113"/>
      <c r="X57" s="113"/>
      <c r="Y57" s="113"/>
      <c r="Z57" s="113"/>
      <c r="AA57" s="113"/>
      <c r="AB57" s="113"/>
      <c r="AC57" s="40"/>
      <c r="AD57" s="113"/>
      <c r="AE57" s="80"/>
      <c r="AF57" s="81"/>
      <c r="AG57" s="106"/>
      <c r="AH57" s="106"/>
      <c r="AI57" s="106"/>
      <c r="AK57" s="59" t="str">
        <f t="shared" si="56"/>
        <v xml:space="preserve"> </v>
      </c>
      <c r="AL57" s="330" t="str">
        <f t="shared" si="56"/>
        <v xml:space="preserve"> </v>
      </c>
      <c r="AM57" s="330" t="str">
        <f t="shared" si="56"/>
        <v xml:space="preserve"> </v>
      </c>
      <c r="AN57" s="330" t="str">
        <f t="shared" si="56"/>
        <v xml:space="preserve"> </v>
      </c>
      <c r="AO57" s="940" t="str">
        <f t="shared" si="47"/>
        <v xml:space="preserve"> </v>
      </c>
      <c r="AP57" s="940">
        <f t="shared" si="48"/>
        <v>1</v>
      </c>
      <c r="AQ57" s="940">
        <f t="shared" si="49"/>
        <v>0.71428571428571441</v>
      </c>
      <c r="AR57" s="940">
        <f t="shared" si="50"/>
        <v>0.16666666666666652</v>
      </c>
    </row>
    <row r="58" spans="2:61" ht="12.6" customHeight="1" x14ac:dyDescent="0.2">
      <c r="B58" s="362">
        <f t="shared" si="4"/>
        <v>57</v>
      </c>
      <c r="C58" s="112" t="s">
        <v>472</v>
      </c>
      <c r="D58" s="105"/>
      <c r="E58" s="85"/>
      <c r="F58" s="85"/>
      <c r="G58" s="85"/>
      <c r="H58" s="85"/>
      <c r="I58" s="85"/>
      <c r="J58" s="85"/>
      <c r="K58" s="85"/>
      <c r="L58" s="85"/>
      <c r="M58" s="113" t="str">
        <f t="shared" si="51"/>
        <v xml:space="preserve"> </v>
      </c>
      <c r="N58" s="113" t="str">
        <f t="shared" si="52"/>
        <v xml:space="preserve"> </v>
      </c>
      <c r="O58" s="113" t="str">
        <f t="shared" si="53"/>
        <v xml:space="preserve"> </v>
      </c>
      <c r="P58" s="113" t="str">
        <f t="shared" si="54"/>
        <v xml:space="preserve"> </v>
      </c>
      <c r="Q58" s="113" t="str">
        <f t="shared" si="55"/>
        <v xml:space="preserve"> </v>
      </c>
      <c r="R58" s="113"/>
      <c r="S58" s="113"/>
      <c r="T58" s="113"/>
      <c r="U58" s="113"/>
      <c r="V58" s="113"/>
      <c r="W58" s="113"/>
      <c r="X58" s="113"/>
      <c r="Y58" s="113"/>
      <c r="Z58" s="113"/>
      <c r="AA58" s="113"/>
      <c r="AB58" s="113"/>
      <c r="AC58" s="40"/>
      <c r="AD58" s="113"/>
      <c r="AE58" s="80"/>
      <c r="AF58" s="81"/>
      <c r="AG58" s="106"/>
      <c r="AH58" s="106"/>
      <c r="AI58" s="106"/>
      <c r="AK58" s="59" t="str">
        <f t="shared" si="56"/>
        <v xml:space="preserve"> </v>
      </c>
      <c r="AL58" s="330" t="str">
        <f t="shared" si="56"/>
        <v xml:space="preserve"> </v>
      </c>
      <c r="AM58" s="330" t="str">
        <f t="shared" si="56"/>
        <v xml:space="preserve"> </v>
      </c>
      <c r="AN58" s="330" t="str">
        <f t="shared" si="56"/>
        <v xml:space="preserve"> </v>
      </c>
      <c r="AO58" s="940" t="str">
        <f t="shared" ca="1" si="47"/>
        <v xml:space="preserve"> </v>
      </c>
      <c r="AP58" s="940" t="str">
        <f t="shared" ca="1" si="48"/>
        <v xml:space="preserve"> </v>
      </c>
      <c r="AQ58" s="940" t="str">
        <f t="shared" ca="1" si="49"/>
        <v xml:space="preserve"> </v>
      </c>
      <c r="AR58" s="940">
        <f t="shared" si="50"/>
        <v>1</v>
      </c>
    </row>
    <row r="59" spans="2:61" ht="12.6" customHeight="1" x14ac:dyDescent="0.2">
      <c r="B59" s="362">
        <f t="shared" si="4"/>
        <v>58</v>
      </c>
      <c r="C59" s="112" t="s">
        <v>472</v>
      </c>
      <c r="D59" s="105"/>
      <c r="E59" s="85"/>
      <c r="F59" s="85"/>
      <c r="G59" s="85"/>
      <c r="H59" s="85"/>
      <c r="I59" s="85"/>
      <c r="J59" s="85"/>
      <c r="K59" s="85"/>
      <c r="L59" s="85"/>
      <c r="M59" s="113" t="str">
        <f t="shared" si="51"/>
        <v xml:space="preserve"> </v>
      </c>
      <c r="N59" s="113" t="str">
        <f t="shared" si="52"/>
        <v xml:space="preserve"> </v>
      </c>
      <c r="O59" s="113" t="str">
        <f t="shared" si="53"/>
        <v xml:space="preserve"> </v>
      </c>
      <c r="P59" s="113" t="str">
        <f t="shared" si="54"/>
        <v xml:space="preserve"> </v>
      </c>
      <c r="Q59" s="113" t="str">
        <f t="shared" si="55"/>
        <v xml:space="preserve"> </v>
      </c>
      <c r="R59" s="113"/>
      <c r="S59" s="113"/>
      <c r="T59" s="113"/>
      <c r="U59" s="113"/>
      <c r="V59" s="113"/>
      <c r="W59" s="113"/>
      <c r="X59" s="113"/>
      <c r="Y59" s="113"/>
      <c r="Z59" s="113"/>
      <c r="AA59" s="113"/>
      <c r="AB59" s="113"/>
      <c r="AC59" s="40"/>
      <c r="AD59" s="113"/>
      <c r="AE59" s="80"/>
      <c r="AF59" s="81"/>
      <c r="AG59" s="106"/>
      <c r="AH59" s="106"/>
      <c r="AI59" s="106"/>
      <c r="AK59" s="59" t="str">
        <f t="shared" si="56"/>
        <v xml:space="preserve"> </v>
      </c>
      <c r="AL59" s="330" t="str">
        <f t="shared" si="56"/>
        <v xml:space="preserve"> </v>
      </c>
      <c r="AM59" s="330" t="str">
        <f t="shared" si="56"/>
        <v xml:space="preserve"> </v>
      </c>
      <c r="AN59" s="330" t="str">
        <f t="shared" si="56"/>
        <v xml:space="preserve"> </v>
      </c>
      <c r="AO59" s="940" t="str">
        <f t="shared" si="47"/>
        <v xml:space="preserve"> </v>
      </c>
      <c r="AP59" s="940" t="str">
        <f t="shared" si="48"/>
        <v xml:space="preserve"> </v>
      </c>
      <c r="AQ59" s="940" t="str">
        <f t="shared" si="49"/>
        <v xml:space="preserve"> </v>
      </c>
      <c r="AR59" s="940" t="str">
        <f t="shared" si="50"/>
        <v xml:space="preserve"> </v>
      </c>
    </row>
    <row r="60" spans="2:61" ht="12.6" customHeight="1" x14ac:dyDescent="0.2">
      <c r="B60" s="362">
        <f t="shared" si="4"/>
        <v>59</v>
      </c>
      <c r="C60" s="112" t="s">
        <v>472</v>
      </c>
      <c r="D60" s="105"/>
      <c r="E60" s="85"/>
      <c r="F60" s="85"/>
      <c r="G60" s="85"/>
      <c r="H60" s="85"/>
      <c r="I60" s="85"/>
      <c r="J60" s="85"/>
      <c r="K60" s="85"/>
      <c r="L60" s="85"/>
      <c r="M60" s="113" t="str">
        <f t="shared" si="51"/>
        <v xml:space="preserve"> </v>
      </c>
      <c r="N60" s="113" t="str">
        <f t="shared" si="52"/>
        <v xml:space="preserve"> </v>
      </c>
      <c r="O60" s="113" t="str">
        <f t="shared" si="53"/>
        <v xml:space="preserve"> </v>
      </c>
      <c r="P60" s="113" t="str">
        <f t="shared" si="54"/>
        <v xml:space="preserve"> </v>
      </c>
      <c r="Q60" s="113" t="str">
        <f t="shared" si="55"/>
        <v xml:space="preserve"> </v>
      </c>
      <c r="R60" s="113"/>
      <c r="S60" s="113"/>
      <c r="T60" s="113"/>
      <c r="U60" s="113"/>
      <c r="V60" s="113"/>
      <c r="W60" s="113"/>
      <c r="X60" s="113"/>
      <c r="Y60" s="113"/>
      <c r="Z60" s="113"/>
      <c r="AA60" s="113"/>
      <c r="AB60" s="113"/>
      <c r="AC60" s="40"/>
      <c r="AD60" s="113"/>
      <c r="AE60" s="80"/>
      <c r="AF60" s="81"/>
      <c r="AG60" s="106"/>
      <c r="AH60" s="106"/>
      <c r="AI60" s="106"/>
      <c r="AK60" s="59" t="str">
        <f t="shared" si="56"/>
        <v xml:space="preserve"> </v>
      </c>
      <c r="AL60" s="330" t="str">
        <f t="shared" si="56"/>
        <v xml:space="preserve"> </v>
      </c>
      <c r="AM60" s="330" t="str">
        <f t="shared" si="56"/>
        <v xml:space="preserve"> </v>
      </c>
      <c r="AN60" s="330" t="str">
        <f t="shared" si="56"/>
        <v xml:space="preserve"> </v>
      </c>
      <c r="AO60" s="940" t="str">
        <f t="shared" si="47"/>
        <v xml:space="preserve"> </v>
      </c>
      <c r="AP60" s="940" t="str">
        <f t="shared" si="48"/>
        <v xml:space="preserve"> </v>
      </c>
      <c r="AQ60" s="940" t="str">
        <f t="shared" si="49"/>
        <v xml:space="preserve"> </v>
      </c>
      <c r="AR60" s="940" t="str">
        <f t="shared" si="50"/>
        <v xml:space="preserve"> </v>
      </c>
      <c r="BB60" s="38"/>
    </row>
    <row r="61" spans="2:61" ht="12.6" customHeight="1" x14ac:dyDescent="0.2">
      <c r="B61" s="362">
        <f t="shared" si="4"/>
        <v>60</v>
      </c>
      <c r="C61" s="112" t="s">
        <v>111</v>
      </c>
      <c r="D61" s="105"/>
      <c r="E61" s="85"/>
      <c r="F61" s="85"/>
      <c r="G61" s="85"/>
      <c r="H61" s="85"/>
      <c r="I61" s="85"/>
      <c r="J61" s="85"/>
      <c r="K61" s="85"/>
      <c r="L61" s="85"/>
      <c r="M61" s="113">
        <f t="shared" si="51"/>
        <v>-4.9999999999998934</v>
      </c>
      <c r="N61" s="113" t="str">
        <f t="shared" si="52"/>
        <v xml:space="preserve"> </v>
      </c>
      <c r="O61" s="113">
        <f t="shared" si="53"/>
        <v>-2</v>
      </c>
      <c r="P61" s="113">
        <f t="shared" si="54"/>
        <v>-1</v>
      </c>
      <c r="Q61" s="113">
        <f t="shared" si="55"/>
        <v>-0.49999999999999556</v>
      </c>
      <c r="R61" s="113">
        <f t="shared" ref="R61:Y62" si="57">IFERROR(R28/N28-1," ")</f>
        <v>-1</v>
      </c>
      <c r="S61" s="113">
        <f t="shared" si="57"/>
        <v>-1.5000000000000178</v>
      </c>
      <c r="T61" s="113" t="str">
        <f t="shared" si="57"/>
        <v xml:space="preserve"> </v>
      </c>
      <c r="U61" s="113"/>
      <c r="V61" s="113"/>
      <c r="W61" s="113"/>
      <c r="X61" s="113"/>
      <c r="Y61" s="113"/>
      <c r="Z61" s="113"/>
      <c r="AA61" s="113"/>
      <c r="AB61" s="113"/>
      <c r="AC61" s="40"/>
      <c r="AD61" s="113"/>
      <c r="AE61" s="80"/>
      <c r="AF61" s="81"/>
      <c r="AG61" s="106"/>
      <c r="AH61" s="106"/>
      <c r="AI61" s="106"/>
      <c r="AK61" s="59" t="str">
        <f t="shared" si="56"/>
        <v xml:space="preserve"> </v>
      </c>
      <c r="AL61" s="330" t="str">
        <f t="shared" si="56"/>
        <v xml:space="preserve"> </v>
      </c>
      <c r="AM61" s="330" t="str">
        <f t="shared" si="56"/>
        <v xml:space="preserve"> </v>
      </c>
      <c r="AN61" s="330" t="str">
        <f t="shared" si="56"/>
        <v xml:space="preserve"> </v>
      </c>
      <c r="AO61" s="940" t="str">
        <f t="shared" si="47"/>
        <v xml:space="preserve"> </v>
      </c>
      <c r="AP61" s="940" t="str">
        <f t="shared" si="48"/>
        <v xml:space="preserve"> </v>
      </c>
      <c r="AQ61" s="940" t="str">
        <f t="shared" si="49"/>
        <v xml:space="preserve"> </v>
      </c>
      <c r="AR61" s="940" t="str">
        <f t="shared" si="50"/>
        <v xml:space="preserve"> </v>
      </c>
    </row>
    <row r="62" spans="2:61" ht="12.6" customHeight="1" x14ac:dyDescent="0.2">
      <c r="B62" s="362">
        <f t="shared" si="4"/>
        <v>61</v>
      </c>
      <c r="C62" s="111" t="s">
        <v>226</v>
      </c>
      <c r="D62" s="105"/>
      <c r="E62" s="85"/>
      <c r="F62" s="85"/>
      <c r="G62" s="85"/>
      <c r="H62" s="85"/>
      <c r="I62" s="85"/>
      <c r="J62" s="85"/>
      <c r="K62" s="85"/>
      <c r="L62" s="85"/>
      <c r="M62" s="114">
        <f t="shared" si="51"/>
        <v>8.5470085470085388E-2</v>
      </c>
      <c r="N62" s="114">
        <f t="shared" si="52"/>
        <v>0.26737967914438499</v>
      </c>
      <c r="O62" s="114">
        <f t="shared" si="53"/>
        <v>0.17083333333333339</v>
      </c>
      <c r="P62" s="114">
        <f t="shared" si="54"/>
        <v>0.11567164179104461</v>
      </c>
      <c r="Q62" s="114">
        <f>IFERROR(Q29/M29-1," ")</f>
        <v>0.10629921259842523</v>
      </c>
      <c r="R62" s="114">
        <f t="shared" si="57"/>
        <v>0.16033755274261607</v>
      </c>
      <c r="S62" s="114">
        <f t="shared" si="57"/>
        <v>4.6263345195729499E-2</v>
      </c>
      <c r="T62" s="114">
        <f t="shared" si="57"/>
        <v>4.3478260869565188E-2</v>
      </c>
      <c r="U62" s="114">
        <f t="shared" si="57"/>
        <v>4.6263345195729499E-2</v>
      </c>
      <c r="V62" s="114">
        <f t="shared" si="57"/>
        <v>4.9818181818181761E-2</v>
      </c>
      <c r="W62" s="114">
        <f t="shared" si="57"/>
        <v>7.8231292517006779E-2</v>
      </c>
      <c r="X62" s="114">
        <f t="shared" si="57"/>
        <v>1.6025641025640969E-2</v>
      </c>
      <c r="Y62" s="114">
        <f t="shared" si="57"/>
        <v>-1</v>
      </c>
      <c r="Z62" s="114">
        <f t="shared" ref="Z62" si="58">IFERROR(Z29/V29-1," ")</f>
        <v>-1</v>
      </c>
      <c r="AA62" s="114">
        <f t="shared" ref="AA62" si="59">IFERROR(AA29/W29-1," ")</f>
        <v>-1</v>
      </c>
      <c r="AB62" s="114">
        <f t="shared" ref="AB62" si="60">IFERROR(AB29/X29-1," ")</f>
        <v>-1</v>
      </c>
      <c r="AC62" s="84"/>
      <c r="AD62" s="818">
        <f>IFERROR(AD29/U29-1," ")</f>
        <v>5.4421768707483054E-2</v>
      </c>
      <c r="AE62" s="80"/>
      <c r="AF62" s="81" t="str">
        <f>IFERROR(AF33/#REF!-1," ")</f>
        <v xml:space="preserve"> </v>
      </c>
      <c r="AG62" s="827">
        <f>IFERROR(AG29/AF29-1," ")</f>
        <v>0.15285252960172224</v>
      </c>
      <c r="AH62" s="827">
        <f>IFERROR(AH29/AG29-1," ")</f>
        <v>8.4967320261438051E-2</v>
      </c>
      <c r="AI62" s="827">
        <f>IFERROR(AI29/AH29-1," ")</f>
        <v>4.7074010327022409E-2</v>
      </c>
      <c r="AK62" s="59" t="str">
        <f t="shared" si="56"/>
        <v xml:space="preserve"> </v>
      </c>
      <c r="AL62" s="884">
        <f t="shared" si="56"/>
        <v>0.15329179856310926</v>
      </c>
      <c r="AM62" s="884">
        <f>IFERROR(AM29/AL29-1," ")</f>
        <v>9.3068092052172258E-2</v>
      </c>
      <c r="AN62" s="884">
        <f>IFERROR(AN29/AM29-1," ")</f>
        <v>3.1965811965811719E-2</v>
      </c>
      <c r="AO62" s="941">
        <f t="shared" ca="1" si="47"/>
        <v>5.9765694881564135E-2</v>
      </c>
      <c r="AP62" s="941">
        <f t="shared" ca="1" si="48"/>
        <v>0.31722537126206785</v>
      </c>
      <c r="AQ62" s="941">
        <f t="shared" ca="1" si="49"/>
        <v>0.16842347929295665</v>
      </c>
      <c r="AR62" s="941">
        <f t="shared" ca="1" si="50"/>
        <v>0.20542809505014858</v>
      </c>
      <c r="AT62" s="38"/>
      <c r="AU62" s="38"/>
      <c r="AV62" s="38"/>
      <c r="AW62" s="38"/>
      <c r="AX62" s="38"/>
    </row>
    <row r="63" spans="2:61" ht="12.6" customHeight="1" x14ac:dyDescent="0.2">
      <c r="B63" s="362">
        <f t="shared" si="4"/>
        <v>62</v>
      </c>
      <c r="Q63" s="539">
        <f>Q34/M34-1</f>
        <v>3.945545643882542E-2</v>
      </c>
      <c r="AC63" s="37"/>
      <c r="AL63" s="87"/>
      <c r="AM63" s="87"/>
      <c r="AN63" s="87"/>
      <c r="AO63" s="87"/>
      <c r="AP63" s="87"/>
      <c r="AQ63" s="87"/>
      <c r="AR63" s="87"/>
      <c r="AT63" s="1295" t="s">
        <v>1577</v>
      </c>
      <c r="AU63" s="1295"/>
      <c r="AV63" s="1295"/>
      <c r="AW63" s="1295"/>
      <c r="AX63" s="1295"/>
      <c r="AY63" s="1295"/>
      <c r="AZ63" s="1182"/>
      <c r="BA63" s="1182"/>
      <c r="BB63" s="1182"/>
    </row>
    <row r="64" spans="2:61" s="38" customFormat="1" ht="12.6" customHeight="1" x14ac:dyDescent="0.2">
      <c r="B64" s="362">
        <f t="shared" si="4"/>
        <v>63</v>
      </c>
      <c r="C64" s="50" t="s">
        <v>230</v>
      </c>
      <c r="D64" s="50"/>
      <c r="E64" s="93"/>
      <c r="F64" s="93"/>
      <c r="G64" s="93"/>
      <c r="H64" s="93"/>
      <c r="I64" s="93"/>
      <c r="J64" s="1036"/>
      <c r="K64" s="93"/>
      <c r="L64" s="93"/>
      <c r="M64" s="93"/>
      <c r="N64" s="1036"/>
      <c r="O64" s="93"/>
      <c r="P64" s="93"/>
      <c r="Q64" s="93"/>
      <c r="R64" s="1036"/>
      <c r="S64" s="93"/>
      <c r="T64" s="93"/>
      <c r="U64" s="1037"/>
      <c r="V64" s="1037"/>
      <c r="W64" s="1037"/>
      <c r="X64" s="1037"/>
      <c r="Y64" s="1037"/>
      <c r="Z64" s="1037"/>
      <c r="AA64" s="1037"/>
      <c r="AB64" s="1037"/>
      <c r="AC64" s="71"/>
      <c r="AD64" s="93"/>
      <c r="AE64" s="40"/>
      <c r="AF64" s="93"/>
      <c r="AG64" s="93"/>
      <c r="AH64" s="93"/>
      <c r="AI64" s="93"/>
      <c r="AJ64" s="37"/>
      <c r="AK64" s="55"/>
      <c r="AL64" s="55"/>
      <c r="AM64" s="55"/>
      <c r="AN64" s="55"/>
      <c r="AO64" s="822"/>
      <c r="AP64" s="822"/>
      <c r="AQ64" s="822"/>
      <c r="AR64" s="822"/>
      <c r="AT64" s="1183" t="s">
        <v>1578</v>
      </c>
      <c r="AU64" s="1184" t="str">
        <f>BI3</f>
        <v>4QFY26</v>
      </c>
      <c r="AV64" s="1184" t="str">
        <f>BJ3</f>
        <v>4QFY25</v>
      </c>
      <c r="AW64" s="1184" t="s">
        <v>1579</v>
      </c>
      <c r="AX64" s="1184" t="str">
        <f>BK3</f>
        <v>3QFY26</v>
      </c>
      <c r="AY64" s="1184" t="s">
        <v>1587</v>
      </c>
      <c r="AZ64" s="1184" t="s">
        <v>348</v>
      </c>
      <c r="BA64" s="1184" t="s">
        <v>347</v>
      </c>
      <c r="BB64" s="1184" t="s">
        <v>1580</v>
      </c>
    </row>
    <row r="65" spans="2:54" ht="12.6" customHeight="1" thickBot="1" x14ac:dyDescent="0.25">
      <c r="B65" s="362">
        <f t="shared" si="4"/>
        <v>64</v>
      </c>
      <c r="C65" s="56"/>
      <c r="D65" s="56"/>
      <c r="E65" s="57"/>
      <c r="F65" s="57"/>
      <c r="G65" s="57"/>
      <c r="H65" s="57"/>
      <c r="I65" s="57"/>
      <c r="J65" s="57"/>
      <c r="K65" s="57"/>
      <c r="L65" s="57"/>
      <c r="M65" s="57"/>
      <c r="N65" s="57"/>
      <c r="O65" s="57"/>
      <c r="P65" s="57"/>
      <c r="Q65" s="57"/>
      <c r="R65" s="57"/>
      <c r="S65" s="57"/>
      <c r="T65" s="57"/>
      <c r="U65" s="57"/>
      <c r="V65" s="57"/>
      <c r="W65" s="57"/>
      <c r="X65" s="57"/>
      <c r="Y65" s="57"/>
      <c r="Z65" s="57"/>
      <c r="AA65" s="57"/>
      <c r="AB65" s="57"/>
      <c r="AC65" s="40"/>
      <c r="AD65" s="57"/>
      <c r="AE65" s="40"/>
      <c r="AF65" s="57"/>
      <c r="AG65" s="57"/>
      <c r="AH65" s="57"/>
      <c r="AI65" s="57"/>
      <c r="AK65" s="59"/>
      <c r="AL65" s="59"/>
      <c r="AM65" s="59"/>
      <c r="AN65" s="59"/>
      <c r="AO65" s="60"/>
      <c r="AP65" s="60"/>
      <c r="AQ65" s="60"/>
      <c r="AR65" s="60"/>
      <c r="AT65" s="1185" t="s">
        <v>1581</v>
      </c>
      <c r="AU65" s="1186">
        <f>HLOOKUP(AU$64,$B$2:$AI$103,$B68,0)</f>
        <v>15223.4</v>
      </c>
      <c r="AV65" s="1186">
        <f>HLOOKUP(AV$64,$B$2:$AI$103,$B68,0)</f>
        <v>12831.800000000001</v>
      </c>
      <c r="AW65" s="1187">
        <f>IFERROR(AU65/AV65-1," ")</f>
        <v>0.18638071042254389</v>
      </c>
      <c r="AX65" s="1186">
        <f>HLOOKUP(AX$64,$B$2:$AI$103,$B68,0)</f>
        <v>13496.6</v>
      </c>
      <c r="AY65" s="1187">
        <f t="shared" ref="AY65:AY78" si="61">IFERROR(AU65/AX65-1," ")</f>
        <v>0.12794333387668</v>
      </c>
      <c r="AZ65" s="1188">
        <f>HLOOKUP(AZ$1,$B$2:$AI$128,$B68,0)</f>
        <v>53614.400000000001</v>
      </c>
      <c r="BA65" s="1188">
        <f>HLOOKUP(BA$1,$B$2:$AI$128,$B68,0)</f>
        <v>44761.400000000009</v>
      </c>
      <c r="BB65" s="1187">
        <f>IFERROR(AZ65/BA65-1," ")</f>
        <v>0.19778201754189983</v>
      </c>
    </row>
    <row r="66" spans="2:54" ht="12.6" customHeight="1" thickBot="1" x14ac:dyDescent="0.25">
      <c r="B66" s="362">
        <f t="shared" si="4"/>
        <v>65</v>
      </c>
      <c r="C66" s="56" t="s">
        <v>1001</v>
      </c>
      <c r="D66" s="56"/>
      <c r="E66" s="59"/>
      <c r="F66" s="59"/>
      <c r="G66" s="59"/>
      <c r="H66" s="59"/>
      <c r="I66" s="59">
        <v>8197</v>
      </c>
      <c r="J66" s="59">
        <v>6620</v>
      </c>
      <c r="K66" s="59">
        <v>7977.3</v>
      </c>
      <c r="L66" s="59">
        <v>9153</v>
      </c>
      <c r="M66" s="59">
        <v>8781</v>
      </c>
      <c r="N66" s="59">
        <v>8483.1</v>
      </c>
      <c r="O66" s="59">
        <v>9401.1</v>
      </c>
      <c r="P66" s="59">
        <v>10963.8</v>
      </c>
      <c r="Q66" s="59">
        <v>10097.700000000001</v>
      </c>
      <c r="R66" s="59">
        <v>10013.6</v>
      </c>
      <c r="S66" s="59">
        <f t="shared" ref="S66:T67" si="62">S107</f>
        <v>10630.1</v>
      </c>
      <c r="T66" s="59">
        <f t="shared" si="62"/>
        <v>11522.7</v>
      </c>
      <c r="U66" s="59">
        <f t="shared" ref="U66" si="63">U107</f>
        <v>10857.1</v>
      </c>
      <c r="V66" s="59">
        <v>11028.9</v>
      </c>
      <c r="W66" s="59">
        <v>11638.1</v>
      </c>
      <c r="X66" s="59">
        <v>12945</v>
      </c>
      <c r="Y66" s="59"/>
      <c r="Z66" s="59"/>
      <c r="AA66" s="59"/>
      <c r="AB66" s="59"/>
      <c r="AC66" s="94"/>
      <c r="AD66" s="59">
        <f>AD107</f>
        <v>11557.223718933254</v>
      </c>
      <c r="AF66" s="57">
        <f>IF(AF$1="3M",I66,IF(AF$1="6M",SUM(I66:J66),IF(AF$1="9M",SUM(I66:K66),SUM(I66:L66))))</f>
        <v>31947.3</v>
      </c>
      <c r="AG66" s="57">
        <f>IF(AG$1="3M",M66,IF(AG$1="6M",SUM(M66:N66),IF(AG$1="9M",SUM(M66:O66),SUM(M66:P66))))</f>
        <v>37629</v>
      </c>
      <c r="AH66" s="57">
        <f>IF(AH$1="3M",Q66,IF(AH$1="6M",SUM(Q66:R66),IF(AH$1="9M",SUM(Q66:S66),SUM(Q66:T66))))</f>
        <v>42264.100000000006</v>
      </c>
      <c r="AI66" s="57">
        <f>IF(AI$1="3M",U66,IF(AI$1="6M",SUM(U66:V66),IF(AI$1="9M",SUM(U66:W66),SUM(U66:X66))))</f>
        <v>46469.1</v>
      </c>
      <c r="AK66" s="59">
        <f>Consol!L16</f>
        <v>31947.396000000001</v>
      </c>
      <c r="AL66" s="59">
        <f>Consol!M16</f>
        <v>37628.899999999994</v>
      </c>
      <c r="AM66" s="59">
        <f t="shared" ref="AM66:AR66" si="64">AM68-AM67</f>
        <v>42261.4</v>
      </c>
      <c r="AN66" s="59">
        <f t="shared" si="64"/>
        <v>46469.100000000006</v>
      </c>
      <c r="AO66" s="60">
        <f t="shared" ca="1" si="64"/>
        <v>56778.376356466382</v>
      </c>
      <c r="AP66" s="60">
        <f t="shared" ca="1" si="64"/>
        <v>80642.965033257584</v>
      </c>
      <c r="AQ66" s="60">
        <f t="shared" ca="1" si="64"/>
        <v>91045.521087915346</v>
      </c>
      <c r="AR66" s="60">
        <f t="shared" ca="1" si="64"/>
        <v>112335.86105782224</v>
      </c>
      <c r="AT66" s="1189" t="s">
        <v>1582</v>
      </c>
      <c r="AU66" s="1190">
        <f>HLOOKUP(AU$64,$B$2:$AI$103,$B74,0)</f>
        <v>7531.5</v>
      </c>
      <c r="AV66" s="1190">
        <f>HLOOKUP(AV$64,$B$2:$AI$103,$B74,0)</f>
        <v>6422.5999999999995</v>
      </c>
      <c r="AW66" s="1191">
        <f>IFERROR(AU66/AV66-1," ")</f>
        <v>0.1726559337340019</v>
      </c>
      <c r="AX66" s="1190">
        <f>HLOOKUP(AX$64,$B$2:$AI$103,$B74,0)</f>
        <v>7059.6</v>
      </c>
      <c r="AY66" s="1191">
        <f t="shared" si="61"/>
        <v>6.6845147033826269E-2</v>
      </c>
      <c r="AZ66" s="1190">
        <f>HLOOKUP(AZ$1,$B$2:$AI$128,$B74,0)</f>
        <v>27577.1</v>
      </c>
      <c r="BA66" s="1190">
        <f>HLOOKUP(BA$1,$B$2:$AI$128,$B74,0)</f>
        <v>22139.599999999999</v>
      </c>
      <c r="BB66" s="1191">
        <f>IFERROR(AZ66/BA66-1," ")</f>
        <v>0.24560064319138553</v>
      </c>
    </row>
    <row r="67" spans="2:54" ht="12.6" customHeight="1" thickBot="1" x14ac:dyDescent="0.25">
      <c r="B67" s="362">
        <f t="shared" si="4"/>
        <v>66</v>
      </c>
      <c r="C67" s="56" t="s">
        <v>1656</v>
      </c>
      <c r="D67" s="56"/>
      <c r="E67" s="57"/>
      <c r="F67" s="57"/>
      <c r="G67" s="57"/>
      <c r="H67" s="57"/>
      <c r="I67" s="57"/>
      <c r="J67" s="57"/>
      <c r="K67" s="57"/>
      <c r="L67" s="57" t="s">
        <v>491</v>
      </c>
      <c r="M67" s="57"/>
      <c r="N67" s="57"/>
      <c r="O67" s="57"/>
      <c r="P67" s="57"/>
      <c r="Q67" s="57"/>
      <c r="R67" s="57"/>
      <c r="S67" s="57">
        <f t="shared" si="62"/>
        <v>1188.2</v>
      </c>
      <c r="T67" s="57">
        <f t="shared" si="62"/>
        <v>1309.0999999999999</v>
      </c>
      <c r="U67" s="57">
        <f t="shared" ref="U67" si="65">U108</f>
        <v>1381.4</v>
      </c>
      <c r="V67" s="57">
        <v>1627</v>
      </c>
      <c r="W67" s="57">
        <v>1858.5</v>
      </c>
      <c r="X67" s="57">
        <v>2278.4</v>
      </c>
      <c r="Y67" s="57"/>
      <c r="Z67" s="57"/>
      <c r="AA67" s="57"/>
      <c r="AB67" s="57"/>
      <c r="AC67" s="94"/>
      <c r="AD67" s="57">
        <f>AD108</f>
        <v>2423.5487005249997</v>
      </c>
      <c r="AF67" s="57">
        <f>IF(AF$1="3M",I67,IF(AF$1="6M",SUM(I67:J67),IF(AF$1="9M",SUM(I67:K67),SUM(I67:L67))))</f>
        <v>0</v>
      </c>
      <c r="AG67" s="57">
        <f>IF(AG$1="3M",M67,IF(AG$1="6M",SUM(M67:N67),IF(AG$1="9M",SUM(M67:O67),SUM(M67:P67))))</f>
        <v>0</v>
      </c>
      <c r="AH67" s="57">
        <f>IF(AH$1="3M",Q67,IF(AH$1="6M",SUM(Q67:R67),IF(AH$1="9M",SUM(Q67:S67),SUM(Q67:T67))))</f>
        <v>2497.3000000000002</v>
      </c>
      <c r="AI67" s="57">
        <f>IF(AI$1="3M",U67,IF(AI$1="6M",SUM(U67:V67),IF(AI$1="9M",SUM(U67:W67),SUM(U67:X67))))</f>
        <v>7145.2999999999993</v>
      </c>
      <c r="AK67" s="59"/>
      <c r="AL67" s="59"/>
      <c r="AM67" s="59">
        <v>2500</v>
      </c>
      <c r="AN67" s="59">
        <f>SUM(U67:X67)</f>
        <v>7145.2999999999993</v>
      </c>
      <c r="AO67" s="60">
        <f>Consol!AA16</f>
        <v>16156.991336833333</v>
      </c>
      <c r="AP67" s="60">
        <f>Consol!AB16</f>
        <v>28029.626076938333</v>
      </c>
      <c r="AQ67" s="60">
        <f>Consol!AC16</f>
        <v>53305.665192579821</v>
      </c>
      <c r="AR67" s="60">
        <f>Consol!AD16</f>
        <v>76214.874383401126</v>
      </c>
      <c r="AT67" s="1192" t="s">
        <v>34</v>
      </c>
      <c r="AU67" s="1193">
        <f>HLOOKUP(AU$64,$B$2:$AI$103,$B76,0)</f>
        <v>7691.9</v>
      </c>
      <c r="AV67" s="1193">
        <f>HLOOKUP(AV$64,$B$2:$AI$103,$B76,0)</f>
        <v>6409.2000000000016</v>
      </c>
      <c r="AW67" s="1191">
        <f>IFERROR(AU67/AV67-1," ")</f>
        <v>0.20013418211321188</v>
      </c>
      <c r="AX67" s="1193">
        <f>HLOOKUP(AX$64,$B$2:$AI$103,$B76,0)</f>
        <v>6437</v>
      </c>
      <c r="AY67" s="1191">
        <f t="shared" si="61"/>
        <v>0.19495106416032315</v>
      </c>
      <c r="AZ67" s="1193">
        <f>HLOOKUP(AZ$1,$B$2:$AI$128,$B76,0)</f>
        <v>26037.300000000003</v>
      </c>
      <c r="BA67" s="1193">
        <f>HLOOKUP(BA$1,$B$2:$AI$128,$B76,0)</f>
        <v>22621.800000000007</v>
      </c>
      <c r="BB67" s="1194">
        <f>IFERROR(AZ67/BA67-1," ")</f>
        <v>0.15098268042330831</v>
      </c>
    </row>
    <row r="68" spans="2:54" ht="12.6" customHeight="1" thickBot="1" x14ac:dyDescent="0.25">
      <c r="B68" s="362">
        <f t="shared" si="4"/>
        <v>67</v>
      </c>
      <c r="C68" s="95" t="s">
        <v>202</v>
      </c>
      <c r="D68" s="95"/>
      <c r="E68" s="63">
        <f t="shared" ref="E68:J68" si="66">SUM(E66:E67)</f>
        <v>0</v>
      </c>
      <c r="F68" s="63">
        <f t="shared" si="66"/>
        <v>0</v>
      </c>
      <c r="G68" s="63">
        <f t="shared" si="66"/>
        <v>0</v>
      </c>
      <c r="H68" s="63">
        <f t="shared" si="66"/>
        <v>0</v>
      </c>
      <c r="I68" s="63">
        <f t="shared" si="66"/>
        <v>8197</v>
      </c>
      <c r="J68" s="63">
        <f t="shared" si="66"/>
        <v>6620</v>
      </c>
      <c r="K68" s="63">
        <f>SUM(K66:K67)</f>
        <v>7977.3</v>
      </c>
      <c r="L68" s="63">
        <f t="shared" ref="L68:T68" si="67">SUM(L66:L67)</f>
        <v>9153</v>
      </c>
      <c r="M68" s="63">
        <f t="shared" si="67"/>
        <v>8781</v>
      </c>
      <c r="N68" s="63">
        <f t="shared" si="67"/>
        <v>8483.1</v>
      </c>
      <c r="O68" s="63">
        <f>SUM(O66:O67)</f>
        <v>9401.1</v>
      </c>
      <c r="P68" s="63">
        <f t="shared" si="67"/>
        <v>10963.8</v>
      </c>
      <c r="Q68" s="63">
        <f t="shared" si="67"/>
        <v>10097.700000000001</v>
      </c>
      <c r="R68" s="63">
        <f t="shared" si="67"/>
        <v>10013.6</v>
      </c>
      <c r="S68" s="63">
        <f t="shared" si="67"/>
        <v>11818.300000000001</v>
      </c>
      <c r="T68" s="63">
        <f t="shared" si="67"/>
        <v>12831.800000000001</v>
      </c>
      <c r="U68" s="63">
        <f t="shared" ref="U68:V68" si="68">SUM(U66:U67)</f>
        <v>12238.5</v>
      </c>
      <c r="V68" s="63">
        <f t="shared" si="68"/>
        <v>12655.9</v>
      </c>
      <c r="W68" s="63">
        <f>SUM(W66:W67)</f>
        <v>13496.6</v>
      </c>
      <c r="X68" s="63">
        <f>SUM(X66:X67)</f>
        <v>15223.4</v>
      </c>
      <c r="Y68" s="63">
        <f>SUM(Y66:Y67)</f>
        <v>0</v>
      </c>
      <c r="Z68" s="63">
        <f t="shared" ref="Z68:AB68" si="69">SUM(Z66:Z67)</f>
        <v>0</v>
      </c>
      <c r="AA68" s="63">
        <f t="shared" si="69"/>
        <v>0</v>
      </c>
      <c r="AB68" s="63">
        <f t="shared" si="69"/>
        <v>0</v>
      </c>
      <c r="AC68" s="62">
        <f>AN68-AI68</f>
        <v>0</v>
      </c>
      <c r="AD68" s="63">
        <f>SUM(AD66:AD67)</f>
        <v>13980.772419458253</v>
      </c>
      <c r="AE68" s="42"/>
      <c r="AF68" s="63">
        <f>IF(AF$1="3M",I68,IF(AF$1="6M",SUM(I68:J68),IF(AF$1="9M",SUM(I68:K68),SUM(I68:L68))))</f>
        <v>31947.3</v>
      </c>
      <c r="AG68" s="63">
        <f>IF(AG$1="3M",M68,IF(AG$1="6M",SUM(M68:N68),IF(AG$1="9M",SUM(M68:O68),SUM(M68:P68))))</f>
        <v>37629</v>
      </c>
      <c r="AH68" s="63">
        <f>IF(AH$1="3M",Q68,IF(AH$1="6M",SUM(Q68:R68),IF(AH$1="9M",SUM(Q68:S68),SUM(Q68:T68))))</f>
        <v>44761.400000000009</v>
      </c>
      <c r="AI68" s="63">
        <f>IF(AI$1="3M",U68,IF(AI$1="6M",SUM(U68:V68),IF(AI$1="9M",SUM(U68:W68),SUM(U68:X68))))</f>
        <v>53614.400000000001</v>
      </c>
      <c r="AK68" s="72">
        <f>SUM(AK66:AK67)</f>
        <v>31947.396000000001</v>
      </c>
      <c r="AL68" s="72">
        <f>SUM(AL66:AL67)</f>
        <v>37628.899999999994</v>
      </c>
      <c r="AM68" s="72">
        <f>Consol!N16</f>
        <v>44761.4</v>
      </c>
      <c r="AN68" s="72">
        <f>Consol!O16</f>
        <v>53614.400000000001</v>
      </c>
      <c r="AO68" s="73">
        <f ca="1">Consol!P16</f>
        <v>72935.367693299719</v>
      </c>
      <c r="AP68" s="73">
        <f ca="1">Consol!Q16</f>
        <v>108672.59111019592</v>
      </c>
      <c r="AQ68" s="73">
        <f ca="1">Consol!R16</f>
        <v>144351.18628049517</v>
      </c>
      <c r="AR68" s="73">
        <f ca="1">Consol!S16</f>
        <v>188550.73544122337</v>
      </c>
      <c r="AT68" s="1189" t="s">
        <v>1583</v>
      </c>
      <c r="AU68" s="1195">
        <f>AU67/AU65</f>
        <v>0.50526820552570384</v>
      </c>
      <c r="AV68" s="1195">
        <f>AV67/AV65</f>
        <v>0.49947785969232694</v>
      </c>
      <c r="AW68" s="1196"/>
      <c r="AX68" s="1195">
        <f>AX67/AX65</f>
        <v>0.47693493176059154</v>
      </c>
      <c r="AY68" s="1197">
        <f t="shared" si="61"/>
        <v>5.9407000574524638E-2</v>
      </c>
      <c r="AZ68" s="1195">
        <f>AZ67/AZ65</f>
        <v>0.48564005192634818</v>
      </c>
      <c r="BA68" s="1195">
        <f>BA67/BA65</f>
        <v>0.50538633733529337</v>
      </c>
      <c r="BB68" s="1196"/>
    </row>
    <row r="69" spans="2:54" ht="12.6" customHeight="1" thickBot="1" x14ac:dyDescent="0.25">
      <c r="B69" s="362">
        <f t="shared" si="4"/>
        <v>68</v>
      </c>
      <c r="C69" s="96" t="s">
        <v>200</v>
      </c>
      <c r="D69" s="96"/>
      <c r="E69" s="91" t="str">
        <f>IF(ISERROR(E68/#REF!-1)," ",E68/#REF!-1)</f>
        <v xml:space="preserve"> </v>
      </c>
      <c r="F69" s="91" t="str">
        <f>IF(ISERROR(F68/#REF!-1)," ",F68/#REF!-1)</f>
        <v xml:space="preserve"> </v>
      </c>
      <c r="G69" s="91" t="str">
        <f>IF(ISERROR(G68/#REF!-1)," ",G68/#REF!-1)</f>
        <v xml:space="preserve"> </v>
      </c>
      <c r="H69" s="91" t="str">
        <f>IF(ISERROR(H68/#REF!-1)," ",H68/#REF!-1)</f>
        <v xml:space="preserve"> </v>
      </c>
      <c r="I69" s="91" t="str">
        <f t="shared" ref="I69" si="70">IF(ISERROR(I68/E68-1)," ",I68/E68-1)</f>
        <v xml:space="preserve"> </v>
      </c>
      <c r="J69" s="91" t="str">
        <f t="shared" ref="J69" si="71">IF(ISERROR(J68/F68-1)," ",J68/F68-1)</f>
        <v xml:space="preserve"> </v>
      </c>
      <c r="K69" s="91" t="str">
        <f t="shared" ref="K69" si="72">IF(ISERROR(K68/G68-1)," ",K68/G68-1)</f>
        <v xml:space="preserve"> </v>
      </c>
      <c r="L69" s="91" t="str">
        <f t="shared" ref="L69" si="73">IF(ISERROR(L68/H68-1)," ",L68/H68-1)</f>
        <v xml:space="preserve"> </v>
      </c>
      <c r="M69" s="91">
        <f t="shared" ref="M69:N69" si="74">IF(ISERROR(M68/I68-1)," ",M68/I68-1)</f>
        <v>7.1245577650359992E-2</v>
      </c>
      <c r="N69" s="91">
        <f t="shared" si="74"/>
        <v>0.28143504531722052</v>
      </c>
      <c r="O69" s="91">
        <f t="shared" ref="O69:Y69" si="75">IF(ISERROR(O68/K68-1)," ",O68/K68-1)</f>
        <v>0.17848144108909025</v>
      </c>
      <c r="P69" s="91">
        <f t="shared" si="75"/>
        <v>0.19783677482792528</v>
      </c>
      <c r="Q69" s="91">
        <f t="shared" si="75"/>
        <v>0.14994875298940902</v>
      </c>
      <c r="R69" s="91">
        <f t="shared" si="75"/>
        <v>0.18041753604224864</v>
      </c>
      <c r="S69" s="91">
        <f t="shared" si="75"/>
        <v>0.25711884779440708</v>
      </c>
      <c r="T69" s="91">
        <f t="shared" si="75"/>
        <v>0.17037888323391548</v>
      </c>
      <c r="U69" s="91">
        <f t="shared" si="75"/>
        <v>0.21200867524287692</v>
      </c>
      <c r="V69" s="91">
        <f t="shared" si="75"/>
        <v>0.26387113525605166</v>
      </c>
      <c r="W69" s="91">
        <f t="shared" si="75"/>
        <v>0.14200857991420079</v>
      </c>
      <c r="X69" s="91">
        <f t="shared" si="75"/>
        <v>0.18638071042254389</v>
      </c>
      <c r="Y69" s="91">
        <f t="shared" si="75"/>
        <v>-1</v>
      </c>
      <c r="Z69" s="91">
        <f t="shared" ref="Z69" si="76">IF(ISERROR(Z68/V68-1)," ",Z68/V68-1)</f>
        <v>-1</v>
      </c>
      <c r="AA69" s="91">
        <f t="shared" ref="AA69" si="77">IF(ISERROR(AA68/W68-1)," ",AA68/W68-1)</f>
        <v>-1</v>
      </c>
      <c r="AB69" s="91">
        <f t="shared" ref="AB69" si="78">IF(ISERROR(AB68/X68-1)," ",AB68/X68-1)</f>
        <v>-1</v>
      </c>
      <c r="AC69" s="94"/>
      <c r="AD69" s="91">
        <f>IF(ISERROR(AD68/U68-1)," ",AD68/U68-1)</f>
        <v>0.14235996400361595</v>
      </c>
      <c r="AE69" s="90"/>
      <c r="AF69" s="83" t="str">
        <f>IFERROR(AF68/#REF!-1, "NA")</f>
        <v>NA</v>
      </c>
      <c r="AG69" s="91">
        <f>IFERROR(AG68/AF68-1, "NA")</f>
        <v>0.17784601515621046</v>
      </c>
      <c r="AH69" s="91">
        <f>IFERROR(AH68/AG68-1, "NA")</f>
        <v>0.18954529750989946</v>
      </c>
      <c r="AI69" s="91">
        <f>IFERROR(AI68/AH68-1, "NA")</f>
        <v>0.19778201754189983</v>
      </c>
      <c r="AK69" s="72"/>
      <c r="AL69" s="92">
        <f t="shared" ref="AL69:AR69" si="79">AL68/AK68-1</f>
        <v>0.17783934565433723</v>
      </c>
      <c r="AM69" s="92">
        <f t="shared" si="79"/>
        <v>0.1895484587644074</v>
      </c>
      <c r="AN69" s="92">
        <f t="shared" si="79"/>
        <v>0.19778201754189983</v>
      </c>
      <c r="AO69" s="825">
        <f t="shared" ca="1" si="79"/>
        <v>0.36036899962136504</v>
      </c>
      <c r="AP69" s="825">
        <f t="shared" ca="1" si="79"/>
        <v>0.48998482556740774</v>
      </c>
      <c r="AQ69" s="825">
        <f t="shared" ca="1" si="79"/>
        <v>0.3283127309821896</v>
      </c>
      <c r="AR69" s="825">
        <f t="shared" ca="1" si="79"/>
        <v>0.30619456825828983</v>
      </c>
      <c r="AT69" s="1189" t="s">
        <v>36</v>
      </c>
      <c r="AU69" s="1190">
        <f>HLOOKUP(AU$64,$B$2:$AI$103,$B80,0)</f>
        <v>896.6</v>
      </c>
      <c r="AV69" s="1190">
        <f>HLOOKUP(AV$64,$B$2:$AI$103,$B80,0)</f>
        <v>887.2</v>
      </c>
      <c r="AW69" s="1191">
        <f t="shared" ref="AW69:AW78" si="80">IFERROR(AU69/AV69-1," ")</f>
        <v>1.0595130748421999E-2</v>
      </c>
      <c r="AX69" s="1190">
        <f>HLOOKUP(AX$64,$B$2:$AI$103,$B80,0)</f>
        <v>597.20000000000005</v>
      </c>
      <c r="AY69" s="1191">
        <f t="shared" si="61"/>
        <v>0.50133958472873408</v>
      </c>
      <c r="AZ69" s="1190">
        <f>HLOOKUP(AZ$1,$B$2:$AI$128,$B80,0)</f>
        <v>3459.5</v>
      </c>
      <c r="BA69" s="1190">
        <f>HLOOKUP(BA$1,$B$2:$AI$128,$B80,0)</f>
        <v>3529.5</v>
      </c>
      <c r="BB69" s="1191">
        <f t="shared" ref="BB69:BB78" si="81">IFERROR(AZ69/BA69-1," ")</f>
        <v>-1.9832837512395507E-2</v>
      </c>
    </row>
    <row r="70" spans="2:54" ht="12.6" customHeight="1" thickBot="1" x14ac:dyDescent="0.25">
      <c r="B70" s="362">
        <f t="shared" si="4"/>
        <v>69</v>
      </c>
      <c r="C70" s="96"/>
      <c r="D70" s="96"/>
      <c r="E70" s="91"/>
      <c r="F70" s="91"/>
      <c r="G70" s="91"/>
      <c r="H70" s="91"/>
      <c r="I70" s="91"/>
      <c r="J70" s="91"/>
      <c r="K70" s="91"/>
      <c r="L70" s="91"/>
      <c r="M70" s="91"/>
      <c r="N70" s="91"/>
      <c r="O70" s="91"/>
      <c r="P70" s="91"/>
      <c r="Q70" s="91"/>
      <c r="R70" s="91"/>
      <c r="S70" s="91"/>
      <c r="T70" s="91"/>
      <c r="U70" s="91"/>
      <c r="V70" s="91"/>
      <c r="W70" s="91"/>
      <c r="X70" s="91"/>
      <c r="Y70" s="91"/>
      <c r="Z70" s="91"/>
      <c r="AA70" s="91"/>
      <c r="AB70" s="91"/>
      <c r="AC70" s="94"/>
      <c r="AD70" s="91"/>
      <c r="AE70" s="90"/>
      <c r="AF70" s="83"/>
      <c r="AG70" s="91"/>
      <c r="AH70" s="91"/>
      <c r="AI70" s="91"/>
      <c r="AK70" s="59"/>
      <c r="AL70" s="59"/>
      <c r="AM70" s="59"/>
      <c r="AN70" s="59"/>
      <c r="AO70" s="60"/>
      <c r="AP70" s="60"/>
      <c r="AQ70" s="60"/>
      <c r="AR70" s="60"/>
      <c r="AT70" s="1189" t="s">
        <v>199</v>
      </c>
      <c r="AU70" s="1190">
        <f>HLOOKUP(AU$64,$B$2:$AI$103,$B81,0)</f>
        <v>1581.6</v>
      </c>
      <c r="AV70" s="1190">
        <f>HLOOKUP(AV$64,$B$2:$AI$103,$B81,0)</f>
        <v>1404.7</v>
      </c>
      <c r="AW70" s="1191">
        <f t="shared" si="80"/>
        <v>0.12593436320922602</v>
      </c>
      <c r="AX70" s="1190">
        <f>HLOOKUP(AX$64,$B$2:$AI$103,$B81,0)</f>
        <v>1639.8</v>
      </c>
      <c r="AY70" s="1191">
        <f t="shared" si="61"/>
        <v>-3.5492133186974084E-2</v>
      </c>
      <c r="AZ70" s="1190">
        <f>HLOOKUP(AZ$1,$B$2:$AI$128,$B81,0)</f>
        <v>6141.2000000000007</v>
      </c>
      <c r="BA70" s="1190">
        <f>HLOOKUP(BA$1,$B$2:$AI$128,$B81,0)</f>
        <v>5465.5</v>
      </c>
      <c r="BB70" s="1191">
        <f t="shared" si="81"/>
        <v>0.12363004299698122</v>
      </c>
    </row>
    <row r="71" spans="2:54" ht="12.6" customHeight="1" thickBot="1" x14ac:dyDescent="0.25">
      <c r="B71" s="362">
        <f t="shared" si="4"/>
        <v>70</v>
      </c>
      <c r="C71" s="56" t="s">
        <v>31</v>
      </c>
      <c r="D71" s="56"/>
      <c r="E71" s="57"/>
      <c r="F71" s="57"/>
      <c r="G71" s="57"/>
      <c r="H71" s="57"/>
      <c r="I71" s="59">
        <v>3118.2</v>
      </c>
      <c r="J71" s="57">
        <v>2403.5</v>
      </c>
      <c r="K71" s="57">
        <v>3398.4</v>
      </c>
      <c r="L71" s="57">
        <v>3145.7</v>
      </c>
      <c r="M71" s="59">
        <v>3212</v>
      </c>
      <c r="N71" s="57">
        <v>2941.7</v>
      </c>
      <c r="O71" s="57">
        <v>3577.3</v>
      </c>
      <c r="P71" s="57">
        <v>3856.3</v>
      </c>
      <c r="Q71" s="57">
        <v>3954.1</v>
      </c>
      <c r="R71" s="57">
        <v>3702.1</v>
      </c>
      <c r="S71" s="57">
        <v>4723.6000000000004</v>
      </c>
      <c r="T71" s="57">
        <v>5054.8999999999996</v>
      </c>
      <c r="U71" s="57">
        <v>5363.3</v>
      </c>
      <c r="V71" s="57">
        <v>5390.9</v>
      </c>
      <c r="W71" s="57">
        <v>5898.2</v>
      </c>
      <c r="X71" s="57">
        <v>6202.8</v>
      </c>
      <c r="Y71" s="57"/>
      <c r="Z71" s="57"/>
      <c r="AA71" s="57"/>
      <c r="AB71" s="57"/>
      <c r="AC71" s="94"/>
      <c r="AD71" s="57"/>
      <c r="AE71" s="40"/>
      <c r="AF71" s="57">
        <f>IF(AF$1="3M",I71,IF(AF$1="6M",SUM(I71:J71),IF(AF$1="9M",SUM(I71:K71),SUM(I71:L71))))</f>
        <v>12065.8</v>
      </c>
      <c r="AG71" s="57">
        <f>IF(AG$1="3M",M71,IF(AG$1="6M",SUM(M71:N71),IF(AG$1="9M",SUM(M71:O71),SUM(M71:P71))))</f>
        <v>13587.3</v>
      </c>
      <c r="AH71" s="57">
        <f>IF(AH$1="3M",Q71,IF(AH$1="6M",SUM(Q71:R71),IF(AH$1="9M",SUM(Q71:S71),SUM(Q71:T71))))</f>
        <v>17434.699999999997</v>
      </c>
      <c r="AI71" s="57">
        <f t="shared" ref="AI71:AI76" si="82">IF(AI$1="3M",U71,IF(AI$1="6M",SUM(U71:V71),IF(AI$1="9M",SUM(U71:W71),SUM(U71:X71))))</f>
        <v>22855.200000000001</v>
      </c>
      <c r="AJ71" s="97"/>
      <c r="AK71" s="59"/>
      <c r="AL71" s="59"/>
      <c r="AM71" s="59"/>
      <c r="AN71" s="59"/>
      <c r="AO71" s="60"/>
      <c r="AP71" s="60"/>
      <c r="AQ71" s="60"/>
      <c r="AR71" s="60"/>
      <c r="AT71" s="1189" t="s">
        <v>1153</v>
      </c>
      <c r="AU71" s="1190">
        <f>HLOOKUP(AU$64,$B$2:$AI$103,$B85,0)</f>
        <v>871.1</v>
      </c>
      <c r="AV71" s="1190">
        <f>HLOOKUP(AV$64,$B$2:$AI$103,$B85,0)</f>
        <v>940.1</v>
      </c>
      <c r="AW71" s="1191">
        <f t="shared" si="80"/>
        <v>-7.3396447186469538E-2</v>
      </c>
      <c r="AX71" s="1190">
        <f>HLOOKUP(AX$64,$B$2:$AI$103,$B85,0)</f>
        <v>789.1</v>
      </c>
      <c r="AY71" s="1191">
        <f t="shared" si="61"/>
        <v>0.10391585350399191</v>
      </c>
      <c r="AZ71" s="1190">
        <f>HLOOKUP(AZ$1,$B$2:$AI$103,$B85,0)</f>
        <v>3565.6</v>
      </c>
      <c r="BA71" s="1190">
        <f>HLOOKUP(BA$1,$B$2:$AI$103,$B85,0)</f>
        <v>3400.9999999999995</v>
      </c>
      <c r="BB71" s="1191">
        <f t="shared" si="81"/>
        <v>4.83975301381947E-2</v>
      </c>
    </row>
    <row r="72" spans="2:54" ht="12.6" customHeight="1" thickBot="1" x14ac:dyDescent="0.25">
      <c r="B72" s="362">
        <f t="shared" si="4"/>
        <v>71</v>
      </c>
      <c r="C72" s="56" t="s">
        <v>203</v>
      </c>
      <c r="D72" s="56"/>
      <c r="E72" s="57"/>
      <c r="F72" s="57"/>
      <c r="G72" s="57"/>
      <c r="H72" s="57"/>
      <c r="I72" s="59">
        <v>454.09999999999997</v>
      </c>
      <c r="J72" s="57">
        <v>431.3</v>
      </c>
      <c r="K72" s="57">
        <v>497.4</v>
      </c>
      <c r="L72" s="57">
        <v>916.7</v>
      </c>
      <c r="M72" s="59">
        <f>726.7-37.5</f>
        <v>689.2</v>
      </c>
      <c r="N72" s="57">
        <v>707.1</v>
      </c>
      <c r="O72" s="57">
        <v>694.6</v>
      </c>
      <c r="P72" s="57">
        <v>717.9</v>
      </c>
      <c r="Q72" s="57">
        <v>562.79999999999995</v>
      </c>
      <c r="R72" s="57">
        <v>603.9</v>
      </c>
      <c r="S72" s="57">
        <v>630.5</v>
      </c>
      <c r="T72" s="57">
        <v>609.29999999999995</v>
      </c>
      <c r="U72" s="57">
        <v>529.4</v>
      </c>
      <c r="V72" s="57">
        <v>587.79999999999995</v>
      </c>
      <c r="W72" s="57">
        <v>562.29999999999995</v>
      </c>
      <c r="X72" s="57">
        <v>707.4</v>
      </c>
      <c r="Y72" s="57"/>
      <c r="Z72" s="57"/>
      <c r="AA72" s="57"/>
      <c r="AB72" s="57"/>
      <c r="AC72" s="903"/>
      <c r="AD72" s="57"/>
      <c r="AE72" s="40"/>
      <c r="AF72" s="57">
        <f>IF(AF$1="3M",I72,IF(AF$1="6M",SUM(I72:J72),IF(AF$1="9M",SUM(I72:K72),SUM(I72:L72))))</f>
        <v>2299.5</v>
      </c>
      <c r="AG72" s="57">
        <f>IF(AG$1="3M",M72,IF(AG$1="6M",SUM(M72:N72),IF(AG$1="9M",SUM(M72:O72),SUM(M72:P72))))</f>
        <v>2808.8</v>
      </c>
      <c r="AH72" s="57">
        <f>IF(AH$1="3M",Q72,IF(AH$1="6M",SUM(Q72:R72),IF(AH$1="9M",SUM(Q72:S72),SUM(Q72:T72))))</f>
        <v>2406.5</v>
      </c>
      <c r="AI72" s="57">
        <f t="shared" si="82"/>
        <v>2386.8999999999996</v>
      </c>
      <c r="AK72" s="59"/>
      <c r="AL72" s="59"/>
      <c r="AM72" s="59"/>
      <c r="AN72" s="59"/>
      <c r="AO72" s="60"/>
      <c r="AP72" s="60"/>
      <c r="AQ72" s="60"/>
      <c r="AR72" s="60"/>
      <c r="AT72" s="1189" t="s">
        <v>228</v>
      </c>
      <c r="AU72" s="1190">
        <f>HLOOKUP(AU$64,$B$2:$AI$103,$B86,0)</f>
        <v>432.7</v>
      </c>
      <c r="AV72" s="1190">
        <f>HLOOKUP(AV$64,$B$2:$AI$103,$B86,0)</f>
        <v>-861.9</v>
      </c>
      <c r="AW72" s="1191">
        <f t="shared" si="80"/>
        <v>-1.5020303979579999</v>
      </c>
      <c r="AX72" s="1190">
        <f>HLOOKUP(AX$64,$B$2:$AI$103,$B86,0)</f>
        <v>141.19999999999999</v>
      </c>
      <c r="AY72" s="1191">
        <f t="shared" si="61"/>
        <v>2.0644475920679888</v>
      </c>
      <c r="AZ72" s="1190">
        <f>HLOOKUP(AZ$1,$B$2:$AI$103,$B86,0)</f>
        <v>264.29999999999995</v>
      </c>
      <c r="BA72" s="1190">
        <f>HLOOKUP(BA$1,$B$2:$AI$103,$B86,0)</f>
        <v>-743.5999999999998</v>
      </c>
      <c r="BB72" s="1191">
        <f t="shared" si="81"/>
        <v>-1.3554330285099516</v>
      </c>
    </row>
    <row r="73" spans="2:54" ht="12.6" customHeight="1" thickBot="1" x14ac:dyDescent="0.25">
      <c r="B73" s="362">
        <f t="shared" si="4"/>
        <v>72</v>
      </c>
      <c r="C73" s="56" t="s">
        <v>204</v>
      </c>
      <c r="D73" s="56"/>
      <c r="E73" s="57"/>
      <c r="F73" s="57"/>
      <c r="G73" s="57"/>
      <c r="H73" s="57"/>
      <c r="I73" s="59">
        <v>314.79999999999995</v>
      </c>
      <c r="J73" s="57">
        <v>375.6</v>
      </c>
      <c r="K73" s="57">
        <v>317.2</v>
      </c>
      <c r="L73" s="57">
        <v>372.6</v>
      </c>
      <c r="M73" s="59">
        <v>328.89999999999986</v>
      </c>
      <c r="N73" s="57">
        <v>312.60000000000002</v>
      </c>
      <c r="O73" s="57">
        <v>330.3</v>
      </c>
      <c r="P73" s="57">
        <v>577.79999999999995</v>
      </c>
      <c r="Q73" s="57">
        <f>434.4</f>
        <v>434.4</v>
      </c>
      <c r="R73" s="57">
        <v>502.2</v>
      </c>
      <c r="S73" s="57">
        <v>603.4</v>
      </c>
      <c r="T73" s="57">
        <v>758.4</v>
      </c>
      <c r="U73" s="57">
        <v>534.20000000000005</v>
      </c>
      <c r="V73" s="57">
        <v>580.4</v>
      </c>
      <c r="W73" s="57">
        <v>599.1</v>
      </c>
      <c r="X73" s="57">
        <v>621.29999999999995</v>
      </c>
      <c r="Y73" s="57"/>
      <c r="Z73" s="57"/>
      <c r="AA73" s="57"/>
      <c r="AB73" s="57"/>
      <c r="AC73" s="94"/>
      <c r="AD73" s="57"/>
      <c r="AE73" s="40"/>
      <c r="AF73" s="57">
        <f>IF(AF$1="3M",I73,IF(AF$1="6M",SUM(I73:J73),IF(AF$1="9M",SUM(I73:K73),SUM(I73:L73))))</f>
        <v>1380.1999999999998</v>
      </c>
      <c r="AG73" s="57">
        <f>IF(AG$1="3M",M73,IF(AG$1="6M",SUM(M73:N73),IF(AG$1="9M",SUM(M73:O73),SUM(M73:P73))))</f>
        <v>1549.6</v>
      </c>
      <c r="AH73" s="57">
        <f>IF(AH$1="3M",Q73,IF(AH$1="6M",SUM(Q73:R73),IF(AH$1="9M",SUM(Q73:S73),SUM(Q73:T73))))</f>
        <v>2298.4</v>
      </c>
      <c r="AI73" s="57">
        <f t="shared" si="82"/>
        <v>2335</v>
      </c>
      <c r="AK73" s="59"/>
      <c r="AL73" s="59"/>
      <c r="AM73" s="59"/>
      <c r="AN73" s="59"/>
      <c r="AO73" s="60"/>
      <c r="AP73" s="60"/>
      <c r="AQ73" s="60"/>
      <c r="AR73" s="60"/>
      <c r="AT73" s="1192" t="s">
        <v>1588</v>
      </c>
      <c r="AU73" s="1190">
        <f>HLOOKUP(AU$64,$B$2:$AI$103,$B89,0)</f>
        <v>724.9</v>
      </c>
      <c r="AV73" s="1190">
        <f>HLOOKUP(AV$64,$B$2:$AI$103,$B89,0)</f>
        <v>0</v>
      </c>
      <c r="AW73" s="1198" t="str">
        <f t="shared" si="80"/>
        <v xml:space="preserve"> </v>
      </c>
      <c r="AX73" s="1190">
        <f>HLOOKUP(AX$64,$B$2:$AI$103,$B89,0)</f>
        <v>72.400000000000006</v>
      </c>
      <c r="AY73" s="1191">
        <f t="shared" si="61"/>
        <v>9.0124309392265189</v>
      </c>
      <c r="AZ73" s="1190">
        <f>HLOOKUP(AZ$1,$B$2:$AI$128,$B89,0)</f>
        <v>797.3</v>
      </c>
      <c r="BA73" s="1190">
        <f>HLOOKUP(BA$1,$B$2:$AI$128,$B89,0)</f>
        <v>0</v>
      </c>
      <c r="BB73" s="1198" t="str">
        <f t="shared" si="81"/>
        <v xml:space="preserve"> </v>
      </c>
    </row>
    <row r="74" spans="2:54" s="38" customFormat="1" ht="12.6" customHeight="1" thickBot="1" x14ac:dyDescent="0.25">
      <c r="B74" s="362">
        <f t="shared" si="4"/>
        <v>73</v>
      </c>
      <c r="C74" s="95" t="s">
        <v>205</v>
      </c>
      <c r="D74" s="95"/>
      <c r="E74" s="63"/>
      <c r="F74" s="63"/>
      <c r="G74" s="63"/>
      <c r="H74" s="63">
        <f t="shared" ref="H74:O74" si="83">SUM(H71:H73)</f>
        <v>0</v>
      </c>
      <c r="I74" s="63">
        <f t="shared" si="83"/>
        <v>3887.0999999999995</v>
      </c>
      <c r="J74" s="63">
        <f t="shared" si="83"/>
        <v>3210.4</v>
      </c>
      <c r="K74" s="63">
        <f>SUM(K71:K73)</f>
        <v>4213</v>
      </c>
      <c r="L74" s="63">
        <f t="shared" si="83"/>
        <v>4435</v>
      </c>
      <c r="M74" s="63">
        <f t="shared" si="83"/>
        <v>4230.0999999999995</v>
      </c>
      <c r="N74" s="63">
        <f t="shared" si="83"/>
        <v>3961.3999999999996</v>
      </c>
      <c r="O74" s="63">
        <f t="shared" si="83"/>
        <v>4602.2000000000007</v>
      </c>
      <c r="P74" s="63">
        <f t="shared" ref="P74:X74" si="84">SUM(P71:P73)</f>
        <v>5152</v>
      </c>
      <c r="Q74" s="63">
        <f t="shared" si="84"/>
        <v>4951.2999999999993</v>
      </c>
      <c r="R74" s="63">
        <f t="shared" si="84"/>
        <v>4808.2</v>
      </c>
      <c r="S74" s="63">
        <f t="shared" si="84"/>
        <v>5957.5</v>
      </c>
      <c r="T74" s="63">
        <f t="shared" si="84"/>
        <v>6422.5999999999995</v>
      </c>
      <c r="U74" s="63">
        <f t="shared" si="84"/>
        <v>6426.9</v>
      </c>
      <c r="V74" s="63">
        <f t="shared" si="84"/>
        <v>6559.0999999999995</v>
      </c>
      <c r="W74" s="63">
        <f t="shared" si="84"/>
        <v>7059.6</v>
      </c>
      <c r="X74" s="63">
        <f t="shared" si="84"/>
        <v>7531.5</v>
      </c>
      <c r="Y74" s="63">
        <f t="shared" ref="Y74:AB74" si="85">SUM(Y71:Y73)</f>
        <v>0</v>
      </c>
      <c r="Z74" s="63">
        <f t="shared" si="85"/>
        <v>0</v>
      </c>
      <c r="AA74" s="63">
        <f t="shared" si="85"/>
        <v>0</v>
      </c>
      <c r="AB74" s="63">
        <f t="shared" si="85"/>
        <v>0</v>
      </c>
      <c r="AC74" s="107"/>
      <c r="AD74" s="63">
        <f>AD68-AD76</f>
        <v>7521.5046928143192</v>
      </c>
      <c r="AE74" s="42"/>
      <c r="AF74" s="63">
        <f>IF(AF$1="3M",I74,IF(AF$1="6M",SUM(I74:J74),IF(AF$1="9M",SUM(I74:K74),SUM(I74:L74))))</f>
        <v>15745.5</v>
      </c>
      <c r="AG74" s="63">
        <f>IF(AG$1="3M",M74,IF(AG$1="6M",SUM(M74:N74),IF(AG$1="9M",SUM(M74:O74),SUM(M74:P74))))</f>
        <v>17945.7</v>
      </c>
      <c r="AH74" s="63">
        <f>IF(AH$1="3M",Q74,IF(AH$1="6M",SUM(Q74:R74),IF(AH$1="9M",SUM(Q74:S74),SUM(Q74:T74))))</f>
        <v>22139.599999999999</v>
      </c>
      <c r="AI74" s="63">
        <f t="shared" si="82"/>
        <v>27577.1</v>
      </c>
      <c r="AK74" s="72"/>
      <c r="AL74" s="72"/>
      <c r="AM74" s="72"/>
      <c r="AN74" s="72"/>
      <c r="AO74" s="73"/>
      <c r="AP74" s="73"/>
      <c r="AQ74" s="73"/>
      <c r="AR74" s="73"/>
      <c r="AT74" s="1192" t="s">
        <v>40</v>
      </c>
      <c r="AU74" s="1193">
        <f>HLOOKUP(AU$64,$B$2:$AI$103,$B91,0)</f>
        <v>4978.2</v>
      </c>
      <c r="AV74" s="1193">
        <f>HLOOKUP(AV$64,$B$2:$AI$103,$B91,0)</f>
        <v>5813.5000000000009</v>
      </c>
      <c r="AW74" s="1191">
        <f t="shared" si="80"/>
        <v>-0.14368280725896632</v>
      </c>
      <c r="AX74" s="1193">
        <f>HLOOKUP(AX$64,$B$2:$AI$103,$B91,0)</f>
        <v>4391.7</v>
      </c>
      <c r="AY74" s="1191">
        <f t="shared" si="61"/>
        <v>0.13354737345447099</v>
      </c>
      <c r="AZ74" s="1190">
        <f>HLOOKUP(AZ$1,$B$2:$AI$128,$B91,0)</f>
        <v>18728.400000000001</v>
      </c>
      <c r="BA74" s="1190">
        <f>HLOOKUP(BA$1,$B$2:$AI$128,$B91,0)</f>
        <v>18028.400000000001</v>
      </c>
      <c r="BB74" s="1191">
        <f t="shared" si="81"/>
        <v>3.8827627521022423E-2</v>
      </c>
    </row>
    <row r="75" spans="2:54" ht="12.6" customHeight="1" thickBot="1" x14ac:dyDescent="0.25">
      <c r="B75" s="362">
        <f t="shared" si="4"/>
        <v>74</v>
      </c>
      <c r="C75" s="56"/>
      <c r="D75" s="56"/>
      <c r="E75" s="78"/>
      <c r="F75" s="78"/>
      <c r="G75" s="78"/>
      <c r="H75" s="78"/>
      <c r="I75" s="78"/>
      <c r="J75" s="78"/>
      <c r="K75" s="78"/>
      <c r="L75" s="78"/>
      <c r="M75" s="78"/>
      <c r="N75" s="78"/>
      <c r="O75" s="78"/>
      <c r="P75" s="78"/>
      <c r="Q75" s="78"/>
      <c r="R75" s="78"/>
      <c r="S75" s="78"/>
      <c r="T75" s="78"/>
      <c r="U75" s="78"/>
      <c r="V75" s="78"/>
      <c r="W75" s="78"/>
      <c r="X75" s="78"/>
      <c r="Y75" s="78"/>
      <c r="Z75" s="78"/>
      <c r="AA75" s="78"/>
      <c r="AB75" s="78"/>
      <c r="AC75" s="94"/>
      <c r="AD75" s="78"/>
      <c r="AE75" s="80"/>
      <c r="AF75" s="108"/>
      <c r="AG75" s="78"/>
      <c r="AH75" s="78"/>
      <c r="AI75" s="78"/>
      <c r="AK75" s="59"/>
      <c r="AL75" s="59"/>
      <c r="AM75" s="59"/>
      <c r="AN75" s="59"/>
      <c r="AO75" s="60"/>
      <c r="AP75" s="60"/>
      <c r="AQ75" s="60"/>
      <c r="AR75" s="60"/>
      <c r="AT75" s="1189" t="s">
        <v>1584</v>
      </c>
      <c r="AU75" s="1190">
        <f>HLOOKUP(AU$64,$B$2:$AI$103,$B93,0)</f>
        <v>741.5</v>
      </c>
      <c r="AV75" s="1190">
        <f>HLOOKUP(AV$64,$B$2:$AI$103,$B93,0)</f>
        <v>657.7</v>
      </c>
      <c r="AW75" s="1191">
        <f t="shared" si="80"/>
        <v>0.12741371445948002</v>
      </c>
      <c r="AX75" s="1190">
        <f>HLOOKUP(AX$64,$B$2:$AI$103,$B93,0)</f>
        <v>743.2</v>
      </c>
      <c r="AY75" s="1191">
        <f t="shared" si="61"/>
        <v>-2.2874058127019259E-3</v>
      </c>
      <c r="AZ75" s="1190">
        <f>HLOOKUP(AZ$1,$B$2:$AI$128,$B93,0)</f>
        <v>3259.3999999999996</v>
      </c>
      <c r="BA75" s="1190">
        <f>HLOOKUP(BA$1,$B$2:$AI$128,$B93,0)</f>
        <v>2813.6000000000004</v>
      </c>
      <c r="BB75" s="1191">
        <f t="shared" si="81"/>
        <v>0.15844469718510057</v>
      </c>
    </row>
    <row r="76" spans="2:54" ht="12.6" customHeight="1" thickBot="1" x14ac:dyDescent="0.25">
      <c r="B76" s="362">
        <f t="shared" si="4"/>
        <v>75</v>
      </c>
      <c r="C76" s="95" t="s">
        <v>34</v>
      </c>
      <c r="D76" s="95"/>
      <c r="E76" s="63">
        <f t="shared" ref="E76:T76" si="86">E68-E74</f>
        <v>0</v>
      </c>
      <c r="F76" s="63">
        <f t="shared" si="86"/>
        <v>0</v>
      </c>
      <c r="G76" s="63">
        <f t="shared" si="86"/>
        <v>0</v>
      </c>
      <c r="H76" s="63">
        <f t="shared" si="86"/>
        <v>0</v>
      </c>
      <c r="I76" s="63">
        <f t="shared" si="86"/>
        <v>4309.9000000000005</v>
      </c>
      <c r="J76" s="63">
        <f t="shared" si="86"/>
        <v>3409.6</v>
      </c>
      <c r="K76" s="63">
        <f t="shared" si="86"/>
        <v>3764.3</v>
      </c>
      <c r="L76" s="63">
        <f t="shared" si="86"/>
        <v>4718</v>
      </c>
      <c r="M76" s="63">
        <f t="shared" si="86"/>
        <v>4550.9000000000005</v>
      </c>
      <c r="N76" s="63">
        <f t="shared" si="86"/>
        <v>4521.7000000000007</v>
      </c>
      <c r="O76" s="63">
        <f>O68-O74</f>
        <v>4798.8999999999996</v>
      </c>
      <c r="P76" s="63">
        <f t="shared" si="86"/>
        <v>5811.7999999999993</v>
      </c>
      <c r="Q76" s="63">
        <f t="shared" si="86"/>
        <v>5146.4000000000015</v>
      </c>
      <c r="R76" s="63">
        <f t="shared" si="86"/>
        <v>5205.4000000000005</v>
      </c>
      <c r="S76" s="63">
        <f t="shared" si="86"/>
        <v>5860.8000000000011</v>
      </c>
      <c r="T76" s="63">
        <f t="shared" si="86"/>
        <v>6409.2000000000016</v>
      </c>
      <c r="U76" s="63">
        <f>U68-U74</f>
        <v>5811.6</v>
      </c>
      <c r="V76" s="63">
        <f>V68-V74</f>
        <v>6096.8</v>
      </c>
      <c r="W76" s="63">
        <f>W68-W74</f>
        <v>6437</v>
      </c>
      <c r="X76" s="63">
        <f>X68-X74</f>
        <v>7691.9</v>
      </c>
      <c r="Y76" s="63">
        <f>Y68-Y74</f>
        <v>0</v>
      </c>
      <c r="Z76" s="63">
        <f t="shared" ref="Z76:AB76" si="87">Z68-Z74</f>
        <v>0</v>
      </c>
      <c r="AA76" s="63">
        <f t="shared" si="87"/>
        <v>0</v>
      </c>
      <c r="AB76" s="63">
        <f t="shared" si="87"/>
        <v>0</v>
      </c>
      <c r="AC76" s="62">
        <f>AN76-AI76</f>
        <v>0</v>
      </c>
      <c r="AD76" s="63">
        <f>AD120</f>
        <v>6459.2677266439341</v>
      </c>
      <c r="AE76" s="42"/>
      <c r="AF76" s="63">
        <f>IF(AF$1="3M",I76,IF(AF$1="6M",SUM(I76:J76),IF(AF$1="9M",SUM(I76:K76),SUM(I76:L76))))</f>
        <v>16201.8</v>
      </c>
      <c r="AG76" s="63">
        <f>IF(AG$1="3M",M76,IF(AG$1="6M",SUM(M76:N76),IF(AG$1="9M",SUM(M76:O76),SUM(M76:P76))))</f>
        <v>19683.300000000003</v>
      </c>
      <c r="AH76" s="63">
        <f>IF(AH$1="3M",Q76,IF(AH$1="6M",SUM(Q76:R76),IF(AH$1="9M",SUM(Q76:S76),SUM(Q76:T76))))</f>
        <v>22621.800000000007</v>
      </c>
      <c r="AI76" s="63">
        <f t="shared" si="82"/>
        <v>26037.300000000003</v>
      </c>
      <c r="AK76" s="72">
        <f>Consol!L23</f>
        <v>16201.896000000001</v>
      </c>
      <c r="AL76" s="72">
        <f>Consol!M23</f>
        <v>19645.599999999995</v>
      </c>
      <c r="AM76" s="72">
        <f>Consol!N23</f>
        <v>22621.8</v>
      </c>
      <c r="AN76" s="72">
        <f>Consol!O23</f>
        <v>26037.3</v>
      </c>
      <c r="AO76" s="73">
        <f ca="1">Consol!P23</f>
        <v>29530.876404599338</v>
      </c>
      <c r="AP76" s="73">
        <f ca="1">Consol!Q23</f>
        <v>47439.420981768133</v>
      </c>
      <c r="AQ76" s="73">
        <f ca="1">Consol!R23</f>
        <v>57966.427748387025</v>
      </c>
      <c r="AR76" s="73">
        <f ca="1">Consol!S23</f>
        <v>75506.814117133807</v>
      </c>
      <c r="AT76" s="1189" t="s">
        <v>1585</v>
      </c>
      <c r="AU76" s="1190">
        <f>HLOOKUP(AU$64,$B$2:$AI$103,$B97,0)</f>
        <v>53.8</v>
      </c>
      <c r="AV76" s="1190">
        <f>HLOOKUP(AV$64,$B$2:$AI$103,$B97,0)</f>
        <v>62.1</v>
      </c>
      <c r="AW76" s="1191">
        <f t="shared" si="80"/>
        <v>-0.13365539452495978</v>
      </c>
      <c r="AX76" s="1190">
        <f>HLOOKUP(AX$64,$B$2:$AI$103,$B97,0)</f>
        <v>57.5</v>
      </c>
      <c r="AY76" s="1191">
        <f t="shared" si="61"/>
        <v>-6.434782608695655E-2</v>
      </c>
      <c r="AZ76" s="1190">
        <f>HLOOKUP(AZ$1,$B$2:$AI$128,$B97,0)</f>
        <v>235.89999999999998</v>
      </c>
      <c r="BA76" s="1190">
        <f>HLOOKUP(BA$1,$B$2:$AI$128,$B97,0)</f>
        <v>184</v>
      </c>
      <c r="BB76" s="1191">
        <f t="shared" si="81"/>
        <v>0.2820652173913043</v>
      </c>
    </row>
    <row r="77" spans="2:54" ht="12.6" customHeight="1" thickBot="1" x14ac:dyDescent="0.25">
      <c r="B77" s="362">
        <f t="shared" si="4"/>
        <v>76</v>
      </c>
      <c r="C77" s="96" t="s">
        <v>206</v>
      </c>
      <c r="D77" s="96"/>
      <c r="E77" s="98" t="e">
        <f t="shared" ref="E77:T77" si="88">E76/E68</f>
        <v>#DIV/0!</v>
      </c>
      <c r="F77" s="98" t="e">
        <f t="shared" si="88"/>
        <v>#DIV/0!</v>
      </c>
      <c r="G77" s="98" t="e">
        <f t="shared" si="88"/>
        <v>#DIV/0!</v>
      </c>
      <c r="H77" s="98" t="e">
        <f t="shared" si="88"/>
        <v>#DIV/0!</v>
      </c>
      <c r="I77" s="98">
        <f t="shared" si="88"/>
        <v>0.52578992314261319</v>
      </c>
      <c r="J77" s="98">
        <f t="shared" si="88"/>
        <v>0.51504531722054381</v>
      </c>
      <c r="K77" s="98">
        <f t="shared" si="88"/>
        <v>0.47187644942524415</v>
      </c>
      <c r="L77" s="98">
        <f t="shared" si="88"/>
        <v>0.51545941221457448</v>
      </c>
      <c r="M77" s="98">
        <f t="shared" si="88"/>
        <v>0.518266712219565</v>
      </c>
      <c r="N77" s="98">
        <f t="shared" si="88"/>
        <v>0.53302448397401903</v>
      </c>
      <c r="O77" s="98">
        <f>O76/O68</f>
        <v>0.51046154173447778</v>
      </c>
      <c r="P77" s="98">
        <f t="shared" si="88"/>
        <v>0.53008993232273482</v>
      </c>
      <c r="Q77" s="98">
        <f t="shared" si="88"/>
        <v>0.5096606157837924</v>
      </c>
      <c r="R77" s="98">
        <f t="shared" si="88"/>
        <v>0.51983302708316692</v>
      </c>
      <c r="S77" s="98">
        <f t="shared" si="88"/>
        <v>0.49590888706497555</v>
      </c>
      <c r="T77" s="98">
        <f t="shared" si="88"/>
        <v>0.49947785969232694</v>
      </c>
      <c r="U77" s="98">
        <f>U76/U68</f>
        <v>0.47486211545532542</v>
      </c>
      <c r="V77" s="98">
        <f>V76/V68</f>
        <v>0.48173579121200394</v>
      </c>
      <c r="W77" s="98">
        <f>W76/W68</f>
        <v>0.47693493176059154</v>
      </c>
      <c r="X77" s="98">
        <f>X76/X68</f>
        <v>0.50526820552570384</v>
      </c>
      <c r="Y77" s="98" t="e">
        <f>Y76/Y68</f>
        <v>#DIV/0!</v>
      </c>
      <c r="Z77" s="98" t="e">
        <f t="shared" ref="Z77:AB77" si="89">Z76/Z68</f>
        <v>#DIV/0!</v>
      </c>
      <c r="AA77" s="98" t="e">
        <f t="shared" si="89"/>
        <v>#DIV/0!</v>
      </c>
      <c r="AB77" s="98" t="e">
        <f t="shared" si="89"/>
        <v>#DIV/0!</v>
      </c>
      <c r="AC77" s="62"/>
      <c r="AD77" s="98">
        <f>AD76/AD68</f>
        <v>0.46201079116730426</v>
      </c>
      <c r="AE77" s="90"/>
      <c r="AF77" s="109">
        <f>IFERROR(AF76/AF68,"NA")</f>
        <v>0.50714144857311882</v>
      </c>
      <c r="AG77" s="98">
        <f>IFERROR(AG76/AG68,"NA")</f>
        <v>0.52308857530096475</v>
      </c>
      <c r="AH77" s="98">
        <f>IFERROR(AH76/AH68,"NA")</f>
        <v>0.50538633733529337</v>
      </c>
      <c r="AI77" s="98">
        <f>IFERROR(AI76/AI68,"NA")</f>
        <v>0.48564005192634818</v>
      </c>
      <c r="AK77" s="99">
        <f t="shared" ref="AK77:AR77" si="90">AK76/AK68</f>
        <v>0.50714292958336882</v>
      </c>
      <c r="AL77" s="99">
        <f t="shared" si="90"/>
        <v>0.52208807592036965</v>
      </c>
      <c r="AM77" s="99">
        <f t="shared" si="90"/>
        <v>0.50538633733529337</v>
      </c>
      <c r="AN77" s="99">
        <f t="shared" ref="AN77" si="91">AN76/AN68</f>
        <v>0.48564005192634813</v>
      </c>
      <c r="AO77" s="826">
        <f t="shared" ca="1" si="90"/>
        <v>0.40489103350763284</v>
      </c>
      <c r="AP77" s="826">
        <f t="shared" ca="1" si="90"/>
        <v>0.43653528913894879</v>
      </c>
      <c r="AQ77" s="826">
        <f t="shared" ca="1" si="90"/>
        <v>0.40156530224663273</v>
      </c>
      <c r="AR77" s="826">
        <f t="shared" ca="1" si="90"/>
        <v>0.40045886822155319</v>
      </c>
      <c r="AT77" s="1192" t="s">
        <v>50</v>
      </c>
      <c r="AU77" s="1193">
        <f>HLOOKUP(AU$64,$B$2:$AI$103,$B99,0)</f>
        <v>4182.8999999999996</v>
      </c>
      <c r="AV77" s="1193">
        <f>HLOOKUP(AV$64,$B$2:$AI$103,$B99,0)</f>
        <v>5093.7000000000007</v>
      </c>
      <c r="AW77" s="1191">
        <f t="shared" si="80"/>
        <v>-0.17880911714470837</v>
      </c>
      <c r="AX77" s="1193">
        <f>HLOOKUP(AX$64,$B$2:$AI$103,$B99,0)</f>
        <v>3591</v>
      </c>
      <c r="AY77" s="1191">
        <f t="shared" si="61"/>
        <v>0.16482873851294899</v>
      </c>
      <c r="AZ77" s="1193">
        <f>HLOOKUP(AZ$1,$B$2:$AI$128,$B99,0)</f>
        <v>15233.1</v>
      </c>
      <c r="BA77" s="1193">
        <f>HLOOKUP(BA$1,$B$2:$AI$128,$B99,0)</f>
        <v>15030.800000000003</v>
      </c>
      <c r="BB77" s="1194">
        <f t="shared" si="81"/>
        <v>1.3459030790110793E-2</v>
      </c>
    </row>
    <row r="78" spans="2:54" ht="12.6" customHeight="1" thickBot="1" x14ac:dyDescent="0.25">
      <c r="B78" s="362">
        <f t="shared" si="4"/>
        <v>77</v>
      </c>
      <c r="C78" s="96" t="s">
        <v>200</v>
      </c>
      <c r="D78" s="96"/>
      <c r="E78" s="91" t="str">
        <f>IF(ISERROR(E76/#REF!-1)," ",E76/#REF!-1)</f>
        <v xml:space="preserve"> </v>
      </c>
      <c r="F78" s="91" t="str">
        <f>IF(ISERROR(F76/#REF!-1)," ",F76/#REF!-1)</f>
        <v xml:space="preserve"> </v>
      </c>
      <c r="G78" s="91" t="str">
        <f>IF(ISERROR(G76/#REF!-1)," ",G76/#REF!-1)</f>
        <v xml:space="preserve"> </v>
      </c>
      <c r="H78" s="91" t="str">
        <f>IF(ISERROR(H76/#REF!-1)," ",H76/#REF!-1)</f>
        <v xml:space="preserve"> </v>
      </c>
      <c r="I78" s="91" t="str">
        <f>IF(ISERROR(I76/E76-1)," ",I76/E76-1)</f>
        <v xml:space="preserve"> </v>
      </c>
      <c r="J78" s="91" t="str">
        <f>IF(ISERROR(J76/F76-1)," ",J76/F76-1)</f>
        <v xml:space="preserve"> </v>
      </c>
      <c r="K78" s="91" t="str">
        <f>IF(ISERROR(K76/G76-1)," ",K76/G76-1)</f>
        <v xml:space="preserve"> </v>
      </c>
      <c r="L78" s="91" t="str">
        <f t="shared" ref="L78:Y78" si="92">IF(ISERROR(L76/H76-1)," ",L76/H76-1)</f>
        <v xml:space="preserve"> </v>
      </c>
      <c r="M78" s="91">
        <f t="shared" si="92"/>
        <v>5.5917770713937776E-2</v>
      </c>
      <c r="N78" s="91">
        <f t="shared" si="92"/>
        <v>0.32616729235100927</v>
      </c>
      <c r="O78" s="91">
        <f t="shared" si="92"/>
        <v>0.27484525675424365</v>
      </c>
      <c r="P78" s="91">
        <f t="shared" si="92"/>
        <v>0.23183552352691805</v>
      </c>
      <c r="Q78" s="91">
        <f t="shared" si="92"/>
        <v>0.13085323782109048</v>
      </c>
      <c r="R78" s="91">
        <f t="shared" si="92"/>
        <v>0.15120419311320954</v>
      </c>
      <c r="S78" s="91">
        <f t="shared" si="92"/>
        <v>0.22127987663839654</v>
      </c>
      <c r="T78" s="91">
        <f t="shared" si="92"/>
        <v>0.10279087373963347</v>
      </c>
      <c r="U78" s="91">
        <f t="shared" si="92"/>
        <v>0.12925540183429174</v>
      </c>
      <c r="V78" s="91">
        <f t="shared" si="92"/>
        <v>0.17124524532216534</v>
      </c>
      <c r="W78" s="91">
        <f t="shared" si="92"/>
        <v>9.8314223314223126E-2</v>
      </c>
      <c r="X78" s="91">
        <f t="shared" si="92"/>
        <v>0.20013418211321188</v>
      </c>
      <c r="Y78" s="91">
        <f t="shared" si="92"/>
        <v>-1</v>
      </c>
      <c r="Z78" s="91">
        <f t="shared" ref="Z78" si="93">IF(ISERROR(Z76/V76-1)," ",Z76/V76-1)</f>
        <v>-1</v>
      </c>
      <c r="AA78" s="91">
        <f t="shared" ref="AA78" si="94">IF(ISERROR(AA76/W76-1)," ",AA76/W76-1)</f>
        <v>-1</v>
      </c>
      <c r="AB78" s="91">
        <f t="shared" ref="AB78" si="95">IF(ISERROR(AB76/X76-1)," ",AB76/X76-1)</f>
        <v>-1</v>
      </c>
      <c r="AC78" s="901"/>
      <c r="AD78" s="91">
        <f>IF(ISERROR(AD76/U76-1)," ",AD76/U76-1)</f>
        <v>0.1114439614983711</v>
      </c>
      <c r="AE78" s="90"/>
      <c r="AF78" s="83" t="str">
        <f>IFERROR(AF76/#REF!-1, "NA")</f>
        <v>NA</v>
      </c>
      <c r="AG78" s="91">
        <f>IFERROR(AG76/AF76-1, "NA")</f>
        <v>0.2148835314594677</v>
      </c>
      <c r="AH78" s="91">
        <f>IFERROR(AH76/AG76-1, "NA")</f>
        <v>0.1492889911752604</v>
      </c>
      <c r="AI78" s="91">
        <f>IFERROR(AI76/AH76-1, "NA")</f>
        <v>0.15098268042330831</v>
      </c>
      <c r="AK78" s="59"/>
      <c r="AL78" s="92">
        <f t="shared" ref="AL78:AR78" si="96">(AL76/AK76-1)</f>
        <v>0.21254944483040705</v>
      </c>
      <c r="AM78" s="92">
        <f t="shared" si="96"/>
        <v>0.1514944822250277</v>
      </c>
      <c r="AN78" s="92">
        <f t="shared" si="96"/>
        <v>0.15098268042330854</v>
      </c>
      <c r="AO78" s="825">
        <f t="shared" ca="1" si="96"/>
        <v>0.13417583254021492</v>
      </c>
      <c r="AP78" s="825">
        <f t="shared" ca="1" si="96"/>
        <v>0.60643457822943581</v>
      </c>
      <c r="AQ78" s="825">
        <f t="shared" ca="1" si="96"/>
        <v>0.22190420010953793</v>
      </c>
      <c r="AR78" s="825">
        <f t="shared" ca="1" si="96"/>
        <v>0.30259560663085483</v>
      </c>
      <c r="AT78" s="1189" t="s">
        <v>1586</v>
      </c>
      <c r="AU78" s="1199">
        <f>AU77/Valuation!$C$3</f>
        <v>1.7952360515021457</v>
      </c>
      <c r="AV78" s="1199">
        <f>AV77/Valuation!$C$3</f>
        <v>2.1861373390557941</v>
      </c>
      <c r="AW78" s="1191">
        <f t="shared" si="80"/>
        <v>-0.17880911714470826</v>
      </c>
      <c r="AX78" s="1199">
        <f>AX77/Valuation!$C$3</f>
        <v>1.5412017167381975</v>
      </c>
      <c r="AY78" s="1191">
        <f t="shared" si="61"/>
        <v>0.16482873851294877</v>
      </c>
      <c r="AZ78" s="1199">
        <f>AZ77/Valuation!$C$3</f>
        <v>6.5378111587982835</v>
      </c>
      <c r="BA78" s="1199">
        <f>BA77/Valuation!$C$3</f>
        <v>6.4509871244635208</v>
      </c>
      <c r="BB78" s="1191">
        <f t="shared" si="81"/>
        <v>1.3459030790110793E-2</v>
      </c>
    </row>
    <row r="79" spans="2:54" ht="12.6" customHeight="1" x14ac:dyDescent="0.2">
      <c r="B79" s="362">
        <f t="shared" si="4"/>
        <v>78</v>
      </c>
      <c r="C79" s="56"/>
      <c r="D79" s="56"/>
      <c r="E79" s="57"/>
      <c r="F79" s="57"/>
      <c r="G79" s="57"/>
      <c r="H79" s="57"/>
      <c r="I79" s="57"/>
      <c r="J79" s="57"/>
      <c r="K79" s="57"/>
      <c r="L79" s="57"/>
      <c r="M79" s="57"/>
      <c r="N79" s="57"/>
      <c r="O79" s="57"/>
      <c r="P79" s="57"/>
      <c r="Q79" s="57"/>
      <c r="R79" s="57"/>
      <c r="S79" s="57"/>
      <c r="T79" s="57"/>
      <c r="U79" s="57"/>
      <c r="V79" s="57"/>
      <c r="W79" s="57"/>
      <c r="X79" s="57"/>
      <c r="Y79" s="57"/>
      <c r="Z79" s="57"/>
      <c r="AA79" s="57"/>
      <c r="AB79" s="57"/>
      <c r="AC79" s="62"/>
      <c r="AD79" s="57"/>
      <c r="AE79" s="40"/>
      <c r="AF79" s="57"/>
      <c r="AG79" s="57"/>
      <c r="AH79" s="57"/>
      <c r="AI79" s="57"/>
      <c r="AK79" s="59"/>
      <c r="AL79" s="59"/>
      <c r="AM79" s="59"/>
      <c r="AN79" s="59"/>
      <c r="AO79" s="60"/>
      <c r="AP79" s="60"/>
      <c r="AQ79" s="60"/>
      <c r="AR79" s="60"/>
    </row>
    <row r="80" spans="2:54" ht="12.6" customHeight="1" x14ac:dyDescent="0.2">
      <c r="B80" s="362">
        <f t="shared" si="4"/>
        <v>79</v>
      </c>
      <c r="C80" s="61" t="s">
        <v>36</v>
      </c>
      <c r="D80" s="61"/>
      <c r="E80" s="57"/>
      <c r="F80" s="57"/>
      <c r="G80" s="57"/>
      <c r="H80" s="57"/>
      <c r="I80" s="59">
        <v>414.19999999999993</v>
      </c>
      <c r="J80" s="57">
        <v>345.1</v>
      </c>
      <c r="K80" s="57">
        <v>442.9</v>
      </c>
      <c r="L80" s="57">
        <v>579</v>
      </c>
      <c r="M80" s="59">
        <v>401.30000000000018</v>
      </c>
      <c r="N80" s="57">
        <v>471.7</v>
      </c>
      <c r="O80" s="57">
        <v>781.9</v>
      </c>
      <c r="P80" s="57">
        <v>1039.2</v>
      </c>
      <c r="Q80" s="57">
        <f>939.2</f>
        <v>939.2</v>
      </c>
      <c r="R80" s="57">
        <v>868.3</v>
      </c>
      <c r="S80" s="57">
        <v>834.8</v>
      </c>
      <c r="T80" s="57">
        <v>887.2</v>
      </c>
      <c r="U80" s="57">
        <v>898.5</v>
      </c>
      <c r="V80" s="57">
        <v>1067.2</v>
      </c>
      <c r="W80" s="57">
        <v>597.20000000000005</v>
      </c>
      <c r="X80" s="57">
        <v>896.6</v>
      </c>
      <c r="Y80" s="57"/>
      <c r="Z80" s="57"/>
      <c r="AA80" s="57"/>
      <c r="AB80" s="57"/>
      <c r="AC80" s="62">
        <f>AN80-AI80</f>
        <v>0</v>
      </c>
      <c r="AD80" s="57">
        <f>AVERAGE(V80:X80)</f>
        <v>853.66666666666663</v>
      </c>
      <c r="AE80" s="71"/>
      <c r="AF80" s="57">
        <f>IF(AF$1="3M",I80,IF(AF$1="6M",SUM(I80:J80),IF(AF$1="9M",SUM(I80:K80),SUM(I80:L80))))</f>
        <v>1781.1999999999998</v>
      </c>
      <c r="AG80" s="57">
        <f>IF(AG$1="3M",M80,IF(AG$1="6M",SUM(M80:N80),IF(AG$1="9M",SUM(M80:O80),SUM(M80:P80))))</f>
        <v>2694.1000000000004</v>
      </c>
      <c r="AH80" s="57">
        <f>IF(AH$1="3M",Q80,IF(AH$1="6M",SUM(Q80:R80),IF(AH$1="9M",SUM(Q80:S80),SUM(Q80:T80))))</f>
        <v>3529.5</v>
      </c>
      <c r="AI80" s="57">
        <f t="shared" ref="AI80:AI85" si="97">IF(AI$1="3M",U80,IF(AI$1="6M",SUM(U80:V80),IF(AI$1="9M",SUM(U80:W80),SUM(U80:X80))))</f>
        <v>3459.5</v>
      </c>
      <c r="AK80" s="59">
        <f>Consol!L27</f>
        <v>1781.13</v>
      </c>
      <c r="AL80" s="59">
        <f>Consol!M27</f>
        <v>2694.1</v>
      </c>
      <c r="AM80" s="59">
        <f>Consol!N27</f>
        <v>3529.5</v>
      </c>
      <c r="AN80" s="59">
        <f>Consol!O27</f>
        <v>3459.5</v>
      </c>
      <c r="AO80" s="60">
        <f ca="1">Consol!P27</f>
        <v>3758.2464024573082</v>
      </c>
      <c r="AP80" s="60">
        <f ca="1">Consol!Q27</f>
        <v>4332.5419641836579</v>
      </c>
      <c r="AQ80" s="60">
        <f ca="1">Consol!R27</f>
        <v>2879.4491632562163</v>
      </c>
      <c r="AR80" s="60">
        <f ca="1">Consol!S27</f>
        <v>1594.2852642714658</v>
      </c>
      <c r="AT80" s="1296" t="s">
        <v>1995</v>
      </c>
      <c r="AU80" s="1295"/>
      <c r="AV80" s="1295"/>
      <c r="AW80" s="1295"/>
      <c r="AX80" s="1295"/>
      <c r="AY80" s="1295"/>
      <c r="AZ80" s="1182"/>
      <c r="BA80" s="1182"/>
      <c r="BB80" s="1182"/>
    </row>
    <row r="81" spans="2:54" ht="13.15" customHeight="1" x14ac:dyDescent="0.2">
      <c r="B81" s="362">
        <f t="shared" si="4"/>
        <v>80</v>
      </c>
      <c r="C81" s="61" t="s">
        <v>199</v>
      </c>
      <c r="D81" s="61"/>
      <c r="E81" s="57"/>
      <c r="F81" s="57"/>
      <c r="G81" s="57"/>
      <c r="H81" s="57"/>
      <c r="I81" s="59">
        <v>916.7</v>
      </c>
      <c r="J81" s="57">
        <v>992.7</v>
      </c>
      <c r="K81" s="57">
        <v>1023</v>
      </c>
      <c r="L81" s="57">
        <v>979.9</v>
      </c>
      <c r="M81" s="59">
        <v>947.40000000000009</v>
      </c>
      <c r="N81" s="57">
        <v>1005.1</v>
      </c>
      <c r="O81" s="57">
        <v>1075.8</v>
      </c>
      <c r="P81" s="57">
        <v>1336.5</v>
      </c>
      <c r="Q81" s="57">
        <v>1345.8</v>
      </c>
      <c r="R81" s="57">
        <v>1338.6</v>
      </c>
      <c r="S81" s="57">
        <v>1376.4</v>
      </c>
      <c r="T81" s="57">
        <v>1404.7</v>
      </c>
      <c r="U81" s="57">
        <v>1434.6</v>
      </c>
      <c r="V81" s="57">
        <v>1485.2</v>
      </c>
      <c r="W81" s="57">
        <v>1639.8</v>
      </c>
      <c r="X81" s="57">
        <v>1581.6</v>
      </c>
      <c r="Y81" s="57"/>
      <c r="Z81" s="57"/>
      <c r="AA81" s="57"/>
      <c r="AB81" s="57"/>
      <c r="AC81" s="62">
        <f>AN81-AI81</f>
        <v>0</v>
      </c>
      <c r="AD81" s="57">
        <f>AVERAGE(W81:X81)</f>
        <v>1610.6999999999998</v>
      </c>
      <c r="AE81" s="40"/>
      <c r="AF81" s="57">
        <f>IF(AF$1="3M",I81,IF(AF$1="6M",SUM(I81:J81),IF(AF$1="9M",SUM(I81:K81),SUM(I81:L81))))</f>
        <v>3912.3</v>
      </c>
      <c r="AG81" s="57">
        <f>IF(AG$1="3M",M81,IF(AG$1="6M",SUM(M81:N81),IF(AG$1="9M",SUM(M81:O81),SUM(M81:P81))))</f>
        <v>4364.8</v>
      </c>
      <c r="AH81" s="57">
        <f>IF(AH$1="3M",Q81,IF(AH$1="6M",SUM(Q81:R81),IF(AH$1="9M",SUM(Q81:S81),SUM(Q81:T81))))</f>
        <v>5465.5</v>
      </c>
      <c r="AI81" s="57">
        <f t="shared" si="97"/>
        <v>6141.2000000000007</v>
      </c>
      <c r="AK81" s="59">
        <f>Consol!L28</f>
        <v>3912.23</v>
      </c>
      <c r="AL81" s="59">
        <f>Consol!M28</f>
        <v>4364.8</v>
      </c>
      <c r="AM81" s="59">
        <f>Consol!N28</f>
        <v>5465.5</v>
      </c>
      <c r="AN81" s="59">
        <f>Consol!O28</f>
        <v>6141.2</v>
      </c>
      <c r="AO81" s="60">
        <f>Consol!P28</f>
        <v>7453.8824749999994</v>
      </c>
      <c r="AP81" s="60">
        <f>Consol!Q28</f>
        <v>12460.683949999999</v>
      </c>
      <c r="AQ81" s="60">
        <f>Consol!R28</f>
        <v>18408.265199999998</v>
      </c>
      <c r="AR81" s="60">
        <f>Consol!S28</f>
        <v>24495.596449999997</v>
      </c>
      <c r="AT81" s="1270" t="s">
        <v>797</v>
      </c>
      <c r="AU81" s="1271" t="str">
        <f t="shared" ref="AU81:BB81" si="98">AU64</f>
        <v>4QFY26</v>
      </c>
      <c r="AV81" s="1271" t="str">
        <f t="shared" si="98"/>
        <v>4QFY25</v>
      </c>
      <c r="AW81" s="1271" t="str">
        <f t="shared" si="98"/>
        <v>YoY Growth</v>
      </c>
      <c r="AX81" s="1271" t="str">
        <f t="shared" si="98"/>
        <v>3QFY26</v>
      </c>
      <c r="AY81" s="1271" t="str">
        <f t="shared" si="98"/>
        <v>QoQ</v>
      </c>
      <c r="AZ81" s="1271" t="str">
        <f t="shared" si="98"/>
        <v>FY26</v>
      </c>
      <c r="BA81" s="1271" t="str">
        <f t="shared" si="98"/>
        <v>FY25</v>
      </c>
      <c r="BB81" s="1271" t="str">
        <f t="shared" si="98"/>
        <v>YoY</v>
      </c>
    </row>
    <row r="82" spans="2:54" ht="12.6" customHeight="1" thickBot="1" x14ac:dyDescent="0.25">
      <c r="B82" s="362">
        <f t="shared" si="4"/>
        <v>81</v>
      </c>
      <c r="C82" s="56"/>
      <c r="D82" s="56"/>
      <c r="E82" s="58"/>
      <c r="F82" s="58"/>
      <c r="G82" s="58"/>
      <c r="H82" s="58"/>
      <c r="I82" s="58"/>
      <c r="J82" s="58"/>
      <c r="K82" s="58"/>
      <c r="L82" s="58"/>
      <c r="M82" s="58"/>
      <c r="N82" s="58"/>
      <c r="O82" s="58"/>
      <c r="P82" s="58"/>
      <c r="Q82" s="58"/>
      <c r="R82" s="58"/>
      <c r="S82" s="58"/>
      <c r="T82" s="58"/>
      <c r="U82" s="58"/>
      <c r="V82" s="58"/>
      <c r="W82" s="58"/>
      <c r="X82" s="58"/>
      <c r="Y82" s="58"/>
      <c r="Z82" s="58"/>
      <c r="AA82" s="58"/>
      <c r="AB82" s="58"/>
      <c r="AC82" s="94"/>
      <c r="AD82" s="58"/>
      <c r="AE82" s="40"/>
      <c r="AF82" s="57"/>
      <c r="AG82" s="57"/>
      <c r="AH82" s="57"/>
      <c r="AI82" s="57"/>
      <c r="AK82" s="59"/>
      <c r="AL82" s="59"/>
      <c r="AM82" s="59"/>
      <c r="AN82" s="59"/>
      <c r="AO82" s="60"/>
      <c r="AP82" s="60"/>
      <c r="AQ82" s="60"/>
      <c r="AR82" s="60"/>
      <c r="AT82" s="1269" t="s">
        <v>1001</v>
      </c>
      <c r="AU82" s="1248">
        <f>HLOOKUP(AU$64,$B$2:$AI$125,$B107,0)</f>
        <v>12945</v>
      </c>
      <c r="AV82" s="1248">
        <f>HLOOKUP(AV$64,$B$2:$AI$125,$B107,0)</f>
        <v>11522.7</v>
      </c>
      <c r="AW82" s="1249">
        <f t="shared" ref="AW82" si="99">IFERROR(AU82/AV82-1," ")</f>
        <v>0.12343461167955416</v>
      </c>
      <c r="AX82" s="1248">
        <f>HLOOKUP(AX$64,$B$2:$AI$125,$B107,0)</f>
        <v>11638.1</v>
      </c>
      <c r="AY82" s="1249">
        <f t="shared" ref="AY82:AY84" si="100">IFERROR(AU82/AX82-1," ")</f>
        <v>0.1122949622361038</v>
      </c>
      <c r="AZ82" s="1248">
        <f>HLOOKUP(AZ$1,$B$2:$AI$125,$B107,0)</f>
        <v>46469.1</v>
      </c>
      <c r="BA82" s="1248">
        <f>HLOOKUP(BA$1,$B$2:$AI$125,$B107,0)</f>
        <v>42264.100000000006</v>
      </c>
      <c r="BB82" s="1249">
        <f t="shared" ref="BB82:BB84" si="101">IFERROR(AZ82/BA82-1," ")</f>
        <v>9.9493423496537003E-2</v>
      </c>
    </row>
    <row r="83" spans="2:54" ht="12.6" customHeight="1" thickBot="1" x14ac:dyDescent="0.25">
      <c r="B83" s="362">
        <f t="shared" ref="B83:B125" si="102">B82+1</f>
        <v>82</v>
      </c>
      <c r="C83" s="95" t="s">
        <v>38</v>
      </c>
      <c r="D83" s="95"/>
      <c r="E83" s="63">
        <f t="shared" ref="E83:AD83" si="103">E76+E80-E81</f>
        <v>0</v>
      </c>
      <c r="F83" s="63">
        <f t="shared" si="103"/>
        <v>0</v>
      </c>
      <c r="G83" s="63">
        <f t="shared" si="103"/>
        <v>0</v>
      </c>
      <c r="H83" s="63">
        <f t="shared" si="103"/>
        <v>0</v>
      </c>
      <c r="I83" s="63">
        <f>I76+I80-I81</f>
        <v>3807.4000000000005</v>
      </c>
      <c r="J83" s="63">
        <f t="shared" si="103"/>
        <v>2762</v>
      </c>
      <c r="K83" s="63">
        <f t="shared" si="103"/>
        <v>3184.2</v>
      </c>
      <c r="L83" s="63">
        <f t="shared" si="103"/>
        <v>4317.1000000000004</v>
      </c>
      <c r="M83" s="63">
        <f t="shared" si="103"/>
        <v>4004.8000000000006</v>
      </c>
      <c r="N83" s="63">
        <f t="shared" si="103"/>
        <v>3988.3000000000006</v>
      </c>
      <c r="O83" s="63">
        <f>O76+O80-O81</f>
        <v>4504.9999999999991</v>
      </c>
      <c r="P83" s="63">
        <f t="shared" si="103"/>
        <v>5514.4999999999991</v>
      </c>
      <c r="Q83" s="63">
        <f t="shared" si="103"/>
        <v>4739.8000000000011</v>
      </c>
      <c r="R83" s="63">
        <f t="shared" si="103"/>
        <v>4735.1000000000004</v>
      </c>
      <c r="S83" s="63">
        <f t="shared" si="103"/>
        <v>5319.2000000000007</v>
      </c>
      <c r="T83" s="63">
        <f t="shared" si="103"/>
        <v>5891.7000000000016</v>
      </c>
      <c r="U83" s="63">
        <f>U76+U80-U81</f>
        <v>5275.5</v>
      </c>
      <c r="V83" s="63">
        <f>V76+V80-V81</f>
        <v>5678.8</v>
      </c>
      <c r="W83" s="63">
        <f>W76+W80-W81</f>
        <v>5394.4</v>
      </c>
      <c r="X83" s="63">
        <f>X76+X80-X81</f>
        <v>7006.9</v>
      </c>
      <c r="Y83" s="63">
        <f>Y76+Y80-Y81</f>
        <v>0</v>
      </c>
      <c r="Z83" s="63">
        <f t="shared" ref="Z83:AB83" si="104">Z76+Z80-Z81</f>
        <v>0</v>
      </c>
      <c r="AA83" s="63">
        <f t="shared" si="104"/>
        <v>0</v>
      </c>
      <c r="AB83" s="63">
        <f t="shared" si="104"/>
        <v>0</v>
      </c>
      <c r="AC83" s="94"/>
      <c r="AD83" s="63">
        <f t="shared" si="103"/>
        <v>5702.2343933106013</v>
      </c>
      <c r="AE83" s="42"/>
      <c r="AF83" s="63">
        <f>IF(AF$1="3M",I83,IF(AF$1="6M",SUM(I83:J83),IF(AF$1="9M",SUM(I83:K83),SUM(I83:L83))))</f>
        <v>14070.7</v>
      </c>
      <c r="AG83" s="63">
        <f>IF(AG$1="3M",M83,IF(AG$1="6M",SUM(M83:N83),IF(AG$1="9M",SUM(M83:O83),SUM(M83:P83))))</f>
        <v>18012.599999999999</v>
      </c>
      <c r="AH83" s="63">
        <f>IF(AH$1="3M",Q83,IF(AH$1="6M",SUM(Q83:R83),IF(AH$1="9M",SUM(Q83:S83),SUM(Q83:T83))))</f>
        <v>20685.800000000003</v>
      </c>
      <c r="AI83" s="63">
        <f t="shared" si="97"/>
        <v>23355.599999999999</v>
      </c>
      <c r="AK83" s="72">
        <f t="shared" ref="AK83:AR83" si="105">AK76+AK80-AK81</f>
        <v>14070.796000000002</v>
      </c>
      <c r="AL83" s="72">
        <f t="shared" si="105"/>
        <v>17974.899999999994</v>
      </c>
      <c r="AM83" s="72">
        <f t="shared" si="105"/>
        <v>20685.8</v>
      </c>
      <c r="AN83" s="72">
        <f t="shared" si="105"/>
        <v>23355.599999999999</v>
      </c>
      <c r="AO83" s="73">
        <f t="shared" ca="1" si="105"/>
        <v>25835.240332056645</v>
      </c>
      <c r="AP83" s="73">
        <f t="shared" ca="1" si="105"/>
        <v>39311.27899595179</v>
      </c>
      <c r="AQ83" s="73">
        <f t="shared" ca="1" si="105"/>
        <v>42437.611711643243</v>
      </c>
      <c r="AR83" s="73">
        <f t="shared" ca="1" si="105"/>
        <v>52605.502931405281</v>
      </c>
      <c r="AT83" s="1260" t="s">
        <v>1656</v>
      </c>
      <c r="AU83" s="1190">
        <f>HLOOKUP(AU$64,$B$2:$AI$125,$B108,0)</f>
        <v>2278.4</v>
      </c>
      <c r="AV83" s="1190">
        <f>HLOOKUP(AV$64,$B$2:$AI$125,$B108,0)</f>
        <v>1309.0999999999999</v>
      </c>
      <c r="AW83" s="1191">
        <f t="shared" ref="AW83:AW84" si="106">IFERROR(AU83/AV83-1," ")</f>
        <v>0.74043235810862451</v>
      </c>
      <c r="AX83" s="1190">
        <f>HLOOKUP(AX$64,$B$2:$AI$125,$B108,0)</f>
        <v>1858.5</v>
      </c>
      <c r="AY83" s="1191">
        <f t="shared" si="100"/>
        <v>0.22593489373150399</v>
      </c>
      <c r="AZ83" s="1190">
        <f>HLOOKUP(AZ$1,$B$2:$AI$125,$B108,0)</f>
        <v>7145.2999999999993</v>
      </c>
      <c r="BA83" s="1190">
        <f>HLOOKUP(BA$1,$B$2:$AI$125,$B108,0)</f>
        <v>2497.3000000000002</v>
      </c>
      <c r="BB83" s="1191">
        <f t="shared" si="101"/>
        <v>1.8612101069154683</v>
      </c>
    </row>
    <row r="84" spans="2:54" ht="12.6" customHeight="1" thickBot="1" x14ac:dyDescent="0.25">
      <c r="B84" s="362">
        <f t="shared" si="102"/>
        <v>83</v>
      </c>
      <c r="C84" s="95"/>
      <c r="D84" s="95"/>
      <c r="E84" s="63"/>
      <c r="F84" s="63"/>
      <c r="G84" s="63"/>
      <c r="H84" s="63"/>
      <c r="I84" s="63"/>
      <c r="J84" s="63"/>
      <c r="K84" s="63"/>
      <c r="L84" s="63"/>
      <c r="M84" s="63"/>
      <c r="N84" s="63"/>
      <c r="O84" s="63"/>
      <c r="P84" s="63"/>
      <c r="Q84" s="63"/>
      <c r="R84" s="63"/>
      <c r="S84" s="63"/>
      <c r="T84" s="63"/>
      <c r="U84" s="63"/>
      <c r="V84" s="63"/>
      <c r="W84" s="63"/>
      <c r="X84" s="63"/>
      <c r="Y84" s="63"/>
      <c r="Z84" s="63"/>
      <c r="AA84" s="63"/>
      <c r="AB84" s="63"/>
      <c r="AC84" s="94"/>
      <c r="AD84" s="63"/>
      <c r="AE84" s="42"/>
      <c r="AF84" s="63"/>
      <c r="AG84" s="72"/>
      <c r="AH84" s="72"/>
      <c r="AI84" s="72"/>
      <c r="AK84" s="59"/>
      <c r="AL84" s="59"/>
      <c r="AM84" s="59"/>
      <c r="AN84" s="59"/>
      <c r="AO84" s="60"/>
      <c r="AP84" s="60"/>
      <c r="AQ84" s="60"/>
      <c r="AR84" s="60"/>
      <c r="AT84" s="1245" t="s">
        <v>202</v>
      </c>
      <c r="AU84" s="1258">
        <f>SUM(AU82:AU83)</f>
        <v>15223.4</v>
      </c>
      <c r="AV84" s="1258">
        <f>SUM(AV82:AV83)</f>
        <v>12831.800000000001</v>
      </c>
      <c r="AW84" s="1259">
        <f t="shared" si="106"/>
        <v>0.18638071042254389</v>
      </c>
      <c r="AX84" s="1258">
        <f>SUM(AX82:AX83)</f>
        <v>13496.6</v>
      </c>
      <c r="AY84" s="1259">
        <f t="shared" si="100"/>
        <v>0.12794333387668</v>
      </c>
      <c r="AZ84" s="1258">
        <f>SUM(AZ82:AZ83)</f>
        <v>53614.399999999994</v>
      </c>
      <c r="BA84" s="1258">
        <f>SUM(BA82:BA83)</f>
        <v>44761.400000000009</v>
      </c>
      <c r="BB84" s="1259">
        <f t="shared" si="101"/>
        <v>0.19778201754189961</v>
      </c>
    </row>
    <row r="85" spans="2:54" ht="12.6" customHeight="1" thickBot="1" x14ac:dyDescent="0.25">
      <c r="B85" s="362">
        <f t="shared" si="102"/>
        <v>84</v>
      </c>
      <c r="C85" s="61" t="s">
        <v>207</v>
      </c>
      <c r="D85" s="61"/>
      <c r="E85" s="57"/>
      <c r="F85" s="57"/>
      <c r="G85" s="57"/>
      <c r="H85" s="57"/>
      <c r="I85" s="59">
        <v>706.99999999999989</v>
      </c>
      <c r="J85" s="57">
        <v>689.1</v>
      </c>
      <c r="K85" s="57">
        <v>720.4</v>
      </c>
      <c r="L85" s="57">
        <v>702.1</v>
      </c>
      <c r="M85" s="59">
        <v>714.3</v>
      </c>
      <c r="N85" s="57">
        <v>751.7</v>
      </c>
      <c r="O85" s="57">
        <v>671.5</v>
      </c>
      <c r="P85" s="57">
        <v>754.1</v>
      </c>
      <c r="Q85" s="57">
        <f>740.4</f>
        <v>740.4</v>
      </c>
      <c r="R85" s="57">
        <v>746.8</v>
      </c>
      <c r="S85" s="57">
        <v>973.7</v>
      </c>
      <c r="T85" s="57">
        <v>940.1</v>
      </c>
      <c r="U85" s="57">
        <v>912.5</v>
      </c>
      <c r="V85" s="57">
        <f>992.9</f>
        <v>992.9</v>
      </c>
      <c r="W85" s="57">
        <v>789.1</v>
      </c>
      <c r="X85" s="57">
        <v>871.1</v>
      </c>
      <c r="Y85" s="57"/>
      <c r="Z85" s="57"/>
      <c r="AA85" s="57"/>
      <c r="AB85" s="57"/>
      <c r="AC85" s="62">
        <f>AN85-AI85</f>
        <v>264.30000000000018</v>
      </c>
      <c r="AD85" s="57">
        <f>AVERAGE(U85:X85)</f>
        <v>891.4</v>
      </c>
      <c r="AE85" s="71"/>
      <c r="AF85" s="57">
        <f>IF(AF$1="3M",I85,IF(AF$1="6M",SUM(I85:J85),IF(AF$1="9M",SUM(I85:K85),SUM(I85:L85))))</f>
        <v>2818.6</v>
      </c>
      <c r="AG85" s="57">
        <f>IF(AG$1="3M",M85,IF(AG$1="6M",SUM(M85:N85),IF(AG$1="9M",SUM(M85:O85),SUM(M85:P85))))</f>
        <v>2891.6</v>
      </c>
      <c r="AH85" s="57">
        <f>IF(AH$1="3M",Q85,IF(AH$1="6M",SUM(Q85:R85),IF(AH$1="9M",SUM(Q85:S85),SUM(Q85:T85))))</f>
        <v>3400.9999999999995</v>
      </c>
      <c r="AI85" s="57">
        <f t="shared" si="97"/>
        <v>3565.6</v>
      </c>
      <c r="AK85" s="59">
        <f>Consol!L32</f>
        <v>5960.8</v>
      </c>
      <c r="AL85" s="59">
        <f>Consol!M32</f>
        <v>3324.6</v>
      </c>
      <c r="AM85" s="59">
        <f>Consol!N32</f>
        <v>2657.4</v>
      </c>
      <c r="AN85" s="59">
        <f>Consol!O32</f>
        <v>3829.9</v>
      </c>
      <c r="AO85" s="60">
        <f>Consol!P32</f>
        <v>4783.0374513424667</v>
      </c>
      <c r="AP85" s="60">
        <f>Consol!Q32</f>
        <v>8558.4778248657531</v>
      </c>
      <c r="AQ85" s="60">
        <f>Consol!R32</f>
        <v>10931.457055279452</v>
      </c>
      <c r="AR85" s="60">
        <f>Consol!S32</f>
        <v>15540.224814060279</v>
      </c>
      <c r="AT85" s="949" t="s">
        <v>34</v>
      </c>
      <c r="AU85" s="1184"/>
      <c r="AV85" s="1184"/>
      <c r="AW85" s="1184"/>
      <c r="AX85" s="1184"/>
      <c r="AY85" s="1184"/>
      <c r="AZ85" s="1184"/>
      <c r="BA85" s="1184"/>
      <c r="BB85" s="1184"/>
    </row>
    <row r="86" spans="2:54" ht="12.6" customHeight="1" thickBot="1" x14ac:dyDescent="0.25">
      <c r="B86" s="362">
        <f t="shared" si="102"/>
        <v>85</v>
      </c>
      <c r="C86" s="61" t="s">
        <v>228</v>
      </c>
      <c r="D86" s="61"/>
      <c r="E86" s="57"/>
      <c r="F86" s="57"/>
      <c r="G86" s="57"/>
      <c r="H86" s="57"/>
      <c r="I86" s="59">
        <v>691.40000000000009</v>
      </c>
      <c r="J86" s="57">
        <v>402.5</v>
      </c>
      <c r="K86" s="57">
        <v>1387.7</v>
      </c>
      <c r="L86" s="57">
        <v>660.7</v>
      </c>
      <c r="M86" s="59">
        <v>-871.8</v>
      </c>
      <c r="N86" s="57">
        <v>-45</v>
      </c>
      <c r="O86" s="57">
        <v>763</v>
      </c>
      <c r="P86" s="57">
        <v>586.70000000000005</v>
      </c>
      <c r="Q86" s="57">
        <f>83</f>
        <v>83</v>
      </c>
      <c r="R86" s="57">
        <v>-1551.1</v>
      </c>
      <c r="S86" s="57">
        <v>1586.4</v>
      </c>
      <c r="T86" s="57">
        <v>-861.9</v>
      </c>
      <c r="U86" s="57">
        <v>-362.6</v>
      </c>
      <c r="V86" s="57">
        <v>53</v>
      </c>
      <c r="W86" s="57">
        <v>141.19999999999999</v>
      </c>
      <c r="X86" s="57">
        <v>432.7</v>
      </c>
      <c r="Y86" s="57"/>
      <c r="Z86" s="57"/>
      <c r="AA86" s="57"/>
      <c r="AB86" s="57"/>
      <c r="AC86" s="94"/>
      <c r="AD86" s="57"/>
      <c r="AE86" s="71"/>
      <c r="AF86" s="57">
        <f>IF(AF$1="3M",I86,IF(AF$1="6M",SUM(I86:J86),IF(AF$1="9M",SUM(I86:K86),SUM(I86:L86))))</f>
        <v>3142.3</v>
      </c>
      <c r="AG86" s="57">
        <f>IF(AG$1="3M",M86,IF(AG$1="6M",SUM(M86:N86),IF(AG$1="9M",SUM(M86:O86),SUM(M86:P86))))</f>
        <v>432.90000000000009</v>
      </c>
      <c r="AH86" s="57">
        <f>IF(AH$1="3M",Q86,IF(AH$1="6M",SUM(Q86:R86),IF(AH$1="9M",SUM(Q86:S86),SUM(Q86:T86))))</f>
        <v>-743.5999999999998</v>
      </c>
      <c r="AI86" s="57">
        <f>IF(AI$1="3M",U86,IF(AI$1="6M",SUM(U86:V86),IF(AI$1="9M",SUM(U86:W86),SUM(U86:X86))))</f>
        <v>264.29999999999995</v>
      </c>
      <c r="AK86" s="59">
        <f>Consol!L33</f>
        <v>0</v>
      </c>
      <c r="AL86" s="59">
        <f>Consol!M33</f>
        <v>0</v>
      </c>
      <c r="AM86" s="59">
        <f>Consol!N33</f>
        <v>0</v>
      </c>
      <c r="AN86" s="59">
        <f>Consol!O33</f>
        <v>797.3</v>
      </c>
      <c r="AO86" s="60">
        <f>Consol!P33</f>
        <v>0</v>
      </c>
      <c r="AP86" s="60">
        <f>Consol!Q33</f>
        <v>0</v>
      </c>
      <c r="AQ86" s="60">
        <f>Consol!R33</f>
        <v>0</v>
      </c>
      <c r="AR86" s="60">
        <f>Consol!S33</f>
        <v>0</v>
      </c>
      <c r="AT86" s="1260" t="s">
        <v>1001</v>
      </c>
      <c r="AU86" s="1190">
        <f>HLOOKUP(AU$64,$B$2:$AI$125,$B118,0)</f>
        <v>7050</v>
      </c>
      <c r="AV86" s="1190">
        <f>HLOOKUP(AV$64,$B$2:$AI$125,$B118,0)</f>
        <v>6268.2000000000016</v>
      </c>
      <c r="AW86" s="1191">
        <f t="shared" ref="AW86" si="107">IFERROR(AU86/AV86-1," ")</f>
        <v>0.12472480137838593</v>
      </c>
      <c r="AX86" s="1190">
        <f>HLOOKUP(AX$64,$B$2:$AI$125,$B118,0)</f>
        <v>6110</v>
      </c>
      <c r="AY86" s="1191">
        <f t="shared" ref="AY86" si="108">IFERROR(AU86/AX86-1," ")</f>
        <v>0.15384615384615374</v>
      </c>
      <c r="AZ86" s="1190">
        <f>HLOOKUP(AZ$1,$B$2:$AI$125,$B118,0)</f>
        <v>24619.8</v>
      </c>
      <c r="BA86" s="1190">
        <f>HLOOKUP(BA$1,$B$2:$AI$125,$B118,0)</f>
        <v>22310.800000000007</v>
      </c>
      <c r="BB86" s="1191">
        <f t="shared" ref="BB86" si="109">IFERROR(AZ86/BA86-1," ")</f>
        <v>0.1034924789787901</v>
      </c>
    </row>
    <row r="87" spans="2:54" ht="12.6" customHeight="1" thickBot="1" x14ac:dyDescent="0.25">
      <c r="B87" s="362">
        <f t="shared" si="102"/>
        <v>86</v>
      </c>
      <c r="C87" s="61"/>
      <c r="D87" s="61"/>
      <c r="E87" s="57"/>
      <c r="F87" s="57"/>
      <c r="G87" s="57"/>
      <c r="H87" s="57"/>
      <c r="I87" s="57"/>
      <c r="J87" s="57"/>
      <c r="K87" s="57"/>
      <c r="L87" s="57"/>
      <c r="M87" s="57"/>
      <c r="N87" s="57"/>
      <c r="O87" s="57"/>
      <c r="P87" s="57"/>
      <c r="Q87" s="57"/>
      <c r="R87" s="57"/>
      <c r="S87" s="57"/>
      <c r="T87" s="57"/>
      <c r="U87" s="57"/>
      <c r="V87" s="57"/>
      <c r="W87" s="57"/>
      <c r="X87" s="57"/>
      <c r="Y87" s="57"/>
      <c r="Z87" s="57"/>
      <c r="AA87" s="57"/>
      <c r="AB87" s="57"/>
      <c r="AC87" s="94"/>
      <c r="AD87" s="57"/>
      <c r="AE87" s="40"/>
      <c r="AF87" s="57"/>
      <c r="AG87" s="57"/>
      <c r="AH87" s="57"/>
      <c r="AI87" s="57"/>
      <c r="AK87" s="59"/>
      <c r="AL87" s="59"/>
      <c r="AM87" s="59"/>
      <c r="AN87" s="59"/>
      <c r="AO87" s="60"/>
      <c r="AP87" s="60"/>
      <c r="AQ87" s="60"/>
      <c r="AR87" s="60"/>
      <c r="AT87" s="1260" t="s">
        <v>1656</v>
      </c>
      <c r="AU87" s="1190">
        <f>HLOOKUP(AU$64,$B$2:$AI$125,$B119,0)</f>
        <v>641.89999999999964</v>
      </c>
      <c r="AV87" s="1190">
        <f>HLOOKUP(AV$64,$B$2:$AI$125,$B119,0)</f>
        <v>141</v>
      </c>
      <c r="AW87" s="1191">
        <f t="shared" ref="AW87:AW88" si="110">IFERROR(AU87/AV87-1," ")</f>
        <v>3.5524822695035434</v>
      </c>
      <c r="AX87" s="1190">
        <f>HLOOKUP(AX$64,$B$2:$AI$125,$B119,0)</f>
        <v>327</v>
      </c>
      <c r="AY87" s="1191">
        <f t="shared" ref="AY87:AY88" si="111">IFERROR(AU87/AX87-1," ")</f>
        <v>0.96299694189602336</v>
      </c>
      <c r="AZ87" s="1190">
        <f>HLOOKUP(AZ$1,$B$2:$AI$125,$B119,0)</f>
        <v>1417.5</v>
      </c>
      <c r="BA87" s="1190">
        <f>HLOOKUP(BA$1,$B$2:$AI$125,$B119,0)</f>
        <v>311</v>
      </c>
      <c r="BB87" s="1191">
        <f t="shared" ref="BB87:BB88" si="112">IFERROR(AZ87/BA87-1," ")</f>
        <v>3.557877813504823</v>
      </c>
    </row>
    <row r="88" spans="2:54" ht="12.6" customHeight="1" thickBot="1" x14ac:dyDescent="0.25">
      <c r="B88" s="362">
        <f t="shared" si="102"/>
        <v>87</v>
      </c>
      <c r="C88" s="61" t="s">
        <v>208</v>
      </c>
      <c r="D88" s="61"/>
      <c r="E88" s="57">
        <f t="shared" ref="E88:O88" si="113">E83-E85-E86</f>
        <v>0</v>
      </c>
      <c r="F88" s="57">
        <f t="shared" si="113"/>
        <v>0</v>
      </c>
      <c r="G88" s="57">
        <f t="shared" si="113"/>
        <v>0</v>
      </c>
      <c r="H88" s="57">
        <f t="shared" si="113"/>
        <v>0</v>
      </c>
      <c r="I88" s="57">
        <f t="shared" si="113"/>
        <v>2409.0000000000005</v>
      </c>
      <c r="J88" s="57">
        <f t="shared" si="113"/>
        <v>1670.4</v>
      </c>
      <c r="K88" s="57">
        <f t="shared" si="113"/>
        <v>1076.0999999999997</v>
      </c>
      <c r="L88" s="57">
        <f t="shared" si="113"/>
        <v>2954.3</v>
      </c>
      <c r="M88" s="57">
        <f t="shared" si="113"/>
        <v>4162.3000000000011</v>
      </c>
      <c r="N88" s="57">
        <f t="shared" si="113"/>
        <v>3281.6000000000004</v>
      </c>
      <c r="O88" s="57">
        <f t="shared" si="113"/>
        <v>3070.4999999999991</v>
      </c>
      <c r="P88" s="57">
        <f t="shared" ref="P88:X88" si="114">P83-P85-P86</f>
        <v>4173.6999999999989</v>
      </c>
      <c r="Q88" s="57">
        <f t="shared" si="114"/>
        <v>3916.400000000001</v>
      </c>
      <c r="R88" s="57">
        <f t="shared" si="114"/>
        <v>5539.4</v>
      </c>
      <c r="S88" s="57">
        <f t="shared" si="114"/>
        <v>2759.1000000000008</v>
      </c>
      <c r="T88" s="57">
        <f t="shared" si="114"/>
        <v>5813.5000000000009</v>
      </c>
      <c r="U88" s="57">
        <f t="shared" si="114"/>
        <v>4725.6000000000004</v>
      </c>
      <c r="V88" s="57">
        <f t="shared" si="114"/>
        <v>4632.9000000000005</v>
      </c>
      <c r="W88" s="57">
        <f t="shared" si="114"/>
        <v>4464.0999999999995</v>
      </c>
      <c r="X88" s="57">
        <f t="shared" si="114"/>
        <v>5703.0999999999995</v>
      </c>
      <c r="Y88" s="57">
        <f t="shared" ref="Y88:AB88" si="115">Y83-Y85-Y86</f>
        <v>0</v>
      </c>
      <c r="Z88" s="57">
        <f t="shared" si="115"/>
        <v>0</v>
      </c>
      <c r="AA88" s="57">
        <f t="shared" si="115"/>
        <v>0</v>
      </c>
      <c r="AB88" s="57">
        <f t="shared" si="115"/>
        <v>0</v>
      </c>
      <c r="AC88" s="94"/>
      <c r="AD88" s="57">
        <f>AD83-AD85-AD86</f>
        <v>4810.8343933106016</v>
      </c>
      <c r="AE88" s="71"/>
      <c r="AF88" s="57">
        <f>IF(AF$1="3M",I88,IF(AF$1="6M",SUM(I88:J88),IF(AF$1="9M",SUM(I88:K88),SUM(I88:L88))))</f>
        <v>8109.8</v>
      </c>
      <c r="AG88" s="57">
        <f>IF(AG$1="3M",M88,IF(AG$1="6M",SUM(M88:N88),IF(AG$1="9M",SUM(M88:O88),SUM(M88:P88))))</f>
        <v>14688.1</v>
      </c>
      <c r="AH88" s="57">
        <f>IF(AH$1="3M",Q88,IF(AH$1="6M",SUM(Q88:R88),IF(AH$1="9M",SUM(Q88:S88),SUM(Q88:T88))))</f>
        <v>18028.400000000001</v>
      </c>
      <c r="AI88" s="57">
        <f t="shared" ref="AI88:AI93" si="116">IF(AI$1="3M",U88,IF(AI$1="6M",SUM(U88:V88),IF(AI$1="9M",SUM(U88:W88),SUM(U88:X88))))</f>
        <v>19525.699999999997</v>
      </c>
      <c r="AK88" s="59">
        <f>AK83-AK85-AK86</f>
        <v>8109.9960000000019</v>
      </c>
      <c r="AL88" s="59">
        <f t="shared" ref="AL88:AR88" si="117">AL83-AL85</f>
        <v>14650.299999999994</v>
      </c>
      <c r="AM88" s="59">
        <f t="shared" si="117"/>
        <v>18028.399999999998</v>
      </c>
      <c r="AN88" s="59">
        <f t="shared" si="117"/>
        <v>19525.699999999997</v>
      </c>
      <c r="AO88" s="60">
        <f t="shared" ca="1" si="117"/>
        <v>21052.202880714176</v>
      </c>
      <c r="AP88" s="60">
        <f t="shared" ca="1" si="117"/>
        <v>30752.801171086037</v>
      </c>
      <c r="AQ88" s="60">
        <f t="shared" ca="1" si="117"/>
        <v>31506.154656363789</v>
      </c>
      <c r="AR88" s="60">
        <f t="shared" ca="1" si="117"/>
        <v>37065.278117345006</v>
      </c>
      <c r="AT88" s="1250" t="s">
        <v>1659</v>
      </c>
      <c r="AU88" s="1257">
        <f>SUM(AU86:AU87)</f>
        <v>7691.9</v>
      </c>
      <c r="AV88" s="1257">
        <f>SUM(AV86:AV87)</f>
        <v>6409.2000000000016</v>
      </c>
      <c r="AW88" s="1191">
        <f t="shared" si="110"/>
        <v>0.20013418211321188</v>
      </c>
      <c r="AX88" s="1257">
        <f>SUM(AX86:AX87)</f>
        <v>6437</v>
      </c>
      <c r="AY88" s="1191">
        <f t="shared" si="111"/>
        <v>0.19495106416032315</v>
      </c>
      <c r="AZ88" s="1257">
        <f>SUM(AZ86:AZ87)</f>
        <v>26037.3</v>
      </c>
      <c r="BA88" s="1257">
        <f>SUM(BA86:BA87)</f>
        <v>22621.800000000007</v>
      </c>
      <c r="BB88" s="1191">
        <f t="shared" si="112"/>
        <v>0.15098268042330809</v>
      </c>
    </row>
    <row r="89" spans="2:54" ht="12.6" customHeight="1" thickBot="1" x14ac:dyDescent="0.25">
      <c r="B89" s="362">
        <f t="shared" si="102"/>
        <v>88</v>
      </c>
      <c r="C89" s="61" t="s">
        <v>209</v>
      </c>
      <c r="D89" s="61"/>
      <c r="E89" s="57"/>
      <c r="F89" s="57"/>
      <c r="G89" s="57"/>
      <c r="H89" s="57"/>
      <c r="I89" s="57"/>
      <c r="J89" s="57"/>
      <c r="K89" s="57"/>
      <c r="L89" s="57"/>
      <c r="M89" s="57"/>
      <c r="N89" s="57"/>
      <c r="O89" s="57"/>
      <c r="P89" s="57"/>
      <c r="Q89" s="57"/>
      <c r="R89" s="57"/>
      <c r="S89" s="57"/>
      <c r="T89" s="57"/>
      <c r="U89" s="57"/>
      <c r="V89" s="57"/>
      <c r="W89" s="57">
        <v>72.400000000000006</v>
      </c>
      <c r="X89" s="57">
        <v>724.9</v>
      </c>
      <c r="Y89" s="57"/>
      <c r="Z89" s="57"/>
      <c r="AA89" s="57"/>
      <c r="AB89" s="57"/>
      <c r="AC89" s="94"/>
      <c r="AD89" s="57"/>
      <c r="AE89" s="71"/>
      <c r="AF89" s="57">
        <f>IF(AF$1="3M",I89,IF(AF$1="6M",SUM(I89:J89),IF(AF$1="9M",SUM(I89:K89),SUM(I89:L89))))</f>
        <v>0</v>
      </c>
      <c r="AG89" s="57">
        <f>IF(AG$1="3M",M89,IF(AG$1="6M",SUM(M89:N89),IF(AG$1="9M",SUM(M89:O89),SUM(M89:P89))))</f>
        <v>0</v>
      </c>
      <c r="AH89" s="57">
        <f>IF(AH$1="3M",Q89,IF(AH$1="6M",SUM(Q89:R89),IF(AH$1="9M",SUM(Q89:S89),SUM(Q89:T89))))</f>
        <v>0</v>
      </c>
      <c r="AI89" s="57">
        <f t="shared" si="116"/>
        <v>797.3</v>
      </c>
      <c r="AK89" s="57">
        <f>Consol!L33</f>
        <v>0</v>
      </c>
      <c r="AL89" s="57">
        <f>Consol!M33</f>
        <v>0</v>
      </c>
      <c r="AM89" s="57">
        <f>Consol!N33</f>
        <v>0</v>
      </c>
      <c r="AN89" s="57">
        <f>Consol!O33</f>
        <v>797.3</v>
      </c>
      <c r="AO89" s="68">
        <f>Consol!P33</f>
        <v>0</v>
      </c>
      <c r="AP89" s="68">
        <f>Consol!Q33</f>
        <v>0</v>
      </c>
      <c r="AQ89" s="68">
        <f>Consol!R33</f>
        <v>0</v>
      </c>
      <c r="AR89" s="68">
        <f>Consol!S33</f>
        <v>0</v>
      </c>
      <c r="AT89" s="1260"/>
      <c r="AU89" s="1261"/>
      <c r="AV89" s="1261"/>
      <c r="AW89" s="1262"/>
      <c r="AX89" s="1261"/>
      <c r="AY89" s="1262"/>
      <c r="AZ89" s="1261"/>
      <c r="BA89" s="1261"/>
      <c r="BB89" s="1262"/>
    </row>
    <row r="90" spans="2:54" ht="12.6" customHeight="1" thickBot="1" x14ac:dyDescent="0.25">
      <c r="B90" s="362">
        <f t="shared" si="102"/>
        <v>89</v>
      </c>
      <c r="C90" s="56"/>
      <c r="D90" s="56"/>
      <c r="E90" s="57"/>
      <c r="F90" s="57"/>
      <c r="G90" s="57"/>
      <c r="H90" s="57"/>
      <c r="I90" s="57"/>
      <c r="J90" s="57"/>
      <c r="K90" s="57"/>
      <c r="L90" s="57"/>
      <c r="M90" s="57"/>
      <c r="N90" s="57"/>
      <c r="O90" s="57"/>
      <c r="P90" s="57"/>
      <c r="Q90" s="57"/>
      <c r="R90" s="57"/>
      <c r="S90" s="57"/>
      <c r="T90" s="57"/>
      <c r="U90" s="57"/>
      <c r="V90" s="57"/>
      <c r="W90" s="57"/>
      <c r="X90" s="57"/>
      <c r="Y90" s="57"/>
      <c r="Z90" s="57"/>
      <c r="AA90" s="57"/>
      <c r="AB90" s="57"/>
      <c r="AC90" s="94"/>
      <c r="AD90" s="57"/>
      <c r="AE90" s="40"/>
      <c r="AF90" s="57"/>
      <c r="AG90" s="57"/>
      <c r="AH90" s="57"/>
      <c r="AI90" s="57"/>
      <c r="AK90" s="57"/>
      <c r="AL90" s="57"/>
      <c r="AM90" s="57"/>
      <c r="AN90" s="57"/>
      <c r="AO90" s="68"/>
      <c r="AP90" s="68"/>
      <c r="AQ90" s="68"/>
      <c r="AR90" s="68"/>
      <c r="AT90" s="1263" t="s">
        <v>892</v>
      </c>
      <c r="AU90" s="1264"/>
      <c r="AV90" s="1264"/>
      <c r="AW90" s="1265"/>
      <c r="AX90" s="1264"/>
      <c r="AY90" s="1265"/>
      <c r="AZ90" s="1264"/>
      <c r="BA90" s="1264"/>
      <c r="BB90" s="1265"/>
    </row>
    <row r="91" spans="2:54" ht="12.6" customHeight="1" thickBot="1" x14ac:dyDescent="0.25">
      <c r="B91" s="362">
        <f t="shared" si="102"/>
        <v>90</v>
      </c>
      <c r="C91" s="95" t="s">
        <v>40</v>
      </c>
      <c r="D91" s="95"/>
      <c r="E91" s="63">
        <f t="shared" ref="E91:AD91" si="118">E88-E89</f>
        <v>0</v>
      </c>
      <c r="F91" s="63">
        <f t="shared" si="118"/>
        <v>0</v>
      </c>
      <c r="G91" s="63">
        <f t="shared" si="118"/>
        <v>0</v>
      </c>
      <c r="H91" s="63">
        <f t="shared" si="118"/>
        <v>0</v>
      </c>
      <c r="I91" s="63">
        <f t="shared" si="118"/>
        <v>2409.0000000000005</v>
      </c>
      <c r="J91" s="63">
        <f t="shared" si="118"/>
        <v>1670.4</v>
      </c>
      <c r="K91" s="63">
        <f t="shared" si="118"/>
        <v>1076.0999999999997</v>
      </c>
      <c r="L91" s="63">
        <f t="shared" si="118"/>
        <v>2954.3</v>
      </c>
      <c r="M91" s="63">
        <f t="shared" si="118"/>
        <v>4162.3000000000011</v>
      </c>
      <c r="N91" s="63">
        <f t="shared" si="118"/>
        <v>3281.6000000000004</v>
      </c>
      <c r="O91" s="63">
        <f>O88-O89</f>
        <v>3070.4999999999991</v>
      </c>
      <c r="P91" s="63">
        <f t="shared" si="118"/>
        <v>4173.6999999999989</v>
      </c>
      <c r="Q91" s="63">
        <f t="shared" si="118"/>
        <v>3916.400000000001</v>
      </c>
      <c r="R91" s="63">
        <f t="shared" si="118"/>
        <v>5539.4</v>
      </c>
      <c r="S91" s="63">
        <f t="shared" si="118"/>
        <v>2759.1000000000008</v>
      </c>
      <c r="T91" s="63">
        <f t="shared" si="118"/>
        <v>5813.5000000000009</v>
      </c>
      <c r="U91" s="63">
        <f>U88-U89</f>
        <v>4725.6000000000004</v>
      </c>
      <c r="V91" s="63">
        <f>V88-V89</f>
        <v>4632.9000000000005</v>
      </c>
      <c r="W91" s="63">
        <f>W88-W89</f>
        <v>4391.7</v>
      </c>
      <c r="X91" s="63">
        <f>X88-X89</f>
        <v>4978.2</v>
      </c>
      <c r="Y91" s="63">
        <f>Y88-Y89</f>
        <v>0</v>
      </c>
      <c r="Z91" s="63">
        <f t="shared" ref="Z91:AB91" si="119">Z88-Z89</f>
        <v>0</v>
      </c>
      <c r="AA91" s="63">
        <f t="shared" si="119"/>
        <v>0</v>
      </c>
      <c r="AB91" s="63">
        <f t="shared" si="119"/>
        <v>0</v>
      </c>
      <c r="AC91" s="94"/>
      <c r="AD91" s="63">
        <f t="shared" si="118"/>
        <v>4810.8343933106016</v>
      </c>
      <c r="AE91" s="42"/>
      <c r="AF91" s="63">
        <f>IF(AF$1="3M",I91,IF(AF$1="6M",SUM(I91:J91),IF(AF$1="9M",SUM(I91:K91),SUM(I91:L91))))</f>
        <v>8109.8</v>
      </c>
      <c r="AG91" s="63">
        <f>IF(AG$1="3M",M91,IF(AG$1="6M",SUM(M91:N91),IF(AG$1="9M",SUM(M91:O91),SUM(M91:P91))))</f>
        <v>14688.1</v>
      </c>
      <c r="AH91" s="63">
        <f>IF(AH$1="3M",Q91,IF(AH$1="6M",SUM(Q91:R91),IF(AH$1="9M",SUM(Q91:S91),SUM(Q91:T91))))</f>
        <v>18028.400000000001</v>
      </c>
      <c r="AI91" s="63">
        <f t="shared" si="116"/>
        <v>18728.400000000001</v>
      </c>
      <c r="AK91" s="72">
        <f t="shared" ref="AK91:AR91" si="120">AK88-AK89</f>
        <v>8109.9960000000019</v>
      </c>
      <c r="AL91" s="72">
        <f t="shared" si="120"/>
        <v>14650.299999999994</v>
      </c>
      <c r="AM91" s="72">
        <f t="shared" si="120"/>
        <v>18028.399999999998</v>
      </c>
      <c r="AN91" s="72">
        <f t="shared" si="120"/>
        <v>18728.399999999998</v>
      </c>
      <c r="AO91" s="73">
        <f t="shared" ca="1" si="120"/>
        <v>21052.202880714176</v>
      </c>
      <c r="AP91" s="73">
        <f t="shared" ca="1" si="120"/>
        <v>30752.801171086037</v>
      </c>
      <c r="AQ91" s="73">
        <f t="shared" ca="1" si="120"/>
        <v>31506.154656363789</v>
      </c>
      <c r="AR91" s="73">
        <f t="shared" ca="1" si="120"/>
        <v>37065.278117345006</v>
      </c>
      <c r="AT91" s="1266" t="s">
        <v>1001</v>
      </c>
      <c r="AU91" s="1267">
        <f>+AU86/AU82</f>
        <v>0.54461181923522595</v>
      </c>
      <c r="AV91" s="1267">
        <f>+AV86/AV82</f>
        <v>0.54398708635996784</v>
      </c>
      <c r="AW91" s="1268"/>
      <c r="AX91" s="1267">
        <f>+AX86/AX82</f>
        <v>0.52499978518830392</v>
      </c>
      <c r="AY91" s="1268"/>
      <c r="AZ91" s="1267">
        <f>+AZ86/AZ82</f>
        <v>0.52981013189409731</v>
      </c>
      <c r="BA91" s="1267">
        <f>+BA86/BA82</f>
        <v>0.52789010058181773</v>
      </c>
      <c r="BB91" s="1268"/>
    </row>
    <row r="92" spans="2:54" ht="12.6" customHeight="1" thickBot="1" x14ac:dyDescent="0.25">
      <c r="B92" s="362">
        <f t="shared" si="102"/>
        <v>91</v>
      </c>
      <c r="C92" s="56"/>
      <c r="D92" s="56"/>
      <c r="E92" s="57"/>
      <c r="F92" s="57"/>
      <c r="G92" s="57"/>
      <c r="H92" s="57"/>
      <c r="I92" s="57"/>
      <c r="J92" s="57"/>
      <c r="K92" s="57"/>
      <c r="L92" s="57"/>
      <c r="M92" s="57"/>
      <c r="N92" s="57"/>
      <c r="O92" s="57"/>
      <c r="P92" s="57"/>
      <c r="Q92" s="361"/>
      <c r="R92" s="57"/>
      <c r="S92" s="57"/>
      <c r="T92" s="57"/>
      <c r="U92" s="57"/>
      <c r="V92" s="57"/>
      <c r="W92" s="57"/>
      <c r="X92" s="57"/>
      <c r="Y92" s="57"/>
      <c r="Z92" s="57"/>
      <c r="AA92" s="57"/>
      <c r="AB92" s="57"/>
      <c r="AC92" s="94"/>
      <c r="AD92" s="57"/>
      <c r="AE92" s="40"/>
      <c r="AF92" s="57"/>
      <c r="AG92" s="57"/>
      <c r="AH92" s="57"/>
      <c r="AI92" s="57"/>
      <c r="AK92" s="59"/>
      <c r="AL92" s="59"/>
      <c r="AM92" s="59"/>
      <c r="AN92" s="59"/>
      <c r="AO92" s="60"/>
      <c r="AP92" s="60"/>
      <c r="AQ92" s="60"/>
      <c r="AR92" s="60"/>
      <c r="AT92" s="1263" t="s">
        <v>1656</v>
      </c>
      <c r="AU92" s="1267">
        <f t="shared" ref="AU92:AV93" si="121">+AU87/AU83</f>
        <v>0.28173279494382003</v>
      </c>
      <c r="AV92" s="1267">
        <f t="shared" si="121"/>
        <v>0.10770758536399054</v>
      </c>
      <c r="AW92" s="1265"/>
      <c r="AX92" s="1267">
        <f t="shared" ref="AX92" si="122">+AX87/AX83</f>
        <v>0.17594834543987087</v>
      </c>
      <c r="AY92" s="1265"/>
      <c r="AZ92" s="1267">
        <f t="shared" ref="AZ92:BA92" si="123">+AZ87/AZ83</f>
        <v>0.1983821533035702</v>
      </c>
      <c r="BA92" s="1267">
        <f t="shared" si="123"/>
        <v>0.12453449725703759</v>
      </c>
      <c r="BB92" s="1265"/>
    </row>
    <row r="93" spans="2:54" ht="12.6" customHeight="1" thickBot="1" x14ac:dyDescent="0.25">
      <c r="B93" s="362">
        <f t="shared" si="102"/>
        <v>92</v>
      </c>
      <c r="C93" s="61" t="s">
        <v>210</v>
      </c>
      <c r="D93" s="61"/>
      <c r="E93" s="57"/>
      <c r="F93" s="57"/>
      <c r="G93" s="57"/>
      <c r="H93" s="57"/>
      <c r="I93" s="59">
        <v>483.5</v>
      </c>
      <c r="J93" s="57">
        <v>287.5</v>
      </c>
      <c r="K93" s="57">
        <v>-87.7</v>
      </c>
      <c r="L93" s="57">
        <v>-68.3</v>
      </c>
      <c r="M93" s="59">
        <v>902.90000000000009</v>
      </c>
      <c r="N93" s="57">
        <v>722.9</v>
      </c>
      <c r="O93" s="57">
        <v>534.79999999999995</v>
      </c>
      <c r="P93" s="57">
        <v>882.9</v>
      </c>
      <c r="Q93" s="57">
        <f>950.9</f>
        <v>950.9</v>
      </c>
      <c r="R93" s="57">
        <f>1802.1</f>
        <v>1802.1</v>
      </c>
      <c r="S93" s="57">
        <v>-597.1</v>
      </c>
      <c r="T93" s="57">
        <v>657.7</v>
      </c>
      <c r="U93" s="57">
        <v>829.9</v>
      </c>
      <c r="V93" s="57">
        <v>944.8</v>
      </c>
      <c r="W93" s="57">
        <v>743.2</v>
      </c>
      <c r="X93" s="57">
        <v>741.5</v>
      </c>
      <c r="Y93" s="57"/>
      <c r="Z93" s="57"/>
      <c r="AA93" s="57"/>
      <c r="AB93" s="57"/>
      <c r="AC93" s="62"/>
      <c r="AD93" s="57">
        <f>AD91*AD94</f>
        <v>865.95019079590827</v>
      </c>
      <c r="AE93" s="40"/>
      <c r="AF93" s="57">
        <f>IF(AF$1="3M",I93,IF(AF$1="6M",SUM(I93:J93),IF(AF$1="9M",SUM(I93:K93),SUM(I93:L93))))</f>
        <v>615</v>
      </c>
      <c r="AG93" s="57">
        <f>IF(AG$1="3M",M93,IF(AG$1="6M",SUM(M93:N93),IF(AG$1="9M",SUM(M93:O93),SUM(M93:P93))))</f>
        <v>3043.5000000000005</v>
      </c>
      <c r="AH93" s="57">
        <f>IF(AH$1="3M",Q93,IF(AH$1="6M",SUM(Q93:R93),IF(AH$1="9M",SUM(Q93:S93),SUM(Q93:T93))))</f>
        <v>2813.6000000000004</v>
      </c>
      <c r="AI93" s="57">
        <f t="shared" si="116"/>
        <v>3259.3999999999996</v>
      </c>
      <c r="AK93" s="59">
        <f>Consol!L41</f>
        <v>614.79</v>
      </c>
      <c r="AL93" s="59">
        <f>Consol!M41</f>
        <v>3043.4</v>
      </c>
      <c r="AM93" s="59">
        <f>Consol!N41</f>
        <v>2813.6000000000004</v>
      </c>
      <c r="AN93" s="59">
        <f>Consol!O41</f>
        <v>3259.3999999999996</v>
      </c>
      <c r="AO93" s="60">
        <f ca="1">Consol!P41</f>
        <v>4631.4846337571189</v>
      </c>
      <c r="AP93" s="60">
        <f ca="1">Consol!Q41</f>
        <v>6765.6162576389279</v>
      </c>
      <c r="AQ93" s="60">
        <f ca="1">Consol!R41</f>
        <v>6301.2309312727584</v>
      </c>
      <c r="AR93" s="60">
        <f ca="1">Consol!S41</f>
        <v>8154.3611858159011</v>
      </c>
      <c r="AT93" s="1263" t="s">
        <v>1659</v>
      </c>
      <c r="AU93" s="1267">
        <f t="shared" si="121"/>
        <v>0.50526820552570384</v>
      </c>
      <c r="AV93" s="1267">
        <f t="shared" si="121"/>
        <v>0.49947785969232694</v>
      </c>
      <c r="AW93" s="1265"/>
      <c r="AX93" s="1267">
        <f t="shared" ref="AX93" si="124">+AX88/AX84</f>
        <v>0.47693493176059154</v>
      </c>
      <c r="AY93" s="1265"/>
      <c r="AZ93" s="1267">
        <f t="shared" ref="AZ93:BA93" si="125">+AZ88/AZ84</f>
        <v>0.48564005192634818</v>
      </c>
      <c r="BA93" s="1267">
        <f t="shared" si="125"/>
        <v>0.50538633733529337</v>
      </c>
      <c r="BB93" s="1265"/>
    </row>
    <row r="94" spans="2:54" ht="12.6" customHeight="1" x14ac:dyDescent="0.2">
      <c r="B94" s="362">
        <f t="shared" si="102"/>
        <v>93</v>
      </c>
      <c r="C94" s="96"/>
      <c r="D94" s="96"/>
      <c r="E94" s="91" t="e">
        <f t="shared" ref="E94:T94" si="126">E93/E91</f>
        <v>#DIV/0!</v>
      </c>
      <c r="F94" s="91" t="e">
        <f t="shared" si="126"/>
        <v>#DIV/0!</v>
      </c>
      <c r="G94" s="91" t="e">
        <f t="shared" si="126"/>
        <v>#DIV/0!</v>
      </c>
      <c r="H94" s="91" t="e">
        <f t="shared" si="126"/>
        <v>#DIV/0!</v>
      </c>
      <c r="I94" s="91">
        <f t="shared" si="126"/>
        <v>0.20070568700705682</v>
      </c>
      <c r="J94" s="91">
        <f t="shared" si="126"/>
        <v>0.17211446360153257</v>
      </c>
      <c r="K94" s="91">
        <f t="shared" si="126"/>
        <v>-8.149800204441969E-2</v>
      </c>
      <c r="L94" s="91">
        <f t="shared" si="126"/>
        <v>-2.3118843719324371E-2</v>
      </c>
      <c r="M94" s="91">
        <f t="shared" si="126"/>
        <v>0.21692333565576721</v>
      </c>
      <c r="N94" s="91">
        <f t="shared" si="126"/>
        <v>0.22028888347147729</v>
      </c>
      <c r="O94" s="91">
        <f>O93/O91</f>
        <v>0.1741735873636216</v>
      </c>
      <c r="P94" s="91">
        <f t="shared" si="126"/>
        <v>0.21153892229915908</v>
      </c>
      <c r="Q94" s="91">
        <f t="shared" si="126"/>
        <v>0.2427995097538555</v>
      </c>
      <c r="R94" s="91">
        <f t="shared" si="126"/>
        <v>0.32532404231505219</v>
      </c>
      <c r="S94" s="91">
        <f t="shared" si="126"/>
        <v>-0.21641114856293714</v>
      </c>
      <c r="T94" s="91">
        <f t="shared" si="126"/>
        <v>0.11313322439150253</v>
      </c>
      <c r="U94" s="91">
        <f>U93/U91</f>
        <v>0.17561791095310647</v>
      </c>
      <c r="V94" s="91">
        <f>V93/V91</f>
        <v>0.20393274191111396</v>
      </c>
      <c r="W94" s="91">
        <f>W93/W91</f>
        <v>0.16922831705262201</v>
      </c>
      <c r="X94" s="91">
        <f>X93/X91</f>
        <v>0.14894941946888435</v>
      </c>
      <c r="Y94" s="91" t="e">
        <f>Y93/Y91</f>
        <v>#DIV/0!</v>
      </c>
      <c r="Z94" s="91" t="e">
        <f t="shared" ref="Z94:AB94" si="127">Z93/Z91</f>
        <v>#DIV/0!</v>
      </c>
      <c r="AA94" s="91" t="e">
        <f t="shared" si="127"/>
        <v>#DIV/0!</v>
      </c>
      <c r="AB94" s="91" t="e">
        <f t="shared" si="127"/>
        <v>#DIV/0!</v>
      </c>
      <c r="AC94" s="94"/>
      <c r="AD94" s="818">
        <v>0.18</v>
      </c>
      <c r="AE94" s="90"/>
      <c r="AF94" s="83">
        <f>IFERROR(AF93/AF91,"NA")</f>
        <v>7.583417593528817E-2</v>
      </c>
      <c r="AG94" s="91">
        <f>IFERROR(AG93/AG91,"NA")</f>
        <v>0.20720855658662457</v>
      </c>
      <c r="AH94" s="91">
        <f>IFERROR(AH93/AH91,"NA")</f>
        <v>0.15606487541878369</v>
      </c>
      <c r="AI94" s="91">
        <f>IFERROR(AI93/AI91,"NA")</f>
        <v>0.1740351551654172</v>
      </c>
      <c r="AK94" s="59"/>
      <c r="AL94" s="92">
        <f t="shared" ref="AL94:AM94" si="128">(AL93/AK93-1)</f>
        <v>3.9503082353323906</v>
      </c>
      <c r="AM94" s="92">
        <f t="shared" si="128"/>
        <v>-7.5507655911151939E-2</v>
      </c>
      <c r="AN94" s="92">
        <f>AN93/AN91</f>
        <v>0.17403515516541723</v>
      </c>
      <c r="AO94" s="825">
        <f t="shared" ref="AO94:AR94" ca="1" si="129">AO93/AO91</f>
        <v>0.22</v>
      </c>
      <c r="AP94" s="825">
        <f t="shared" ca="1" si="129"/>
        <v>0.22</v>
      </c>
      <c r="AQ94" s="825">
        <f t="shared" ca="1" si="129"/>
        <v>0.2</v>
      </c>
      <c r="AR94" s="825">
        <f t="shared" ca="1" si="129"/>
        <v>0.22</v>
      </c>
    </row>
    <row r="95" spans="2:54" ht="12.6" customHeight="1" x14ac:dyDescent="0.2">
      <c r="B95" s="362">
        <f t="shared" si="102"/>
        <v>94</v>
      </c>
      <c r="C95" s="56"/>
      <c r="D95" s="56"/>
      <c r="E95" s="57"/>
      <c r="F95" s="57"/>
      <c r="G95" s="57"/>
      <c r="H95" s="57"/>
      <c r="I95" s="57"/>
      <c r="J95" s="57"/>
      <c r="K95" s="57"/>
      <c r="L95" s="57"/>
      <c r="M95" s="57"/>
      <c r="N95" s="57"/>
      <c r="O95" s="57"/>
      <c r="P95" s="57"/>
      <c r="Q95" s="57"/>
      <c r="R95" s="57"/>
      <c r="S95" s="57"/>
      <c r="T95" s="57"/>
      <c r="U95" s="57"/>
      <c r="V95" s="57"/>
      <c r="W95" s="57"/>
      <c r="X95" s="57"/>
      <c r="Y95" s="57"/>
      <c r="Z95" s="57"/>
      <c r="AA95" s="57"/>
      <c r="AB95" s="57"/>
      <c r="AC95" s="94"/>
      <c r="AD95" s="57"/>
      <c r="AE95" s="102"/>
      <c r="AF95" s="85"/>
      <c r="AG95" s="101"/>
      <c r="AH95" s="101"/>
      <c r="AI95" s="101"/>
      <c r="AK95" s="59"/>
      <c r="AL95" s="59"/>
      <c r="AM95" s="59"/>
      <c r="AN95" s="59"/>
      <c r="AO95" s="60"/>
      <c r="AP95" s="60"/>
      <c r="AQ95" s="60"/>
      <c r="AR95" s="60"/>
    </row>
    <row r="96" spans="2:54" ht="12.6" customHeight="1" x14ac:dyDescent="0.2">
      <c r="B96" s="362">
        <f t="shared" si="102"/>
        <v>95</v>
      </c>
      <c r="C96" s="95" t="s">
        <v>47</v>
      </c>
      <c r="D96" s="95"/>
      <c r="E96" s="63">
        <f t="shared" ref="E96:T96" si="130">E91-E93</f>
        <v>0</v>
      </c>
      <c r="F96" s="63">
        <f t="shared" si="130"/>
        <v>0</v>
      </c>
      <c r="G96" s="63">
        <f t="shared" si="130"/>
        <v>0</v>
      </c>
      <c r="H96" s="63">
        <f t="shared" si="130"/>
        <v>0</v>
      </c>
      <c r="I96" s="63">
        <f t="shared" si="130"/>
        <v>1925.5000000000005</v>
      </c>
      <c r="J96" s="63">
        <f t="shared" si="130"/>
        <v>1382.9</v>
      </c>
      <c r="K96" s="63">
        <f t="shared" si="130"/>
        <v>1163.7999999999997</v>
      </c>
      <c r="L96" s="63">
        <f t="shared" si="130"/>
        <v>3022.6000000000004</v>
      </c>
      <c r="M96" s="63">
        <f t="shared" si="130"/>
        <v>3259.400000000001</v>
      </c>
      <c r="N96" s="63">
        <f t="shared" si="130"/>
        <v>2558.7000000000003</v>
      </c>
      <c r="O96" s="63">
        <f>O91-O93</f>
        <v>2535.6999999999989</v>
      </c>
      <c r="P96" s="63">
        <f t="shared" si="130"/>
        <v>3290.7999999999988</v>
      </c>
      <c r="Q96" s="63">
        <f t="shared" si="130"/>
        <v>2965.5000000000009</v>
      </c>
      <c r="R96" s="63">
        <f t="shared" si="130"/>
        <v>3737.2999999999997</v>
      </c>
      <c r="S96" s="63">
        <f t="shared" si="130"/>
        <v>3356.2000000000007</v>
      </c>
      <c r="T96" s="63">
        <f t="shared" si="130"/>
        <v>5155.8000000000011</v>
      </c>
      <c r="U96" s="63">
        <f>U91-U93</f>
        <v>3895.7000000000003</v>
      </c>
      <c r="V96" s="63">
        <f>V91-V93</f>
        <v>3688.1000000000004</v>
      </c>
      <c r="W96" s="63">
        <f>W91-W93</f>
        <v>3648.5</v>
      </c>
      <c r="X96" s="63">
        <f>X91-X93</f>
        <v>4236.7</v>
      </c>
      <c r="Y96" s="63">
        <f>Y91-Y93</f>
        <v>0</v>
      </c>
      <c r="Z96" s="63">
        <f t="shared" ref="Z96:AB96" si="131">Z91-Z93</f>
        <v>0</v>
      </c>
      <c r="AA96" s="63">
        <f t="shared" si="131"/>
        <v>0</v>
      </c>
      <c r="AB96" s="63">
        <f t="shared" si="131"/>
        <v>0</v>
      </c>
      <c r="AC96" s="1171"/>
      <c r="AD96" s="63">
        <f>AD91-AD93</f>
        <v>3944.8842025146932</v>
      </c>
      <c r="AE96" s="42"/>
      <c r="AF96" s="63">
        <f>IF(AF$1="3M",I96,IF(AF$1="6M",SUM(I96:J96),IF(AF$1="9M",SUM(I96:K96),SUM(I96:L96))))</f>
        <v>7494.8000000000011</v>
      </c>
      <c r="AG96" s="63">
        <f>IF(AG$1="3M",M96,IF(AG$1="6M",SUM(M96:N96),IF(AG$1="9M",SUM(M96:O96),SUM(M96:P96))))</f>
        <v>11644.599999999999</v>
      </c>
      <c r="AH96" s="63">
        <f>IF(AH$1="3M",Q96,IF(AH$1="6M",SUM(Q96:R96),IF(AH$1="9M",SUM(Q96:S96),SUM(Q96:T96))))</f>
        <v>15214.800000000003</v>
      </c>
      <c r="AI96" s="63">
        <f>IF(AI$1="3M",U96,IF(AI$1="6M",SUM(U96:V96),IF(AI$1="9M",SUM(U96:W96),SUM(U96:X96))))</f>
        <v>15469</v>
      </c>
      <c r="AK96" s="72">
        <f t="shared" ref="AK96:AR96" si="132">AK91-AK93</f>
        <v>7495.2060000000019</v>
      </c>
      <c r="AL96" s="72">
        <f t="shared" si="132"/>
        <v>11606.899999999994</v>
      </c>
      <c r="AM96" s="72">
        <f t="shared" si="132"/>
        <v>15214.799999999997</v>
      </c>
      <c r="AN96" s="72">
        <f t="shared" si="132"/>
        <v>15468.999999999998</v>
      </c>
      <c r="AO96" s="73">
        <f t="shared" ca="1" si="132"/>
        <v>16420.718246957058</v>
      </c>
      <c r="AP96" s="73">
        <f t="shared" ca="1" si="132"/>
        <v>23987.184913447109</v>
      </c>
      <c r="AQ96" s="73">
        <f t="shared" ca="1" si="132"/>
        <v>25204.92372509103</v>
      </c>
      <c r="AR96" s="73">
        <f t="shared" ca="1" si="132"/>
        <v>28910.916931529104</v>
      </c>
    </row>
    <row r="97" spans="2:48" ht="12.6" customHeight="1" x14ac:dyDescent="0.2">
      <c r="B97" s="362">
        <f t="shared" si="102"/>
        <v>96</v>
      </c>
      <c r="C97" s="61" t="s">
        <v>229</v>
      </c>
      <c r="D97" s="95"/>
      <c r="E97" s="57"/>
      <c r="F97" s="57"/>
      <c r="G97" s="57"/>
      <c r="H97" s="57"/>
      <c r="I97" s="59">
        <v>27.299999999999997</v>
      </c>
      <c r="J97" s="57">
        <v>36.5</v>
      </c>
      <c r="K97" s="57">
        <v>14.9</v>
      </c>
      <c r="L97" s="57">
        <v>18.2</v>
      </c>
      <c r="M97" s="59">
        <v>13.200000000000003</v>
      </c>
      <c r="N97" s="57">
        <v>14.7</v>
      </c>
      <c r="O97" s="57">
        <v>29.1</v>
      </c>
      <c r="P97" s="57">
        <v>-9.3000000000000007</v>
      </c>
      <c r="Q97" s="57">
        <v>41.1</v>
      </c>
      <c r="R97" s="57">
        <v>22.2</v>
      </c>
      <c r="S97" s="57">
        <v>58.6</v>
      </c>
      <c r="T97" s="57">
        <v>62.1</v>
      </c>
      <c r="U97" s="57">
        <v>48.9</v>
      </c>
      <c r="V97" s="57">
        <v>75.7</v>
      </c>
      <c r="W97" s="57">
        <v>57.5</v>
      </c>
      <c r="X97" s="57">
        <v>53.8</v>
      </c>
      <c r="Y97" s="57"/>
      <c r="Z97" s="57"/>
      <c r="AA97" s="57"/>
      <c r="AB97" s="57"/>
      <c r="AC97" s="94"/>
      <c r="AD97" s="57">
        <f>AVERAGE(W97:X97)</f>
        <v>55.65</v>
      </c>
      <c r="AE97" s="42"/>
      <c r="AF97" s="57">
        <f>IF(AF$1="3M",I97,IF(AF$1="6M",SUM(I97:J97),IF(AF$1="9M",SUM(I97:K97),SUM(I97:L97))))</f>
        <v>96.9</v>
      </c>
      <c r="AG97" s="57">
        <f>IF(AG$1="3M",M97,IF(AG$1="6M",SUM(M97:N97),IF(AG$1="9M",SUM(M97:O97),SUM(M97:P97))))</f>
        <v>47.7</v>
      </c>
      <c r="AH97" s="57">
        <f>IF(AH$1="3M",Q97,IF(AH$1="6M",SUM(Q97:R97),IF(AH$1="9M",SUM(Q97:S97),SUM(Q97:T97))))</f>
        <v>184</v>
      </c>
      <c r="AI97" s="57">
        <f>IF(AI$1="3M",U97,IF(AI$1="6M",SUM(U97:V97),IF(AI$1="9M",SUM(U97:W97),SUM(U97:X97))))</f>
        <v>235.89999999999998</v>
      </c>
      <c r="AK97" s="59">
        <f>Consol!L46</f>
        <v>96.83</v>
      </c>
      <c r="AL97" s="59">
        <f>Consol!M46</f>
        <v>47.8</v>
      </c>
      <c r="AM97" s="59">
        <f>Consol!N46</f>
        <v>184</v>
      </c>
      <c r="AN97" s="59">
        <f>Consol!O46</f>
        <v>235.9</v>
      </c>
      <c r="AO97" s="60">
        <f ca="1">Consol!P46</f>
        <v>462.40862586672972</v>
      </c>
      <c r="AP97" s="60">
        <f ca="1">Consol!Q46</f>
        <v>598.62168119657849</v>
      </c>
      <c r="AQ97" s="60">
        <f ca="1">Consol!R46</f>
        <v>759.49835057634846</v>
      </c>
      <c r="AR97" s="60">
        <f ca="1">Consol!S46</f>
        <v>962.34259139450467</v>
      </c>
    </row>
    <row r="98" spans="2:48" ht="12.6" customHeight="1" x14ac:dyDescent="0.2">
      <c r="B98" s="362">
        <f t="shared" si="102"/>
        <v>97</v>
      </c>
      <c r="C98" s="95"/>
      <c r="D98" s="95"/>
      <c r="E98" s="63"/>
      <c r="F98" s="63"/>
      <c r="G98" s="63"/>
      <c r="H98" s="63"/>
      <c r="I98" s="63"/>
      <c r="J98" s="63"/>
      <c r="K98" s="63"/>
      <c r="L98" s="63"/>
      <c r="M98" s="63"/>
      <c r="N98" s="63"/>
      <c r="O98" s="63"/>
      <c r="P98" s="63"/>
      <c r="Q98" s="63"/>
      <c r="R98" s="63"/>
      <c r="S98" s="63"/>
      <c r="T98" s="63"/>
      <c r="U98" s="63"/>
      <c r="V98" s="63"/>
      <c r="W98" s="63"/>
      <c r="X98" s="63"/>
      <c r="Y98" s="63"/>
      <c r="Z98" s="63"/>
      <c r="AA98" s="63"/>
      <c r="AB98" s="63"/>
      <c r="AC98" s="94"/>
      <c r="AD98" s="63"/>
      <c r="AE98" s="42"/>
      <c r="AF98" s="63"/>
      <c r="AG98" s="63"/>
      <c r="AH98" s="63"/>
      <c r="AI98" s="63"/>
      <c r="AK98" s="72"/>
      <c r="AL98" s="72"/>
      <c r="AM98" s="72"/>
      <c r="AN98" s="72"/>
      <c r="AO98" s="73"/>
      <c r="AP98" s="73"/>
      <c r="AQ98" s="73"/>
      <c r="AR98" s="73"/>
    </row>
    <row r="99" spans="2:48" ht="12.6" customHeight="1" x14ac:dyDescent="0.2">
      <c r="B99" s="362">
        <f t="shared" si="102"/>
        <v>98</v>
      </c>
      <c r="C99" s="95" t="s">
        <v>50</v>
      </c>
      <c r="D99" s="95"/>
      <c r="E99" s="63">
        <f t="shared" ref="E99:N99" si="133">E96-E97</f>
        <v>0</v>
      </c>
      <c r="F99" s="63">
        <f t="shared" si="133"/>
        <v>0</v>
      </c>
      <c r="G99" s="63">
        <f t="shared" si="133"/>
        <v>0</v>
      </c>
      <c r="H99" s="63">
        <f t="shared" si="133"/>
        <v>0</v>
      </c>
      <c r="I99" s="63">
        <f t="shared" si="133"/>
        <v>1898.2000000000005</v>
      </c>
      <c r="J99" s="63">
        <f t="shared" si="133"/>
        <v>1346.4</v>
      </c>
      <c r="K99" s="63">
        <f t="shared" si="133"/>
        <v>1148.8999999999996</v>
      </c>
      <c r="L99" s="63">
        <f t="shared" si="133"/>
        <v>3004.4000000000005</v>
      </c>
      <c r="M99" s="63">
        <f t="shared" si="133"/>
        <v>3246.2000000000012</v>
      </c>
      <c r="N99" s="63">
        <f t="shared" si="133"/>
        <v>2544.0000000000005</v>
      </c>
      <c r="O99" s="63">
        <f t="shared" ref="O99:X99" si="134">O96-O97</f>
        <v>2506.599999999999</v>
      </c>
      <c r="P99" s="63">
        <f t="shared" si="134"/>
        <v>3300.099999999999</v>
      </c>
      <c r="Q99" s="63">
        <f t="shared" si="134"/>
        <v>2924.400000000001</v>
      </c>
      <c r="R99" s="63">
        <f t="shared" si="134"/>
        <v>3715.1</v>
      </c>
      <c r="S99" s="63">
        <f t="shared" si="134"/>
        <v>3297.6000000000008</v>
      </c>
      <c r="T99" s="63">
        <f t="shared" si="134"/>
        <v>5093.7000000000007</v>
      </c>
      <c r="U99" s="63">
        <f t="shared" si="134"/>
        <v>3846.8</v>
      </c>
      <c r="V99" s="63">
        <f t="shared" si="134"/>
        <v>3612.4000000000005</v>
      </c>
      <c r="W99" s="63">
        <f t="shared" si="134"/>
        <v>3591</v>
      </c>
      <c r="X99" s="63">
        <f t="shared" si="134"/>
        <v>4182.8999999999996</v>
      </c>
      <c r="Y99" s="63">
        <f t="shared" ref="Y99:AB99" si="135">Y96-Y97</f>
        <v>0</v>
      </c>
      <c r="Z99" s="63">
        <f t="shared" si="135"/>
        <v>0</v>
      </c>
      <c r="AA99" s="63">
        <f t="shared" si="135"/>
        <v>0</v>
      </c>
      <c r="AB99" s="63">
        <f t="shared" si="135"/>
        <v>0</v>
      </c>
      <c r="AC99" s="62">
        <v>3591</v>
      </c>
      <c r="AD99" s="63">
        <f>AD96-AD97</f>
        <v>3889.2342025146932</v>
      </c>
      <c r="AE99" s="40"/>
      <c r="AF99" s="63">
        <f>IF(AF$1="3M",I99,IF(AF$1="6M",SUM(I99:J99),IF(AF$1="9M",SUM(I99:K99),SUM(I99:L99))))</f>
        <v>7397.9000000000005</v>
      </c>
      <c r="AG99" s="63">
        <f>IF(AG$1="3M",M99,IF(AG$1="6M",SUM(M99:N99),IF(AG$1="9M",SUM(M99:O99),SUM(M99:P99))))</f>
        <v>11596.9</v>
      </c>
      <c r="AH99" s="63">
        <f>IF(AH$1="3M",Q99,IF(AH$1="6M",SUM(Q99:R99),IF(AH$1="9M",SUM(Q99:S99),SUM(Q99:T99))))</f>
        <v>15030.800000000003</v>
      </c>
      <c r="AI99" s="63">
        <f>IF(AI$1="3M",U99,IF(AI$1="6M",SUM(U99:V99),IF(AI$1="9M",SUM(U99:W99),SUM(U99:X99))))</f>
        <v>15233.1</v>
      </c>
      <c r="AK99" s="72">
        <f>AK96-AK97</f>
        <v>7398.376000000002</v>
      </c>
      <c r="AL99" s="72">
        <f t="shared" ref="AL99:AR99" si="136">AL96-AL97</f>
        <v>11559.099999999995</v>
      </c>
      <c r="AM99" s="72">
        <f t="shared" si="136"/>
        <v>15030.799999999997</v>
      </c>
      <c r="AN99" s="72">
        <f t="shared" si="136"/>
        <v>15233.099999999999</v>
      </c>
      <c r="AO99" s="73">
        <f t="shared" ca="1" si="136"/>
        <v>15958.309621090328</v>
      </c>
      <c r="AP99" s="73">
        <f t="shared" ca="1" si="136"/>
        <v>23388.56323225053</v>
      </c>
      <c r="AQ99" s="73">
        <f t="shared" ca="1" si="136"/>
        <v>24445.425374514682</v>
      </c>
      <c r="AR99" s="73">
        <f t="shared" ca="1" si="136"/>
        <v>27948.574340134601</v>
      </c>
    </row>
    <row r="100" spans="2:48" ht="12.6" customHeight="1" x14ac:dyDescent="0.2">
      <c r="B100" s="362">
        <f t="shared" si="102"/>
        <v>99</v>
      </c>
      <c r="C100" s="95"/>
      <c r="D100" s="95"/>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94"/>
      <c r="AD100" s="63"/>
      <c r="AE100" s="42"/>
      <c r="AF100" s="63"/>
      <c r="AG100" s="63"/>
      <c r="AH100" s="63"/>
      <c r="AI100" s="63"/>
      <c r="AK100" s="72"/>
      <c r="AL100" s="72"/>
      <c r="AM100" s="72"/>
      <c r="AN100" s="72"/>
      <c r="AO100" s="73"/>
      <c r="AP100" s="73"/>
      <c r="AQ100" s="73"/>
      <c r="AR100" s="73"/>
    </row>
    <row r="101" spans="2:48" ht="12.6" customHeight="1" x14ac:dyDescent="0.2">
      <c r="B101" s="362">
        <f t="shared" si="102"/>
        <v>100</v>
      </c>
      <c r="C101" s="96" t="s">
        <v>211</v>
      </c>
      <c r="D101" s="96"/>
      <c r="E101" s="91" t="e">
        <f t="shared" ref="E101:U101" si="137">E99/E68</f>
        <v>#DIV/0!</v>
      </c>
      <c r="F101" s="91" t="e">
        <f t="shared" si="137"/>
        <v>#DIV/0!</v>
      </c>
      <c r="G101" s="91" t="e">
        <f t="shared" si="137"/>
        <v>#DIV/0!</v>
      </c>
      <c r="H101" s="91" t="e">
        <f t="shared" si="137"/>
        <v>#DIV/0!</v>
      </c>
      <c r="I101" s="91">
        <f t="shared" si="137"/>
        <v>0.23157252653409791</v>
      </c>
      <c r="J101" s="91">
        <f t="shared" si="137"/>
        <v>0.20338368580060423</v>
      </c>
      <c r="K101" s="91">
        <f t="shared" si="137"/>
        <v>0.14402116004161805</v>
      </c>
      <c r="L101" s="91">
        <f t="shared" si="137"/>
        <v>0.3282421064131979</v>
      </c>
      <c r="M101" s="91">
        <f t="shared" si="137"/>
        <v>0.36968454617925078</v>
      </c>
      <c r="N101" s="91">
        <f t="shared" si="137"/>
        <v>0.2998903702655869</v>
      </c>
      <c r="O101" s="91">
        <f t="shared" si="137"/>
        <v>0.26662837327546762</v>
      </c>
      <c r="P101" s="91">
        <f t="shared" si="137"/>
        <v>0.30099965340484131</v>
      </c>
      <c r="Q101" s="91">
        <f t="shared" si="137"/>
        <v>0.28961050536260741</v>
      </c>
      <c r="R101" s="91">
        <f t="shared" si="137"/>
        <v>0.37100543261164814</v>
      </c>
      <c r="S101" s="91">
        <f t="shared" si="137"/>
        <v>0.27902490205867175</v>
      </c>
      <c r="T101" s="91">
        <f t="shared" si="137"/>
        <v>0.39695911719322313</v>
      </c>
      <c r="U101" s="91">
        <f t="shared" si="137"/>
        <v>0.31431956530620586</v>
      </c>
      <c r="V101" s="91">
        <f>V99/V68</f>
        <v>0.28543209096152788</v>
      </c>
      <c r="W101" s="91">
        <f t="shared" ref="W101:X101" si="138">W96/W68</f>
        <v>0.2703273417008728</v>
      </c>
      <c r="X101" s="91">
        <f t="shared" si="138"/>
        <v>0.27830182482231303</v>
      </c>
      <c r="Y101" s="91" t="e">
        <f t="shared" ref="Y101:AB101" si="139">Y96/Y68</f>
        <v>#DIV/0!</v>
      </c>
      <c r="Z101" s="91" t="e">
        <f t="shared" si="139"/>
        <v>#DIV/0!</v>
      </c>
      <c r="AA101" s="91" t="e">
        <f t="shared" si="139"/>
        <v>#DIV/0!</v>
      </c>
      <c r="AB101" s="91" t="e">
        <f t="shared" si="139"/>
        <v>#DIV/0!</v>
      </c>
      <c r="AC101" s="94"/>
      <c r="AD101" s="91">
        <f>AD99/AD68</f>
        <v>0.27818450124413074</v>
      </c>
      <c r="AE101" s="90"/>
      <c r="AF101" s="83">
        <f>IFERROR(AF99/AF68,"NA")</f>
        <v>0.23156573481953094</v>
      </c>
      <c r="AG101" s="91">
        <f>IFERROR(AG99/AG68,"NA")</f>
        <v>0.30819049137633209</v>
      </c>
      <c r="AH101" s="91">
        <f>IFERROR(AH99/AH68,"NA")</f>
        <v>0.33579825474627695</v>
      </c>
      <c r="AI101" s="91">
        <f>IFERROR(AI99/AI68,"NA")</f>
        <v>0.28412329523411622</v>
      </c>
      <c r="AJ101" s="103"/>
      <c r="AK101" s="86">
        <f>AK99/AK68</f>
        <v>0.23157993847135466</v>
      </c>
      <c r="AL101" s="86">
        <f t="shared" ref="AL101:AR101" si="140">AL99/AL68</f>
        <v>0.30718676336539191</v>
      </c>
      <c r="AM101" s="86">
        <f t="shared" si="140"/>
        <v>0.33579825474627684</v>
      </c>
      <c r="AN101" s="86">
        <f t="shared" si="140"/>
        <v>0.28412329523411617</v>
      </c>
      <c r="AO101" s="824">
        <f t="shared" ca="1" si="140"/>
        <v>0.21880070157727269</v>
      </c>
      <c r="AP101" s="824">
        <f t="shared" ca="1" si="140"/>
        <v>0.21522044329037959</v>
      </c>
      <c r="AQ101" s="824">
        <f t="shared" ca="1" si="140"/>
        <v>0.16934689630477781</v>
      </c>
      <c r="AR101" s="824">
        <f t="shared" ca="1" si="140"/>
        <v>0.14822840268818238</v>
      </c>
    </row>
    <row r="102" spans="2:48" ht="12.6" customHeight="1" x14ac:dyDescent="0.2">
      <c r="B102" s="362">
        <f t="shared" si="102"/>
        <v>101</v>
      </c>
      <c r="C102" s="96" t="s">
        <v>200</v>
      </c>
      <c r="D102" s="96"/>
      <c r="E102" s="91" t="str">
        <f>IF(ISERROR(E99/#REF!-1)," ",E99/#REF!-1)</f>
        <v xml:space="preserve"> </v>
      </c>
      <c r="F102" s="91">
        <f t="shared" ref="F102:U102" si="141">IF(ISERROR(F99/B99-1)," ",F99/B99-1)</f>
        <v>-1</v>
      </c>
      <c r="G102" s="91" t="str">
        <f t="shared" si="141"/>
        <v xml:space="preserve"> </v>
      </c>
      <c r="H102" s="91" t="str">
        <f t="shared" si="141"/>
        <v xml:space="preserve"> </v>
      </c>
      <c r="I102" s="91" t="str">
        <f t="shared" si="141"/>
        <v xml:space="preserve"> </v>
      </c>
      <c r="J102" s="91" t="str">
        <f t="shared" si="141"/>
        <v xml:space="preserve"> </v>
      </c>
      <c r="K102" s="91" t="str">
        <f t="shared" si="141"/>
        <v xml:space="preserve"> </v>
      </c>
      <c r="L102" s="91" t="str">
        <f t="shared" si="141"/>
        <v xml:space="preserve"> </v>
      </c>
      <c r="M102" s="91">
        <f t="shared" si="141"/>
        <v>0.71014645453587621</v>
      </c>
      <c r="N102" s="91">
        <f t="shared" si="141"/>
        <v>0.88948306595365434</v>
      </c>
      <c r="O102" s="91">
        <f t="shared" si="141"/>
        <v>1.1817390547480198</v>
      </c>
      <c r="P102" s="91">
        <f t="shared" si="141"/>
        <v>9.8422313939554806E-2</v>
      </c>
      <c r="Q102" s="91">
        <f t="shared" si="141"/>
        <v>-9.9131291972152091E-2</v>
      </c>
      <c r="R102" s="91">
        <f t="shared" si="141"/>
        <v>0.46033805031446517</v>
      </c>
      <c r="S102" s="91">
        <f t="shared" si="141"/>
        <v>0.31556690337509052</v>
      </c>
      <c r="T102" s="91">
        <f t="shared" si="141"/>
        <v>0.54349868185812622</v>
      </c>
      <c r="U102" s="91">
        <f t="shared" si="141"/>
        <v>0.31541512788948123</v>
      </c>
      <c r="V102" s="91">
        <f>IF(ISERROR(V99/R99-1)," ",V99/R99-1)</f>
        <v>-2.764393959785727E-2</v>
      </c>
      <c r="W102" s="91">
        <f t="shared" ref="W102:Y102" si="142">IF(ISERROR(W96/S96-1)," ",W96/S96-1)</f>
        <v>8.7092545140337041E-2</v>
      </c>
      <c r="X102" s="91">
        <f t="shared" si="142"/>
        <v>-0.17826525466464971</v>
      </c>
      <c r="Y102" s="91">
        <f t="shared" si="142"/>
        <v>-1</v>
      </c>
      <c r="Z102" s="91">
        <f t="shared" ref="Z102" si="143">IF(ISERROR(Z96/V96-1)," ",Z96/V96-1)</f>
        <v>-1</v>
      </c>
      <c r="AA102" s="91">
        <f t="shared" ref="AA102" si="144">IF(ISERROR(AA96/W96-1)," ",AA96/W96-1)</f>
        <v>-1</v>
      </c>
      <c r="AB102" s="91">
        <f t="shared" ref="AB102" si="145">IF(ISERROR(AB96/X96-1)," ",AB96/X96-1)</f>
        <v>-1</v>
      </c>
      <c r="AC102" s="94"/>
      <c r="AD102" s="91">
        <f>IF(ISERROR(AD99/U99-1)," ",AD99/U99-1)</f>
        <v>1.1031039439194368E-2</v>
      </c>
      <c r="AE102" s="90"/>
      <c r="AF102" s="83" t="str">
        <f>IFERROR(AF99/#REF!-1, "NA")</f>
        <v>NA</v>
      </c>
      <c r="AG102" s="91">
        <f>IFERROR(AG99/AF99-1, "NA")</f>
        <v>0.56759350626529126</v>
      </c>
      <c r="AH102" s="91">
        <f>IFERROR(AH99/AG99-1, "NA")</f>
        <v>0.29610499357586972</v>
      </c>
      <c r="AI102" s="91">
        <f>IFERROR(AI99/AH99-1, "NA")</f>
        <v>1.3459030790110793E-2</v>
      </c>
      <c r="AJ102" s="103"/>
      <c r="AK102" s="57"/>
      <c r="AL102" s="92">
        <f>(AL99/AK99-1)</f>
        <v>0.5623834203614404</v>
      </c>
      <c r="AM102" s="92">
        <f t="shared" ref="AM102:AR102" si="146">(AM99/AL99-1)</f>
        <v>0.300343452344906</v>
      </c>
      <c r="AN102" s="92">
        <f t="shared" si="146"/>
        <v>1.3459030790111015E-2</v>
      </c>
      <c r="AO102" s="824">
        <f t="shared" ca="1" si="146"/>
        <v>4.7607487713619001E-2</v>
      </c>
      <c r="AP102" s="824">
        <f t="shared" ca="1" si="146"/>
        <v>0.46560405127999638</v>
      </c>
      <c r="AQ102" s="824">
        <f t="shared" ca="1" si="146"/>
        <v>4.518713406075503E-2</v>
      </c>
      <c r="AR102" s="824">
        <f t="shared" ca="1" si="146"/>
        <v>0.14330488882685133</v>
      </c>
    </row>
    <row r="103" spans="2:48" s="104" customFormat="1" ht="12.6" customHeight="1" x14ac:dyDescent="0.2">
      <c r="B103" s="362">
        <f t="shared" si="102"/>
        <v>102</v>
      </c>
      <c r="C103" s="65"/>
      <c r="D103" s="65"/>
      <c r="E103" s="66"/>
      <c r="F103" s="66"/>
      <c r="G103" s="66"/>
      <c r="H103" s="66"/>
      <c r="I103" s="66">
        <f>I99/Valuation!$C$3</f>
        <v>0.81467811158798309</v>
      </c>
      <c r="J103" s="66">
        <f>J99/Valuation!$C$3</f>
        <v>0.57785407725321891</v>
      </c>
      <c r="K103" s="66">
        <f>K99/Valuation!$C$3</f>
        <v>0.49309012875536468</v>
      </c>
      <c r="L103" s="66">
        <f>L99/Valuation!$C$3</f>
        <v>1.2894420600858372</v>
      </c>
      <c r="M103" s="66">
        <f>M99/Valuation!$C$3</f>
        <v>1.3932188841201723</v>
      </c>
      <c r="N103" s="66">
        <f>N99/Valuation!$C$3</f>
        <v>1.0918454935622319</v>
      </c>
      <c r="O103" s="66">
        <f>O99/Valuation!$C$3</f>
        <v>1.0757939914163086</v>
      </c>
      <c r="P103" s="66">
        <f>P99/Valuation!$C$3</f>
        <v>1.4163519313304718</v>
      </c>
      <c r="Q103" s="66">
        <f>Q99/Valuation!$C$3</f>
        <v>1.2551072961373395</v>
      </c>
      <c r="R103" s="66">
        <f>R99/Valuation!$C$3</f>
        <v>1.5944635193133048</v>
      </c>
      <c r="S103" s="66">
        <f>S99/Valuation!$C$3</f>
        <v>1.4152789699570818</v>
      </c>
      <c r="T103" s="66">
        <f>T99/Valuation!$C$3</f>
        <v>2.1861373390557941</v>
      </c>
      <c r="U103" s="66">
        <f>U99/Valuation!$C$3</f>
        <v>1.6509871244635195</v>
      </c>
      <c r="V103" s="66">
        <f>V99/Valuation!$C$3</f>
        <v>1.5503862660944208</v>
      </c>
      <c r="W103" s="66">
        <f>W99/Valuation!$C$3</f>
        <v>1.5412017167381975</v>
      </c>
      <c r="X103" s="66">
        <f>X99/Valuation!$C$3</f>
        <v>1.7952360515021457</v>
      </c>
      <c r="Y103" s="66">
        <f>Y99/Valuation!$C$3</f>
        <v>0</v>
      </c>
      <c r="Z103" s="66">
        <f>Z99/Valuation!$C$3</f>
        <v>0</v>
      </c>
      <c r="AA103" s="66">
        <f>AA99/Valuation!$C$3</f>
        <v>0</v>
      </c>
      <c r="AB103" s="66">
        <f>AB99/Valuation!$C$3</f>
        <v>0</v>
      </c>
      <c r="AC103" s="94"/>
      <c r="AD103" s="66">
        <f>AD99/Valuation!$C$3</f>
        <v>1.6691992285470787</v>
      </c>
      <c r="AE103" s="67"/>
      <c r="AF103" s="66">
        <f>AF99/Valuation!$C$3</f>
        <v>3.1750643776824035</v>
      </c>
      <c r="AG103" s="66">
        <f>AG99/Valuation!$C$3</f>
        <v>4.9772103004291841</v>
      </c>
      <c r="AH103" s="66">
        <f>AH99/Valuation!$C$3</f>
        <v>6.4509871244635208</v>
      </c>
      <c r="AI103" s="66">
        <f>AI99/Valuation!$C$3</f>
        <v>6.5378111587982835</v>
      </c>
      <c r="AK103" s="69"/>
      <c r="AL103" s="69"/>
      <c r="AM103" s="69"/>
      <c r="AN103" s="69"/>
      <c r="AO103" s="823"/>
      <c r="AP103" s="823"/>
      <c r="AQ103" s="823"/>
      <c r="AR103" s="823"/>
    </row>
    <row r="104" spans="2:48" ht="12.6" customHeight="1" x14ac:dyDescent="0.2">
      <c r="B104" s="362">
        <f t="shared" si="102"/>
        <v>103</v>
      </c>
    </row>
    <row r="105" spans="2:48" ht="12.6" customHeight="1" x14ac:dyDescent="0.2">
      <c r="B105" s="362">
        <f t="shared" si="102"/>
        <v>104</v>
      </c>
      <c r="C105" s="50" t="s">
        <v>1657</v>
      </c>
      <c r="D105" s="50"/>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40"/>
      <c r="AD105" s="93"/>
      <c r="AE105" s="40"/>
      <c r="AF105" s="93"/>
      <c r="AG105" s="93"/>
      <c r="AH105" s="93"/>
      <c r="AI105" s="93"/>
      <c r="AK105" s="55"/>
      <c r="AL105" s="55"/>
      <c r="AM105" s="55"/>
      <c r="AN105" s="55"/>
      <c r="AO105" s="822"/>
      <c r="AP105" s="822"/>
      <c r="AQ105" s="822"/>
      <c r="AR105" s="822"/>
    </row>
    <row r="106" spans="2:48" ht="12.6" customHeight="1" x14ac:dyDescent="0.2">
      <c r="B106" s="362">
        <f t="shared" si="102"/>
        <v>105</v>
      </c>
      <c r="C106" s="56"/>
      <c r="D106" s="56"/>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40"/>
      <c r="AD106" s="57"/>
      <c r="AE106" s="40"/>
      <c r="AF106" s="57"/>
      <c r="AG106" s="57"/>
      <c r="AH106" s="57"/>
      <c r="AI106" s="57"/>
      <c r="AK106" s="59"/>
      <c r="AL106" s="59"/>
      <c r="AM106" s="59"/>
      <c r="AN106" s="59"/>
      <c r="AO106" s="60"/>
      <c r="AP106" s="60"/>
      <c r="AQ106" s="60"/>
      <c r="AR106" s="60"/>
      <c r="AT106" s="1177" t="s">
        <v>797</v>
      </c>
      <c r="AU106" s="1178" t="s">
        <v>919</v>
      </c>
      <c r="AV106" s="1178" t="s">
        <v>900</v>
      </c>
    </row>
    <row r="107" spans="2:48" ht="12.6" customHeight="1" x14ac:dyDescent="0.2">
      <c r="B107" s="362">
        <f t="shared" si="102"/>
        <v>106</v>
      </c>
      <c r="C107" s="56" t="s">
        <v>1001</v>
      </c>
      <c r="D107" s="56"/>
      <c r="E107" s="59"/>
      <c r="F107" s="59"/>
      <c r="G107" s="59"/>
      <c r="H107" s="59"/>
      <c r="I107" s="59">
        <v>8197</v>
      </c>
      <c r="J107" s="59">
        <v>6620</v>
      </c>
      <c r="K107" s="59">
        <v>7977.3</v>
      </c>
      <c r="L107" s="59">
        <v>9153</v>
      </c>
      <c r="M107" s="59">
        <v>8781</v>
      </c>
      <c r="N107" s="59">
        <v>8483.1</v>
      </c>
      <c r="O107" s="59">
        <v>9401.1</v>
      </c>
      <c r="P107" s="59">
        <v>10963.8</v>
      </c>
      <c r="Q107" s="59">
        <v>10097.700000000001</v>
      </c>
      <c r="R107" s="59">
        <v>10013.6</v>
      </c>
      <c r="S107" s="59">
        <v>10630.1</v>
      </c>
      <c r="T107" s="59">
        <v>11522.7</v>
      </c>
      <c r="U107" s="59">
        <v>10857.1</v>
      </c>
      <c r="V107" s="59">
        <f t="shared" ref="V107:X108" si="147">V66</f>
        <v>11028.9</v>
      </c>
      <c r="W107" s="59">
        <f t="shared" si="147"/>
        <v>11638.1</v>
      </c>
      <c r="X107" s="59">
        <f t="shared" si="147"/>
        <v>12945</v>
      </c>
      <c r="Y107" s="59">
        <f t="shared" ref="Y107:AB107" si="148">Y66</f>
        <v>0</v>
      </c>
      <c r="Z107" s="59">
        <f t="shared" si="148"/>
        <v>0</v>
      </c>
      <c r="AA107" s="59">
        <f t="shared" si="148"/>
        <v>0</v>
      </c>
      <c r="AB107" s="59">
        <f t="shared" si="148"/>
        <v>0</v>
      </c>
      <c r="AC107" s="62"/>
      <c r="AD107" s="59">
        <f>AD29*AD34</f>
        <v>11557.223718933254</v>
      </c>
      <c r="AF107" s="57">
        <f>IF(AF$1="3M",I107,IF(AF$1="6M",SUM(I107:J107),IF(AF$1="9M",SUM(I107:K107),SUM(I107:L107))))</f>
        <v>31947.3</v>
      </c>
      <c r="AG107" s="57">
        <f>IF(AG$1="3M",M107,IF(AG$1="6M",SUM(M107:N107),IF(AG$1="9M",SUM(M107:O107),SUM(M107:P107))))</f>
        <v>37629</v>
      </c>
      <c r="AH107" s="57">
        <f>IF(AH$1="3M",Q107,IF(AH$1="6M",SUM(Q107:R107),IF(AH$1="9M",SUM(Q107:S107),SUM(Q107:T107))))</f>
        <v>42264.100000000006</v>
      </c>
      <c r="AI107" s="57">
        <f>IF(AI$1="3M",U107,IF(AI$1="6M",SUM(U107:V107),IF(AI$1="9M",SUM(U107:W107),SUM(U107:X107))))</f>
        <v>46469.1</v>
      </c>
      <c r="AK107" s="59">
        <f t="shared" ref="AK107:AL109" si="149">AK66</f>
        <v>31947.396000000001</v>
      </c>
      <c r="AL107" s="59">
        <f t="shared" si="149"/>
        <v>37628.899999999994</v>
      </c>
      <c r="AM107" s="59">
        <f t="shared" ref="AM107:AR107" si="150">AM66</f>
        <v>42261.4</v>
      </c>
      <c r="AN107" s="59">
        <f t="shared" si="150"/>
        <v>46469.100000000006</v>
      </c>
      <c r="AO107" s="60">
        <f t="shared" ca="1" si="150"/>
        <v>56778.376356466382</v>
      </c>
      <c r="AP107" s="60">
        <f t="shared" ca="1" si="150"/>
        <v>80642.965033257584</v>
      </c>
      <c r="AQ107" s="60">
        <f t="shared" ca="1" si="150"/>
        <v>91045.521087915346</v>
      </c>
      <c r="AR107" s="60">
        <f t="shared" ca="1" si="150"/>
        <v>112335.86105782224</v>
      </c>
      <c r="AT107" s="1179" t="s">
        <v>1001</v>
      </c>
      <c r="AU107" s="1181">
        <v>52000</v>
      </c>
      <c r="AV107" s="1181">
        <v>80000</v>
      </c>
    </row>
    <row r="108" spans="2:48" ht="12.6" customHeight="1" x14ac:dyDescent="0.2">
      <c r="B108" s="362">
        <f t="shared" si="102"/>
        <v>107</v>
      </c>
      <c r="C108" s="56" t="s">
        <v>1656</v>
      </c>
      <c r="D108" s="56"/>
      <c r="E108" s="57"/>
      <c r="F108" s="57"/>
      <c r="G108" s="57"/>
      <c r="H108" s="57"/>
      <c r="I108" s="57"/>
      <c r="J108" s="57"/>
      <c r="K108" s="57"/>
      <c r="L108" s="57" t="s">
        <v>491</v>
      </c>
      <c r="M108" s="57"/>
      <c r="N108" s="57"/>
      <c r="O108" s="57"/>
      <c r="P108" s="57"/>
      <c r="Q108" s="57"/>
      <c r="R108" s="57"/>
      <c r="S108" s="57">
        <v>1188.2</v>
      </c>
      <c r="T108" s="57">
        <v>1309.0999999999999</v>
      </c>
      <c r="U108" s="57">
        <v>1381.4</v>
      </c>
      <c r="V108" s="59">
        <f t="shared" si="147"/>
        <v>1627</v>
      </c>
      <c r="W108" s="59">
        <f t="shared" si="147"/>
        <v>1858.5</v>
      </c>
      <c r="X108" s="59">
        <f t="shared" si="147"/>
        <v>2278.4</v>
      </c>
      <c r="Y108" s="59">
        <f t="shared" ref="Y108:AB108" si="151">Y67</f>
        <v>0</v>
      </c>
      <c r="Z108" s="59">
        <f t="shared" si="151"/>
        <v>0</v>
      </c>
      <c r="AA108" s="59">
        <f t="shared" si="151"/>
        <v>0</v>
      </c>
      <c r="AB108" s="59">
        <f t="shared" si="151"/>
        <v>0</v>
      </c>
      <c r="AC108" s="62"/>
      <c r="AD108" s="57">
        <f>+AO108*15%</f>
        <v>2423.5487005249997</v>
      </c>
      <c r="AF108" s="57">
        <f>IF(AF$1="3M",I108,IF(AF$1="6M",SUM(I108:J108),IF(AF$1="9M",SUM(I108:K108),SUM(I108:L108))))</f>
        <v>0</v>
      </c>
      <c r="AG108" s="57">
        <f>IF(AG$1="3M",M108,IF(AG$1="6M",SUM(M108:N108),IF(AG$1="9M",SUM(M108:O108),SUM(M108:P108))))</f>
        <v>0</v>
      </c>
      <c r="AH108" s="57">
        <f>IF(AH$1="3M",Q108,IF(AH$1="6M",SUM(Q108:R108),IF(AH$1="9M",SUM(Q108:S108),SUM(Q108:T108))))</f>
        <v>2497.3000000000002</v>
      </c>
      <c r="AI108" s="57">
        <f>IF(AI$1="3M",U108,IF(AI$1="6M",SUM(U108:V108),IF(AI$1="9M",SUM(U108:W108),SUM(U108:X108))))</f>
        <v>7145.2999999999993</v>
      </c>
      <c r="AK108" s="59">
        <f t="shared" si="149"/>
        <v>0</v>
      </c>
      <c r="AL108" s="59">
        <f t="shared" si="149"/>
        <v>0</v>
      </c>
      <c r="AM108" s="59">
        <v>2500</v>
      </c>
      <c r="AN108" s="59">
        <f t="shared" ref="AN108:AR108" si="152">AN67</f>
        <v>7145.2999999999993</v>
      </c>
      <c r="AO108" s="60">
        <f t="shared" si="152"/>
        <v>16156.991336833333</v>
      </c>
      <c r="AP108" s="60">
        <f t="shared" si="152"/>
        <v>28029.626076938333</v>
      </c>
      <c r="AQ108" s="60">
        <f t="shared" si="152"/>
        <v>53305.665192579821</v>
      </c>
      <c r="AR108" s="60">
        <f t="shared" si="152"/>
        <v>76214.874383401126</v>
      </c>
      <c r="AT108" s="1179" t="s">
        <v>1656</v>
      </c>
      <c r="AU108" s="1181">
        <v>16500</v>
      </c>
      <c r="AV108" s="1181">
        <v>28000</v>
      </c>
    </row>
    <row r="109" spans="2:48" ht="12.6" customHeight="1" x14ac:dyDescent="0.2">
      <c r="B109" s="362">
        <f t="shared" si="102"/>
        <v>108</v>
      </c>
      <c r="C109" s="95" t="s">
        <v>202</v>
      </c>
      <c r="D109" s="95"/>
      <c r="E109" s="63">
        <f t="shared" ref="E109:J109" si="153">SUM(E107:E108)</f>
        <v>0</v>
      </c>
      <c r="F109" s="63">
        <f t="shared" si="153"/>
        <v>0</v>
      </c>
      <c r="G109" s="63">
        <f t="shared" si="153"/>
        <v>0</v>
      </c>
      <c r="H109" s="63">
        <f t="shared" si="153"/>
        <v>0</v>
      </c>
      <c r="I109" s="63">
        <f t="shared" si="153"/>
        <v>8197</v>
      </c>
      <c r="J109" s="63">
        <f t="shared" si="153"/>
        <v>6620</v>
      </c>
      <c r="K109" s="63">
        <f>SUM(K107:K108)</f>
        <v>7977.3</v>
      </c>
      <c r="L109" s="63">
        <f>SUM(L107:L108)</f>
        <v>9153</v>
      </c>
      <c r="M109" s="63">
        <f>SUM(M107:M108)</f>
        <v>8781</v>
      </c>
      <c r="N109" s="63">
        <f>SUM(N107:N108)</f>
        <v>8483.1</v>
      </c>
      <c r="O109" s="63">
        <f>SUM(O107:O108)</f>
        <v>9401.1</v>
      </c>
      <c r="P109" s="63">
        <f t="shared" ref="P109:V109" si="154">SUM(P107:P108)</f>
        <v>10963.8</v>
      </c>
      <c r="Q109" s="63">
        <f t="shared" si="154"/>
        <v>10097.700000000001</v>
      </c>
      <c r="R109" s="63">
        <f t="shared" si="154"/>
        <v>10013.6</v>
      </c>
      <c r="S109" s="63">
        <f t="shared" si="154"/>
        <v>11818.300000000001</v>
      </c>
      <c r="T109" s="63">
        <f t="shared" si="154"/>
        <v>12831.800000000001</v>
      </c>
      <c r="U109" s="63">
        <f t="shared" si="154"/>
        <v>12238.5</v>
      </c>
      <c r="V109" s="63">
        <f t="shared" si="154"/>
        <v>12655.9</v>
      </c>
      <c r="W109" s="63">
        <f t="shared" ref="W109" si="155">SUM(W107:W108)</f>
        <v>13496.6</v>
      </c>
      <c r="X109" s="63">
        <f t="shared" ref="X109:Y109" si="156">SUM(X107:X108)</f>
        <v>15223.4</v>
      </c>
      <c r="Y109" s="63">
        <f t="shared" si="156"/>
        <v>0</v>
      </c>
      <c r="Z109" s="63">
        <f t="shared" ref="Z109:AB109" si="157">SUM(Z107:Z108)</f>
        <v>0</v>
      </c>
      <c r="AA109" s="63">
        <f t="shared" si="157"/>
        <v>0</v>
      </c>
      <c r="AB109" s="63">
        <f t="shared" si="157"/>
        <v>0</v>
      </c>
      <c r="AC109" s="94"/>
      <c r="AD109" s="63">
        <f>SUM(AD107:AD108)</f>
        <v>13980.772419458253</v>
      </c>
      <c r="AE109" s="42"/>
      <c r="AF109" s="63">
        <f>IF(AF$1="3M",I109,IF(AF$1="6M",SUM(I109:J109),IF(AF$1="9M",SUM(I109:K109),SUM(I109:L109))))</f>
        <v>31947.3</v>
      </c>
      <c r="AG109" s="63">
        <f>IF(AG$1="3M",M109,IF(AG$1="6M",SUM(M109:N109),IF(AG$1="9M",SUM(M109:O109),SUM(M109:P109))))</f>
        <v>37629</v>
      </c>
      <c r="AH109" s="63">
        <f>IF(AH$1="3M",Q109,IF(AH$1="6M",SUM(Q109:R109),IF(AH$1="9M",SUM(Q109:S109),SUM(Q109:T109))))</f>
        <v>44761.400000000009</v>
      </c>
      <c r="AI109" s="63">
        <f>IF(AI$1="3M",U109,IF(AI$1="6M",SUM(U109:V109),IF(AI$1="9M",SUM(U109:W109),SUM(U109:X109))))</f>
        <v>53614.400000000001</v>
      </c>
      <c r="AK109" s="72">
        <f t="shared" si="149"/>
        <v>31947.396000000001</v>
      </c>
      <c r="AL109" s="72">
        <f t="shared" si="149"/>
        <v>37628.899999999994</v>
      </c>
      <c r="AM109" s="72">
        <f t="shared" ref="AM109:AR109" si="158">AM68</f>
        <v>44761.4</v>
      </c>
      <c r="AN109" s="72">
        <f t="shared" si="158"/>
        <v>53614.400000000001</v>
      </c>
      <c r="AO109" s="73">
        <f t="shared" ca="1" si="158"/>
        <v>72935.367693299719</v>
      </c>
      <c r="AP109" s="73">
        <f t="shared" ca="1" si="158"/>
        <v>108672.59111019592</v>
      </c>
      <c r="AQ109" s="73">
        <f t="shared" ca="1" si="158"/>
        <v>144351.18628049517</v>
      </c>
      <c r="AR109" s="73">
        <f t="shared" ca="1" si="158"/>
        <v>188550.73544122337</v>
      </c>
    </row>
    <row r="110" spans="2:48" ht="12.6" customHeight="1" x14ac:dyDescent="0.2">
      <c r="B110" s="362">
        <f t="shared" si="102"/>
        <v>109</v>
      </c>
      <c r="C110" s="95"/>
      <c r="D110" s="95"/>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94"/>
      <c r="AD110" s="63"/>
      <c r="AE110" s="42"/>
      <c r="AF110" s="63"/>
      <c r="AG110" s="63"/>
      <c r="AH110" s="63"/>
      <c r="AI110" s="63"/>
      <c r="AK110" s="72"/>
      <c r="AL110" s="72"/>
      <c r="AM110" s="72"/>
      <c r="AN110" s="72"/>
      <c r="AO110" s="73"/>
      <c r="AP110" s="73"/>
      <c r="AQ110" s="73"/>
      <c r="AR110" s="73"/>
    </row>
    <row r="111" spans="2:48" ht="12.6" customHeight="1" x14ac:dyDescent="0.2">
      <c r="B111" s="362">
        <f t="shared" si="102"/>
        <v>110</v>
      </c>
      <c r="C111" s="111" t="s">
        <v>227</v>
      </c>
      <c r="D111" s="95"/>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94"/>
      <c r="AD111" s="63"/>
      <c r="AE111" s="42"/>
      <c r="AF111" s="63"/>
      <c r="AG111" s="63"/>
      <c r="AH111" s="63"/>
      <c r="AI111" s="63"/>
      <c r="AK111" s="72"/>
      <c r="AL111" s="72"/>
      <c r="AM111" s="72"/>
      <c r="AN111" s="72"/>
      <c r="AO111" s="73"/>
      <c r="AP111" s="73"/>
      <c r="AQ111" s="73"/>
      <c r="AR111" s="73"/>
    </row>
    <row r="112" spans="2:48" ht="12.6" customHeight="1" x14ac:dyDescent="0.2">
      <c r="B112" s="362">
        <f t="shared" si="102"/>
        <v>111</v>
      </c>
      <c r="C112" s="112" t="s">
        <v>1001</v>
      </c>
      <c r="D112" s="111"/>
      <c r="E112" s="942"/>
      <c r="F112" s="942"/>
      <c r="G112" s="942"/>
      <c r="H112" s="942"/>
      <c r="I112" s="330" t="str">
        <f t="shared" ref="I112:R112" si="159">IFERROR(I107/E107-1," ")</f>
        <v xml:space="preserve"> </v>
      </c>
      <c r="J112" s="330" t="str">
        <f t="shared" si="159"/>
        <v xml:space="preserve"> </v>
      </c>
      <c r="K112" s="330" t="str">
        <f t="shared" si="159"/>
        <v xml:space="preserve"> </v>
      </c>
      <c r="L112" s="330" t="str">
        <f t="shared" si="159"/>
        <v xml:space="preserve"> </v>
      </c>
      <c r="M112" s="330">
        <f t="shared" si="159"/>
        <v>7.1245577650359992E-2</v>
      </c>
      <c r="N112" s="330">
        <f t="shared" si="159"/>
        <v>0.28143504531722052</v>
      </c>
      <c r="O112" s="330">
        <f t="shared" si="159"/>
        <v>0.17848144108909025</v>
      </c>
      <c r="P112" s="330">
        <f t="shared" si="159"/>
        <v>0.19783677482792528</v>
      </c>
      <c r="Q112" s="330">
        <f t="shared" si="159"/>
        <v>0.14994875298940902</v>
      </c>
      <c r="R112" s="330">
        <f t="shared" si="159"/>
        <v>0.18041753604224864</v>
      </c>
      <c r="S112" s="330">
        <f t="shared" ref="S112:Y114" si="160">IFERROR(S107/O107-1," ")</f>
        <v>0.1307293827318079</v>
      </c>
      <c r="T112" s="330">
        <f t="shared" si="160"/>
        <v>5.0976851091774966E-2</v>
      </c>
      <c r="U112" s="330">
        <f t="shared" si="160"/>
        <v>7.520524475870749E-2</v>
      </c>
      <c r="V112" s="330">
        <f t="shared" si="160"/>
        <v>0.10139210673484045</v>
      </c>
      <c r="W112" s="330">
        <f t="shared" si="160"/>
        <v>9.482507220063785E-2</v>
      </c>
      <c r="X112" s="330">
        <f t="shared" si="160"/>
        <v>0.12343461167955416</v>
      </c>
      <c r="Y112" s="330">
        <f t="shared" si="160"/>
        <v>-1</v>
      </c>
      <c r="Z112" s="330">
        <f t="shared" ref="Z112:Z114" si="161">IFERROR(Z107/V107-1," ")</f>
        <v>-1</v>
      </c>
      <c r="AA112" s="330">
        <f t="shared" ref="AA112:AA114" si="162">IFERROR(AA107/W107-1," ")</f>
        <v>-1</v>
      </c>
      <c r="AB112" s="330">
        <f t="shared" ref="AB112:AB114" si="163">IFERROR(AB107/X107-1," ")</f>
        <v>-1</v>
      </c>
      <c r="AC112" s="94"/>
      <c r="AD112" s="330">
        <f>AD107/U107-1</f>
        <v>6.448533392280198E-2</v>
      </c>
      <c r="AE112" s="42"/>
      <c r="AF112" s="943" t="str">
        <f t="shared" ref="AF112:AI114" si="164">IFERROR(AF107/AE107-1," ")</f>
        <v xml:space="preserve"> </v>
      </c>
      <c r="AG112" s="330">
        <f t="shared" si="164"/>
        <v>0.17784601515621046</v>
      </c>
      <c r="AH112" s="330">
        <f t="shared" si="164"/>
        <v>0.12317893114353318</v>
      </c>
      <c r="AI112" s="330">
        <f t="shared" si="164"/>
        <v>9.9493423496537003E-2</v>
      </c>
      <c r="AK112" s="72"/>
      <c r="AL112" s="330">
        <f>IFERROR(AL107/AK107-1," ")</f>
        <v>0.17783934565433723</v>
      </c>
      <c r="AM112" s="330">
        <f t="shared" ref="AM112:AR112" si="165">IFERROR(AM107/AL107-1," ")</f>
        <v>0.12311016266752439</v>
      </c>
      <c r="AN112" s="330">
        <f t="shared" si="165"/>
        <v>9.9563668028035179E-2</v>
      </c>
      <c r="AO112" s="324">
        <f t="shared" ca="1" si="165"/>
        <v>0.22185229230749837</v>
      </c>
      <c r="AP112" s="324">
        <f t="shared" ca="1" si="165"/>
        <v>0.42031122071833082</v>
      </c>
      <c r="AQ112" s="324">
        <f t="shared" ca="1" si="165"/>
        <v>0.12899520808005627</v>
      </c>
      <c r="AR112" s="324">
        <f t="shared" ca="1" si="165"/>
        <v>0.23384280429729798</v>
      </c>
    </row>
    <row r="113" spans="2:48" ht="12.6" customHeight="1" x14ac:dyDescent="0.2">
      <c r="B113" s="362">
        <f t="shared" si="102"/>
        <v>112</v>
      </c>
      <c r="C113" s="112" t="s">
        <v>1656</v>
      </c>
      <c r="D113" s="111"/>
      <c r="E113" s="942"/>
      <c r="F113" s="942"/>
      <c r="G113" s="942"/>
      <c r="H113" s="942"/>
      <c r="I113" s="330" t="str">
        <f t="shared" ref="I113:R113" si="166">IFERROR(I108/E108-1," ")</f>
        <v xml:space="preserve"> </v>
      </c>
      <c r="J113" s="330" t="str">
        <f t="shared" si="166"/>
        <v xml:space="preserve"> </v>
      </c>
      <c r="K113" s="330" t="str">
        <f t="shared" si="166"/>
        <v xml:space="preserve"> </v>
      </c>
      <c r="L113" s="330" t="str">
        <f t="shared" si="166"/>
        <v xml:space="preserve"> </v>
      </c>
      <c r="M113" s="330" t="str">
        <f t="shared" si="166"/>
        <v xml:space="preserve"> </v>
      </c>
      <c r="N113" s="330" t="str">
        <f t="shared" si="166"/>
        <v xml:space="preserve"> </v>
      </c>
      <c r="O113" s="330" t="str">
        <f t="shared" si="166"/>
        <v xml:space="preserve"> </v>
      </c>
      <c r="P113" s="330" t="str">
        <f t="shared" si="166"/>
        <v xml:space="preserve"> </v>
      </c>
      <c r="Q113" s="330" t="str">
        <f t="shared" si="166"/>
        <v xml:space="preserve"> </v>
      </c>
      <c r="R113" s="330" t="str">
        <f t="shared" si="166"/>
        <v xml:space="preserve"> </v>
      </c>
      <c r="S113" s="330" t="str">
        <f t="shared" si="160"/>
        <v xml:space="preserve"> </v>
      </c>
      <c r="T113" s="330" t="str">
        <f t="shared" si="160"/>
        <v xml:space="preserve"> </v>
      </c>
      <c r="U113" s="330" t="str">
        <f t="shared" si="160"/>
        <v xml:space="preserve"> </v>
      </c>
      <c r="V113" s="330" t="str">
        <f t="shared" si="160"/>
        <v xml:space="preserve"> </v>
      </c>
      <c r="W113" s="330">
        <f t="shared" si="160"/>
        <v>0.56413061774112094</v>
      </c>
      <c r="X113" s="330">
        <f t="shared" si="160"/>
        <v>0.74043235810862451</v>
      </c>
      <c r="Y113" s="330">
        <f t="shared" si="160"/>
        <v>-1</v>
      </c>
      <c r="Z113" s="330">
        <f t="shared" si="161"/>
        <v>-1</v>
      </c>
      <c r="AA113" s="330">
        <f t="shared" si="162"/>
        <v>-1</v>
      </c>
      <c r="AB113" s="330">
        <f t="shared" si="163"/>
        <v>-1</v>
      </c>
      <c r="AC113" s="94"/>
      <c r="AD113" s="330">
        <f>AD108/U108-1</f>
        <v>0.75441486935355395</v>
      </c>
      <c r="AE113" s="42"/>
      <c r="AF113" s="943" t="str">
        <f t="shared" si="164"/>
        <v xml:space="preserve"> </v>
      </c>
      <c r="AG113" s="330" t="str">
        <f t="shared" si="164"/>
        <v xml:space="preserve"> </v>
      </c>
      <c r="AH113" s="330" t="str">
        <f t="shared" si="164"/>
        <v xml:space="preserve"> </v>
      </c>
      <c r="AI113" s="330">
        <f t="shared" si="164"/>
        <v>1.8612101069154683</v>
      </c>
      <c r="AK113" s="72"/>
      <c r="AL113" s="330" t="str">
        <f>IFERROR(AL108/AK108-1," ")</f>
        <v xml:space="preserve"> </v>
      </c>
      <c r="AM113" s="330" t="str">
        <f t="shared" ref="AM113:AR114" si="167">IFERROR(AM108/AL108-1," ")</f>
        <v xml:space="preserve"> </v>
      </c>
      <c r="AN113" s="330">
        <f t="shared" si="167"/>
        <v>1.8581199999999995</v>
      </c>
      <c r="AO113" s="324">
        <f t="shared" si="167"/>
        <v>1.261205454891094</v>
      </c>
      <c r="AP113" s="324">
        <f t="shared" si="167"/>
        <v>0.73482955412860673</v>
      </c>
      <c r="AQ113" s="324">
        <f t="shared" si="167"/>
        <v>0.90176155208997288</v>
      </c>
      <c r="AR113" s="324">
        <f t="shared" si="167"/>
        <v>0.42977062771951458</v>
      </c>
    </row>
    <row r="114" spans="2:48" ht="12.6" customHeight="1" x14ac:dyDescent="0.2">
      <c r="B114" s="362">
        <f t="shared" si="102"/>
        <v>113</v>
      </c>
      <c r="C114" s="111" t="s">
        <v>1119</v>
      </c>
      <c r="D114" s="111"/>
      <c r="E114" s="942"/>
      <c r="F114" s="942"/>
      <c r="G114" s="942"/>
      <c r="H114" s="942"/>
      <c r="I114" s="884" t="str">
        <f t="shared" ref="I114:R114" si="168">IFERROR(I109/E109-1," ")</f>
        <v xml:space="preserve"> </v>
      </c>
      <c r="J114" s="884" t="str">
        <f t="shared" si="168"/>
        <v xml:space="preserve"> </v>
      </c>
      <c r="K114" s="884" t="str">
        <f t="shared" si="168"/>
        <v xml:space="preserve"> </v>
      </c>
      <c r="L114" s="884" t="str">
        <f t="shared" si="168"/>
        <v xml:space="preserve"> </v>
      </c>
      <c r="M114" s="884">
        <f t="shared" si="168"/>
        <v>7.1245577650359992E-2</v>
      </c>
      <c r="N114" s="884">
        <f t="shared" si="168"/>
        <v>0.28143504531722052</v>
      </c>
      <c r="O114" s="884">
        <f t="shared" si="168"/>
        <v>0.17848144108909025</v>
      </c>
      <c r="P114" s="884">
        <f t="shared" si="168"/>
        <v>0.19783677482792528</v>
      </c>
      <c r="Q114" s="884">
        <f t="shared" si="168"/>
        <v>0.14994875298940902</v>
      </c>
      <c r="R114" s="884">
        <f t="shared" si="168"/>
        <v>0.18041753604224864</v>
      </c>
      <c r="S114" s="884">
        <f t="shared" si="160"/>
        <v>0.25711884779440708</v>
      </c>
      <c r="T114" s="884">
        <f t="shared" si="160"/>
        <v>0.17037888323391548</v>
      </c>
      <c r="U114" s="884">
        <f t="shared" si="160"/>
        <v>0.21200867524287692</v>
      </c>
      <c r="V114" s="884">
        <f t="shared" si="160"/>
        <v>0.26387113525605166</v>
      </c>
      <c r="W114" s="884">
        <f t="shared" si="160"/>
        <v>0.14200857991420079</v>
      </c>
      <c r="X114" s="884">
        <f t="shared" si="160"/>
        <v>0.18638071042254389</v>
      </c>
      <c r="Y114" s="884">
        <f t="shared" si="160"/>
        <v>-1</v>
      </c>
      <c r="Z114" s="884">
        <f t="shared" si="161"/>
        <v>-1</v>
      </c>
      <c r="AA114" s="884">
        <f t="shared" si="162"/>
        <v>-1</v>
      </c>
      <c r="AB114" s="884">
        <f t="shared" si="163"/>
        <v>-1</v>
      </c>
      <c r="AC114" s="94"/>
      <c r="AD114" s="884">
        <f>AD109/U109-1</f>
        <v>0.14235996400361595</v>
      </c>
      <c r="AE114" s="42"/>
      <c r="AF114" s="943" t="str">
        <f t="shared" si="164"/>
        <v xml:space="preserve"> </v>
      </c>
      <c r="AG114" s="884">
        <f t="shared" si="164"/>
        <v>0.17784601515621046</v>
      </c>
      <c r="AH114" s="884">
        <f t="shared" si="164"/>
        <v>0.18954529750989946</v>
      </c>
      <c r="AI114" s="884">
        <f t="shared" si="164"/>
        <v>0.19778201754189983</v>
      </c>
      <c r="AK114" s="72"/>
      <c r="AL114" s="884">
        <f>IFERROR(AL109/AK109-1," ")</f>
        <v>0.17783934565433723</v>
      </c>
      <c r="AM114" s="884">
        <f t="shared" si="167"/>
        <v>0.1895484587644074</v>
      </c>
      <c r="AN114" s="884">
        <f t="shared" si="167"/>
        <v>0.19778201754189983</v>
      </c>
      <c r="AO114" s="885">
        <f t="shared" ca="1" si="167"/>
        <v>0.36036899962136504</v>
      </c>
      <c r="AP114" s="885">
        <f t="shared" ca="1" si="167"/>
        <v>0.48998482556740774</v>
      </c>
      <c r="AQ114" s="885">
        <f t="shared" ca="1" si="167"/>
        <v>0.3283127309821896</v>
      </c>
      <c r="AR114" s="885">
        <f t="shared" ca="1" si="167"/>
        <v>0.30619456825828983</v>
      </c>
    </row>
    <row r="115" spans="2:48" ht="12.6" customHeight="1" x14ac:dyDescent="0.2">
      <c r="B115" s="362">
        <f t="shared" si="102"/>
        <v>114</v>
      </c>
    </row>
    <row r="116" spans="2:48" ht="12.6" customHeight="1" x14ac:dyDescent="0.2">
      <c r="B116" s="362">
        <f t="shared" si="102"/>
        <v>115</v>
      </c>
      <c r="C116" s="50" t="s">
        <v>1658</v>
      </c>
      <c r="D116" s="50"/>
      <c r="E116" s="93"/>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40"/>
      <c r="AD116" s="93"/>
      <c r="AE116" s="40"/>
      <c r="AF116" s="93"/>
      <c r="AG116" s="93"/>
      <c r="AH116" s="93"/>
      <c r="AI116" s="93"/>
      <c r="AK116" s="55"/>
      <c r="AL116" s="55"/>
      <c r="AM116" s="55"/>
      <c r="AN116" s="55"/>
      <c r="AO116" s="822"/>
      <c r="AP116" s="822"/>
      <c r="AQ116" s="822"/>
      <c r="AR116" s="822"/>
      <c r="AT116" s="1177" t="s">
        <v>34</v>
      </c>
      <c r="AU116" s="1178" t="s">
        <v>919</v>
      </c>
      <c r="AV116" s="1178" t="s">
        <v>900</v>
      </c>
    </row>
    <row r="117" spans="2:48" ht="12.6" customHeight="1" x14ac:dyDescent="0.2">
      <c r="B117" s="362">
        <f t="shared" si="102"/>
        <v>116</v>
      </c>
      <c r="C117" s="56"/>
      <c r="D117" s="56"/>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40"/>
      <c r="AD117" s="57"/>
      <c r="AE117" s="40"/>
      <c r="AF117" s="57"/>
      <c r="AG117" s="57"/>
      <c r="AH117" s="57"/>
      <c r="AI117" s="57"/>
      <c r="AK117" s="59"/>
      <c r="AL117" s="59"/>
      <c r="AM117" s="59"/>
      <c r="AN117" s="59"/>
      <c r="AO117" s="60"/>
      <c r="AP117" s="60"/>
      <c r="AQ117" s="60"/>
      <c r="AR117" s="60"/>
      <c r="AT117" s="1179" t="s">
        <v>1001</v>
      </c>
      <c r="AU117" s="1181">
        <v>26000</v>
      </c>
      <c r="AV117" s="1181">
        <v>43000</v>
      </c>
    </row>
    <row r="118" spans="2:48" ht="12.6" customHeight="1" x14ac:dyDescent="0.2">
      <c r="B118" s="362">
        <f t="shared" si="102"/>
        <v>117</v>
      </c>
      <c r="C118" s="56" t="s">
        <v>1001</v>
      </c>
      <c r="D118" s="56"/>
      <c r="E118" s="59"/>
      <c r="F118" s="59"/>
      <c r="G118" s="59"/>
      <c r="H118" s="59"/>
      <c r="I118" s="59">
        <f t="shared" ref="I118:R118" si="169">I76</f>
        <v>4309.9000000000005</v>
      </c>
      <c r="J118" s="59">
        <f t="shared" si="169"/>
        <v>3409.6</v>
      </c>
      <c r="K118" s="59">
        <f t="shared" si="169"/>
        <v>3764.3</v>
      </c>
      <c r="L118" s="59">
        <f t="shared" si="169"/>
        <v>4718</v>
      </c>
      <c r="M118" s="59">
        <f t="shared" si="169"/>
        <v>4550.9000000000005</v>
      </c>
      <c r="N118" s="59">
        <f t="shared" si="169"/>
        <v>4521.7000000000007</v>
      </c>
      <c r="O118" s="59">
        <f t="shared" si="169"/>
        <v>4798.8999999999996</v>
      </c>
      <c r="P118" s="59">
        <f t="shared" si="169"/>
        <v>5811.7999999999993</v>
      </c>
      <c r="Q118" s="59">
        <f t="shared" si="169"/>
        <v>5146.4000000000015</v>
      </c>
      <c r="R118" s="59">
        <f t="shared" si="169"/>
        <v>5205.4000000000005</v>
      </c>
      <c r="S118" s="59">
        <f>S120-S119</f>
        <v>5690.8000000000011</v>
      </c>
      <c r="T118" s="59">
        <f>T120-T119</f>
        <v>6268.2000000000016</v>
      </c>
      <c r="U118" s="59">
        <v>5610</v>
      </c>
      <c r="V118" s="59">
        <f>V120-V119</f>
        <v>5849.8</v>
      </c>
      <c r="W118" s="59">
        <v>6110</v>
      </c>
      <c r="X118" s="59">
        <v>7050</v>
      </c>
      <c r="Y118" s="59"/>
      <c r="Z118" s="59"/>
      <c r="AA118" s="59"/>
      <c r="AB118" s="59"/>
      <c r="AC118" s="94"/>
      <c r="AD118" s="59">
        <f>AD107*AD123</f>
        <v>5856.1904861175872</v>
      </c>
      <c r="AF118" s="57">
        <f>IF(AF$1="3M",I118,IF(AF$1="6M",SUM(I118:J118),IF(AF$1="9M",SUM(I118:K118),SUM(I118:L118))))</f>
        <v>16201.8</v>
      </c>
      <c r="AG118" s="57">
        <f>IF(AG$1="3M",M118,IF(AG$1="6M",SUM(M118:N118),IF(AG$1="9M",SUM(M118:O118),SUM(M118:P118))))</f>
        <v>19683.300000000003</v>
      </c>
      <c r="AH118" s="57">
        <f>IF(AH$1="3M",Q118,IF(AH$1="6M",SUM(Q118:R118),IF(AH$1="9M",SUM(Q118:S118),SUM(Q118:T118))))</f>
        <v>22310.800000000007</v>
      </c>
      <c r="AI118" s="57">
        <f>IF(AI$1="3M",U118,IF(AI$1="6M",SUM(U118:V118),IF(AI$1="9M",SUM(U118:W118),SUM(U118:X118))))</f>
        <v>24619.8</v>
      </c>
      <c r="AJ118" s="37">
        <f>+AD118/AD29</f>
        <v>188.90937051992216</v>
      </c>
      <c r="AK118" s="59">
        <f t="shared" ref="AK118:AR118" si="170">AK120-AK119</f>
        <v>16201.896000000001</v>
      </c>
      <c r="AL118" s="59">
        <f t="shared" si="170"/>
        <v>19645.599999999995</v>
      </c>
      <c r="AM118" s="59">
        <f t="shared" si="170"/>
        <v>22311.8</v>
      </c>
      <c r="AN118" s="59">
        <f t="shared" si="170"/>
        <v>24619.8</v>
      </c>
      <c r="AO118" s="60">
        <f t="shared" ca="1" si="170"/>
        <v>25596.740006134336</v>
      </c>
      <c r="AP118" s="60">
        <f t="shared" ca="1" si="170"/>
        <v>40884.776385041034</v>
      </c>
      <c r="AQ118" s="60">
        <f t="shared" ca="1" si="170"/>
        <v>46551.629050293181</v>
      </c>
      <c r="AR118" s="60">
        <f t="shared" ca="1" si="170"/>
        <v>59196.165722582533</v>
      </c>
      <c r="AS118" s="352">
        <f ca="1">(AR118/AN118)^(1/4)-1</f>
        <v>0.24523771020938101</v>
      </c>
      <c r="AT118" s="1178"/>
      <c r="AU118" s="885">
        <f>AU117/AU107</f>
        <v>0.5</v>
      </c>
      <c r="AV118" s="885">
        <f>AV117/AV107</f>
        <v>0.53749999999999998</v>
      </c>
    </row>
    <row r="119" spans="2:48" ht="12.6" customHeight="1" x14ac:dyDescent="0.2">
      <c r="B119" s="362">
        <f t="shared" si="102"/>
        <v>118</v>
      </c>
      <c r="C119" s="56" t="s">
        <v>1656</v>
      </c>
      <c r="D119" s="56"/>
      <c r="E119" s="57"/>
      <c r="F119" s="57"/>
      <c r="G119" s="57"/>
      <c r="H119" s="57"/>
      <c r="I119" s="57"/>
      <c r="J119" s="57"/>
      <c r="K119" s="57"/>
      <c r="L119" s="57" t="s">
        <v>491</v>
      </c>
      <c r="M119" s="57"/>
      <c r="N119" s="57"/>
      <c r="O119" s="57"/>
      <c r="P119" s="57"/>
      <c r="Q119" s="57"/>
      <c r="R119" s="57"/>
      <c r="S119" s="57">
        <v>170</v>
      </c>
      <c r="T119" s="57">
        <v>141</v>
      </c>
      <c r="U119" s="57">
        <f>+U120-U118</f>
        <v>201.60000000000036</v>
      </c>
      <c r="V119" s="57">
        <f>259-12</f>
        <v>247</v>
      </c>
      <c r="W119" s="57">
        <f>+W120-W118</f>
        <v>327</v>
      </c>
      <c r="X119" s="57">
        <f>+X120-X118</f>
        <v>641.89999999999964</v>
      </c>
      <c r="Y119" s="57">
        <f>+Y120-Y118</f>
        <v>0</v>
      </c>
      <c r="Z119" s="57">
        <f t="shared" ref="Z119:AB119" si="171">+Z120-Z118</f>
        <v>0</v>
      </c>
      <c r="AA119" s="57">
        <f t="shared" si="171"/>
        <v>0</v>
      </c>
      <c r="AB119" s="57">
        <f t="shared" si="171"/>
        <v>0</v>
      </c>
      <c r="AC119" s="94"/>
      <c r="AD119" s="59">
        <f>AD108*AD124</f>
        <v>603.07724052634694</v>
      </c>
      <c r="AF119" s="57">
        <f>IF(AF$1="3M",I119,IF(AF$1="6M",SUM(I119:J119),IF(AF$1="9M",SUM(I119:K119),SUM(I119:L119))))</f>
        <v>0</v>
      </c>
      <c r="AG119" s="57">
        <f>IF(AG$1="3M",M119,IF(AG$1="6M",SUM(M119:N119),IF(AG$1="9M",SUM(M119:O119),SUM(M119:P119))))</f>
        <v>0</v>
      </c>
      <c r="AH119" s="57">
        <f>IF(AH$1="3M",Q119,IF(AH$1="6M",SUM(Q119:R119),IF(AH$1="9M",SUM(Q119:S119),SUM(Q119:T119))))</f>
        <v>311</v>
      </c>
      <c r="AI119" s="57">
        <f>IF(AI$1="3M",U119,IF(AI$1="6M",SUM(U119:V119),IF(AI$1="9M",SUM(U119:W119),SUM(U119:X119))))</f>
        <v>1417.5</v>
      </c>
      <c r="AK119" s="59">
        <v>0</v>
      </c>
      <c r="AL119" s="59">
        <v>0</v>
      </c>
      <c r="AM119" s="59">
        <f>410-100</f>
        <v>310</v>
      </c>
      <c r="AN119" s="59">
        <f>SUM(U119:X119)</f>
        <v>1417.5</v>
      </c>
      <c r="AO119" s="60">
        <f>Consol!AA23</f>
        <v>3934.1363984650006</v>
      </c>
      <c r="AP119" s="60">
        <f>Consol!AB23</f>
        <v>6554.6445967271002</v>
      </c>
      <c r="AQ119" s="60">
        <f>Consol!AC23</f>
        <v>11414.798698093844</v>
      </c>
      <c r="AR119" s="60">
        <f>Consol!AD23</f>
        <v>16310.648394551272</v>
      </c>
      <c r="AS119" s="352">
        <f>(AR119/AN119)^(1/4)-1</f>
        <v>0.84177697599552781</v>
      </c>
      <c r="AT119" s="1179" t="s">
        <v>34</v>
      </c>
      <c r="AU119" s="1181">
        <v>4000</v>
      </c>
      <c r="AV119" s="1181">
        <v>7000</v>
      </c>
    </row>
    <row r="120" spans="2:48" ht="12.6" customHeight="1" x14ac:dyDescent="0.2">
      <c r="B120" s="362">
        <f t="shared" si="102"/>
        <v>119</v>
      </c>
      <c r="C120" s="95" t="s">
        <v>1659</v>
      </c>
      <c r="D120" s="95"/>
      <c r="E120" s="63">
        <f t="shared" ref="E120:J120" si="172">SUM(E118:E119)</f>
        <v>0</v>
      </c>
      <c r="F120" s="63">
        <f t="shared" si="172"/>
        <v>0</v>
      </c>
      <c r="G120" s="63">
        <f t="shared" si="172"/>
        <v>0</v>
      </c>
      <c r="H120" s="63">
        <f t="shared" si="172"/>
        <v>0</v>
      </c>
      <c r="I120" s="63">
        <f t="shared" si="172"/>
        <v>4309.9000000000005</v>
      </c>
      <c r="J120" s="63">
        <f t="shared" si="172"/>
        <v>3409.6</v>
      </c>
      <c r="K120" s="63">
        <f>SUM(K118:K119)</f>
        <v>3764.3</v>
      </c>
      <c r="L120" s="63">
        <f>SUM(L118:L119)</f>
        <v>4718</v>
      </c>
      <c r="M120" s="63">
        <f>SUM(M118:M119)</f>
        <v>4550.9000000000005</v>
      </c>
      <c r="N120" s="63">
        <f>SUM(N118:N119)</f>
        <v>4521.7000000000007</v>
      </c>
      <c r="O120" s="63">
        <f>SUM(O118:O119)</f>
        <v>4798.8999999999996</v>
      </c>
      <c r="P120" s="63">
        <f t="shared" ref="P120:R120" si="173">SUM(P118:P119)</f>
        <v>5811.7999999999993</v>
      </c>
      <c r="Q120" s="63">
        <f t="shared" si="173"/>
        <v>5146.4000000000015</v>
      </c>
      <c r="R120" s="63">
        <f t="shared" si="173"/>
        <v>5205.4000000000005</v>
      </c>
      <c r="S120" s="63">
        <f t="shared" ref="S120:X120" si="174">S76</f>
        <v>5860.8000000000011</v>
      </c>
      <c r="T120" s="63">
        <f t="shared" si="174"/>
        <v>6409.2000000000016</v>
      </c>
      <c r="U120" s="63">
        <f t="shared" si="174"/>
        <v>5811.6</v>
      </c>
      <c r="V120" s="63">
        <f t="shared" si="174"/>
        <v>6096.8</v>
      </c>
      <c r="W120" s="63">
        <f t="shared" si="174"/>
        <v>6437</v>
      </c>
      <c r="X120" s="63">
        <f t="shared" si="174"/>
        <v>7691.9</v>
      </c>
      <c r="Y120" s="63">
        <f t="shared" ref="Y120:AB120" si="175">Y76</f>
        <v>0</v>
      </c>
      <c r="Z120" s="63">
        <f t="shared" si="175"/>
        <v>0</v>
      </c>
      <c r="AA120" s="63">
        <f t="shared" si="175"/>
        <v>0</v>
      </c>
      <c r="AB120" s="63">
        <f t="shared" si="175"/>
        <v>0</v>
      </c>
      <c r="AC120" s="94"/>
      <c r="AD120" s="63">
        <f>SUM(AD118:AD119)</f>
        <v>6459.2677266439341</v>
      </c>
      <c r="AE120" s="42"/>
      <c r="AF120" s="63">
        <f>IF(AF$1="3M",I120,IF(AF$1="6M",SUM(I120:J120),IF(AF$1="9M",SUM(I120:K120),SUM(I120:L120))))</f>
        <v>16201.8</v>
      </c>
      <c r="AG120" s="63">
        <f>IF(AG$1="3M",M120,IF(AG$1="6M",SUM(M120:N120),IF(AG$1="9M",SUM(M120:O120),SUM(M120:P120))))</f>
        <v>19683.300000000003</v>
      </c>
      <c r="AH120" s="63">
        <f>IF(AH$1="3M",Q120,IF(AH$1="6M",SUM(Q120:R120),IF(AH$1="9M",SUM(Q120:S120),SUM(Q120:T120))))</f>
        <v>22621.800000000007</v>
      </c>
      <c r="AI120" s="63">
        <f>IF(AI$1="3M",U120,IF(AI$1="6M",SUM(U120:V120),IF(AI$1="9M",SUM(U120:W120),SUM(U120:X120))))</f>
        <v>26037.300000000003</v>
      </c>
      <c r="AK120" s="72">
        <f t="shared" ref="AK120:AR120" si="176">AK76</f>
        <v>16201.896000000001</v>
      </c>
      <c r="AL120" s="72">
        <f t="shared" si="176"/>
        <v>19645.599999999995</v>
      </c>
      <c r="AM120" s="72">
        <f t="shared" si="176"/>
        <v>22621.8</v>
      </c>
      <c r="AN120" s="72">
        <f t="shared" si="176"/>
        <v>26037.3</v>
      </c>
      <c r="AO120" s="73">
        <f t="shared" ca="1" si="176"/>
        <v>29530.876404599338</v>
      </c>
      <c r="AP120" s="73">
        <f t="shared" ca="1" si="176"/>
        <v>47439.420981768133</v>
      </c>
      <c r="AQ120" s="73">
        <f t="shared" ca="1" si="176"/>
        <v>57966.427748387025</v>
      </c>
      <c r="AR120" s="73">
        <f t="shared" ca="1" si="176"/>
        <v>75506.814117133807</v>
      </c>
      <c r="AS120" s="352">
        <f ca="1">(AR120/AN120)^(1/4)-1</f>
        <v>0.30496105186515643</v>
      </c>
      <c r="AT120" s="324"/>
      <c r="AU120" s="885">
        <f>AU119/AU108</f>
        <v>0.24242424242424243</v>
      </c>
      <c r="AV120" s="885">
        <f>AV119/AV108</f>
        <v>0.25</v>
      </c>
    </row>
    <row r="121" spans="2:48" ht="12.6" customHeight="1" x14ac:dyDescent="0.2">
      <c r="B121" s="362">
        <f t="shared" si="102"/>
        <v>120</v>
      </c>
      <c r="C121" s="95"/>
      <c r="D121" s="95"/>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94"/>
      <c r="AD121" s="63"/>
      <c r="AE121" s="42"/>
      <c r="AF121" s="63"/>
      <c r="AG121" s="63"/>
      <c r="AH121" s="63"/>
      <c r="AI121" s="63"/>
      <c r="AK121" s="72"/>
      <c r="AL121" s="72"/>
      <c r="AM121" s="72"/>
      <c r="AN121" s="72"/>
      <c r="AO121" s="73"/>
      <c r="AP121" s="73"/>
      <c r="AQ121" s="73"/>
      <c r="AR121" s="73"/>
    </row>
    <row r="122" spans="2:48" ht="12.6" customHeight="1" x14ac:dyDescent="0.2">
      <c r="B122" s="362">
        <f t="shared" si="102"/>
        <v>121</v>
      </c>
      <c r="C122" s="111" t="s">
        <v>892</v>
      </c>
      <c r="D122" s="95"/>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94"/>
      <c r="AD122" s="63"/>
      <c r="AE122" s="42"/>
      <c r="AF122" s="63"/>
      <c r="AG122" s="63"/>
      <c r="AH122" s="63"/>
      <c r="AI122" s="63"/>
      <c r="AK122" s="72"/>
      <c r="AL122" s="72"/>
      <c r="AM122" s="72"/>
      <c r="AN122" s="72"/>
      <c r="AO122" s="73"/>
      <c r="AP122" s="73"/>
      <c r="AQ122" s="73"/>
      <c r="AR122" s="73"/>
    </row>
    <row r="123" spans="2:48" ht="12.6" customHeight="1" x14ac:dyDescent="0.2">
      <c r="B123" s="362">
        <f t="shared" si="102"/>
        <v>122</v>
      </c>
      <c r="C123" s="112" t="s">
        <v>1001</v>
      </c>
      <c r="D123" s="111"/>
      <c r="E123" s="942"/>
      <c r="F123" s="942"/>
      <c r="G123" s="942"/>
      <c r="H123" s="942"/>
      <c r="I123" s="330">
        <f t="shared" ref="I123:R123" si="177">I118/I107</f>
        <v>0.52578992314261319</v>
      </c>
      <c r="J123" s="330">
        <f t="shared" si="177"/>
        <v>0.51504531722054381</v>
      </c>
      <c r="K123" s="330">
        <f t="shared" si="177"/>
        <v>0.47187644942524415</v>
      </c>
      <c r="L123" s="330">
        <f t="shared" si="177"/>
        <v>0.51545941221457448</v>
      </c>
      <c r="M123" s="330">
        <f t="shared" si="177"/>
        <v>0.518266712219565</v>
      </c>
      <c r="N123" s="330">
        <f t="shared" si="177"/>
        <v>0.53302448397401903</v>
      </c>
      <c r="O123" s="330">
        <f t="shared" si="177"/>
        <v>0.51046154173447778</v>
      </c>
      <c r="P123" s="330">
        <f t="shared" si="177"/>
        <v>0.53008993232273482</v>
      </c>
      <c r="Q123" s="330">
        <f t="shared" si="177"/>
        <v>0.5096606157837924</v>
      </c>
      <c r="R123" s="330">
        <f t="shared" si="177"/>
        <v>0.51983302708316692</v>
      </c>
      <c r="S123" s="330">
        <f t="shared" ref="S123:T125" si="178">S118/S107</f>
        <v>0.53534773896764853</v>
      </c>
      <c r="T123" s="330">
        <f t="shared" si="178"/>
        <v>0.54398708635996784</v>
      </c>
      <c r="U123" s="330">
        <f t="shared" ref="U123:V123" si="179">U118/U107</f>
        <v>0.51671256597065518</v>
      </c>
      <c r="V123" s="330">
        <f t="shared" si="179"/>
        <v>0.53040647752722392</v>
      </c>
      <c r="W123" s="330">
        <f t="shared" ref="W123" si="180">W118/W107</f>
        <v>0.52499978518830392</v>
      </c>
      <c r="X123" s="330">
        <f t="shared" ref="X123:Y123" si="181">X118/X107</f>
        <v>0.54461181923522595</v>
      </c>
      <c r="Y123" s="330" t="e">
        <f t="shared" si="181"/>
        <v>#DIV/0!</v>
      </c>
      <c r="Z123" s="330" t="e">
        <f t="shared" ref="Z123:AB123" si="182">Z118/Z107</f>
        <v>#DIV/0!</v>
      </c>
      <c r="AA123" s="330" t="e">
        <f t="shared" si="182"/>
        <v>#DIV/0!</v>
      </c>
      <c r="AB123" s="330" t="e">
        <f t="shared" si="182"/>
        <v>#DIV/0!</v>
      </c>
      <c r="AC123" s="94"/>
      <c r="AD123" s="353">
        <f>U123-1%</f>
        <v>0.50671256597065517</v>
      </c>
      <c r="AE123" s="42"/>
      <c r="AF123" s="330">
        <f t="shared" ref="AF123:AI125" si="183">IFERROR(AF118/AF107," ")</f>
        <v>0.50714144857311882</v>
      </c>
      <c r="AG123" s="330">
        <f t="shared" si="183"/>
        <v>0.52308857530096475</v>
      </c>
      <c r="AH123" s="330">
        <f t="shared" si="183"/>
        <v>0.52789010058181773</v>
      </c>
      <c r="AI123" s="330">
        <f t="shared" si="183"/>
        <v>0.52981013189409731</v>
      </c>
      <c r="AK123" s="72"/>
      <c r="AL123" s="330">
        <f t="shared" ref="AL123:AR125" si="184">IFERROR(AL118/AL107," ")</f>
        <v>0.52208807592036965</v>
      </c>
      <c r="AM123" s="330">
        <f t="shared" si="184"/>
        <v>0.52794748872493569</v>
      </c>
      <c r="AN123" s="330">
        <f t="shared" ref="AN123" si="185">IFERROR(AN118/AN107," ")</f>
        <v>0.52981013189409731</v>
      </c>
      <c r="AO123" s="324">
        <f t="shared" ca="1" si="184"/>
        <v>0.45081845675601417</v>
      </c>
      <c r="AP123" s="324">
        <f t="shared" ca="1" si="184"/>
        <v>0.5069850341958525</v>
      </c>
      <c r="AQ123" s="324">
        <f t="shared" ca="1" si="184"/>
        <v>0.51130059440641795</v>
      </c>
      <c r="AR123" s="324">
        <f t="shared" ca="1" si="184"/>
        <v>0.52695697674060382</v>
      </c>
    </row>
    <row r="124" spans="2:48" ht="12.6" customHeight="1" x14ac:dyDescent="0.2">
      <c r="B124" s="362">
        <f t="shared" si="102"/>
        <v>123</v>
      </c>
      <c r="C124" s="112" t="s">
        <v>1656</v>
      </c>
      <c r="D124" s="111"/>
      <c r="E124" s="942"/>
      <c r="F124" s="942"/>
      <c r="G124" s="942"/>
      <c r="H124" s="942"/>
      <c r="I124" s="942"/>
      <c r="J124" s="942"/>
      <c r="K124" s="942"/>
      <c r="L124" s="942"/>
      <c r="M124" s="942"/>
      <c r="N124" s="942"/>
      <c r="O124" s="942"/>
      <c r="P124" s="942"/>
      <c r="Q124" s="942"/>
      <c r="R124" s="942"/>
      <c r="S124" s="330">
        <f t="shared" si="178"/>
        <v>0.14307355664029625</v>
      </c>
      <c r="T124" s="330">
        <f t="shared" si="178"/>
        <v>0.10770758536399054</v>
      </c>
      <c r="U124" s="330">
        <f t="shared" ref="U124:V124" si="186">U119/U108</f>
        <v>0.14593890256261788</v>
      </c>
      <c r="V124" s="330">
        <f t="shared" si="186"/>
        <v>0.15181315304240933</v>
      </c>
      <c r="W124" s="330">
        <f t="shared" ref="W124" si="187">W119/W108</f>
        <v>0.17594834543987087</v>
      </c>
      <c r="X124" s="330">
        <f t="shared" ref="X124:Y124" si="188">X119/X108</f>
        <v>0.28173279494382003</v>
      </c>
      <c r="Y124" s="330" t="e">
        <f t="shared" si="188"/>
        <v>#DIV/0!</v>
      </c>
      <c r="Z124" s="330" t="e">
        <f t="shared" ref="Z124:AB124" si="189">Z119/Z108</f>
        <v>#DIV/0!</v>
      </c>
      <c r="AA124" s="330" t="e">
        <f t="shared" si="189"/>
        <v>#DIV/0!</v>
      </c>
      <c r="AB124" s="330" t="e">
        <f t="shared" si="189"/>
        <v>#DIV/0!</v>
      </c>
      <c r="AC124" s="94"/>
      <c r="AD124" s="353">
        <f>AVERAGE(W124:X124)+2%</f>
        <v>0.24884057019184544</v>
      </c>
      <c r="AE124" s="42"/>
      <c r="AF124" s="330" t="str">
        <f t="shared" si="183"/>
        <v xml:space="preserve"> </v>
      </c>
      <c r="AG124" s="330" t="str">
        <f t="shared" si="183"/>
        <v xml:space="preserve"> </v>
      </c>
      <c r="AH124" s="330">
        <f t="shared" si="183"/>
        <v>0.12453449725703759</v>
      </c>
      <c r="AI124" s="330">
        <f t="shared" si="183"/>
        <v>0.1983821533035702</v>
      </c>
      <c r="AK124" s="72"/>
      <c r="AL124" s="330" t="str">
        <f t="shared" si="184"/>
        <v xml:space="preserve"> </v>
      </c>
      <c r="AM124" s="330">
        <f t="shared" si="184"/>
        <v>0.124</v>
      </c>
      <c r="AN124" s="330">
        <f t="shared" ref="AN124" si="190">IFERROR(AN119/AN108," ")</f>
        <v>0.1983821533035702</v>
      </c>
      <c r="AO124" s="324">
        <f t="shared" si="184"/>
        <v>0.243494368255078</v>
      </c>
      <c r="AP124" s="324">
        <f t="shared" si="184"/>
        <v>0.23384702238750171</v>
      </c>
      <c r="AQ124" s="324">
        <f t="shared" si="184"/>
        <v>0.21413856588891775</v>
      </c>
      <c r="AR124" s="324">
        <f t="shared" si="184"/>
        <v>0.2140087289588655</v>
      </c>
    </row>
    <row r="125" spans="2:48" ht="12.6" customHeight="1" x14ac:dyDescent="0.2">
      <c r="B125" s="362">
        <f t="shared" si="102"/>
        <v>124</v>
      </c>
      <c r="C125" s="111" t="s">
        <v>1659</v>
      </c>
      <c r="D125" s="111"/>
      <c r="E125" s="942"/>
      <c r="F125" s="942"/>
      <c r="G125" s="942"/>
      <c r="H125" s="942"/>
      <c r="I125" s="884">
        <f t="shared" ref="I125:R125" si="191">I120/I109</f>
        <v>0.52578992314261319</v>
      </c>
      <c r="J125" s="884">
        <f t="shared" si="191"/>
        <v>0.51504531722054381</v>
      </c>
      <c r="K125" s="884">
        <f t="shared" si="191"/>
        <v>0.47187644942524415</v>
      </c>
      <c r="L125" s="884">
        <f t="shared" si="191"/>
        <v>0.51545941221457448</v>
      </c>
      <c r="M125" s="884">
        <f t="shared" si="191"/>
        <v>0.518266712219565</v>
      </c>
      <c r="N125" s="884">
        <f t="shared" si="191"/>
        <v>0.53302448397401903</v>
      </c>
      <c r="O125" s="884">
        <f t="shared" si="191"/>
        <v>0.51046154173447778</v>
      </c>
      <c r="P125" s="884">
        <f t="shared" si="191"/>
        <v>0.53008993232273482</v>
      </c>
      <c r="Q125" s="884">
        <f t="shared" si="191"/>
        <v>0.5096606157837924</v>
      </c>
      <c r="R125" s="884">
        <f t="shared" si="191"/>
        <v>0.51983302708316692</v>
      </c>
      <c r="S125" s="884">
        <f t="shared" si="178"/>
        <v>0.49590888706497555</v>
      </c>
      <c r="T125" s="884">
        <f t="shared" si="178"/>
        <v>0.49947785969232694</v>
      </c>
      <c r="U125" s="884">
        <f t="shared" ref="U125:V125" si="192">U120/U109</f>
        <v>0.47486211545532542</v>
      </c>
      <c r="V125" s="884">
        <f t="shared" si="192"/>
        <v>0.48173579121200394</v>
      </c>
      <c r="W125" s="884">
        <f t="shared" ref="W125" si="193">W120/W109</f>
        <v>0.47693493176059154</v>
      </c>
      <c r="X125" s="884">
        <f t="shared" ref="X125:Y125" si="194">X120/X109</f>
        <v>0.50526820552570384</v>
      </c>
      <c r="Y125" s="884" t="e">
        <f t="shared" si="194"/>
        <v>#DIV/0!</v>
      </c>
      <c r="Z125" s="884" t="e">
        <f t="shared" ref="Z125:AB125" si="195">Z120/Z109</f>
        <v>#DIV/0!</v>
      </c>
      <c r="AA125" s="884" t="e">
        <f t="shared" si="195"/>
        <v>#DIV/0!</v>
      </c>
      <c r="AB125" s="884" t="e">
        <f t="shared" si="195"/>
        <v>#DIV/0!</v>
      </c>
      <c r="AC125" s="94"/>
      <c r="AD125" s="1003">
        <f>AD120/AD109</f>
        <v>0.46201079116730426</v>
      </c>
      <c r="AE125" s="42"/>
      <c r="AF125" s="884">
        <f t="shared" si="183"/>
        <v>0.50714144857311882</v>
      </c>
      <c r="AG125" s="884">
        <f t="shared" si="183"/>
        <v>0.52308857530096475</v>
      </c>
      <c r="AH125" s="884">
        <f t="shared" si="183"/>
        <v>0.50538633733529337</v>
      </c>
      <c r="AI125" s="884">
        <f t="shared" si="183"/>
        <v>0.48564005192634818</v>
      </c>
      <c r="AK125" s="72"/>
      <c r="AL125" s="884">
        <f t="shared" si="184"/>
        <v>0.52208807592036965</v>
      </c>
      <c r="AM125" s="884">
        <f t="shared" si="184"/>
        <v>0.50538633733529337</v>
      </c>
      <c r="AN125" s="884">
        <f t="shared" ref="AN125" si="196">IFERROR(AN120/AN109," ")</f>
        <v>0.48564005192634813</v>
      </c>
      <c r="AO125" s="885">
        <f t="shared" ca="1" si="184"/>
        <v>0.40489103350763284</v>
      </c>
      <c r="AP125" s="885">
        <f t="shared" ca="1" si="184"/>
        <v>0.43653528913894879</v>
      </c>
      <c r="AQ125" s="885">
        <f t="shared" ca="1" si="184"/>
        <v>0.40156530224663273</v>
      </c>
      <c r="AR125" s="885">
        <f t="shared" ca="1" si="184"/>
        <v>0.40045886822155319</v>
      </c>
    </row>
    <row r="127" spans="2:48" ht="12.6" customHeight="1" x14ac:dyDescent="0.2">
      <c r="C127" s="50" t="s">
        <v>1777</v>
      </c>
      <c r="D127" s="50"/>
      <c r="E127" s="93"/>
      <c r="F127" s="93"/>
      <c r="G127" s="93"/>
      <c r="H127" s="93"/>
      <c r="I127" s="93"/>
      <c r="J127" s="93"/>
      <c r="K127" s="93"/>
      <c r="L127" s="93"/>
      <c r="M127" s="93"/>
      <c r="N127" s="93"/>
      <c r="O127" s="93"/>
      <c r="P127" s="93"/>
      <c r="Q127" s="93"/>
      <c r="R127" s="163" t="s">
        <v>1785</v>
      </c>
      <c r="S127" s="93"/>
      <c r="T127" s="93" t="s">
        <v>347</v>
      </c>
      <c r="U127" s="93"/>
      <c r="V127" s="163" t="s">
        <v>1786</v>
      </c>
      <c r="W127" s="163"/>
      <c r="X127" s="163" t="s">
        <v>348</v>
      </c>
      <c r="Y127" s="163"/>
      <c r="Z127" s="163"/>
      <c r="AA127" s="163"/>
      <c r="AB127" s="163"/>
      <c r="AN127" s="324">
        <f>AN118/AM118-1</f>
        <v>0.10344302118161686</v>
      </c>
      <c r="AO127" s="324">
        <f t="shared" ref="AO127:AR127" ca="1" si="197">AO118/AN118-1</f>
        <v>3.9681069957283821E-2</v>
      </c>
      <c r="AP127" s="324">
        <f t="shared" ca="1" si="197"/>
        <v>0.59726497887007768</v>
      </c>
      <c r="AQ127" s="324">
        <f t="shared" ca="1" si="197"/>
        <v>0.13860544599494351</v>
      </c>
      <c r="AR127" s="324">
        <f t="shared" ca="1" si="197"/>
        <v>0.2716239351930847</v>
      </c>
    </row>
    <row r="128" spans="2:48" ht="12.6" customHeight="1" x14ac:dyDescent="0.2">
      <c r="C128" s="56"/>
      <c r="D128" s="56"/>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D128" s="840" t="s">
        <v>1788</v>
      </c>
      <c r="AE128" s="362"/>
      <c r="AF128" s="1039"/>
      <c r="AG128" s="362"/>
      <c r="AH128" s="362"/>
      <c r="AI128" s="362"/>
      <c r="AJ128" s="362"/>
      <c r="AN128" s="324">
        <f>AN119/AM119-1</f>
        <v>3.57258064516129</v>
      </c>
      <c r="AO128" s="324">
        <f t="shared" ref="AO128:AR128" si="198">AO119/AN119-1</f>
        <v>1.7754048666419759</v>
      </c>
      <c r="AP128" s="324">
        <f t="shared" si="198"/>
        <v>0.66609490186577025</v>
      </c>
      <c r="AQ128" s="324">
        <f t="shared" si="198"/>
        <v>0.74148247546381718</v>
      </c>
      <c r="AR128" s="324">
        <f t="shared" si="198"/>
        <v>0.42890372628953899</v>
      </c>
    </row>
    <row r="129" spans="3:44" ht="12.6" customHeight="1" x14ac:dyDescent="0.2">
      <c r="C129" s="56" t="s">
        <v>1778</v>
      </c>
      <c r="D129" s="56"/>
      <c r="E129" s="59"/>
      <c r="F129" s="59"/>
      <c r="G129" s="59"/>
      <c r="H129" s="59"/>
      <c r="I129" s="59"/>
      <c r="J129" s="59"/>
      <c r="K129" s="59"/>
      <c r="L129" s="59"/>
      <c r="M129" s="59"/>
      <c r="N129" s="59"/>
      <c r="O129" s="59"/>
      <c r="P129" s="59"/>
      <c r="Q129" s="59"/>
      <c r="R129" s="59">
        <v>6780.5</v>
      </c>
      <c r="S129" s="59"/>
      <c r="T129" s="59">
        <v>21004.400000000001</v>
      </c>
      <c r="U129" s="59"/>
      <c r="V129" s="59">
        <v>13112.5</v>
      </c>
      <c r="W129" s="59"/>
      <c r="X129" s="59">
        <v>20215</v>
      </c>
      <c r="Y129" s="59"/>
      <c r="Z129" s="59"/>
      <c r="AA129" s="59"/>
      <c r="AB129" s="59"/>
      <c r="AD129" s="37" t="str">
        <f>CONCATENATE("Consolidated CFO Post tax for ",X127," came in at Rs. ",ROUND(X129,0),"mn (",IF(X134&gt;0,"up by ","down by "),ROUND(X134*100,0),"% yoy)")</f>
        <v>Consolidated CFO Post tax for FY26 came in at Rs. 20215mn (down by -4% yoy)</v>
      </c>
      <c r="AN129" s="885">
        <f>AN120/AM120-1</f>
        <v>0.15098268042330854</v>
      </c>
      <c r="AO129" s="885">
        <f t="shared" ref="AO129:AR129" ca="1" si="199">AO120/AN120-1</f>
        <v>0.13417583254021492</v>
      </c>
      <c r="AP129" s="885">
        <f t="shared" ca="1" si="199"/>
        <v>0.60643457822943581</v>
      </c>
      <c r="AQ129" s="885">
        <f t="shared" ca="1" si="199"/>
        <v>0.22190420010953793</v>
      </c>
      <c r="AR129" s="885">
        <f t="shared" ca="1" si="199"/>
        <v>0.30259560663085483</v>
      </c>
    </row>
    <row r="130" spans="3:44" ht="12.6" customHeight="1" x14ac:dyDescent="0.2">
      <c r="C130" s="56" t="s">
        <v>1789</v>
      </c>
      <c r="D130" s="56"/>
      <c r="E130" s="59"/>
      <c r="F130" s="59"/>
      <c r="G130" s="59"/>
      <c r="H130" s="59"/>
      <c r="I130" s="59"/>
      <c r="J130" s="59"/>
      <c r="K130" s="59"/>
      <c r="L130" s="59"/>
      <c r="M130" s="59"/>
      <c r="N130" s="59"/>
      <c r="O130" s="59"/>
      <c r="P130" s="59"/>
      <c r="Q130" s="59"/>
      <c r="R130" s="59">
        <v>3835.3</v>
      </c>
      <c r="S130" s="59"/>
      <c r="T130" s="59">
        <v>20755.7</v>
      </c>
      <c r="U130" s="59"/>
      <c r="V130" s="59">
        <v>9021.4</v>
      </c>
      <c r="W130" s="59"/>
      <c r="X130" s="59">
        <v>24916.400000000001</v>
      </c>
      <c r="Y130" s="59"/>
      <c r="Z130" s="59"/>
      <c r="AA130" s="59"/>
      <c r="AB130" s="59"/>
      <c r="AD130" s="37" t="str">
        <f>CONCATENATE("Consolidated CAPEX for ",X127," came in at Rs. ",ROUND(X130,0),"mn (",IF(X135&gt;0,"up by ","down by "),ROUND(X135*100,0),"% yoy)")</f>
        <v>Consolidated CAPEX for FY26 came in at Rs. 24916mn (up by 20% yoy)</v>
      </c>
      <c r="AN130" s="885"/>
      <c r="AO130" s="885"/>
      <c r="AP130" s="885"/>
      <c r="AQ130" s="885"/>
      <c r="AR130" s="885"/>
    </row>
    <row r="131" spans="3:44" ht="12.6" customHeight="1" x14ac:dyDescent="0.2">
      <c r="C131" s="56" t="s">
        <v>1210</v>
      </c>
      <c r="D131" s="56"/>
      <c r="E131" s="59"/>
      <c r="F131" s="59"/>
      <c r="G131" s="59"/>
      <c r="H131" s="59"/>
      <c r="I131" s="59"/>
      <c r="J131" s="59"/>
      <c r="K131" s="59"/>
      <c r="L131" s="59"/>
      <c r="M131" s="59"/>
      <c r="N131" s="59"/>
      <c r="O131" s="59"/>
      <c r="P131" s="59"/>
      <c r="Q131" s="59"/>
      <c r="R131" s="59">
        <f>1669+42473.2</f>
        <v>44142.2</v>
      </c>
      <c r="S131" s="59"/>
      <c r="T131" s="59">
        <f>44390.1+2198.2</f>
        <v>46588.299999999996</v>
      </c>
      <c r="U131" s="59"/>
      <c r="V131" s="59">
        <f>46545+2431.3</f>
        <v>48976.3</v>
      </c>
      <c r="W131" s="59"/>
      <c r="X131" s="59">
        <f>59516.6+4581.9</f>
        <v>64098.5</v>
      </c>
      <c r="Y131" s="59"/>
      <c r="Z131" s="59"/>
      <c r="AA131" s="59"/>
      <c r="AB131" s="59"/>
      <c r="AD131" s="37" t="str">
        <f>CONCATENATE("Consolidated Borrowings for ",X127," came in at Rs. ",ROUND(X131,0),"mn (",IF(X136&gt;0,"up by ","down by "),ROUND(X136*100,0),"% yoy)")</f>
        <v>Consolidated Borrowings for FY26 came in at Rs. 64099mn (up by 38% yoy)</v>
      </c>
      <c r="AN131" s="38" t="s">
        <v>1968</v>
      </c>
      <c r="AO131" s="885"/>
      <c r="AP131" s="885"/>
      <c r="AQ131" s="885"/>
      <c r="AR131" s="885"/>
    </row>
    <row r="132" spans="3:44" ht="12.6" customHeight="1" x14ac:dyDescent="0.2">
      <c r="C132" s="59"/>
      <c r="D132" s="56"/>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D132" s="37" t="str">
        <f>CONCATENATE("Consolidated Working Capital Days for ",X127," came in at ",ROUND(X146,0)," days vs ",ROUND(T146,0)," days yoy")</f>
        <v>Consolidated Working Capital Days for FY26 came in at 57 days vs 48 days yoy</v>
      </c>
      <c r="AM132" s="38"/>
      <c r="AQ132" s="1178"/>
      <c r="AR132" s="885"/>
    </row>
    <row r="133" spans="3:44" ht="12.6" customHeight="1" x14ac:dyDescent="0.2">
      <c r="C133" s="111" t="s">
        <v>1787</v>
      </c>
      <c r="D133" s="56"/>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Q133" s="1180"/>
      <c r="AR133" s="1176"/>
    </row>
    <row r="134" spans="3:44" ht="12.6" customHeight="1" x14ac:dyDescent="0.2">
      <c r="C134" s="112" t="s">
        <v>1778</v>
      </c>
      <c r="D134" s="56"/>
      <c r="E134" s="59"/>
      <c r="F134" s="59"/>
      <c r="G134" s="59"/>
      <c r="H134" s="59"/>
      <c r="I134" s="59"/>
      <c r="J134" s="59"/>
      <c r="K134" s="59"/>
      <c r="L134" s="59"/>
      <c r="M134" s="59"/>
      <c r="N134" s="59"/>
      <c r="O134" s="59"/>
      <c r="P134" s="59"/>
      <c r="Q134" s="59"/>
      <c r="R134" s="59"/>
      <c r="S134" s="59"/>
      <c r="T134" s="59"/>
      <c r="U134" s="59"/>
      <c r="V134" s="1038">
        <f>V129/R129-1</f>
        <v>0.93385443551360514</v>
      </c>
      <c r="W134" s="1038"/>
      <c r="X134" s="1038">
        <f>X129/T129-1</f>
        <v>-3.7582601740587807E-2</v>
      </c>
      <c r="Y134" s="1038"/>
      <c r="Z134" s="1038"/>
      <c r="AA134" s="1038"/>
      <c r="AB134" s="1038"/>
      <c r="AQ134" s="1180"/>
      <c r="AR134" s="1176"/>
    </row>
    <row r="135" spans="3:44" ht="12.6" customHeight="1" x14ac:dyDescent="0.2">
      <c r="C135" s="112" t="s">
        <v>1779</v>
      </c>
      <c r="D135" s="56"/>
      <c r="E135" s="59"/>
      <c r="F135" s="59"/>
      <c r="G135" s="59"/>
      <c r="H135" s="59"/>
      <c r="I135" s="59"/>
      <c r="J135" s="59"/>
      <c r="K135" s="59"/>
      <c r="L135" s="59"/>
      <c r="M135" s="59"/>
      <c r="N135" s="59"/>
      <c r="O135" s="59"/>
      <c r="P135" s="59"/>
      <c r="Q135" s="59"/>
      <c r="R135" s="59"/>
      <c r="S135" s="59"/>
      <c r="T135" s="59"/>
      <c r="U135" s="59"/>
      <c r="V135" s="1038">
        <f>V130/R130-1</f>
        <v>1.3522019138007453</v>
      </c>
      <c r="W135" s="1038"/>
      <c r="X135" s="1038">
        <f>X130/T130-1</f>
        <v>0.20046059636629932</v>
      </c>
      <c r="Y135" s="1038"/>
      <c r="Z135" s="1038"/>
      <c r="AA135" s="1038"/>
      <c r="AB135" s="1038"/>
      <c r="AQ135" s="1180"/>
      <c r="AR135" s="1176"/>
    </row>
    <row r="136" spans="3:44" ht="12.6" customHeight="1" x14ac:dyDescent="0.2">
      <c r="C136" s="112" t="s">
        <v>1210</v>
      </c>
      <c r="D136" s="56"/>
      <c r="E136" s="59"/>
      <c r="F136" s="59"/>
      <c r="G136" s="59"/>
      <c r="H136" s="59"/>
      <c r="I136" s="59"/>
      <c r="J136" s="59"/>
      <c r="K136" s="59"/>
      <c r="L136" s="59"/>
      <c r="M136" s="59"/>
      <c r="N136" s="59"/>
      <c r="O136" s="59"/>
      <c r="P136" s="59"/>
      <c r="Q136" s="59"/>
      <c r="R136" s="59"/>
      <c r="S136" s="59"/>
      <c r="T136" s="59"/>
      <c r="U136" s="59"/>
      <c r="V136" s="1038">
        <f t="shared" ref="V136:X136" si="200">V131/R131-1</f>
        <v>0.10951198626257885</v>
      </c>
      <c r="W136" s="1038"/>
      <c r="X136" s="1038">
        <f t="shared" si="200"/>
        <v>0.37584973051173809</v>
      </c>
      <c r="Y136" s="1038"/>
      <c r="Z136" s="1038"/>
      <c r="AA136" s="1038"/>
      <c r="AB136" s="1038"/>
      <c r="AQ136" s="1180"/>
      <c r="AR136" s="1176"/>
    </row>
    <row r="137" spans="3:44" ht="12.6" customHeight="1" x14ac:dyDescent="0.2">
      <c r="C137" s="59"/>
      <c r="D137" s="56"/>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Q137" s="1180"/>
      <c r="AR137" s="1176"/>
    </row>
    <row r="138" spans="3:44" ht="12.6" customHeight="1" x14ac:dyDescent="0.2">
      <c r="C138" s="56" t="s">
        <v>1780</v>
      </c>
      <c r="D138" s="56"/>
      <c r="E138" s="57"/>
      <c r="F138" s="57"/>
      <c r="G138" s="57"/>
      <c r="H138" s="57"/>
      <c r="I138" s="57"/>
      <c r="J138" s="57"/>
      <c r="K138" s="57"/>
      <c r="L138" s="57"/>
      <c r="M138" s="57"/>
      <c r="N138" s="57"/>
      <c r="O138" s="57"/>
      <c r="P138" s="57"/>
      <c r="Q138" s="57"/>
      <c r="R138" s="57">
        <f>8390.6</f>
        <v>8390.6</v>
      </c>
      <c r="S138" s="57"/>
      <c r="T138" s="57">
        <v>8090.3</v>
      </c>
      <c r="U138" s="57"/>
      <c r="V138" s="57">
        <f>10345.3</f>
        <v>10345.299999999999</v>
      </c>
      <c r="W138" s="57"/>
      <c r="X138" s="57">
        <v>10579.9</v>
      </c>
      <c r="Y138" s="57"/>
      <c r="Z138" s="57"/>
      <c r="AA138" s="57"/>
      <c r="AB138" s="57"/>
      <c r="AQ138" s="1180"/>
      <c r="AR138" s="1176"/>
    </row>
    <row r="139" spans="3:44" ht="12.6" customHeight="1" x14ac:dyDescent="0.2">
      <c r="C139" s="56" t="s">
        <v>1259</v>
      </c>
      <c r="D139" s="56"/>
      <c r="E139" s="57"/>
      <c r="F139" s="57"/>
      <c r="G139" s="57"/>
      <c r="H139" s="57"/>
      <c r="I139" s="57"/>
      <c r="J139" s="57"/>
      <c r="K139" s="57"/>
      <c r="L139" s="57"/>
      <c r="M139" s="57"/>
      <c r="N139" s="57"/>
      <c r="O139" s="57"/>
      <c r="P139" s="57"/>
      <c r="Q139" s="57"/>
      <c r="R139" s="57">
        <f>317+3207.8</f>
        <v>3524.8</v>
      </c>
      <c r="S139" s="57"/>
      <c r="T139" s="57">
        <f>425.9+3067.7</f>
        <v>3493.6</v>
      </c>
      <c r="U139" s="57"/>
      <c r="V139" s="57">
        <f>561.3+3076.2</f>
        <v>3637.5</v>
      </c>
      <c r="W139" s="57"/>
      <c r="X139" s="57">
        <f>746.2+2998.7</f>
        <v>3744.8999999999996</v>
      </c>
      <c r="Y139" s="57"/>
      <c r="Z139" s="57"/>
      <c r="AA139" s="57"/>
      <c r="AB139" s="57"/>
      <c r="AQ139" s="1180"/>
      <c r="AR139" s="1176"/>
    </row>
    <row r="140" spans="3:44" ht="12.6" customHeight="1" x14ac:dyDescent="0.2">
      <c r="C140" s="56" t="s">
        <v>90</v>
      </c>
      <c r="D140" s="56"/>
      <c r="E140" s="57"/>
      <c r="F140" s="57"/>
      <c r="G140" s="57"/>
      <c r="H140" s="57"/>
      <c r="I140" s="57"/>
      <c r="J140" s="57"/>
      <c r="K140" s="57"/>
      <c r="L140" s="57"/>
      <c r="M140" s="57"/>
      <c r="N140" s="57"/>
      <c r="O140" s="57"/>
      <c r="P140" s="57"/>
      <c r="Q140" s="57"/>
      <c r="R140" s="57">
        <v>1144</v>
      </c>
      <c r="S140" s="57"/>
      <c r="T140" s="57">
        <v>1338</v>
      </c>
      <c r="U140" s="57"/>
      <c r="V140" s="57">
        <f>1407.5</f>
        <v>1407.5</v>
      </c>
      <c r="W140" s="57"/>
      <c r="X140" s="57">
        <v>1473.3</v>
      </c>
      <c r="Y140" s="57"/>
      <c r="Z140" s="57"/>
      <c r="AA140" s="57"/>
      <c r="AB140" s="57"/>
      <c r="AE140" s="1081">
        <f>5000/11650</f>
        <v>0.42918454935622319</v>
      </c>
      <c r="AQ140" s="1180"/>
      <c r="AR140" s="1176"/>
    </row>
    <row r="141" spans="3:44" ht="12.6" customHeight="1" x14ac:dyDescent="0.2">
      <c r="C141" s="72" t="s">
        <v>1781</v>
      </c>
      <c r="D141" s="56"/>
      <c r="E141" s="57"/>
      <c r="F141" s="57"/>
      <c r="G141" s="57"/>
      <c r="H141" s="57"/>
      <c r="I141" s="57"/>
      <c r="J141" s="57"/>
      <c r="K141" s="57"/>
      <c r="L141" s="57"/>
      <c r="M141" s="57"/>
      <c r="N141" s="57"/>
      <c r="O141" s="57"/>
      <c r="P141" s="57"/>
      <c r="Q141" s="57"/>
      <c r="R141" s="63">
        <f>R138-R139+R140</f>
        <v>6009.8</v>
      </c>
      <c r="S141" s="63"/>
      <c r="T141" s="63">
        <f>T138-T139+T140</f>
        <v>5934.7000000000007</v>
      </c>
      <c r="U141" s="57"/>
      <c r="V141" s="63">
        <f>V138-V139+V140</f>
        <v>8115.2999999999993</v>
      </c>
      <c r="W141" s="63"/>
      <c r="X141" s="63">
        <f>X138-X139+X140</f>
        <v>8308.2999999999993</v>
      </c>
      <c r="Y141" s="63">
        <f>Y138-Y139+Y140</f>
        <v>0</v>
      </c>
      <c r="Z141" s="63">
        <f t="shared" ref="Z141:AB141" si="201">Z138-Z139+Z140</f>
        <v>0</v>
      </c>
      <c r="AA141" s="63">
        <f t="shared" si="201"/>
        <v>0</v>
      </c>
      <c r="AB141" s="63">
        <f t="shared" si="201"/>
        <v>0</v>
      </c>
    </row>
    <row r="142" spans="3:44" ht="12.6" customHeight="1" x14ac:dyDescent="0.2">
      <c r="C142" s="72"/>
      <c r="D142" s="95"/>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row>
    <row r="143" spans="3:44" ht="12.6" customHeight="1" x14ac:dyDescent="0.2">
      <c r="C143" s="56" t="s">
        <v>1782</v>
      </c>
      <c r="D143" s="95"/>
      <c r="E143" s="63"/>
      <c r="F143" s="63"/>
      <c r="G143" s="63"/>
      <c r="H143" s="63"/>
      <c r="I143" s="63"/>
      <c r="J143" s="63"/>
      <c r="K143" s="63"/>
      <c r="L143" s="63"/>
      <c r="M143" s="63"/>
      <c r="N143" s="63"/>
      <c r="O143" s="63"/>
      <c r="P143" s="63"/>
      <c r="Q143" s="63"/>
      <c r="R143" s="57">
        <f>R138/SUM(O$68:R$68)*365</f>
        <v>75.663451608599615</v>
      </c>
      <c r="S143" s="63"/>
      <c r="T143" s="57">
        <f>T138/SUM(Q$68:T$68)*365</f>
        <v>65.971115738113639</v>
      </c>
      <c r="U143" s="63"/>
      <c r="V143" s="57">
        <f>V138/SUM(S$68:V$68)*365</f>
        <v>76.215008729525962</v>
      </c>
      <c r="W143" s="57"/>
      <c r="X143" s="57">
        <f t="shared" ref="X143:Y145" si="202">X138/SUM(U$68:X$68)*365</f>
        <v>72.0266103882539</v>
      </c>
      <c r="Y143" s="57">
        <f t="shared" si="202"/>
        <v>0</v>
      </c>
      <c r="Z143" s="57">
        <f t="shared" ref="Z143:AB143" si="203">Z138/SUM(W$68:Z$68)*365</f>
        <v>0</v>
      </c>
      <c r="AA143" s="57">
        <f t="shared" si="203"/>
        <v>0</v>
      </c>
      <c r="AB143" s="57" t="e">
        <f t="shared" si="203"/>
        <v>#DIV/0!</v>
      </c>
    </row>
    <row r="144" spans="3:44" ht="12.6" customHeight="1" x14ac:dyDescent="0.2">
      <c r="C144" s="56" t="s">
        <v>1783</v>
      </c>
      <c r="D144" s="95"/>
      <c r="E144" s="63"/>
      <c r="F144" s="63"/>
      <c r="G144" s="63"/>
      <c r="H144" s="63"/>
      <c r="I144" s="63"/>
      <c r="J144" s="63"/>
      <c r="K144" s="63"/>
      <c r="L144" s="63"/>
      <c r="M144" s="63"/>
      <c r="N144" s="63"/>
      <c r="O144" s="63"/>
      <c r="P144" s="63"/>
      <c r="Q144" s="63"/>
      <c r="R144" s="57">
        <f>R139/SUM(O$68:R$68)*365</f>
        <v>31.785394874024735</v>
      </c>
      <c r="S144" s="63"/>
      <c r="T144" s="57">
        <f>T139/SUM(Q$68:T$68)*365</f>
        <v>28.488027630949873</v>
      </c>
      <c r="U144" s="63"/>
      <c r="V144" s="57">
        <f>V139/SUM(S$68:V$68)*365</f>
        <v>26.797878674726761</v>
      </c>
      <c r="W144" s="57"/>
      <c r="X144" s="57">
        <f t="shared" si="202"/>
        <v>25.494801769673813</v>
      </c>
      <c r="Y144" s="57">
        <f t="shared" si="202"/>
        <v>0</v>
      </c>
      <c r="Z144" s="57">
        <f t="shared" ref="Z144:AB144" si="204">Z139/SUM(W$68:Z$68)*365</f>
        <v>0</v>
      </c>
      <c r="AA144" s="57">
        <f t="shared" si="204"/>
        <v>0</v>
      </c>
      <c r="AB144" s="57" t="e">
        <f t="shared" si="204"/>
        <v>#DIV/0!</v>
      </c>
    </row>
    <row r="145" spans="3:48" ht="12.6" customHeight="1" x14ac:dyDescent="0.2">
      <c r="C145" s="56" t="s">
        <v>165</v>
      </c>
      <c r="D145" s="95"/>
      <c r="E145" s="63"/>
      <c r="F145" s="63"/>
      <c r="G145" s="63"/>
      <c r="H145" s="63"/>
      <c r="I145" s="63"/>
      <c r="J145" s="63"/>
      <c r="K145" s="63"/>
      <c r="L145" s="63"/>
      <c r="M145" s="63"/>
      <c r="N145" s="63"/>
      <c r="O145" s="63"/>
      <c r="P145" s="63"/>
      <c r="Q145" s="63"/>
      <c r="R145" s="57">
        <f>R140/SUM(O$68:R$68)*365</f>
        <v>10.316185807956279</v>
      </c>
      <c r="S145" s="63"/>
      <c r="T145" s="57">
        <f>T140/SUM(Q$68:T$68)*365</f>
        <v>10.910516650506908</v>
      </c>
      <c r="U145" s="63"/>
      <c r="V145" s="57">
        <f>V140/SUM(S$68:V$68)*365</f>
        <v>10.369213535306642</v>
      </c>
      <c r="W145" s="57"/>
      <c r="X145" s="57">
        <f t="shared" si="202"/>
        <v>10.030038571726998</v>
      </c>
      <c r="Y145" s="57">
        <f t="shared" si="202"/>
        <v>0</v>
      </c>
      <c r="Z145" s="57">
        <f t="shared" ref="Z145:AB145" si="205">Z140/SUM(W$68:Z$68)*365</f>
        <v>0</v>
      </c>
      <c r="AA145" s="57">
        <f t="shared" si="205"/>
        <v>0</v>
      </c>
      <c r="AB145" s="57" t="e">
        <f t="shared" si="205"/>
        <v>#DIV/0!</v>
      </c>
    </row>
    <row r="146" spans="3:48" ht="12.6" customHeight="1" x14ac:dyDescent="0.2">
      <c r="C146" s="72" t="s">
        <v>1784</v>
      </c>
      <c r="D146" s="95"/>
      <c r="E146" s="63"/>
      <c r="F146" s="63"/>
      <c r="G146" s="63"/>
      <c r="H146" s="63"/>
      <c r="I146" s="63"/>
      <c r="J146" s="63"/>
      <c r="K146" s="63"/>
      <c r="L146" s="63"/>
      <c r="M146" s="63"/>
      <c r="N146" s="63"/>
      <c r="O146" s="63"/>
      <c r="P146" s="63"/>
      <c r="Q146" s="63"/>
      <c r="R146" s="63">
        <f>R143-R144+R145</f>
        <v>54.194242542531164</v>
      </c>
      <c r="S146" s="63"/>
      <c r="T146" s="63">
        <f>T143-T144+T145</f>
        <v>48.393604757670673</v>
      </c>
      <c r="U146" s="63"/>
      <c r="V146" s="63">
        <f>V143-V144+V145</f>
        <v>59.786343590105844</v>
      </c>
      <c r="W146" s="63"/>
      <c r="X146" s="63">
        <f>X143-X144+X145</f>
        <v>56.561847190307084</v>
      </c>
      <c r="Y146" s="63">
        <f>Y143-Y144+Y145</f>
        <v>0</v>
      </c>
      <c r="Z146" s="63">
        <f t="shared" ref="Z146:AB146" si="206">Z143-Z144+Z145</f>
        <v>0</v>
      </c>
      <c r="AA146" s="63">
        <f t="shared" si="206"/>
        <v>0</v>
      </c>
      <c r="AB146" s="63" t="e">
        <f t="shared" si="206"/>
        <v>#DIV/0!</v>
      </c>
    </row>
    <row r="147" spans="3:48" ht="12.6" customHeight="1" x14ac:dyDescent="0.2">
      <c r="C147" s="72"/>
      <c r="D147" s="95"/>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row>
    <row r="148" spans="3:48" ht="12.6" customHeight="1" x14ac:dyDescent="0.2">
      <c r="C148" s="59" t="s">
        <v>800</v>
      </c>
      <c r="D148" s="95"/>
      <c r="E148" s="63"/>
      <c r="F148" s="63"/>
      <c r="G148" s="63"/>
      <c r="H148" s="63"/>
      <c r="I148" s="63"/>
      <c r="J148" s="63"/>
      <c r="K148" s="63"/>
      <c r="L148" s="63"/>
      <c r="M148" s="63"/>
      <c r="N148" s="63"/>
      <c r="O148" s="63"/>
      <c r="P148" s="63"/>
      <c r="Q148" s="63"/>
      <c r="R148" s="63"/>
      <c r="S148" s="63"/>
      <c r="T148" s="63"/>
      <c r="U148" s="63"/>
      <c r="V148" s="57">
        <f>2431.3+46545</f>
        <v>48976.3</v>
      </c>
      <c r="W148" s="63"/>
      <c r="X148" s="63"/>
      <c r="Y148" s="63"/>
      <c r="Z148" s="63"/>
      <c r="AA148" s="63"/>
      <c r="AB148" s="63"/>
    </row>
    <row r="149" spans="3:48" ht="12.6" customHeight="1" x14ac:dyDescent="0.2">
      <c r="C149" s="59" t="s">
        <v>602</v>
      </c>
      <c r="D149" s="95"/>
      <c r="E149" s="63"/>
      <c r="F149" s="63"/>
      <c r="G149" s="63"/>
      <c r="H149" s="63"/>
      <c r="I149" s="63"/>
      <c r="J149" s="63"/>
      <c r="K149" s="63"/>
      <c r="L149" s="63"/>
      <c r="M149" s="63"/>
      <c r="N149" s="63"/>
      <c r="O149" s="63"/>
      <c r="P149" s="63"/>
      <c r="Q149" s="63"/>
      <c r="R149" s="63"/>
      <c r="S149" s="63"/>
      <c r="T149" s="63"/>
      <c r="U149" s="63"/>
      <c r="V149" s="57">
        <f>6058+14949.2</f>
        <v>21007.200000000001</v>
      </c>
      <c r="W149" s="63"/>
      <c r="X149" s="63"/>
      <c r="Y149" s="63"/>
      <c r="Z149" s="63"/>
      <c r="AA149" s="63"/>
      <c r="AB149" s="63"/>
    </row>
    <row r="150" spans="3:48" ht="12.6" customHeight="1" x14ac:dyDescent="0.2">
      <c r="C150" s="59" t="s">
        <v>603</v>
      </c>
      <c r="D150" s="95"/>
      <c r="E150" s="63"/>
      <c r="F150" s="63"/>
      <c r="G150" s="63"/>
      <c r="H150" s="63"/>
      <c r="I150" s="63"/>
      <c r="J150" s="63"/>
      <c r="K150" s="63"/>
      <c r="L150" s="63"/>
      <c r="M150" s="63"/>
      <c r="N150" s="63"/>
      <c r="O150" s="63"/>
      <c r="P150" s="63"/>
      <c r="Q150" s="63"/>
      <c r="R150" s="63"/>
      <c r="S150" s="63"/>
      <c r="T150" s="63"/>
      <c r="U150" s="63"/>
      <c r="V150" s="63">
        <f>V148-V149</f>
        <v>27969.100000000002</v>
      </c>
      <c r="W150" s="63"/>
      <c r="X150" s="63"/>
      <c r="Y150" s="63"/>
      <c r="Z150" s="63"/>
      <c r="AA150" s="63"/>
      <c r="AB150" s="63"/>
    </row>
    <row r="153" spans="3:48" ht="12.6" customHeight="1" x14ac:dyDescent="0.2">
      <c r="AO153" s="949" t="s">
        <v>1545</v>
      </c>
      <c r="AP153" s="950" t="s">
        <v>27</v>
      </c>
      <c r="AQ153" s="950" t="s">
        <v>273</v>
      </c>
      <c r="AR153" s="950" t="s">
        <v>347</v>
      </c>
      <c r="AS153" s="950" t="s">
        <v>348</v>
      </c>
      <c r="AT153" s="950" t="s">
        <v>178</v>
      </c>
      <c r="AU153" s="950" t="s">
        <v>179</v>
      </c>
      <c r="AV153" s="1200" t="s">
        <v>599</v>
      </c>
    </row>
    <row r="154" spans="3:48" ht="12.6" customHeight="1" x14ac:dyDescent="0.2">
      <c r="AO154" s="1019" t="s">
        <v>1665</v>
      </c>
      <c r="AP154" s="960"/>
      <c r="AQ154" s="951"/>
      <c r="AR154" s="951"/>
      <c r="AS154" s="951"/>
      <c r="AT154" s="951"/>
      <c r="AU154" s="951"/>
      <c r="AV154" s="1201" t="s">
        <v>1970</v>
      </c>
    </row>
    <row r="155" spans="3:48" ht="12.6" customHeight="1" x14ac:dyDescent="0.2">
      <c r="AO155" s="952" t="s">
        <v>1001</v>
      </c>
      <c r="AP155" s="961">
        <f t="shared" ref="AP155:AS156" si="207">AK107</f>
        <v>31947.396000000001</v>
      </c>
      <c r="AQ155" s="961">
        <f t="shared" si="207"/>
        <v>37628.899999999994</v>
      </c>
      <c r="AR155" s="961">
        <f t="shared" si="207"/>
        <v>42261.4</v>
      </c>
      <c r="AS155" s="961">
        <f t="shared" si="207"/>
        <v>46469.100000000006</v>
      </c>
      <c r="AT155" s="961">
        <f ca="1">AO107</f>
        <v>56778.376356466382</v>
      </c>
      <c r="AU155" s="961">
        <f ca="1">AP107</f>
        <v>80642.965033257584</v>
      </c>
      <c r="AV155" s="1202">
        <f ca="1">(AU155/AS155)^(1/2)-1</f>
        <v>0.31734980958921999</v>
      </c>
    </row>
    <row r="156" spans="3:48" ht="12.6" customHeight="1" x14ac:dyDescent="0.2">
      <c r="AO156" s="952" t="s">
        <v>1656</v>
      </c>
      <c r="AP156" s="961">
        <f t="shared" si="207"/>
        <v>0</v>
      </c>
      <c r="AQ156" s="961">
        <f t="shared" si="207"/>
        <v>0</v>
      </c>
      <c r="AR156" s="961">
        <f t="shared" si="207"/>
        <v>2500</v>
      </c>
      <c r="AS156" s="961">
        <f t="shared" si="207"/>
        <v>7145.2999999999993</v>
      </c>
      <c r="AT156" s="961">
        <f>AO108</f>
        <v>16156.991336833333</v>
      </c>
      <c r="AU156" s="961">
        <f>AP108</f>
        <v>28029.626076938333</v>
      </c>
      <c r="AV156" s="1202">
        <f t="shared" ref="AV156:AV157" si="208">(AU156/AS156)^(1/2)-1</f>
        <v>0.98060749546746151</v>
      </c>
    </row>
    <row r="157" spans="3:48" ht="12.6" customHeight="1" x14ac:dyDescent="0.2">
      <c r="AO157" s="957" t="s">
        <v>202</v>
      </c>
      <c r="AP157" s="961">
        <f t="shared" ref="AP157:AU157" si="209">SUM(AP155:AP156)</f>
        <v>31947.396000000001</v>
      </c>
      <c r="AQ157" s="961">
        <f t="shared" si="209"/>
        <v>37628.899999999994</v>
      </c>
      <c r="AR157" s="961">
        <f t="shared" si="209"/>
        <v>44761.4</v>
      </c>
      <c r="AS157" s="961">
        <f t="shared" si="209"/>
        <v>53614.400000000009</v>
      </c>
      <c r="AT157" s="961">
        <f t="shared" ca="1" si="209"/>
        <v>72935.367693299719</v>
      </c>
      <c r="AU157" s="961">
        <f t="shared" ca="1" si="209"/>
        <v>108672.59111019592</v>
      </c>
      <c r="AV157" s="1203">
        <f t="shared" ca="1" si="208"/>
        <v>0.42370262576429507</v>
      </c>
    </row>
    <row r="158" spans="3:48" ht="12.6" customHeight="1" x14ac:dyDescent="0.2">
      <c r="AO158" s="952"/>
      <c r="AP158" s="953"/>
      <c r="AQ158" s="953"/>
      <c r="AR158" s="953"/>
      <c r="AS158" s="953"/>
      <c r="AT158" s="953"/>
      <c r="AU158" s="953"/>
      <c r="AV158" s="953"/>
    </row>
    <row r="159" spans="3:48" ht="12.6" customHeight="1" x14ac:dyDescent="0.2">
      <c r="AO159" s="958" t="s">
        <v>227</v>
      </c>
      <c r="AP159" s="953"/>
      <c r="AQ159" s="953"/>
      <c r="AR159" s="953"/>
      <c r="AS159" s="953"/>
      <c r="AT159" s="953"/>
      <c r="AU159" s="953"/>
      <c r="AV159" s="953"/>
    </row>
    <row r="160" spans="3:48" ht="12.6" customHeight="1" x14ac:dyDescent="0.2">
      <c r="AO160" s="959" t="s">
        <v>1001</v>
      </c>
      <c r="AP160" s="965"/>
      <c r="AQ160" s="962">
        <f>AQ155/AP155-1</f>
        <v>0.17783934565433723</v>
      </c>
      <c r="AR160" s="962">
        <f>AR155/AQ155-1</f>
        <v>0.12311016266752439</v>
      </c>
      <c r="AS160" s="962">
        <f>AS155/AR155-1</f>
        <v>9.9563668028035179E-2</v>
      </c>
      <c r="AT160" s="962">
        <f ca="1">AT155/AS155-1</f>
        <v>0.22185229230749837</v>
      </c>
      <c r="AU160" s="962">
        <f ca="1">AU155/AT155-1</f>
        <v>0.42031122071833082</v>
      </c>
      <c r="AV160" s="962"/>
    </row>
    <row r="161" spans="41:48" ht="12.6" customHeight="1" x14ac:dyDescent="0.2">
      <c r="AO161" s="959" t="s">
        <v>1656</v>
      </c>
      <c r="AP161" s="965"/>
      <c r="AQ161" s="962"/>
      <c r="AR161" s="962"/>
      <c r="AS161" s="962">
        <f t="shared" ref="AS161:AU162" si="210">AS156/AR156-1</f>
        <v>1.8581199999999995</v>
      </c>
      <c r="AT161" s="962">
        <f>AT156/AS156-1</f>
        <v>1.261205454891094</v>
      </c>
      <c r="AU161" s="962">
        <f t="shared" si="210"/>
        <v>0.73482955412860673</v>
      </c>
      <c r="AV161" s="962"/>
    </row>
    <row r="162" spans="41:48" ht="12.6" customHeight="1" x14ac:dyDescent="0.2">
      <c r="AO162" s="958" t="s">
        <v>551</v>
      </c>
      <c r="AP162" s="965"/>
      <c r="AQ162" s="963">
        <f>AQ157/AP157-1</f>
        <v>0.17783934565433723</v>
      </c>
      <c r="AR162" s="963">
        <f>AR157/AQ157-1</f>
        <v>0.1895484587644074</v>
      </c>
      <c r="AS162" s="963">
        <f t="shared" si="210"/>
        <v>0.19778201754190006</v>
      </c>
      <c r="AT162" s="963">
        <f ca="1">AT157/AS157-1</f>
        <v>0.36036899962136482</v>
      </c>
      <c r="AU162" s="963">
        <f t="shared" ca="1" si="210"/>
        <v>0.48998482556740774</v>
      </c>
      <c r="AV162" s="963"/>
    </row>
    <row r="163" spans="41:48" ht="12.6" customHeight="1" x14ac:dyDescent="0.2">
      <c r="AO163" s="952"/>
      <c r="AP163" s="953"/>
      <c r="AQ163" s="953"/>
      <c r="AR163" s="953"/>
      <c r="AS163" s="953"/>
      <c r="AT163" s="953"/>
      <c r="AU163" s="953"/>
      <c r="AV163" s="953"/>
    </row>
    <row r="164" spans="41:48" ht="12.6" customHeight="1" x14ac:dyDescent="0.2">
      <c r="AO164" s="1019" t="s">
        <v>1666</v>
      </c>
      <c r="AP164" s="951"/>
      <c r="AQ164" s="951"/>
      <c r="AR164" s="951"/>
      <c r="AS164" s="951"/>
      <c r="AT164" s="951"/>
      <c r="AU164" s="951"/>
      <c r="AV164" s="951"/>
    </row>
    <row r="165" spans="41:48" ht="12.6" customHeight="1" x14ac:dyDescent="0.2">
      <c r="AO165" s="952" t="s">
        <v>1001</v>
      </c>
      <c r="AP165" s="961">
        <f t="shared" ref="AP165:AS166" si="211">AK118</f>
        <v>16201.896000000001</v>
      </c>
      <c r="AQ165" s="961">
        <f t="shared" si="211"/>
        <v>19645.599999999995</v>
      </c>
      <c r="AR165" s="961">
        <f t="shared" si="211"/>
        <v>22311.8</v>
      </c>
      <c r="AS165" s="961">
        <f t="shared" si="211"/>
        <v>24619.8</v>
      </c>
      <c r="AT165" s="961">
        <f ca="1">AO118</f>
        <v>25596.740006134336</v>
      </c>
      <c r="AU165" s="961">
        <f ca="1">AP118</f>
        <v>40884.776385041034</v>
      </c>
      <c r="AV165" s="1202">
        <f ca="1">(AU165/AS165)^(1/2)-1</f>
        <v>0.28866060785489234</v>
      </c>
    </row>
    <row r="166" spans="41:48" ht="12.6" customHeight="1" x14ac:dyDescent="0.2">
      <c r="AO166" s="952" t="s">
        <v>1656</v>
      </c>
      <c r="AP166" s="961">
        <f t="shared" si="211"/>
        <v>0</v>
      </c>
      <c r="AQ166" s="961">
        <f t="shared" si="211"/>
        <v>0</v>
      </c>
      <c r="AR166" s="961">
        <f t="shared" si="211"/>
        <v>310</v>
      </c>
      <c r="AS166" s="961">
        <f t="shared" si="211"/>
        <v>1417.5</v>
      </c>
      <c r="AT166" s="961">
        <f>AO119</f>
        <v>3934.1363984650006</v>
      </c>
      <c r="AU166" s="961">
        <f>AP119</f>
        <v>6554.6445967271002</v>
      </c>
      <c r="AV166" s="1202">
        <f t="shared" ref="AV166:AV167" si="212">(AU166/AS166)^(1/2)-1</f>
        <v>1.1503692471121427</v>
      </c>
    </row>
    <row r="167" spans="41:48" ht="12.6" customHeight="1" x14ac:dyDescent="0.2">
      <c r="AO167" s="952" t="s">
        <v>1659</v>
      </c>
      <c r="AP167" s="964">
        <f t="shared" ref="AP167:AU167" si="213">SUM(AP165:AP166)</f>
        <v>16201.896000000001</v>
      </c>
      <c r="AQ167" s="964">
        <f t="shared" si="213"/>
        <v>19645.599999999995</v>
      </c>
      <c r="AR167" s="964">
        <f t="shared" si="213"/>
        <v>22621.8</v>
      </c>
      <c r="AS167" s="964">
        <f t="shared" si="213"/>
        <v>26037.3</v>
      </c>
      <c r="AT167" s="964">
        <f t="shared" ca="1" si="213"/>
        <v>29530.876404599338</v>
      </c>
      <c r="AU167" s="964">
        <f t="shared" ca="1" si="213"/>
        <v>47439.420981768133</v>
      </c>
      <c r="AV167" s="1203">
        <f t="shared" ca="1" si="212"/>
        <v>0.34980712517928247</v>
      </c>
    </row>
    <row r="168" spans="41:48" ht="12.6" customHeight="1" x14ac:dyDescent="0.2">
      <c r="AO168" s="952"/>
      <c r="AP168" s="953"/>
      <c r="AQ168" s="953"/>
      <c r="AR168" s="953"/>
      <c r="AS168" s="953"/>
      <c r="AT168" s="953"/>
      <c r="AU168" s="953"/>
      <c r="AV168" s="953"/>
    </row>
    <row r="169" spans="41:48" ht="12.6" customHeight="1" x14ac:dyDescent="0.2">
      <c r="AO169" s="958" t="s">
        <v>892</v>
      </c>
      <c r="AP169" s="956"/>
      <c r="AQ169" s="956"/>
      <c r="AR169" s="956"/>
      <c r="AS169" s="956"/>
      <c r="AT169" s="956"/>
      <c r="AU169" s="956"/>
      <c r="AV169" s="956"/>
    </row>
    <row r="170" spans="41:48" ht="12.6" customHeight="1" x14ac:dyDescent="0.2">
      <c r="AO170" s="959" t="s">
        <v>1001</v>
      </c>
      <c r="AP170" s="962">
        <f t="shared" ref="AP170:AU170" si="214">AP165/AP155</f>
        <v>0.50714292958336882</v>
      </c>
      <c r="AQ170" s="962">
        <f t="shared" si="214"/>
        <v>0.52208807592036965</v>
      </c>
      <c r="AR170" s="962">
        <f t="shared" si="214"/>
        <v>0.52794748872493569</v>
      </c>
      <c r="AS170" s="962">
        <f t="shared" si="214"/>
        <v>0.52981013189409731</v>
      </c>
      <c r="AT170" s="962">
        <f t="shared" ca="1" si="214"/>
        <v>0.45081845675601417</v>
      </c>
      <c r="AU170" s="962">
        <f t="shared" ca="1" si="214"/>
        <v>0.5069850341958525</v>
      </c>
      <c r="AV170" s="962"/>
    </row>
    <row r="171" spans="41:48" ht="12.6" customHeight="1" x14ac:dyDescent="0.2">
      <c r="AO171" s="959" t="s">
        <v>1656</v>
      </c>
      <c r="AP171" s="962"/>
      <c r="AQ171" s="962"/>
      <c r="AR171" s="962">
        <f t="shared" ref="AR171:AT172" si="215">AR166/AR156</f>
        <v>0.124</v>
      </c>
      <c r="AS171" s="962">
        <f t="shared" si="215"/>
        <v>0.1983821533035702</v>
      </c>
      <c r="AT171" s="962">
        <f t="shared" si="215"/>
        <v>0.243494368255078</v>
      </c>
      <c r="AU171" s="962">
        <f t="shared" ref="AU171" si="216">AU166/AU156</f>
        <v>0.23384702238750171</v>
      </c>
      <c r="AV171" s="962"/>
    </row>
    <row r="172" spans="41:48" ht="12.6" customHeight="1" x14ac:dyDescent="0.2">
      <c r="AO172" s="958" t="s">
        <v>1659</v>
      </c>
      <c r="AP172" s="963">
        <f>AP167/AP157</f>
        <v>0.50714292958336882</v>
      </c>
      <c r="AQ172" s="963">
        <f>AQ167/AQ157</f>
        <v>0.52208807592036965</v>
      </c>
      <c r="AR172" s="963">
        <f t="shared" si="215"/>
        <v>0.50538633733529337</v>
      </c>
      <c r="AS172" s="963">
        <f t="shared" si="215"/>
        <v>0.48564005192634807</v>
      </c>
      <c r="AT172" s="963">
        <f t="shared" ca="1" si="215"/>
        <v>0.40489103350763284</v>
      </c>
      <c r="AU172" s="963">
        <f t="shared" ref="AU172" ca="1" si="217">AU167/AU157</f>
        <v>0.43653528913894879</v>
      </c>
      <c r="AV172" s="963"/>
    </row>
  </sheetData>
  <mergeCells count="2">
    <mergeCell ref="AT63:AY63"/>
    <mergeCell ref="AT80:AY80"/>
  </mergeCells>
  <dataValidations disablePrompts="1" count="1">
    <dataValidation type="list" allowBlank="1" showInputMessage="1" showErrorMessage="1" sqref="AF1" xr:uid="{BB665E6C-D9B8-4A40-BA2E-26165AE2A569}">
      <formula1>"3M,6M,9M,12M"</formula1>
    </dataValidation>
  </dataValidations>
  <pageMargins left="0.17" right="0.18" top="0.75" bottom="0.75" header="0.3" footer="0.3"/>
  <pageSetup orientation="portrait" r:id="rId1"/>
  <ignoredErrors>
    <ignoredError sqref="AH4:AH13 AH30 AF14:AH29 AH63:AH66 AH33 AH68:AH77 AH79:AH84 AD80:AD81 AD97" formulaRange="1"/>
    <ignoredError sqref="AW5:AZ28 AY38:AY44 AX45 AZ45 AY46:AY47 AW30:AZ31 AX29 AZ29 AW65:AW78 V119 AY78 AY68 AW82:AW83 AW84:AY84 AW86:BB88" formula="1"/>
  </ignoredError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BB8E-548C-4607-B7CE-A8BCBECA4012}">
  <dimension ref="B3:T14"/>
  <sheetViews>
    <sheetView workbookViewId="0">
      <selection activeCell="B10" sqref="B10"/>
    </sheetView>
  </sheetViews>
  <sheetFormatPr defaultRowHeight="15" x14ac:dyDescent="0.25"/>
  <sheetData>
    <row r="3" spans="2:20" x14ac:dyDescent="0.25">
      <c r="B3" t="s">
        <v>1860</v>
      </c>
    </row>
    <row r="4" spans="2:20" x14ac:dyDescent="0.25">
      <c r="B4" t="s">
        <v>601</v>
      </c>
    </row>
    <row r="5" spans="2:20" x14ac:dyDescent="0.25">
      <c r="B5" t="s">
        <v>1862</v>
      </c>
    </row>
    <row r="6" spans="2:20" x14ac:dyDescent="0.25">
      <c r="B6" t="s">
        <v>1863</v>
      </c>
      <c r="P6" s="967"/>
    </row>
    <row r="7" spans="2:20" x14ac:dyDescent="0.25">
      <c r="B7" t="s">
        <v>1865</v>
      </c>
    </row>
    <row r="8" spans="2:20" x14ac:dyDescent="0.25">
      <c r="B8" t="s">
        <v>1867</v>
      </c>
    </row>
    <row r="9" spans="2:20" x14ac:dyDescent="0.25">
      <c r="B9" t="s">
        <v>1916</v>
      </c>
    </row>
    <row r="10" spans="2:20" x14ac:dyDescent="0.25">
      <c r="T10" s="967"/>
    </row>
    <row r="12" spans="2:20" x14ac:dyDescent="0.25">
      <c r="B12">
        <v>17</v>
      </c>
      <c r="C12" t="s">
        <v>1913</v>
      </c>
      <c r="F12" t="s">
        <v>1915</v>
      </c>
    </row>
    <row r="13" spans="2:20" x14ac:dyDescent="0.25">
      <c r="B13">
        <v>25</v>
      </c>
      <c r="C13" t="s">
        <v>1914</v>
      </c>
    </row>
    <row r="14" spans="2:20" x14ac:dyDescent="0.25">
      <c r="C14">
        <v>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8E09-B0DB-4804-8C35-7C14FA7CFDE4}">
  <dimension ref="A1:AK86"/>
  <sheetViews>
    <sheetView showGridLines="0" tabSelected="1" workbookViewId="0">
      <pane xSplit="2" ySplit="2" topLeftCell="C3" activePane="bottomRight" state="frozen"/>
      <selection pane="topRight" activeCell="C1" sqref="C1"/>
      <selection pane="bottomLeft" activeCell="A3" sqref="A3"/>
      <selection pane="bottomRight" activeCell="O2" sqref="O2"/>
    </sheetView>
  </sheetViews>
  <sheetFormatPr defaultColWidth="8.28515625" defaultRowHeight="12" customHeight="1" x14ac:dyDescent="0.25"/>
  <cols>
    <col min="1" max="1" width="3.5703125" style="2" customWidth="1"/>
    <col min="2" max="2" width="35.7109375" style="2" customWidth="1"/>
    <col min="3" max="20" width="8.28515625" style="2" customWidth="1"/>
    <col min="21" max="21" width="25.5703125" style="2" bestFit="1" customWidth="1"/>
    <col min="22" max="29" width="8.28515625" style="2" customWidth="1"/>
    <col min="30" max="30" width="8.28515625" style="2"/>
    <col min="31" max="31" width="10.28515625" style="2" customWidth="1"/>
    <col min="32" max="16384" width="8.28515625" style="2"/>
  </cols>
  <sheetData>
    <row r="1" spans="1:30" ht="12" customHeight="1" x14ac:dyDescent="0.25">
      <c r="B1" s="1" t="s">
        <v>1591</v>
      </c>
      <c r="Q1" s="1243" t="s">
        <v>1965</v>
      </c>
      <c r="R1" s="4" t="str">
        <f>Q1</f>
        <v>12M</v>
      </c>
    </row>
    <row r="2" spans="1:30" ht="12" customHeight="1" x14ac:dyDescent="0.25">
      <c r="A2" s="2">
        <v>1</v>
      </c>
      <c r="B2" s="3" t="s">
        <v>17</v>
      </c>
      <c r="C2" s="4" t="s">
        <v>189</v>
      </c>
      <c r="D2" s="4" t="s">
        <v>190</v>
      </c>
      <c r="E2" s="4" t="s">
        <v>191</v>
      </c>
      <c r="F2" s="4" t="s">
        <v>192</v>
      </c>
      <c r="G2" s="4" t="s">
        <v>193</v>
      </c>
      <c r="H2" s="4" t="s">
        <v>194</v>
      </c>
      <c r="I2" s="4" t="s">
        <v>195</v>
      </c>
      <c r="J2" s="4" t="s">
        <v>196</v>
      </c>
      <c r="K2" s="4" t="s">
        <v>1556</v>
      </c>
      <c r="L2" s="4" t="s">
        <v>1557</v>
      </c>
      <c r="M2" s="4" t="s">
        <v>1558</v>
      </c>
      <c r="N2" s="4" t="s">
        <v>1559</v>
      </c>
      <c r="O2" s="4" t="s">
        <v>2047</v>
      </c>
      <c r="Q2" s="7" t="s">
        <v>1984</v>
      </c>
      <c r="R2" s="7" t="s">
        <v>1985</v>
      </c>
      <c r="U2" s="1246" t="s">
        <v>1987</v>
      </c>
      <c r="V2" s="1256">
        <v>150.5</v>
      </c>
    </row>
    <row r="3" spans="1:30" ht="12" customHeight="1" x14ac:dyDescent="0.25">
      <c r="A3" s="2">
        <f>+A2+1</f>
        <v>2</v>
      </c>
      <c r="B3" s="6"/>
      <c r="C3" s="7"/>
      <c r="D3" s="7"/>
      <c r="E3" s="7"/>
      <c r="F3" s="7"/>
      <c r="G3" s="7"/>
      <c r="H3" s="7"/>
      <c r="I3" s="7"/>
      <c r="J3" s="7"/>
      <c r="K3" s="7"/>
      <c r="L3" s="7"/>
      <c r="M3" s="7"/>
      <c r="N3" s="7"/>
      <c r="O3" s="7"/>
      <c r="Q3" s="7"/>
      <c r="R3" s="7"/>
      <c r="U3" s="1252" t="s">
        <v>1992</v>
      </c>
      <c r="V3" s="1242"/>
      <c r="W3" s="1242"/>
      <c r="X3" s="1242"/>
      <c r="Y3" s="1242"/>
      <c r="Z3" s="1242"/>
      <c r="AA3" s="1005" t="str">
        <f>R2</f>
        <v>12MFY26</v>
      </c>
      <c r="AB3" s="1005" t="str">
        <f>Q2</f>
        <v>12MFY25</v>
      </c>
      <c r="AC3" s="1242"/>
    </row>
    <row r="4" spans="1:30" ht="12.75" customHeight="1" thickBot="1" x14ac:dyDescent="0.3">
      <c r="A4" s="2">
        <f t="shared" ref="A4:A67" si="0">+A3+1</f>
        <v>3</v>
      </c>
      <c r="B4" s="6" t="s">
        <v>1813</v>
      </c>
      <c r="C4" s="7"/>
      <c r="D4" s="7"/>
      <c r="E4" s="7"/>
      <c r="F4" s="7">
        <v>13</v>
      </c>
      <c r="G4" s="7">
        <v>15</v>
      </c>
      <c r="H4" s="7">
        <v>16</v>
      </c>
      <c r="I4" s="7">
        <v>17</v>
      </c>
      <c r="J4" s="7">
        <v>18</v>
      </c>
      <c r="K4" s="7">
        <v>19</v>
      </c>
      <c r="L4" s="7">
        <v>20</v>
      </c>
      <c r="M4" s="7">
        <f>(L4/L$6)*$M$6</f>
        <v>21.518987341772153</v>
      </c>
      <c r="N4" s="7">
        <f>(M4/M$6)*$M$6</f>
        <v>21.518987341772153</v>
      </c>
      <c r="O4" s="7"/>
      <c r="Q4" s="7">
        <f>IF(Q$1="3M",G4,IF(Q$1="6M",SUM(G4:H4),IF(Q$1="9M",SUM(G4:I4),SUM(G4:J4))))</f>
        <v>66</v>
      </c>
      <c r="R4" s="7">
        <f>IF(R$1="3M",K4,IF(R$1="6M",SUM(K4:L4),IF(R$1="9M",SUM(K4:M4),SUM(K4:N4))))</f>
        <v>82.037974683544306</v>
      </c>
      <c r="U4" s="949" t="s">
        <v>1990</v>
      </c>
      <c r="V4" s="1184" t="s">
        <v>1559</v>
      </c>
      <c r="W4" s="1184" t="s">
        <v>196</v>
      </c>
      <c r="X4" s="1184" t="s">
        <v>1579</v>
      </c>
      <c r="Y4" s="1184" t="s">
        <v>1558</v>
      </c>
      <c r="Z4" s="1184" t="s">
        <v>1587</v>
      </c>
      <c r="AA4" s="1184" t="s">
        <v>348</v>
      </c>
      <c r="AB4" s="1184" t="s">
        <v>347</v>
      </c>
      <c r="AC4" s="1184" t="s">
        <v>1580</v>
      </c>
    </row>
    <row r="5" spans="1:30" ht="12" customHeight="1" thickBot="1" x14ac:dyDescent="0.3">
      <c r="A5" s="2">
        <f t="shared" si="0"/>
        <v>4</v>
      </c>
      <c r="B5" s="6" t="s">
        <v>1814</v>
      </c>
      <c r="C5" s="7"/>
      <c r="D5" s="7"/>
      <c r="E5" s="7"/>
      <c r="F5" s="7">
        <v>46</v>
      </c>
      <c r="G5" s="7">
        <v>48</v>
      </c>
      <c r="H5" s="7">
        <v>49</v>
      </c>
      <c r="I5" s="7">
        <v>54</v>
      </c>
      <c r="J5" s="7">
        <v>57</v>
      </c>
      <c r="K5" s="7">
        <v>62</v>
      </c>
      <c r="L5" s="7">
        <v>59</v>
      </c>
      <c r="M5" s="7">
        <f>(L5/L$6)*$M$6</f>
        <v>63.481012658227847</v>
      </c>
      <c r="N5" s="7">
        <f>(M5/M$6)*$M$6</f>
        <v>63.481012658227847</v>
      </c>
      <c r="O5" s="7"/>
      <c r="Q5" s="7">
        <f>IF(Q$1="3M",G5,IF(Q$1="6M",SUM(G5:H5),IF(Q$1="9M",SUM(G5:I5),SUM(G5:J5))))</f>
        <v>208</v>
      </c>
      <c r="R5" s="7">
        <f>IF(R$1="3M",K5,IF(R$1="6M",SUM(K5:L5),IF(R$1="9M",SUM(K5:M5),SUM(K5:N5))))</f>
        <v>247.96202531645571</v>
      </c>
      <c r="U5" s="1250" t="s">
        <v>1988</v>
      </c>
      <c r="V5" s="1190">
        <f>HLOOKUP(V$4,$A$2:$R$86,$A60,0)</f>
        <v>86</v>
      </c>
      <c r="W5" s="1190">
        <f>HLOOKUP(W$4,$A$2:$R$86,$A60,0)</f>
        <v>75</v>
      </c>
      <c r="X5" s="1187">
        <f>IFERROR(IF(OR(V5&lt;0,W5&lt;0),"NM",(V5/W5)-1),"NM")</f>
        <v>0.14666666666666672</v>
      </c>
      <c r="Y5" s="1190">
        <f>HLOOKUP(Y$4,$A$2:$R$86,$A60,0)</f>
        <v>85</v>
      </c>
      <c r="Z5" s="1187">
        <f t="shared" ref="Z5:Z6" si="1">IFERROR(IF(OR(V5&lt;0,Y5&lt;0),"NM",(V5/Y5)-1),"NM")</f>
        <v>1.1764705882352899E-2</v>
      </c>
      <c r="AA5" s="1248">
        <f>HLOOKUP(AA$3,$A$2:$R$86,$A60,0)</f>
        <v>331</v>
      </c>
      <c r="AB5" s="1248">
        <f>HLOOKUP(AB$3,$A$2:$R$86,$A60,0)</f>
        <v>274</v>
      </c>
      <c r="AC5" s="1187">
        <f t="shared" ref="AC5:AC6" si="2">IFERROR(IF(OR(AA5&lt;0,AB5&lt;0),"NM",(AA5/AB5)-1),"NM")</f>
        <v>0.20802919708029188</v>
      </c>
    </row>
    <row r="6" spans="1:30" ht="12" customHeight="1" thickBot="1" x14ac:dyDescent="0.3">
      <c r="A6" s="2">
        <f t="shared" si="0"/>
        <v>5</v>
      </c>
      <c r="B6" s="9" t="s">
        <v>1815</v>
      </c>
      <c r="C6" s="7"/>
      <c r="D6" s="7"/>
      <c r="E6" s="7"/>
      <c r="F6" s="10">
        <f>SUM(F4:F5)</f>
        <v>59</v>
      </c>
      <c r="G6" s="10">
        <f t="shared" ref="G6:L6" si="3">SUM(G4:G5)</f>
        <v>63</v>
      </c>
      <c r="H6" s="10">
        <f t="shared" si="3"/>
        <v>65</v>
      </c>
      <c r="I6" s="10">
        <f t="shared" si="3"/>
        <v>71</v>
      </c>
      <c r="J6" s="10">
        <f t="shared" si="3"/>
        <v>75</v>
      </c>
      <c r="K6" s="10">
        <f t="shared" si="3"/>
        <v>81</v>
      </c>
      <c r="L6" s="10">
        <f t="shared" si="3"/>
        <v>79</v>
      </c>
      <c r="M6" s="10">
        <v>85</v>
      </c>
      <c r="N6" s="10">
        <v>86</v>
      </c>
      <c r="O6" s="10"/>
      <c r="Q6" s="10">
        <f>IF(Q$1="3M",G6,IF(Q$1="6M",SUM(G6:H6),IF(Q$1="9M",SUM(G6:I6),SUM(G6:J6))))</f>
        <v>274</v>
      </c>
      <c r="R6" s="10">
        <f>IF(R$1="3M",K6,IF(R$1="6M",SUM(K6:L6),IF(R$1="9M",SUM(K6:M6),SUM(K6:N6))))</f>
        <v>331</v>
      </c>
      <c r="U6" s="1247" t="s">
        <v>1989</v>
      </c>
      <c r="V6" s="1190">
        <f>HLOOKUP(V$4,$A$2:$R$86,$A61,0)</f>
        <v>427</v>
      </c>
      <c r="W6" s="1190">
        <f>HLOOKUP(W$4,$A$2:$R$86,$A61,0)</f>
        <v>273</v>
      </c>
      <c r="X6" s="1249">
        <f t="shared" ref="X6" si="4">IFERROR(IF(OR(V6&lt;0,W6&lt;0),"NM",(V6/W6)-1),"NM")</f>
        <v>0.5641025641025641</v>
      </c>
      <c r="Y6" s="1190">
        <f>HLOOKUP(Y$4,$A$2:$R$86,$A61,0)</f>
        <v>405</v>
      </c>
      <c r="Z6" s="1249">
        <f t="shared" si="1"/>
        <v>5.4320987654320918E-2</v>
      </c>
      <c r="AA6" s="1248">
        <f>HLOOKUP(AA$3,$A$2:$R$86,$A61,0)</f>
        <v>1501</v>
      </c>
      <c r="AB6" s="1248">
        <f>HLOOKUP(AB$3,$A$2:$R$86,$A61,0)</f>
        <v>1071</v>
      </c>
      <c r="AC6" s="1249">
        <f t="shared" si="2"/>
        <v>0.40149393090569552</v>
      </c>
    </row>
    <row r="7" spans="1:30" ht="12" customHeight="1" thickBot="1" x14ac:dyDescent="0.3">
      <c r="A7" s="2">
        <f t="shared" si="0"/>
        <v>6</v>
      </c>
      <c r="B7" s="9"/>
      <c r="C7" s="7"/>
      <c r="D7" s="7"/>
      <c r="E7" s="7"/>
      <c r="F7" s="10"/>
      <c r="G7" s="10" t="str">
        <f>IFERROR(G6/C6-1," ")</f>
        <v xml:space="preserve"> </v>
      </c>
      <c r="H7" s="10" t="str">
        <f t="shared" ref="H7:O7" si="5">IFERROR(H6/D6-1," ")</f>
        <v xml:space="preserve"> </v>
      </c>
      <c r="I7" s="10" t="str">
        <f t="shared" si="5"/>
        <v xml:space="preserve"> </v>
      </c>
      <c r="J7" s="1048">
        <f t="shared" si="5"/>
        <v>0.27118644067796605</v>
      </c>
      <c r="K7" s="1048">
        <f t="shared" si="5"/>
        <v>0.28571428571428581</v>
      </c>
      <c r="L7" s="1048">
        <f t="shared" si="5"/>
        <v>0.21538461538461529</v>
      </c>
      <c r="M7" s="1048">
        <f t="shared" si="5"/>
        <v>0.19718309859154926</v>
      </c>
      <c r="N7" s="1048">
        <f t="shared" si="5"/>
        <v>0.14666666666666672</v>
      </c>
      <c r="O7" s="1048">
        <f t="shared" si="5"/>
        <v>-1</v>
      </c>
      <c r="Q7" s="1048"/>
      <c r="R7" s="1048">
        <f>+R6/Q6-1</f>
        <v>0.20802919708029188</v>
      </c>
      <c r="U7" s="1251" t="s">
        <v>1994</v>
      </c>
      <c r="V7" s="1253">
        <f>HLOOKUP(V$4,$A$2:$R$86,$A64,0)</f>
        <v>0.6</v>
      </c>
      <c r="W7" s="1253">
        <f>HLOOKUP(W$4,$A$2:$R$86,$A64,0)</f>
        <v>0.5232558139534883</v>
      </c>
      <c r="X7" s="1249"/>
      <c r="Y7" s="1253">
        <f>HLOOKUP(Y$4,$A$2:$R$86,$A64,0)</f>
        <v>0.59302325581395343</v>
      </c>
      <c r="Z7" s="1249"/>
      <c r="AA7" s="1254">
        <v>0.56000000000000005</v>
      </c>
      <c r="AB7" s="1254">
        <v>0.44</v>
      </c>
      <c r="AC7" s="1249"/>
      <c r="AD7" s="1255" t="s">
        <v>1993</v>
      </c>
    </row>
    <row r="8" spans="1:30" ht="12" customHeight="1" x14ac:dyDescent="0.25">
      <c r="A8" s="2">
        <f t="shared" si="0"/>
        <v>7</v>
      </c>
      <c r="B8" s="6"/>
      <c r="C8" s="7"/>
      <c r="D8" s="7"/>
      <c r="E8" s="7"/>
      <c r="F8" s="7"/>
      <c r="G8" s="7"/>
      <c r="H8" s="7"/>
      <c r="I8" s="7"/>
      <c r="J8" s="7"/>
      <c r="K8" s="7"/>
      <c r="L8" s="7"/>
      <c r="M8" s="7"/>
      <c r="N8" s="7"/>
      <c r="O8" s="7"/>
      <c r="Q8" s="7"/>
      <c r="R8" s="7"/>
      <c r="U8" s="949" t="s">
        <v>1991</v>
      </c>
      <c r="V8" s="1184"/>
      <c r="W8" s="1184"/>
      <c r="X8" s="1184"/>
      <c r="Y8" s="1184"/>
      <c r="Z8" s="1184"/>
      <c r="AA8" s="1184"/>
      <c r="AB8" s="1184"/>
      <c r="AC8" s="1184"/>
    </row>
    <row r="9" spans="1:30" ht="12" customHeight="1" thickBot="1" x14ac:dyDescent="0.3">
      <c r="A9" s="2">
        <f t="shared" si="0"/>
        <v>8</v>
      </c>
      <c r="B9" s="9" t="s">
        <v>1816</v>
      </c>
      <c r="C9" s="7"/>
      <c r="D9" s="7"/>
      <c r="E9" s="7"/>
      <c r="F9" s="7">
        <f>(F12*1000)/F6</f>
        <v>19987.050847457627</v>
      </c>
      <c r="G9" s="7">
        <f t="shared" ref="G9:L9" si="6">(G12*1000)/G6</f>
        <v>18671.174603174604</v>
      </c>
      <c r="H9" s="7">
        <f t="shared" si="6"/>
        <v>20479.938461538462</v>
      </c>
      <c r="I9" s="7">
        <f t="shared" si="6"/>
        <v>18235.943661971833</v>
      </c>
      <c r="J9" s="7">
        <f t="shared" si="6"/>
        <v>13902.773333333334</v>
      </c>
      <c r="K9" s="7">
        <f t="shared" si="6"/>
        <v>17093.555555555555</v>
      </c>
      <c r="L9" s="7">
        <f t="shared" si="6"/>
        <v>20555.392405063292</v>
      </c>
      <c r="M9" s="7">
        <f>(M12*1000)/M6</f>
        <v>21864.400000000001</v>
      </c>
      <c r="N9" s="7">
        <f>(N12*1000)/N6</f>
        <v>23344.89534883721</v>
      </c>
      <c r="O9" s="7" t="e">
        <f>(O12*1000)/O6</f>
        <v>#DIV/0!</v>
      </c>
      <c r="Q9" s="7">
        <f t="shared" ref="Q9:R9" si="7">(Q12*1000)/Q6</f>
        <v>17682.262773722632</v>
      </c>
      <c r="R9" s="7">
        <f t="shared" si="7"/>
        <v>20769.151057401814</v>
      </c>
      <c r="U9" s="1247" t="s">
        <v>1581</v>
      </c>
      <c r="V9" s="1248">
        <f>HLOOKUP(V$4,$A$2:$R$86,$A12,0)</f>
        <v>2007.6610000000001</v>
      </c>
      <c r="W9" s="1248">
        <f>HLOOKUP(W$4,$A$2:$R$86,$A12,0)</f>
        <v>1042.7080000000001</v>
      </c>
      <c r="X9" s="1249">
        <f>IFERROR(IF(OR(V9&lt;0,W9&lt;0),"NM",(V9/W9)-1),"NM")</f>
        <v>0.92542974639112763</v>
      </c>
      <c r="Y9" s="1248">
        <f>HLOOKUP(Y$4,$A$2:$R$86,$A12,0)</f>
        <v>1858.4739999999999</v>
      </c>
      <c r="Z9" s="1249">
        <f>IFERROR(IF(OR(V9&lt;0,Y9&lt;0),"NM",(V9/Y9)-1),"NM")</f>
        <v>8.0273923659949009E-2</v>
      </c>
      <c r="AA9" s="1248">
        <f>HLOOKUP(AA$3,$A$2:$R$86,$A12,0)</f>
        <v>6874.5889999999999</v>
      </c>
      <c r="AB9" s="1248">
        <f>HLOOKUP(AB$3,$A$2:$R$86,$A12,0)</f>
        <v>4844.9400000000005</v>
      </c>
      <c r="AC9" s="1249">
        <f>IFERROR(IF(OR(AA9&lt;0,AB9&lt;0),"NM",(AA9/AB9)-1),"NM")</f>
        <v>0.4189213901513742</v>
      </c>
    </row>
    <row r="10" spans="1:30" ht="12" customHeight="1" thickBot="1" x14ac:dyDescent="0.3">
      <c r="A10" s="2">
        <f t="shared" si="0"/>
        <v>9</v>
      </c>
      <c r="B10" s="9"/>
      <c r="C10" s="7"/>
      <c r="D10" s="7"/>
      <c r="E10" s="7"/>
      <c r="F10" s="10"/>
      <c r="G10" s="10" t="str">
        <f>IFERROR(G9/C9-1," ")</f>
        <v xml:space="preserve"> </v>
      </c>
      <c r="H10" s="10" t="str">
        <f t="shared" ref="H10" si="8">IFERROR(H9/D9-1," ")</f>
        <v xml:space="preserve"> </v>
      </c>
      <c r="I10" s="10" t="str">
        <f t="shared" ref="I10" si="9">IFERROR(I9/E9-1," ")</f>
        <v xml:space="preserve"> </v>
      </c>
      <c r="J10" s="1048">
        <f t="shared" ref="J10" si="10">IFERROR(J9/F9-1," ")</f>
        <v>-0.30441096890981389</v>
      </c>
      <c r="K10" s="1048">
        <f t="shared" ref="K10" si="11">IFERROR(K9/G9-1," ")</f>
        <v>-8.4494900891281421E-2</v>
      </c>
      <c r="L10" s="1048">
        <f t="shared" ref="L10:O10" si="12">IFERROR(L9/H9-1," ")</f>
        <v>3.6842856567431692E-3</v>
      </c>
      <c r="M10" s="1048">
        <f t="shared" si="12"/>
        <v>0.19897277625367638</v>
      </c>
      <c r="N10" s="1048">
        <f t="shared" si="12"/>
        <v>0.67915384859691352</v>
      </c>
      <c r="O10" s="1048" t="str">
        <f t="shared" si="12"/>
        <v xml:space="preserve"> </v>
      </c>
      <c r="Q10" s="1048"/>
      <c r="R10" s="1048"/>
      <c r="U10" s="1247" t="s">
        <v>1582</v>
      </c>
      <c r="V10" s="1248">
        <f>HLOOKUP(V$4,$A$2:$R$86,$A18,0)</f>
        <v>1609.2149999999999</v>
      </c>
      <c r="W10" s="1248">
        <f>HLOOKUP(W$4,$A$2:$R$86,$A18,0)</f>
        <v>1228.796</v>
      </c>
      <c r="X10" s="1249">
        <f t="shared" ref="X10:X11" si="13">IFERROR(IF(OR(V10&lt;0,W10&lt;0),"NM",(V10/W10)-1),"NM")</f>
        <v>0.30958678250905747</v>
      </c>
      <c r="Y10" s="1248">
        <f>HLOOKUP(Y$4,$A$2:$R$86,$A18,0)</f>
        <v>1523.66</v>
      </c>
      <c r="Z10" s="1249">
        <f t="shared" ref="Z10:Z11" si="14">IFERROR(IF(OR(V10&lt;0,Y10&lt;0),"NM",(V10/Y10)-1),"NM")</f>
        <v>5.6150978564771581E-2</v>
      </c>
      <c r="AA10" s="1248">
        <f>HLOOKUP(AA$3,$A$2:$R$86,$A17,0)</f>
        <v>286.40300000000002</v>
      </c>
      <c r="AB10" s="1248">
        <f>HLOOKUP(AB$3,$A$2:$R$86,$A17,0)</f>
        <v>503.64100000000002</v>
      </c>
      <c r="AC10" s="1249">
        <f t="shared" ref="AC10:AC11" si="15">IFERROR(IF(OR(AA10&lt;0,AB10&lt;0),"NM",(AA10/AB10)-1),"NM")</f>
        <v>-0.43133501839604005</v>
      </c>
    </row>
    <row r="11" spans="1:30" ht="12" customHeight="1" thickBot="1" x14ac:dyDescent="0.3">
      <c r="A11" s="2">
        <f t="shared" si="0"/>
        <v>10</v>
      </c>
      <c r="B11" s="6"/>
      <c r="C11" s="7"/>
      <c r="D11" s="7"/>
      <c r="E11" s="7"/>
      <c r="F11" s="7"/>
      <c r="G11" s="7"/>
      <c r="H11" s="7"/>
      <c r="I11" s="7"/>
      <c r="J11" s="7"/>
      <c r="K11" s="7"/>
      <c r="L11" s="7"/>
      <c r="M11" s="7"/>
      <c r="N11" s="7"/>
      <c r="O11" s="7"/>
      <c r="Q11" s="7"/>
      <c r="R11" s="7"/>
      <c r="U11" s="1192" t="s">
        <v>34</v>
      </c>
      <c r="V11" s="1190">
        <f>HLOOKUP(V$4,$A$2:$R$86,$A19,0)</f>
        <v>398.44600000000014</v>
      </c>
      <c r="W11" s="1190">
        <f>HLOOKUP(W$4,$A$2:$R$86,$A19,0)</f>
        <v>-186.08799999999997</v>
      </c>
      <c r="X11" s="1187" t="str">
        <f t="shared" si="13"/>
        <v>NM</v>
      </c>
      <c r="Y11" s="1190">
        <f>HLOOKUP(Y$4,$A$2:$R$86,$A19,0)</f>
        <v>334.81399999999985</v>
      </c>
      <c r="Z11" s="1187">
        <f t="shared" si="14"/>
        <v>0.19005178994904726</v>
      </c>
      <c r="AA11" s="1193">
        <f>HLOOKUP(AA$3,$A$2:$R$86,$A18,0)</f>
        <v>5692.95</v>
      </c>
      <c r="AB11" s="1193">
        <f>HLOOKUP(AB$3,$A$2:$R$86,$A18,0)</f>
        <v>4789.8419999999996</v>
      </c>
      <c r="AC11" s="1187">
        <f t="shared" si="15"/>
        <v>0.1885465115550784</v>
      </c>
    </row>
    <row r="12" spans="1:30" ht="12" customHeight="1" thickBot="1" x14ac:dyDescent="0.3">
      <c r="A12" s="2">
        <f t="shared" si="0"/>
        <v>11</v>
      </c>
      <c r="B12" s="9" t="s">
        <v>29</v>
      </c>
      <c r="C12" s="10">
        <v>1055.258</v>
      </c>
      <c r="D12" s="10">
        <v>945.79399999999998</v>
      </c>
      <c r="E12" s="10">
        <v>1168.425</v>
      </c>
      <c r="F12" s="10">
        <v>1179.2360000000001</v>
      </c>
      <c r="G12" s="10">
        <v>1176.2840000000001</v>
      </c>
      <c r="H12" s="10">
        <v>1331.1959999999999</v>
      </c>
      <c r="I12" s="10">
        <v>1294.752</v>
      </c>
      <c r="J12" s="10">
        <v>1042.7080000000001</v>
      </c>
      <c r="K12" s="10">
        <v>1384.578</v>
      </c>
      <c r="L12" s="10">
        <v>1623.876</v>
      </c>
      <c r="M12" s="10">
        <v>1858.4739999999999</v>
      </c>
      <c r="N12" s="10">
        <v>2007.6610000000001</v>
      </c>
      <c r="O12" s="10">
        <v>1907.451</v>
      </c>
      <c r="Q12" s="10">
        <f>IF(Q$1="3M",G12,IF(Q$1="6M",SUM(G12:H12),IF(Q$1="9M",SUM(G12:I12),SUM(G12:J12))))</f>
        <v>4844.9400000000005</v>
      </c>
      <c r="R12" s="10">
        <f>IF(R$1="3M",K12,IF(R$1="6M",SUM(K12:L12),IF(R$1="9M",SUM(K12:M12),SUM(K12:N12))))</f>
        <v>6874.5889999999999</v>
      </c>
      <c r="U12" s="1189" t="s">
        <v>1583</v>
      </c>
      <c r="V12" s="1272">
        <f>+V11/V9</f>
        <v>0.19846278828945729</v>
      </c>
      <c r="W12" s="1272">
        <f>+W11/W9</f>
        <v>-0.17846607103810458</v>
      </c>
      <c r="X12" s="1273"/>
      <c r="Y12" s="1272">
        <f>+Y11/Y9</f>
        <v>0.18015533173991127</v>
      </c>
      <c r="Z12" s="1273"/>
      <c r="AA12" s="1272">
        <f t="shared" ref="AA12:AB12" si="16">+AA11/AA9</f>
        <v>0.82811496076347257</v>
      </c>
      <c r="AB12" s="1272">
        <f t="shared" si="16"/>
        <v>0.98862772294393719</v>
      </c>
      <c r="AC12" s="1196"/>
    </row>
    <row r="13" spans="1:30" s="14" customFormat="1" ht="12" customHeight="1" thickBot="1" x14ac:dyDescent="0.3">
      <c r="A13" s="2">
        <f t="shared" si="0"/>
        <v>12</v>
      </c>
      <c r="B13" s="11" t="s">
        <v>30</v>
      </c>
      <c r="C13" s="12"/>
      <c r="D13" s="12"/>
      <c r="E13" s="12"/>
      <c r="F13" s="12"/>
      <c r="G13" s="12">
        <f t="shared" ref="G13:L13" si="17">+G12/C12-1</f>
        <v>0.11468854062229328</v>
      </c>
      <c r="H13" s="12">
        <f t="shared" si="17"/>
        <v>0.40749042603357588</v>
      </c>
      <c r="I13" s="12">
        <f t="shared" si="17"/>
        <v>0.10811733744142749</v>
      </c>
      <c r="J13" s="12">
        <f t="shared" si="17"/>
        <v>-0.11577665539383131</v>
      </c>
      <c r="K13" s="12">
        <f t="shared" si="17"/>
        <v>0.17707798456835233</v>
      </c>
      <c r="L13" s="12">
        <f t="shared" si="17"/>
        <v>0.21986243949050333</v>
      </c>
      <c r="M13" s="12">
        <f>+M12/I12-1</f>
        <v>0.43538994340228854</v>
      </c>
      <c r="N13" s="12">
        <f>+N12/J12-1</f>
        <v>0.92542974639112763</v>
      </c>
      <c r="O13" s="12">
        <f>+O12/K12-1</f>
        <v>0.37764069629880015</v>
      </c>
      <c r="P13" s="2"/>
      <c r="Q13" s="12"/>
      <c r="R13" s="12"/>
      <c r="S13" s="2"/>
      <c r="T13" s="2"/>
      <c r="U13" s="1189" t="s">
        <v>36</v>
      </c>
      <c r="V13" s="1190">
        <f>HLOOKUP(V$4,$A$2:$R$86,$A23,0)</f>
        <v>19.041</v>
      </c>
      <c r="W13" s="1190">
        <f>HLOOKUP(W$4,$A$2:$R$86,$A23,0)</f>
        <v>6.577</v>
      </c>
      <c r="X13" s="1187">
        <f t="shared" ref="X13:X20" si="18">IFERROR(IF(OR(V13&lt;0,W13&lt;0),"NM",(V13/W13)-1),"NM")</f>
        <v>1.8950889463281131</v>
      </c>
      <c r="Y13" s="1190">
        <f>HLOOKUP(Y$4,$A$2:$R$86,$A23,0)</f>
        <v>4.0060000000000002</v>
      </c>
      <c r="Z13" s="1187">
        <f t="shared" ref="Z13:Z20" si="19">IFERROR(IF(OR(V13&lt;0,Y13&lt;0),"NM",(V13/Y13)-1),"NM")</f>
        <v>3.7531203195207183</v>
      </c>
      <c r="AA13" s="1190">
        <f>HLOOKUP(AA$3,$A$2:$R$86,$A23,0)</f>
        <v>31.225999999999999</v>
      </c>
      <c r="AB13" s="1190">
        <f>HLOOKUP(AB$3,$A$2:$R$86,$A23,0)</f>
        <v>52.671999999999997</v>
      </c>
      <c r="AC13" s="1187">
        <f t="shared" ref="AC13:AC20" si="20">IFERROR(IF(OR(AA13&lt;0,AB13&lt;0),"NM",(AA13/AB13)-1),"NM")</f>
        <v>-0.40716130012150664</v>
      </c>
    </row>
    <row r="14" spans="1:30" ht="12" customHeight="1" thickBot="1" x14ac:dyDescent="0.3">
      <c r="A14" s="2">
        <f t="shared" si="0"/>
        <v>13</v>
      </c>
      <c r="B14" s="6"/>
      <c r="C14" s="7"/>
      <c r="D14" s="7"/>
      <c r="E14" s="7"/>
      <c r="F14" s="7"/>
      <c r="G14" s="7"/>
      <c r="H14" s="7"/>
      <c r="I14" s="7"/>
      <c r="J14" s="7"/>
      <c r="K14" s="7"/>
      <c r="L14" s="7"/>
      <c r="M14" s="7"/>
      <c r="N14" s="7"/>
      <c r="O14" s="7"/>
      <c r="Q14" s="7"/>
      <c r="R14" s="7"/>
      <c r="U14" s="1189" t="s">
        <v>199</v>
      </c>
      <c r="V14" s="1190">
        <f>HLOOKUP(V$4,$A$2:$R$86,$A24,0)</f>
        <v>146.76499999999999</v>
      </c>
      <c r="W14" s="1190">
        <f>HLOOKUP(W$4,$A$2:$R$86,$A24,0)</f>
        <v>129.24600000000001</v>
      </c>
      <c r="X14" s="1187">
        <f t="shared" si="18"/>
        <v>0.13554771520975484</v>
      </c>
      <c r="Y14" s="1190">
        <f>HLOOKUP(Y$4,$A$2:$R$86,$A24,0)</f>
        <v>145.51300000000001</v>
      </c>
      <c r="Z14" s="1187">
        <f t="shared" si="19"/>
        <v>8.6040422505204717E-3</v>
      </c>
      <c r="AA14" s="1190">
        <f>HLOOKUP(AA$3,$A$2:$R$86,$A24,0)</f>
        <v>567.34199999999998</v>
      </c>
      <c r="AB14" s="1190">
        <f>HLOOKUP(AB$3,$A$2:$R$86,$A24,0)</f>
        <v>509.13099999999997</v>
      </c>
      <c r="AC14" s="1187">
        <f t="shared" si="20"/>
        <v>0.11433403190927294</v>
      </c>
    </row>
    <row r="15" spans="1:30" ht="12" customHeight="1" thickBot="1" x14ac:dyDescent="0.3">
      <c r="A15" s="2">
        <f t="shared" si="0"/>
        <v>14</v>
      </c>
      <c r="B15" s="6" t="s">
        <v>31</v>
      </c>
      <c r="C15" s="7">
        <v>676.90499999999997</v>
      </c>
      <c r="D15" s="7">
        <v>590.16200000000003</v>
      </c>
      <c r="E15" s="7">
        <v>839.80799999999999</v>
      </c>
      <c r="F15" s="7">
        <v>774.48099999999999</v>
      </c>
      <c r="G15" s="7">
        <v>832.50599999999997</v>
      </c>
      <c r="H15" s="7">
        <v>984.524</v>
      </c>
      <c r="I15" s="7">
        <v>1001.436</v>
      </c>
      <c r="J15" s="7">
        <v>1015.678</v>
      </c>
      <c r="K15" s="7">
        <v>995.154</v>
      </c>
      <c r="L15" s="7">
        <v>1180.318</v>
      </c>
      <c r="M15" s="7">
        <v>1328.241</v>
      </c>
      <c r="N15" s="7">
        <v>1421.2539999999999</v>
      </c>
      <c r="O15" s="7">
        <v>1377.4659999999999</v>
      </c>
      <c r="Q15" s="7">
        <f>IF(Q$1="3M",G15,IF(Q$1="6M",SUM(G15:H15),IF(Q$1="9M",SUM(G15:I15),SUM(G15:J15))))</f>
        <v>3834.1439999999998</v>
      </c>
      <c r="R15" s="7">
        <f>IF(R$1="3M",K15,IF(R$1="6M",SUM(K15:L15),IF(R$1="9M",SUM(K15:M15),SUM(K15:N15))))</f>
        <v>4924.9669999999996</v>
      </c>
      <c r="U15" s="1189" t="s">
        <v>1153</v>
      </c>
      <c r="V15" s="1190">
        <f>HLOOKUP(V$4,$A$2:$R$86,$A28,0)</f>
        <v>38.844999999999999</v>
      </c>
      <c r="W15" s="1190">
        <f>HLOOKUP(W$4,$A$2:$R$86,$A28,0)</f>
        <v>43.704000000000001</v>
      </c>
      <c r="X15" s="1187">
        <f t="shared" si="18"/>
        <v>-0.11117975471352737</v>
      </c>
      <c r="Y15" s="1190">
        <f>HLOOKUP(Y$4,$A$2:$R$86,$A28,0)</f>
        <v>42.182000000000002</v>
      </c>
      <c r="Z15" s="1187">
        <f t="shared" si="19"/>
        <v>-7.9109572803565564E-2</v>
      </c>
      <c r="AA15" s="1190">
        <f>HLOOKUP(AA$3,$A$2:$R$86,$A28,0)</f>
        <v>158.70400000000001</v>
      </c>
      <c r="AB15" s="1190">
        <f>HLOOKUP(AB$3,$A$2:$R$86,$A28,0)</f>
        <v>206.99600000000001</v>
      </c>
      <c r="AC15" s="1187">
        <f t="shared" si="20"/>
        <v>-0.23329919418732725</v>
      </c>
    </row>
    <row r="16" spans="1:30" ht="12" customHeight="1" thickBot="1" x14ac:dyDescent="0.3">
      <c r="A16" s="2">
        <f t="shared" si="0"/>
        <v>15</v>
      </c>
      <c r="B16" s="6" t="s">
        <v>32</v>
      </c>
      <c r="C16" s="7">
        <v>94.492000000000004</v>
      </c>
      <c r="D16" s="7">
        <v>91.960999999999999</v>
      </c>
      <c r="E16" s="7">
        <v>114.444</v>
      </c>
      <c r="F16" s="7">
        <v>98.141000000000005</v>
      </c>
      <c r="G16" s="7">
        <v>111.474</v>
      </c>
      <c r="H16" s="7">
        <v>106.68</v>
      </c>
      <c r="I16" s="7">
        <v>107.705</v>
      </c>
      <c r="J16" s="7">
        <v>126.19799999999999</v>
      </c>
      <c r="K16" s="7">
        <v>121.39100000000001</v>
      </c>
      <c r="L16" s="7">
        <v>119.128</v>
      </c>
      <c r="M16" s="7">
        <v>118.988</v>
      </c>
      <c r="N16" s="7">
        <v>122.07299999999999</v>
      </c>
      <c r="O16" s="7">
        <v>135.358</v>
      </c>
      <c r="Q16" s="7">
        <f>IF(Q$1="3M",G16,IF(Q$1="6M",SUM(G16:H16),IF(Q$1="9M",SUM(G16:I16),SUM(G16:J16))))</f>
        <v>452.05699999999996</v>
      </c>
      <c r="R16" s="7">
        <f>IF(R$1="3M",K16,IF(R$1="6M",SUM(K16:L16),IF(R$1="9M",SUM(K16:M16),SUM(K16:N16))))</f>
        <v>481.58</v>
      </c>
      <c r="U16" s="1244" t="s">
        <v>1588</v>
      </c>
      <c r="V16" s="1190">
        <f>HLOOKUP(V$4,$A$2:$R$86,$A29,0)</f>
        <v>0</v>
      </c>
      <c r="W16" s="1190">
        <f>HLOOKUP(W$4,$A$2:$R$86,$A29,0)</f>
        <v>0</v>
      </c>
      <c r="X16" s="1187" t="str">
        <f t="shared" si="18"/>
        <v>NM</v>
      </c>
      <c r="Y16" s="1190">
        <f>HLOOKUP(Y$4,$A$2:$R$86,$A29,0)</f>
        <v>0</v>
      </c>
      <c r="Z16" s="1187" t="str">
        <f t="shared" si="19"/>
        <v>NM</v>
      </c>
      <c r="AA16" s="1190">
        <f>HLOOKUP(AA$3,$A$2:$R$86,$A29,0)</f>
        <v>0</v>
      </c>
      <c r="AB16" s="1190">
        <f>HLOOKUP(AB$3,$A$2:$R$86,$A29,0)</f>
        <v>-61.109000000000002</v>
      </c>
      <c r="AC16" s="1187" t="str">
        <f t="shared" si="20"/>
        <v>NM</v>
      </c>
    </row>
    <row r="17" spans="1:37" ht="12" customHeight="1" thickBot="1" x14ac:dyDescent="0.3">
      <c r="A17" s="2">
        <f t="shared" si="0"/>
        <v>16</v>
      </c>
      <c r="B17" s="6" t="s">
        <v>33</v>
      </c>
      <c r="C17" s="7">
        <v>126.262</v>
      </c>
      <c r="D17" s="7">
        <v>120.39400000000001</v>
      </c>
      <c r="E17" s="7">
        <v>90.792000000000002</v>
      </c>
      <c r="F17" s="7">
        <v>113.235</v>
      </c>
      <c r="G17" s="7">
        <v>211.733</v>
      </c>
      <c r="H17" s="7">
        <v>92.644000000000005</v>
      </c>
      <c r="I17" s="7">
        <v>112.34399999999999</v>
      </c>
      <c r="J17" s="7">
        <v>86.92</v>
      </c>
      <c r="K17" s="7">
        <v>63.548000000000002</v>
      </c>
      <c r="L17" s="7">
        <v>80.536000000000001</v>
      </c>
      <c r="M17" s="7">
        <v>76.430999999999997</v>
      </c>
      <c r="N17" s="7">
        <v>65.888000000000005</v>
      </c>
      <c r="O17" s="7">
        <v>63.273000000000003</v>
      </c>
      <c r="Q17" s="7">
        <f>IF(Q$1="3M",G17,IF(Q$1="6M",SUM(G17:H17),IF(Q$1="9M",SUM(G17:I17),SUM(G17:J17))))</f>
        <v>503.64100000000002</v>
      </c>
      <c r="R17" s="7">
        <f>IF(R$1="3M",K17,IF(R$1="6M",SUM(K17:L17),IF(R$1="9M",SUM(K17:M17),SUM(K17:N17))))</f>
        <v>286.40300000000002</v>
      </c>
      <c r="U17" s="1192" t="s">
        <v>40</v>
      </c>
      <c r="V17" s="1190">
        <f>HLOOKUP(V$4,$A$2:$R$86,$A31,0)</f>
        <v>231.87700000000015</v>
      </c>
      <c r="W17" s="1190">
        <f>HLOOKUP(W$4,$A$2:$R$86,$A31,0)</f>
        <v>-352.46099999999996</v>
      </c>
      <c r="X17" s="1187" t="str">
        <f t="shared" si="18"/>
        <v>NM</v>
      </c>
      <c r="Y17" s="1190">
        <f>HLOOKUP(Y$4,$A$2:$R$86,$A31,0)</f>
        <v>151.12499999999983</v>
      </c>
      <c r="Z17" s="1187">
        <f t="shared" si="19"/>
        <v>0.53433912324235178</v>
      </c>
      <c r="AA17" s="1190">
        <f>HLOOKUP(AA$3,$A$2:$R$86,$A31,0)</f>
        <v>486.81900000000024</v>
      </c>
      <c r="AB17" s="1190">
        <f>HLOOKUP(AB$3,$A$2:$R$86,$A31,0)</f>
        <v>-669.4659999999991</v>
      </c>
      <c r="AC17" s="1187" t="str">
        <f t="shared" si="20"/>
        <v>NM</v>
      </c>
    </row>
    <row r="18" spans="1:37" ht="12" customHeight="1" thickBot="1" x14ac:dyDescent="0.3">
      <c r="A18" s="2">
        <f t="shared" si="0"/>
        <v>17</v>
      </c>
      <c r="B18" s="9" t="s">
        <v>1986</v>
      </c>
      <c r="C18" s="10">
        <f t="shared" ref="C18:M18" si="21">SUM(C15:C17)</f>
        <v>897.65899999999988</v>
      </c>
      <c r="D18" s="10">
        <f t="shared" si="21"/>
        <v>802.51700000000005</v>
      </c>
      <c r="E18" s="10">
        <f t="shared" si="21"/>
        <v>1045.0439999999999</v>
      </c>
      <c r="F18" s="10">
        <f t="shared" si="21"/>
        <v>985.85699999999997</v>
      </c>
      <c r="G18" s="10">
        <f t="shared" si="21"/>
        <v>1155.713</v>
      </c>
      <c r="H18" s="10">
        <f t="shared" si="21"/>
        <v>1183.848</v>
      </c>
      <c r="I18" s="10">
        <f t="shared" si="21"/>
        <v>1221.4850000000001</v>
      </c>
      <c r="J18" s="10">
        <f t="shared" si="21"/>
        <v>1228.796</v>
      </c>
      <c r="K18" s="10">
        <f t="shared" si="21"/>
        <v>1180.0930000000001</v>
      </c>
      <c r="L18" s="10">
        <f t="shared" si="21"/>
        <v>1379.982</v>
      </c>
      <c r="M18" s="10">
        <f t="shared" si="21"/>
        <v>1523.66</v>
      </c>
      <c r="N18" s="10">
        <f>SUM(N15:N17)</f>
        <v>1609.2149999999999</v>
      </c>
      <c r="O18" s="10">
        <f>SUM(O15:O17)</f>
        <v>1576.0969999999998</v>
      </c>
      <c r="Q18" s="10">
        <f>IF(Q$1="3M",G18,IF(Q$1="6M",SUM(G18:H18),IF(Q$1="9M",SUM(G18:I18),SUM(G18:J18))))</f>
        <v>4789.8419999999996</v>
      </c>
      <c r="R18" s="10">
        <f>IF(R$1="3M",K18,IF(R$1="6M",SUM(K18:L18),IF(R$1="9M",SUM(K18:M18),SUM(K18:N18))))</f>
        <v>5692.95</v>
      </c>
      <c r="U18" s="1189" t="s">
        <v>1584</v>
      </c>
      <c r="V18" s="1190">
        <f>HLOOKUP(V$4,$A$2:$R$86,$A37,0)</f>
        <v>92.061999999999998</v>
      </c>
      <c r="W18" s="1190">
        <f>HLOOKUP(W$4,$A$2:$R$86,$A37,0)</f>
        <v>-167.15439999999998</v>
      </c>
      <c r="X18" s="1187" t="str">
        <f t="shared" si="18"/>
        <v>NM</v>
      </c>
      <c r="Y18" s="1190">
        <f>HLOOKUP(Y$4,$A$2:$R$86,$A37,0)</f>
        <v>57.501999999999995</v>
      </c>
      <c r="Z18" s="1187">
        <f t="shared" si="19"/>
        <v>0.60102257312789131</v>
      </c>
      <c r="AA18" s="1190">
        <f>HLOOKUP(AA$3,$A$2:$R$86,$A37,0)</f>
        <v>185.363</v>
      </c>
      <c r="AB18" s="1190">
        <f>HLOOKUP(AB$3,$A$2:$R$86,$A37,0)</f>
        <v>-216.41040000000001</v>
      </c>
      <c r="AC18" s="1187" t="str">
        <f t="shared" si="20"/>
        <v>NM</v>
      </c>
    </row>
    <row r="19" spans="1:37" ht="12" customHeight="1" thickBot="1" x14ac:dyDescent="0.3">
      <c r="A19" s="2">
        <f t="shared" si="0"/>
        <v>18</v>
      </c>
      <c r="B19" s="9" t="s">
        <v>34</v>
      </c>
      <c r="C19" s="10">
        <f t="shared" ref="C19:M19" si="22">+C12-C18</f>
        <v>157.59900000000016</v>
      </c>
      <c r="D19" s="10">
        <f t="shared" si="22"/>
        <v>143.27699999999993</v>
      </c>
      <c r="E19" s="10">
        <f t="shared" si="22"/>
        <v>123.38100000000009</v>
      </c>
      <c r="F19" s="10">
        <f t="shared" si="22"/>
        <v>193.37900000000013</v>
      </c>
      <c r="G19" s="10">
        <f t="shared" si="22"/>
        <v>20.57100000000014</v>
      </c>
      <c r="H19" s="10">
        <f t="shared" si="22"/>
        <v>147.34799999999996</v>
      </c>
      <c r="I19" s="10">
        <f t="shared" si="22"/>
        <v>73.266999999999825</v>
      </c>
      <c r="J19" s="10">
        <f t="shared" si="22"/>
        <v>-186.08799999999997</v>
      </c>
      <c r="K19" s="10">
        <f t="shared" si="22"/>
        <v>204.4849999999999</v>
      </c>
      <c r="L19" s="10">
        <f t="shared" si="22"/>
        <v>243.89400000000001</v>
      </c>
      <c r="M19" s="10">
        <f t="shared" si="22"/>
        <v>334.81399999999985</v>
      </c>
      <c r="N19" s="10">
        <f>+N12-N18</f>
        <v>398.44600000000014</v>
      </c>
      <c r="O19" s="10">
        <f>+O12-O18</f>
        <v>331.35400000000027</v>
      </c>
      <c r="Q19" s="10">
        <f t="shared" ref="Q19:R19" si="23">Q12-SUM(Q15:Q17)</f>
        <v>55.098000000000866</v>
      </c>
      <c r="R19" s="10">
        <f t="shared" si="23"/>
        <v>1181.6390000000001</v>
      </c>
      <c r="U19" s="1245" t="s">
        <v>798</v>
      </c>
      <c r="V19" s="1193">
        <f>+V17-V18</f>
        <v>139.81500000000017</v>
      </c>
      <c r="W19" s="1193">
        <f>+W17-W18</f>
        <v>-185.30659999999997</v>
      </c>
      <c r="X19" s="1187" t="str">
        <f t="shared" si="18"/>
        <v>NM</v>
      </c>
      <c r="Y19" s="1193">
        <f>+Y17-Y18</f>
        <v>93.622999999999834</v>
      </c>
      <c r="Z19" s="1187">
        <f t="shared" si="19"/>
        <v>0.49338303621973667</v>
      </c>
      <c r="AA19" s="1193">
        <f t="shared" ref="AA19:AB19" si="24">+AA17-AA18</f>
        <v>301.45600000000024</v>
      </c>
      <c r="AB19" s="1193">
        <f t="shared" si="24"/>
        <v>-453.05559999999912</v>
      </c>
      <c r="AC19" s="1187" t="str">
        <f t="shared" si="20"/>
        <v>NM</v>
      </c>
    </row>
    <row r="20" spans="1:37" ht="12" customHeight="1" thickBot="1" x14ac:dyDescent="0.3">
      <c r="A20" s="2">
        <f t="shared" si="0"/>
        <v>19</v>
      </c>
      <c r="B20" s="15" t="s">
        <v>892</v>
      </c>
      <c r="C20" s="16">
        <f t="shared" ref="C20:M20" si="25">IF(ISERROR(C19/C12)," ",C19/C12)</f>
        <v>0.14934641575804225</v>
      </c>
      <c r="D20" s="16">
        <f t="shared" si="25"/>
        <v>0.15148859053874303</v>
      </c>
      <c r="E20" s="16">
        <f t="shared" si="25"/>
        <v>0.1055959946081264</v>
      </c>
      <c r="F20" s="16">
        <f t="shared" si="25"/>
        <v>0.16398668290316792</v>
      </c>
      <c r="G20" s="16">
        <f t="shared" si="25"/>
        <v>1.7488123616405678E-2</v>
      </c>
      <c r="H20" s="16">
        <f t="shared" si="25"/>
        <v>0.11068843355899505</v>
      </c>
      <c r="I20" s="16">
        <f t="shared" si="25"/>
        <v>5.6587670843528205E-2</v>
      </c>
      <c r="J20" s="16">
        <f t="shared" si="25"/>
        <v>-0.17846607103810458</v>
      </c>
      <c r="K20" s="16">
        <f t="shared" si="25"/>
        <v>0.14768759867627529</v>
      </c>
      <c r="L20" s="16">
        <f t="shared" si="25"/>
        <v>0.1501925023831869</v>
      </c>
      <c r="M20" s="16">
        <f t="shared" si="25"/>
        <v>0.18015533173991127</v>
      </c>
      <c r="N20" s="16">
        <f t="shared" ref="N20:O20" si="26">IF(ISERROR(N19/N12)," ",N19/N12)</f>
        <v>0.19846278828945729</v>
      </c>
      <c r="O20" s="16">
        <f t="shared" si="26"/>
        <v>0.17371560265506178</v>
      </c>
      <c r="Q20" s="16"/>
      <c r="R20" s="16"/>
      <c r="U20" s="1189" t="s">
        <v>1586</v>
      </c>
      <c r="V20" s="1199">
        <f>+V19/$V$2</f>
        <v>0.92900332225913729</v>
      </c>
      <c r="W20" s="1199">
        <f>+W19/$V$2</f>
        <v>-1.2312730897009965</v>
      </c>
      <c r="X20" s="1187" t="str">
        <f t="shared" si="18"/>
        <v>NM</v>
      </c>
      <c r="Y20" s="1199">
        <f>+Y19/$V$2</f>
        <v>0.62207973421926799</v>
      </c>
      <c r="Z20" s="1187">
        <f t="shared" si="19"/>
        <v>0.49338303621973667</v>
      </c>
      <c r="AA20" s="1199">
        <f>+AA19/$V$2</f>
        <v>2.0030299003322276</v>
      </c>
      <c r="AB20" s="1199">
        <f>+AB19/$V$2</f>
        <v>-3.010336212624579</v>
      </c>
      <c r="AC20" s="1187" t="str">
        <f t="shared" si="20"/>
        <v>NM</v>
      </c>
      <c r="AD20" s="14"/>
      <c r="AE20" s="14"/>
      <c r="AF20" s="14"/>
      <c r="AG20" s="14"/>
      <c r="AH20" s="14"/>
      <c r="AI20" s="14"/>
      <c r="AJ20" s="14"/>
      <c r="AK20" s="14"/>
    </row>
    <row r="21" spans="1:37" s="14" customFormat="1" ht="12" customHeight="1" x14ac:dyDescent="0.25">
      <c r="A21" s="2">
        <f t="shared" si="0"/>
        <v>20</v>
      </c>
      <c r="B21" s="11" t="s">
        <v>30</v>
      </c>
      <c r="C21" s="12" t="str">
        <f>IF(ISERROR(C19/#REF!-1)," ",C19/#REF!-1)</f>
        <v xml:space="preserve"> </v>
      </c>
      <c r="D21" s="12" t="str">
        <f>IF(ISERROR(D19/#REF!-1)," ",D19/#REF!-1)</f>
        <v xml:space="preserve"> </v>
      </c>
      <c r="E21" s="12" t="str">
        <f>IF(ISERROR(E19/#REF!-1)," ",E19/#REF!-1)</f>
        <v xml:space="preserve"> </v>
      </c>
      <c r="F21" s="12" t="str">
        <f>IF(ISERROR(F19/#REF!-1)," ",F19/#REF!-1)</f>
        <v xml:space="preserve"> </v>
      </c>
      <c r="G21" s="12">
        <f t="shared" ref="G21:L21" si="27">+G19/C19-1</f>
        <v>-0.86947252203376846</v>
      </c>
      <c r="H21" s="12">
        <f t="shared" si="27"/>
        <v>2.8413492744823188E-2</v>
      </c>
      <c r="I21" s="12">
        <f t="shared" si="27"/>
        <v>-0.40617274945088977</v>
      </c>
      <c r="J21" s="12">
        <f t="shared" si="27"/>
        <v>-1.9622968367816558</v>
      </c>
      <c r="K21" s="12">
        <f t="shared" si="27"/>
        <v>8.9404501482669048</v>
      </c>
      <c r="L21" s="12">
        <f t="shared" si="27"/>
        <v>0.65522436680511498</v>
      </c>
      <c r="M21" s="12">
        <f>+M19/I19-1</f>
        <v>3.5697790273929693</v>
      </c>
      <c r="N21" s="12"/>
      <c r="O21" s="12"/>
      <c r="Q21" s="12"/>
      <c r="R21" s="12"/>
    </row>
    <row r="22" spans="1:37" ht="12" customHeight="1" x14ac:dyDescent="0.25">
      <c r="A22" s="2">
        <f t="shared" si="0"/>
        <v>21</v>
      </c>
      <c r="B22" s="15"/>
      <c r="C22" s="16"/>
      <c r="D22" s="16"/>
      <c r="E22" s="16"/>
      <c r="F22" s="16"/>
      <c r="G22" s="16"/>
      <c r="H22" s="16"/>
      <c r="I22" s="16"/>
      <c r="J22" s="16"/>
      <c r="K22" s="16"/>
      <c r="L22" s="16"/>
      <c r="M22" s="16"/>
      <c r="N22" s="16"/>
      <c r="O22" s="16"/>
      <c r="Q22" s="16"/>
      <c r="R22" s="16"/>
    </row>
    <row r="23" spans="1:37" ht="12" customHeight="1" x14ac:dyDescent="0.25">
      <c r="A23" s="2">
        <f t="shared" si="0"/>
        <v>22</v>
      </c>
      <c r="B23" s="6" t="s">
        <v>36</v>
      </c>
      <c r="C23" s="7">
        <v>3.9350000000000001</v>
      </c>
      <c r="D23" s="7">
        <v>7.9720000000000004</v>
      </c>
      <c r="E23" s="7">
        <v>42.255000000000003</v>
      </c>
      <c r="F23" s="7">
        <v>5.5430000000000001</v>
      </c>
      <c r="G23" s="7">
        <v>12.843999999999999</v>
      </c>
      <c r="H23" s="7">
        <v>28.908000000000001</v>
      </c>
      <c r="I23" s="7">
        <v>4.343</v>
      </c>
      <c r="J23" s="7">
        <v>6.577</v>
      </c>
      <c r="K23" s="7">
        <v>5.7539999999999996</v>
      </c>
      <c r="L23" s="7">
        <v>2.4249999999999998</v>
      </c>
      <c r="M23" s="7">
        <v>4.0060000000000002</v>
      </c>
      <c r="N23" s="7">
        <v>19.041</v>
      </c>
      <c r="O23" s="7">
        <v>15.531000000000001</v>
      </c>
      <c r="Q23" s="7">
        <f>IF(Q$1="3M",G23,IF(Q$1="6M",SUM(G23:H23),IF(Q$1="9M",SUM(G23:I23),SUM(G23:J23))))</f>
        <v>52.671999999999997</v>
      </c>
      <c r="R23" s="7">
        <f>IF(R$1="3M",K23,IF(R$1="6M",SUM(K23:L23),IF(R$1="9M",SUM(K23:M23),SUM(K23:N23))))</f>
        <v>31.225999999999999</v>
      </c>
    </row>
    <row r="24" spans="1:37" ht="12" customHeight="1" x14ac:dyDescent="0.25">
      <c r="A24" s="2">
        <f t="shared" si="0"/>
        <v>23</v>
      </c>
      <c r="B24" s="6" t="s">
        <v>37</v>
      </c>
      <c r="C24" s="7">
        <v>87.769000000000005</v>
      </c>
      <c r="D24" s="7">
        <v>96.147000000000006</v>
      </c>
      <c r="E24" s="7">
        <v>111.20099999999999</v>
      </c>
      <c r="F24" s="7">
        <v>121.93600000000001</v>
      </c>
      <c r="G24" s="7">
        <v>127.27200000000001</v>
      </c>
      <c r="H24" s="7">
        <v>125.395</v>
      </c>
      <c r="I24" s="7">
        <v>127.218</v>
      </c>
      <c r="J24" s="7">
        <v>129.24600000000001</v>
      </c>
      <c r="K24" s="7">
        <v>133.54599999999999</v>
      </c>
      <c r="L24" s="7">
        <v>141.518</v>
      </c>
      <c r="M24" s="7">
        <v>145.51300000000001</v>
      </c>
      <c r="N24" s="7">
        <v>146.76499999999999</v>
      </c>
      <c r="O24" s="7">
        <v>150.422</v>
      </c>
      <c r="Q24" s="7">
        <f>IF(Q$1="3M",G24,IF(Q$1="6M",SUM(G24:H24),IF(Q$1="9M",SUM(G24:I24),SUM(G24:J24))))</f>
        <v>509.13099999999997</v>
      </c>
      <c r="R24" s="7">
        <f>IF(R$1="3M",K24,IF(R$1="6M",SUM(K24:L24),IF(R$1="9M",SUM(K24:M24),SUM(K24:N24))))</f>
        <v>567.34199999999998</v>
      </c>
    </row>
    <row r="25" spans="1:37" ht="12" customHeight="1" x14ac:dyDescent="0.25">
      <c r="A25" s="2">
        <f t="shared" si="0"/>
        <v>24</v>
      </c>
      <c r="B25" s="6"/>
      <c r="C25" s="7"/>
      <c r="D25" s="7"/>
      <c r="E25" s="7"/>
      <c r="F25" s="7"/>
      <c r="G25" s="7"/>
      <c r="H25" s="7"/>
      <c r="I25" s="7"/>
      <c r="J25" s="7"/>
      <c r="K25" s="7"/>
      <c r="L25" s="7"/>
      <c r="M25" s="7"/>
      <c r="N25" s="7"/>
      <c r="O25" s="7"/>
      <c r="Q25" s="7"/>
      <c r="R25" s="7"/>
    </row>
    <row r="26" spans="1:37" ht="12" customHeight="1" x14ac:dyDescent="0.25">
      <c r="A26" s="2">
        <f t="shared" si="0"/>
        <v>25</v>
      </c>
      <c r="B26" s="9" t="s">
        <v>38</v>
      </c>
      <c r="C26" s="10">
        <f t="shared" ref="C26:M26" si="28">C19+C23-C24</f>
        <v>73.765000000000157</v>
      </c>
      <c r="D26" s="10">
        <f t="shared" si="28"/>
        <v>55.101999999999933</v>
      </c>
      <c r="E26" s="10">
        <f t="shared" si="28"/>
        <v>54.435000000000088</v>
      </c>
      <c r="F26" s="10">
        <f t="shared" si="28"/>
        <v>76.986000000000132</v>
      </c>
      <c r="G26" s="10">
        <f t="shared" si="28"/>
        <v>-93.856999999999857</v>
      </c>
      <c r="H26" s="10">
        <f t="shared" si="28"/>
        <v>50.860999999999976</v>
      </c>
      <c r="I26" s="10">
        <f t="shared" si="28"/>
        <v>-49.608000000000175</v>
      </c>
      <c r="J26" s="10">
        <f t="shared" si="28"/>
        <v>-308.75699999999995</v>
      </c>
      <c r="K26" s="10">
        <f t="shared" si="28"/>
        <v>76.692999999999898</v>
      </c>
      <c r="L26" s="10">
        <f t="shared" si="28"/>
        <v>104.80100000000002</v>
      </c>
      <c r="M26" s="10">
        <f t="shared" si="28"/>
        <v>193.30699999999982</v>
      </c>
      <c r="N26" s="10">
        <f t="shared" ref="N26:R26" si="29">N19+N23-N24</f>
        <v>270.72200000000015</v>
      </c>
      <c r="O26" s="10">
        <f t="shared" ref="O26" si="30">O19+O23-O24</f>
        <v>196.46300000000028</v>
      </c>
      <c r="Q26" s="10">
        <f t="shared" si="29"/>
        <v>-401.36099999999908</v>
      </c>
      <c r="R26" s="10">
        <f t="shared" si="29"/>
        <v>645.52300000000025</v>
      </c>
    </row>
    <row r="27" spans="1:37" ht="12" customHeight="1" x14ac:dyDescent="0.25">
      <c r="A27" s="2">
        <f t="shared" si="0"/>
        <v>26</v>
      </c>
      <c r="B27" s="6"/>
      <c r="C27" s="7"/>
      <c r="D27" s="7"/>
      <c r="E27" s="7"/>
      <c r="F27" s="7"/>
      <c r="G27" s="7"/>
      <c r="H27" s="7"/>
      <c r="I27" s="7"/>
      <c r="J27" s="7"/>
      <c r="K27" s="7"/>
      <c r="L27" s="7"/>
      <c r="M27" s="7"/>
      <c r="N27" s="7"/>
      <c r="O27" s="7"/>
      <c r="Q27" s="7"/>
      <c r="R27" s="7"/>
    </row>
    <row r="28" spans="1:37" ht="12" customHeight="1" x14ac:dyDescent="0.25">
      <c r="A28" s="2">
        <f t="shared" si="0"/>
        <v>27</v>
      </c>
      <c r="B28" s="6" t="s">
        <v>39</v>
      </c>
      <c r="C28" s="7">
        <v>10.755000000000001</v>
      </c>
      <c r="D28" s="7">
        <v>19.925000000000001</v>
      </c>
      <c r="E28" s="7">
        <v>52.713999999999999</v>
      </c>
      <c r="F28" s="7">
        <v>56.786999999999999</v>
      </c>
      <c r="G28" s="7">
        <v>54.133000000000003</v>
      </c>
      <c r="H28" s="7">
        <v>58.210999999999999</v>
      </c>
      <c r="I28" s="7">
        <v>50.948</v>
      </c>
      <c r="J28" s="7">
        <v>43.704000000000001</v>
      </c>
      <c r="K28" s="7">
        <v>38.685000000000002</v>
      </c>
      <c r="L28" s="7">
        <v>38.991999999999997</v>
      </c>
      <c r="M28" s="7">
        <v>42.182000000000002</v>
      </c>
      <c r="N28" s="7">
        <v>38.844999999999999</v>
      </c>
      <c r="O28" s="7">
        <v>32.280999999999999</v>
      </c>
      <c r="Q28" s="7">
        <f>IF(Q$1="3M",G28,IF(Q$1="6M",SUM(G28:H28),IF(Q$1="9M",SUM(G28:I28),SUM(G28:J28))))</f>
        <v>206.99600000000001</v>
      </c>
      <c r="R28" s="7">
        <f>IF(R$1="3M",K28,IF(R$1="6M",SUM(K28:L28),IF(R$1="9M",SUM(K28:M28),SUM(K28:N28))))</f>
        <v>158.70400000000001</v>
      </c>
    </row>
    <row r="29" spans="1:37" ht="12" customHeight="1" x14ac:dyDescent="0.25">
      <c r="A29" s="2">
        <f t="shared" si="0"/>
        <v>28</v>
      </c>
      <c r="B29" s="6" t="s">
        <v>307</v>
      </c>
      <c r="C29" s="7"/>
      <c r="D29" s="7"/>
      <c r="E29" s="7"/>
      <c r="F29" s="7"/>
      <c r="G29" s="7">
        <v>-48.904000000000003</v>
      </c>
      <c r="H29" s="7">
        <v>-12.205</v>
      </c>
      <c r="I29" s="7"/>
      <c r="J29" s="7"/>
      <c r="K29" s="7"/>
      <c r="L29" s="7"/>
      <c r="M29" s="7"/>
      <c r="N29" s="7"/>
      <c r="O29" s="7"/>
      <c r="Q29" s="7">
        <f>IF(Q$1="3M",G29,IF(Q$1="6M",SUM(G29:H29),IF(Q$1="9M",SUM(G29:I29),SUM(G29:J29))))</f>
        <v>-61.109000000000002</v>
      </c>
      <c r="R29" s="7">
        <f>IF(R$1="3M",K29,IF(R$1="6M",SUM(K29:L29),IF(R$1="9M",SUM(K29:M29),SUM(K29:N29))))</f>
        <v>0</v>
      </c>
    </row>
    <row r="30" spans="1:37" ht="12" customHeight="1" x14ac:dyDescent="0.25">
      <c r="A30" s="2">
        <f t="shared" si="0"/>
        <v>29</v>
      </c>
      <c r="B30" s="6"/>
      <c r="C30" s="7"/>
      <c r="D30" s="7"/>
      <c r="E30" s="7"/>
      <c r="F30" s="7"/>
      <c r="G30" s="7"/>
      <c r="H30" s="7"/>
      <c r="I30" s="7"/>
      <c r="J30" s="7"/>
      <c r="K30" s="7"/>
      <c r="L30" s="7"/>
      <c r="M30" s="7"/>
      <c r="N30" s="7"/>
      <c r="O30" s="7"/>
      <c r="Q30" s="7"/>
      <c r="R30" s="7"/>
    </row>
    <row r="31" spans="1:37" ht="12" customHeight="1" x14ac:dyDescent="0.25">
      <c r="A31" s="2">
        <f t="shared" si="0"/>
        <v>30</v>
      </c>
      <c r="B31" s="9" t="s">
        <v>40</v>
      </c>
      <c r="C31" s="10">
        <f t="shared" ref="C31:R31" si="31">C26-C28+C29</f>
        <v>63.010000000000154</v>
      </c>
      <c r="D31" s="10">
        <f t="shared" si="31"/>
        <v>35.176999999999936</v>
      </c>
      <c r="E31" s="10">
        <f t="shared" si="31"/>
        <v>1.7210000000000889</v>
      </c>
      <c r="F31" s="10">
        <f t="shared" si="31"/>
        <v>20.199000000000133</v>
      </c>
      <c r="G31" s="10">
        <f t="shared" si="31"/>
        <v>-196.89399999999986</v>
      </c>
      <c r="H31" s="10">
        <f t="shared" si="31"/>
        <v>-19.555000000000021</v>
      </c>
      <c r="I31" s="10">
        <f t="shared" si="31"/>
        <v>-100.55600000000018</v>
      </c>
      <c r="J31" s="10">
        <f t="shared" si="31"/>
        <v>-352.46099999999996</v>
      </c>
      <c r="K31" s="10">
        <f t="shared" si="31"/>
        <v>38.007999999999896</v>
      </c>
      <c r="L31" s="10">
        <f t="shared" si="31"/>
        <v>65.809000000000026</v>
      </c>
      <c r="M31" s="10">
        <f t="shared" si="31"/>
        <v>151.12499999999983</v>
      </c>
      <c r="N31" s="10">
        <f t="shared" si="31"/>
        <v>231.87700000000015</v>
      </c>
      <c r="O31" s="10">
        <f t="shared" ref="O31" si="32">O26-O28+O29</f>
        <v>164.18200000000027</v>
      </c>
      <c r="Q31" s="10">
        <f t="shared" si="31"/>
        <v>-669.4659999999991</v>
      </c>
      <c r="R31" s="10">
        <f t="shared" si="31"/>
        <v>486.81900000000024</v>
      </c>
    </row>
    <row r="32" spans="1:37" ht="12" customHeight="1" x14ac:dyDescent="0.25">
      <c r="A32" s="2">
        <f t="shared" si="0"/>
        <v>31</v>
      </c>
      <c r="B32" s="6"/>
      <c r="C32" s="7"/>
      <c r="D32" s="7"/>
      <c r="E32" s="7"/>
      <c r="F32" s="7"/>
      <c r="G32" s="7"/>
      <c r="H32" s="7"/>
      <c r="I32" s="7"/>
      <c r="J32" s="7"/>
      <c r="K32" s="7"/>
      <c r="L32" s="7"/>
      <c r="M32" s="7"/>
      <c r="N32" s="7"/>
      <c r="O32" s="7"/>
      <c r="Q32" s="7"/>
      <c r="R32" s="7"/>
    </row>
    <row r="33" spans="1:29" ht="12" customHeight="1" x14ac:dyDescent="0.25">
      <c r="A33" s="2">
        <f t="shared" si="0"/>
        <v>32</v>
      </c>
      <c r="B33" s="6" t="s">
        <v>41</v>
      </c>
      <c r="C33" s="7"/>
      <c r="D33" s="7"/>
      <c r="E33" s="7"/>
      <c r="F33" s="7"/>
      <c r="G33" s="7"/>
      <c r="H33" s="7"/>
      <c r="I33" s="7"/>
      <c r="J33" s="7"/>
      <c r="K33" s="7"/>
      <c r="L33" s="7"/>
      <c r="M33" s="7"/>
      <c r="N33" s="7"/>
      <c r="O33" s="7"/>
      <c r="Q33" s="7"/>
      <c r="R33" s="7"/>
    </row>
    <row r="34" spans="1:29" ht="12" customHeight="1" x14ac:dyDescent="0.25">
      <c r="A34" s="2">
        <f t="shared" si="0"/>
        <v>33</v>
      </c>
      <c r="B34" s="6" t="s">
        <v>42</v>
      </c>
      <c r="C34" s="7">
        <v>11.105</v>
      </c>
      <c r="D34" s="7">
        <v>6.0949999999999998</v>
      </c>
      <c r="E34" s="7">
        <v>-8.5</v>
      </c>
      <c r="F34" s="7">
        <v>10.701000000000001</v>
      </c>
      <c r="G34" s="7"/>
      <c r="H34" s="7"/>
      <c r="I34" s="7"/>
      <c r="J34" s="7"/>
      <c r="K34" s="7">
        <v>6.7069999999999999</v>
      </c>
      <c r="L34" s="7">
        <v>11.613</v>
      </c>
      <c r="M34" s="7">
        <v>26.518999999999998</v>
      </c>
      <c r="N34" s="7">
        <v>39.091999999999999</v>
      </c>
      <c r="O34" s="7"/>
      <c r="Q34" s="7">
        <f>IF(Q$1="3M",G34,IF(Q$1="6M",SUM(G34:H34),IF(Q$1="9M",SUM(G34:I34),SUM(G34:J34))))</f>
        <v>0</v>
      </c>
      <c r="R34" s="7">
        <f>IF(R$1="3M",K34,IF(R$1="6M",SUM(K34:L34),IF(R$1="9M",SUM(K34:M34),SUM(K34:N34))))</f>
        <v>83.930999999999997</v>
      </c>
    </row>
    <row r="35" spans="1:29" ht="12" customHeight="1" x14ac:dyDescent="0.25">
      <c r="A35" s="2">
        <f t="shared" si="0"/>
        <v>34</v>
      </c>
      <c r="B35" s="6" t="s">
        <v>43</v>
      </c>
      <c r="C35" s="7">
        <v>14.641999999999999</v>
      </c>
      <c r="D35" s="7">
        <v>14.196999999999999</v>
      </c>
      <c r="E35" s="7">
        <v>56.267000000000003</v>
      </c>
      <c r="F35" s="7">
        <v>-63.055999999999997</v>
      </c>
      <c r="G35" s="7">
        <v>-66.111000000000004</v>
      </c>
      <c r="H35" s="7">
        <v>3.4390000000000001</v>
      </c>
      <c r="I35" s="7">
        <v>13.718</v>
      </c>
      <c r="J35" s="7">
        <v>-163.84139999999999</v>
      </c>
      <c r="K35" s="7"/>
      <c r="L35" s="7"/>
      <c r="M35" s="7"/>
      <c r="N35" s="7"/>
      <c r="O35" s="7">
        <v>41.375</v>
      </c>
      <c r="Q35" s="7">
        <f>IF(Q$1="3M",G35,IF(Q$1="6M",SUM(G35:H35),IF(Q$1="9M",SUM(G35:I35),SUM(G35:J35))))</f>
        <v>-212.7954</v>
      </c>
      <c r="R35" s="7">
        <f>IF(R$1="3M",K35,IF(R$1="6M",SUM(K35:L35),IF(R$1="9M",SUM(K35:M35),SUM(K35:N35))))</f>
        <v>0</v>
      </c>
    </row>
    <row r="36" spans="1:29" ht="12" customHeight="1" x14ac:dyDescent="0.25">
      <c r="A36" s="2">
        <f t="shared" si="0"/>
        <v>35</v>
      </c>
      <c r="B36" s="6" t="s">
        <v>44</v>
      </c>
      <c r="C36" s="7"/>
      <c r="D36" s="7">
        <v>-6.2089999999999996</v>
      </c>
      <c r="E36" s="7">
        <v>28.879000000000001</v>
      </c>
      <c r="F36" s="7"/>
      <c r="G36" s="7"/>
      <c r="H36" s="7"/>
      <c r="I36" s="7">
        <v>-0.30199999999999999</v>
      </c>
      <c r="J36" s="7">
        <v>-3.3130000000000002</v>
      </c>
      <c r="K36" s="7">
        <v>6.83</v>
      </c>
      <c r="L36" s="7">
        <v>10.648999999999999</v>
      </c>
      <c r="M36" s="7">
        <v>30.983000000000001</v>
      </c>
      <c r="N36" s="7">
        <v>52.97</v>
      </c>
      <c r="O36" s="7"/>
      <c r="Q36" s="7">
        <f>IF(Q$1="3M",G36,IF(Q$1="6M",SUM(G36:H36),IF(Q$1="9M",SUM(G36:I36),SUM(G36:J36))))</f>
        <v>-3.6150000000000002</v>
      </c>
      <c r="R36" s="7">
        <f>IF(R$1="3M",K36,IF(R$1="6M",SUM(K36:L36),IF(R$1="9M",SUM(K36:M36),SUM(K36:N36))))</f>
        <v>101.432</v>
      </c>
    </row>
    <row r="37" spans="1:29" s="18" customFormat="1" ht="12" customHeight="1" x14ac:dyDescent="0.25">
      <c r="A37" s="2">
        <f t="shared" si="0"/>
        <v>36</v>
      </c>
      <c r="B37" s="9" t="s">
        <v>45</v>
      </c>
      <c r="C37" s="10">
        <f t="shared" ref="C37:L37" si="33">SUM(C34:C36)</f>
        <v>25.747</v>
      </c>
      <c r="D37" s="10">
        <f t="shared" si="33"/>
        <v>14.082999999999998</v>
      </c>
      <c r="E37" s="10">
        <f t="shared" si="33"/>
        <v>76.646000000000001</v>
      </c>
      <c r="F37" s="10">
        <f t="shared" si="33"/>
        <v>-52.354999999999997</v>
      </c>
      <c r="G37" s="10">
        <f t="shared" si="33"/>
        <v>-66.111000000000004</v>
      </c>
      <c r="H37" s="10">
        <f t="shared" si="33"/>
        <v>3.4390000000000001</v>
      </c>
      <c r="I37" s="10">
        <f t="shared" si="33"/>
        <v>13.416</v>
      </c>
      <c r="J37" s="10">
        <f t="shared" si="33"/>
        <v>-167.15439999999998</v>
      </c>
      <c r="K37" s="10">
        <f t="shared" si="33"/>
        <v>13.536999999999999</v>
      </c>
      <c r="L37" s="10">
        <f t="shared" si="33"/>
        <v>22.262</v>
      </c>
      <c r="M37" s="10">
        <f>SUM(M34:M36)</f>
        <v>57.501999999999995</v>
      </c>
      <c r="N37" s="10">
        <f>SUM(N34:N36)</f>
        <v>92.061999999999998</v>
      </c>
      <c r="O37" s="10">
        <f>SUM(O34:O36)</f>
        <v>41.375</v>
      </c>
      <c r="Q37" s="10">
        <f t="shared" ref="Q37:R37" si="34">SUM(Q34:Q36)</f>
        <v>-216.41040000000001</v>
      </c>
      <c r="R37" s="10">
        <f t="shared" si="34"/>
        <v>185.363</v>
      </c>
    </row>
    <row r="38" spans="1:29" ht="12" customHeight="1" x14ac:dyDescent="0.25">
      <c r="A38" s="2">
        <f t="shared" si="0"/>
        <v>37</v>
      </c>
      <c r="B38" s="19" t="s">
        <v>46</v>
      </c>
      <c r="C38" s="12">
        <f t="shared" ref="C38:M38" si="35">IF(ISERROR(C37/C31)," ",C37/C31)</f>
        <v>0.40861767973337465</v>
      </c>
      <c r="D38" s="12">
        <f t="shared" si="35"/>
        <v>0.40034681752281387</v>
      </c>
      <c r="E38" s="12">
        <f t="shared" si="35"/>
        <v>44.535735037766436</v>
      </c>
      <c r="F38" s="12">
        <f t="shared" si="35"/>
        <v>-2.5919599980196866</v>
      </c>
      <c r="G38" s="12">
        <f t="shared" si="35"/>
        <v>0.33576950034028485</v>
      </c>
      <c r="H38" s="12">
        <f t="shared" si="35"/>
        <v>-0.17586295065200697</v>
      </c>
      <c r="I38" s="12">
        <f t="shared" si="35"/>
        <v>-0.13341819483670767</v>
      </c>
      <c r="J38" s="12">
        <f t="shared" si="35"/>
        <v>0.47424934957342801</v>
      </c>
      <c r="K38" s="12">
        <f t="shared" si="35"/>
        <v>0.35616186066091443</v>
      </c>
      <c r="L38" s="12">
        <f t="shared" si="35"/>
        <v>0.33828199790302227</v>
      </c>
      <c r="M38" s="12">
        <f t="shared" si="35"/>
        <v>0.38049296939619559</v>
      </c>
      <c r="N38" s="12">
        <f t="shared" ref="N38:O38" si="36">IF(ISERROR(N37/N31)," ",N37/N31)</f>
        <v>0.39702945958417585</v>
      </c>
      <c r="O38" s="12">
        <f t="shared" si="36"/>
        <v>0.25200691915069817</v>
      </c>
      <c r="Q38" s="12"/>
      <c r="R38" s="12"/>
    </row>
    <row r="39" spans="1:29" ht="12" customHeight="1" x14ac:dyDescent="0.25">
      <c r="A39" s="2">
        <f t="shared" si="0"/>
        <v>38</v>
      </c>
      <c r="B39" s="19"/>
      <c r="C39" s="12"/>
      <c r="D39" s="12"/>
      <c r="E39" s="12"/>
      <c r="F39" s="12"/>
      <c r="G39" s="12"/>
      <c r="H39" s="12"/>
      <c r="I39" s="12"/>
      <c r="J39" s="12"/>
      <c r="K39" s="12"/>
      <c r="L39" s="12"/>
      <c r="M39" s="12"/>
      <c r="N39" s="12"/>
      <c r="O39" s="12"/>
      <c r="Q39" s="12"/>
      <c r="R39" s="12"/>
    </row>
    <row r="40" spans="1:29" ht="12" customHeight="1" x14ac:dyDescent="0.25">
      <c r="A40" s="2">
        <f t="shared" si="0"/>
        <v>39</v>
      </c>
      <c r="B40" s="9" t="s">
        <v>47</v>
      </c>
      <c r="C40" s="10">
        <f t="shared" ref="C40:M40" si="37">C31-C32-C37</f>
        <v>37.263000000000154</v>
      </c>
      <c r="D40" s="10">
        <f t="shared" si="37"/>
        <v>21.093999999999937</v>
      </c>
      <c r="E40" s="10">
        <f t="shared" si="37"/>
        <v>-74.924999999999912</v>
      </c>
      <c r="F40" s="10">
        <f t="shared" si="37"/>
        <v>72.55400000000013</v>
      </c>
      <c r="G40" s="10">
        <f>G31-G37</f>
        <v>-130.78299999999984</v>
      </c>
      <c r="H40" s="10">
        <f t="shared" si="37"/>
        <v>-22.994000000000021</v>
      </c>
      <c r="I40" s="10">
        <f t="shared" si="37"/>
        <v>-113.97200000000018</v>
      </c>
      <c r="J40" s="10">
        <f t="shared" si="37"/>
        <v>-185.30659999999997</v>
      </c>
      <c r="K40" s="10">
        <f t="shared" si="37"/>
        <v>24.470999999999897</v>
      </c>
      <c r="L40" s="10">
        <f t="shared" si="37"/>
        <v>43.547000000000025</v>
      </c>
      <c r="M40" s="10">
        <f t="shared" si="37"/>
        <v>93.622999999999834</v>
      </c>
      <c r="N40" s="10">
        <f t="shared" ref="N40:R40" si="38">N31-N32-N37</f>
        <v>139.81500000000017</v>
      </c>
      <c r="O40" s="10">
        <f t="shared" ref="O40" si="39">O31-O32-O37</f>
        <v>122.80700000000027</v>
      </c>
      <c r="Q40" s="10">
        <f t="shared" si="38"/>
        <v>-453.05559999999912</v>
      </c>
      <c r="R40" s="10">
        <f t="shared" si="38"/>
        <v>301.45600000000024</v>
      </c>
    </row>
    <row r="41" spans="1:29" ht="12" customHeight="1" x14ac:dyDescent="0.25">
      <c r="A41" s="2">
        <f t="shared" si="0"/>
        <v>40</v>
      </c>
      <c r="B41" s="6"/>
      <c r="C41" s="7"/>
      <c r="D41" s="7"/>
      <c r="E41" s="7"/>
      <c r="F41" s="7"/>
      <c r="G41" s="7"/>
      <c r="H41" s="7"/>
      <c r="I41" s="7"/>
      <c r="J41" s="7"/>
      <c r="K41" s="7"/>
      <c r="L41" s="7"/>
      <c r="M41" s="7"/>
      <c r="N41" s="7"/>
      <c r="O41" s="7"/>
      <c r="Q41" s="7"/>
      <c r="R41" s="7"/>
    </row>
    <row r="42" spans="1:29" ht="12" customHeight="1" x14ac:dyDescent="0.25">
      <c r="A42" s="2">
        <f t="shared" si="0"/>
        <v>41</v>
      </c>
      <c r="B42" s="6" t="s">
        <v>48</v>
      </c>
      <c r="C42" s="7"/>
      <c r="D42" s="7"/>
      <c r="E42" s="7"/>
      <c r="F42" s="7"/>
      <c r="G42" s="7"/>
      <c r="H42" s="7"/>
      <c r="I42" s="7"/>
      <c r="J42" s="7"/>
      <c r="K42" s="7"/>
      <c r="L42" s="7"/>
      <c r="M42" s="7"/>
      <c r="N42" s="7"/>
      <c r="O42" s="7"/>
      <c r="Q42" s="7"/>
      <c r="R42" s="7"/>
    </row>
    <row r="43" spans="1:29" ht="12" customHeight="1" x14ac:dyDescent="0.25">
      <c r="A43" s="2">
        <f t="shared" si="0"/>
        <v>42</v>
      </c>
      <c r="B43" s="6" t="s">
        <v>1592</v>
      </c>
      <c r="C43" s="7"/>
      <c r="D43" s="7"/>
      <c r="E43" s="7">
        <v>-73.096999999999994</v>
      </c>
      <c r="F43" s="7"/>
      <c r="G43" s="7"/>
      <c r="H43" s="7"/>
      <c r="I43" s="7"/>
      <c r="J43" s="7"/>
      <c r="K43" s="7"/>
      <c r="L43" s="7"/>
      <c r="M43" s="7"/>
      <c r="N43" s="7"/>
      <c r="O43" s="7"/>
      <c r="Q43" s="7"/>
      <c r="R43" s="7"/>
    </row>
    <row r="44" spans="1:29" ht="12" customHeight="1" x14ac:dyDescent="0.25">
      <c r="A44" s="2">
        <f t="shared" si="0"/>
        <v>43</v>
      </c>
      <c r="B44" s="6"/>
      <c r="C44" s="7"/>
      <c r="D44" s="7"/>
      <c r="E44" s="7"/>
      <c r="F44" s="7"/>
      <c r="G44" s="7"/>
      <c r="H44" s="7"/>
      <c r="I44" s="7"/>
      <c r="J44" s="7"/>
      <c r="K44" s="7"/>
      <c r="L44" s="7"/>
      <c r="M44" s="7"/>
      <c r="N44" s="7"/>
      <c r="O44" s="7"/>
      <c r="Q44" s="7"/>
      <c r="R44" s="7"/>
    </row>
    <row r="45" spans="1:29" ht="12" customHeight="1" x14ac:dyDescent="0.25">
      <c r="A45" s="2">
        <f t="shared" si="0"/>
        <v>44</v>
      </c>
      <c r="B45" s="9" t="s">
        <v>50</v>
      </c>
      <c r="C45" s="10">
        <f t="shared" ref="C45:M45" si="40">C40-C42+C43</f>
        <v>37.263000000000154</v>
      </c>
      <c r="D45" s="10">
        <f t="shared" si="40"/>
        <v>21.093999999999937</v>
      </c>
      <c r="E45" s="938">
        <f t="shared" si="40"/>
        <v>-148.02199999999991</v>
      </c>
      <c r="F45" s="10">
        <f t="shared" si="40"/>
        <v>72.55400000000013</v>
      </c>
      <c r="G45" s="10">
        <f t="shared" si="40"/>
        <v>-130.78299999999984</v>
      </c>
      <c r="H45" s="10">
        <f t="shared" si="40"/>
        <v>-22.994000000000021</v>
      </c>
      <c r="I45" s="10">
        <f t="shared" si="40"/>
        <v>-113.97200000000018</v>
      </c>
      <c r="J45" s="10">
        <f t="shared" si="40"/>
        <v>-185.30659999999997</v>
      </c>
      <c r="K45" s="10">
        <f t="shared" si="40"/>
        <v>24.470999999999897</v>
      </c>
      <c r="L45" s="10">
        <f t="shared" si="40"/>
        <v>43.547000000000025</v>
      </c>
      <c r="M45" s="10">
        <f t="shared" si="40"/>
        <v>93.622999999999834</v>
      </c>
      <c r="N45" s="10">
        <f t="shared" ref="N45:R45" si="41">N40-N42+N43</f>
        <v>139.81500000000017</v>
      </c>
      <c r="O45" s="10">
        <f t="shared" ref="O45" si="42">O40-O42+O43</f>
        <v>122.80700000000027</v>
      </c>
      <c r="Q45" s="10">
        <f t="shared" si="41"/>
        <v>-453.05559999999912</v>
      </c>
      <c r="R45" s="10">
        <f t="shared" si="41"/>
        <v>301.45600000000024</v>
      </c>
    </row>
    <row r="46" spans="1:29" ht="12" customHeight="1" x14ac:dyDescent="0.25">
      <c r="A46" s="2">
        <f t="shared" si="0"/>
        <v>45</v>
      </c>
      <c r="B46" s="15" t="s">
        <v>35</v>
      </c>
      <c r="C46" s="16">
        <f t="shared" ref="C46:M46" si="43">IF(ISERROR(C45/C12)," ",C45/C12)</f>
        <v>3.531174366837319E-2</v>
      </c>
      <c r="D46" s="16">
        <f t="shared" si="43"/>
        <v>2.2302953920198203E-2</v>
      </c>
      <c r="E46" s="16">
        <f t="shared" si="43"/>
        <v>-0.12668506750540251</v>
      </c>
      <c r="F46" s="16">
        <f t="shared" si="43"/>
        <v>6.1526276334847411E-2</v>
      </c>
      <c r="G46" s="16">
        <f t="shared" si="43"/>
        <v>-0.11118318365292722</v>
      </c>
      <c r="H46" s="16">
        <f t="shared" si="43"/>
        <v>-1.727318892184173E-2</v>
      </c>
      <c r="I46" s="16">
        <f t="shared" si="43"/>
        <v>-8.8026123921801383E-2</v>
      </c>
      <c r="J46" s="16">
        <f t="shared" si="43"/>
        <v>-0.17771667619314321</v>
      </c>
      <c r="K46" s="16">
        <f t="shared" si="43"/>
        <v>1.7673977197384255E-2</v>
      </c>
      <c r="L46" s="16">
        <f t="shared" si="43"/>
        <v>2.6816702753165899E-2</v>
      </c>
      <c r="M46" s="16">
        <f t="shared" si="43"/>
        <v>5.0376276450464108E-2</v>
      </c>
      <c r="N46" s="16">
        <f t="shared" ref="N46:O46" si="44">IF(ISERROR(N45/N12)," ",N45/N12)</f>
        <v>6.9640741141059254E-2</v>
      </c>
      <c r="O46" s="16">
        <f t="shared" si="44"/>
        <v>6.438278099935478E-2</v>
      </c>
      <c r="Q46" s="16"/>
      <c r="R46" s="16"/>
    </row>
    <row r="47" spans="1:29" s="14" customFormat="1" ht="12" customHeight="1" x14ac:dyDescent="0.25">
      <c r="A47" s="2">
        <f t="shared" si="0"/>
        <v>46</v>
      </c>
      <c r="B47" s="11" t="s">
        <v>30</v>
      </c>
      <c r="C47" s="12" t="str">
        <f>IF(ISERROR(C45/B45-1)," ",C45/B45-1)</f>
        <v xml:space="preserve"> </v>
      </c>
      <c r="D47" s="12"/>
      <c r="E47" s="12"/>
      <c r="F47" s="12"/>
      <c r="G47" s="12"/>
      <c r="H47" s="12"/>
      <c r="I47" s="12"/>
      <c r="J47" s="12"/>
      <c r="K47" s="12"/>
      <c r="L47" s="12"/>
      <c r="M47" s="12">
        <f>ABS(M45/I45-1)</f>
        <v>1.8214561471238522</v>
      </c>
      <c r="N47" s="12">
        <f>ABS(N45/J45-1)</f>
        <v>1.7545063154793201</v>
      </c>
      <c r="O47" s="12">
        <f>ABS(O45/K45-1)</f>
        <v>4.018470843038731</v>
      </c>
      <c r="Q47" s="12"/>
      <c r="R47" s="12"/>
    </row>
    <row r="48" spans="1:29" ht="12" customHeight="1" x14ac:dyDescent="0.25">
      <c r="A48" s="2">
        <f t="shared" si="0"/>
        <v>47</v>
      </c>
      <c r="B48" s="15"/>
      <c r="C48" s="16"/>
      <c r="D48" s="16"/>
      <c r="E48" s="16"/>
      <c r="F48" s="16"/>
      <c r="G48" s="16"/>
      <c r="H48" s="16"/>
      <c r="I48" s="16"/>
      <c r="J48" s="16"/>
      <c r="K48" s="16"/>
      <c r="L48" s="16"/>
      <c r="M48" s="16"/>
      <c r="N48" s="16"/>
      <c r="O48" s="16"/>
      <c r="P48" s="14"/>
      <c r="Q48" s="16"/>
      <c r="R48" s="16"/>
      <c r="S48" s="14"/>
      <c r="T48" s="14"/>
      <c r="U48" s="14"/>
      <c r="V48" s="14"/>
      <c r="W48" s="14"/>
      <c r="X48" s="14"/>
      <c r="Y48" s="14"/>
      <c r="Z48" s="14"/>
      <c r="AA48" s="14"/>
      <c r="AB48" s="14"/>
      <c r="AC48" s="14"/>
    </row>
    <row r="49" spans="1:29" ht="12" customHeight="1" x14ac:dyDescent="0.25">
      <c r="A49" s="2">
        <f t="shared" si="0"/>
        <v>48</v>
      </c>
      <c r="B49" s="9" t="s">
        <v>51</v>
      </c>
      <c r="C49" s="10"/>
      <c r="D49" s="10"/>
      <c r="E49" s="10"/>
      <c r="F49" s="10"/>
      <c r="G49" s="10"/>
      <c r="H49" s="10"/>
      <c r="I49" s="10"/>
      <c r="J49" s="10"/>
      <c r="K49" s="10"/>
      <c r="L49" s="10"/>
      <c r="M49" s="10"/>
      <c r="N49" s="10"/>
      <c r="O49" s="10"/>
      <c r="Q49" s="10"/>
      <c r="R49" s="10"/>
    </row>
    <row r="50" spans="1:29" ht="12" customHeight="1" x14ac:dyDescent="0.25">
      <c r="A50" s="2">
        <f t="shared" si="0"/>
        <v>49</v>
      </c>
      <c r="B50" s="9" t="s">
        <v>52</v>
      </c>
      <c r="C50" s="20"/>
      <c r="D50" s="20"/>
      <c r="E50" s="20"/>
      <c r="F50" s="20"/>
      <c r="G50" s="20"/>
      <c r="H50" s="20"/>
      <c r="I50" s="20"/>
      <c r="J50" s="20"/>
      <c r="K50" s="20"/>
      <c r="L50" s="20"/>
      <c r="M50" s="20"/>
      <c r="N50" s="20"/>
      <c r="O50" s="20"/>
      <c r="Q50" s="20"/>
      <c r="R50" s="20"/>
    </row>
    <row r="51" spans="1:29" ht="12" customHeight="1" x14ac:dyDescent="0.25">
      <c r="A51" s="2">
        <f t="shared" si="0"/>
        <v>50</v>
      </c>
      <c r="B51" s="9" t="s">
        <v>53</v>
      </c>
      <c r="C51" s="20"/>
      <c r="D51" s="20"/>
      <c r="E51" s="20"/>
      <c r="F51" s="20"/>
      <c r="G51" s="20"/>
      <c r="H51" s="20"/>
      <c r="I51" s="20"/>
      <c r="J51" s="20"/>
      <c r="K51" s="20"/>
      <c r="L51" s="20"/>
      <c r="M51" s="20"/>
      <c r="N51" s="20"/>
      <c r="O51" s="20"/>
      <c r="Q51" s="20"/>
      <c r="R51" s="20"/>
    </row>
    <row r="52" spans="1:29" ht="12" customHeight="1" x14ac:dyDescent="0.25">
      <c r="A52" s="2">
        <f t="shared" si="0"/>
        <v>51</v>
      </c>
      <c r="B52" s="9" t="s">
        <v>54</v>
      </c>
      <c r="C52" s="20"/>
      <c r="D52" s="20"/>
      <c r="E52" s="20"/>
      <c r="F52" s="20"/>
      <c r="G52" s="20"/>
      <c r="H52" s="20"/>
      <c r="I52" s="20"/>
      <c r="J52" s="20"/>
      <c r="K52" s="20"/>
      <c r="L52" s="20"/>
      <c r="M52" s="20"/>
      <c r="N52" s="20"/>
      <c r="O52" s="20"/>
      <c r="Q52" s="20"/>
      <c r="R52" s="20"/>
    </row>
    <row r="53" spans="1:29" ht="12" customHeight="1" x14ac:dyDescent="0.25">
      <c r="A53" s="2">
        <f t="shared" si="0"/>
        <v>52</v>
      </c>
      <c r="B53" s="9" t="s">
        <v>55</v>
      </c>
      <c r="C53" s="20"/>
      <c r="D53" s="20"/>
      <c r="E53" s="20"/>
      <c r="F53" s="20"/>
      <c r="G53" s="20"/>
      <c r="H53" s="20"/>
      <c r="I53" s="20"/>
      <c r="J53" s="20"/>
      <c r="K53" s="20"/>
      <c r="L53" s="20"/>
      <c r="M53" s="20"/>
      <c r="N53" s="20"/>
      <c r="O53" s="20"/>
      <c r="Q53" s="20"/>
      <c r="R53" s="20"/>
    </row>
    <row r="54" spans="1:29" ht="12" customHeight="1" x14ac:dyDescent="0.25">
      <c r="A54" s="2">
        <f t="shared" si="0"/>
        <v>53</v>
      </c>
      <c r="B54" s="9" t="s">
        <v>56</v>
      </c>
      <c r="C54" s="20"/>
      <c r="D54" s="20"/>
      <c r="E54" s="20"/>
      <c r="F54" s="20"/>
      <c r="G54" s="20"/>
      <c r="H54" s="20"/>
      <c r="I54" s="20"/>
      <c r="J54" s="20"/>
      <c r="K54" s="20"/>
      <c r="L54" s="20"/>
      <c r="M54" s="20"/>
      <c r="N54" s="20"/>
      <c r="O54" s="20"/>
      <c r="Q54" s="20"/>
      <c r="R54" s="20"/>
    </row>
    <row r="55" spans="1:29" ht="12" customHeight="1" x14ac:dyDescent="0.25">
      <c r="A55" s="2">
        <f t="shared" si="0"/>
        <v>54</v>
      </c>
      <c r="B55" s="9" t="s">
        <v>57</v>
      </c>
      <c r="C55" s="22"/>
      <c r="D55" s="22"/>
      <c r="E55" s="22"/>
      <c r="F55" s="22"/>
      <c r="G55" s="22"/>
      <c r="H55" s="22"/>
      <c r="I55" s="22"/>
      <c r="J55" s="22"/>
      <c r="K55" s="22"/>
      <c r="L55" s="22"/>
      <c r="M55" s="22"/>
      <c r="N55" s="22"/>
      <c r="O55" s="22"/>
      <c r="Q55" s="22"/>
      <c r="R55" s="22"/>
    </row>
    <row r="56" spans="1:29" ht="12" customHeight="1" x14ac:dyDescent="0.25">
      <c r="A56" s="2">
        <f t="shared" si="0"/>
        <v>55</v>
      </c>
      <c r="B56" s="9" t="s">
        <v>58</v>
      </c>
      <c r="C56" s="10"/>
      <c r="D56" s="10"/>
      <c r="E56" s="10"/>
      <c r="F56" s="10"/>
      <c r="G56" s="10"/>
      <c r="H56" s="10"/>
      <c r="I56" s="10"/>
      <c r="J56" s="10"/>
      <c r="K56" s="10"/>
      <c r="L56" s="10"/>
      <c r="M56" s="10"/>
      <c r="N56" s="10"/>
      <c r="O56" s="10"/>
      <c r="Q56" s="10"/>
      <c r="R56" s="10"/>
    </row>
    <row r="57" spans="1:29" ht="12" customHeight="1" x14ac:dyDescent="0.25">
      <c r="A57" s="2">
        <f t="shared" si="0"/>
        <v>56</v>
      </c>
      <c r="B57" s="9"/>
      <c r="C57" s="10"/>
      <c r="D57" s="10"/>
      <c r="E57" s="10"/>
      <c r="F57" s="10"/>
      <c r="G57" s="10"/>
      <c r="H57" s="10"/>
      <c r="I57" s="10"/>
      <c r="J57" s="10"/>
      <c r="K57" s="10"/>
      <c r="L57" s="10"/>
      <c r="M57" s="10"/>
      <c r="N57" s="10"/>
      <c r="O57" s="10"/>
      <c r="Q57" s="10"/>
      <c r="R57" s="10"/>
    </row>
    <row r="58" spans="1:29" s="26" customFormat="1" ht="12" customHeight="1" x14ac:dyDescent="0.25">
      <c r="A58" s="2">
        <f t="shared" si="0"/>
        <v>57</v>
      </c>
      <c r="B58" s="24"/>
      <c r="C58" s="25"/>
      <c r="D58" s="25"/>
      <c r="E58" s="25"/>
      <c r="F58" s="25"/>
      <c r="G58" s="25"/>
      <c r="H58" s="25"/>
      <c r="I58" s="25"/>
      <c r="J58" s="25"/>
      <c r="K58" s="25"/>
      <c r="L58" s="25"/>
      <c r="M58" s="25"/>
      <c r="N58" s="25"/>
      <c r="O58" s="25"/>
      <c r="Q58" s="25"/>
      <c r="R58" s="25"/>
    </row>
    <row r="59" spans="1:29" s="26" customFormat="1" ht="12" customHeight="1" x14ac:dyDescent="0.25">
      <c r="A59" s="2">
        <f t="shared" si="0"/>
        <v>58</v>
      </c>
      <c r="B59" s="4"/>
      <c r="C59" s="4" t="s">
        <v>273</v>
      </c>
      <c r="D59" s="4" t="s">
        <v>347</v>
      </c>
      <c r="E59" s="4"/>
      <c r="F59" s="4" t="s">
        <v>1646</v>
      </c>
      <c r="G59" s="4" t="s">
        <v>1648</v>
      </c>
      <c r="H59" s="4" t="s">
        <v>1649</v>
      </c>
      <c r="I59" s="4" t="s">
        <v>1650</v>
      </c>
      <c r="J59" s="4" t="s">
        <v>1647</v>
      </c>
      <c r="K59" s="4" t="s">
        <v>1651</v>
      </c>
      <c r="L59" s="4" t="s">
        <v>1652</v>
      </c>
      <c r="M59" s="4" t="s">
        <v>1653</v>
      </c>
      <c r="N59" s="4" t="s">
        <v>1939</v>
      </c>
      <c r="O59" s="4"/>
      <c r="Q59" s="4"/>
      <c r="R59" s="4"/>
    </row>
    <row r="60" spans="1:29" ht="12" customHeight="1" x14ac:dyDescent="0.25">
      <c r="A60" s="2">
        <f t="shared" si="0"/>
        <v>59</v>
      </c>
      <c r="B60" s="1025" t="s">
        <v>1808</v>
      </c>
      <c r="C60" s="1025">
        <f>+C79+C80</f>
        <v>225</v>
      </c>
      <c r="D60" s="1025">
        <f>+D79+D80</f>
        <v>274</v>
      </c>
      <c r="E60" s="1025"/>
      <c r="F60" s="1025">
        <f>+F79+F80</f>
        <v>59</v>
      </c>
      <c r="G60" s="1025">
        <f>+G79+G80</f>
        <v>63</v>
      </c>
      <c r="H60" s="1025">
        <f>+H79+H80</f>
        <v>65</v>
      </c>
      <c r="I60" s="1025">
        <v>71</v>
      </c>
      <c r="J60" s="1025">
        <f>+J79+J80</f>
        <v>75</v>
      </c>
      <c r="K60" s="1025">
        <f>+K79+K80</f>
        <v>81</v>
      </c>
      <c r="L60" s="1025">
        <f>+L79+L80</f>
        <v>79</v>
      </c>
      <c r="M60" s="1025">
        <v>85</v>
      </c>
      <c r="N60" s="1025">
        <v>86</v>
      </c>
      <c r="O60" s="1025"/>
      <c r="Q60" s="1025">
        <f>IF(Q$1="3M",G60,IF(Q$1="6M",SUM(G60:H60),IF(Q$1="9M",SUM(G60:I60),SUM(G60:J60))))</f>
        <v>274</v>
      </c>
      <c r="R60" s="1025">
        <f>IF(R$1="3M",K60,IF(R$1="6M",SUM(K60:L60),IF(R$1="9M",SUM(K60:M60),SUM(K60:N60))))</f>
        <v>331</v>
      </c>
    </row>
    <row r="61" spans="1:29" ht="12" customHeight="1" x14ac:dyDescent="0.25">
      <c r="A61" s="2">
        <f t="shared" si="0"/>
        <v>60</v>
      </c>
      <c r="B61" s="1025" t="s">
        <v>1805</v>
      </c>
      <c r="C61" s="1025">
        <v>922</v>
      </c>
      <c r="D61" s="1025">
        <v>1071</v>
      </c>
      <c r="E61" s="1025"/>
      <c r="F61" s="1025">
        <v>248</v>
      </c>
      <c r="G61" s="1025">
        <v>248</v>
      </c>
      <c r="H61" s="1025">
        <v>271</v>
      </c>
      <c r="I61" s="1025">
        <v>279</v>
      </c>
      <c r="J61" s="1025">
        <v>273</v>
      </c>
      <c r="K61" s="1025">
        <v>275</v>
      </c>
      <c r="L61" s="1025">
        <v>394</v>
      </c>
      <c r="M61" s="1025">
        <v>405</v>
      </c>
      <c r="N61" s="1025">
        <v>427</v>
      </c>
      <c r="O61" s="1025"/>
      <c r="Q61" s="1025">
        <f>IF(Q$1="3M",G61,IF(Q$1="6M",SUM(G61:H61),IF(Q$1="9M",SUM(G61:I61),SUM(G61:J61))))</f>
        <v>1071</v>
      </c>
      <c r="R61" s="1025">
        <f>IF(R$1="3M",K61,IF(R$1="6M",SUM(K61:L61),IF(R$1="9M",SUM(K61:M61),SUM(K61:N61))))</f>
        <v>1501</v>
      </c>
    </row>
    <row r="62" spans="1:29" ht="12" customHeight="1" x14ac:dyDescent="0.25">
      <c r="A62" s="2">
        <f t="shared" si="0"/>
        <v>61</v>
      </c>
      <c r="B62" s="1046" t="s">
        <v>551</v>
      </c>
      <c r="C62" s="1047"/>
      <c r="D62" s="1047"/>
      <c r="E62" s="1047"/>
      <c r="F62" s="1046">
        <f>SUM(F60:F61)</f>
        <v>307</v>
      </c>
      <c r="G62" s="1046">
        <f t="shared" ref="G62:M62" si="45">SUM(G60:G61)</f>
        <v>311</v>
      </c>
      <c r="H62" s="1046">
        <f t="shared" si="45"/>
        <v>336</v>
      </c>
      <c r="I62" s="1046">
        <f t="shared" si="45"/>
        <v>350</v>
      </c>
      <c r="J62" s="1046">
        <f t="shared" si="45"/>
        <v>348</v>
      </c>
      <c r="K62" s="1046">
        <f t="shared" si="45"/>
        <v>356</v>
      </c>
      <c r="L62" s="1046">
        <f t="shared" si="45"/>
        <v>473</v>
      </c>
      <c r="M62" s="1046">
        <f t="shared" si="45"/>
        <v>490</v>
      </c>
      <c r="N62" s="1046">
        <f t="shared" ref="N62:O62" si="46">SUM(N60:N61)</f>
        <v>513</v>
      </c>
      <c r="O62" s="1046">
        <f t="shared" si="46"/>
        <v>0</v>
      </c>
      <c r="Q62" s="1046">
        <f>IF(Q$1="3M",G62,IF(Q$1="6M",SUM(G62:H62),IF(Q$1="9M",SUM(G62:I62),SUM(G62:J62))))</f>
        <v>1345</v>
      </c>
      <c r="R62" s="1046">
        <f>IF(R$1="3M",K62,IF(R$1="6M",SUM(K62:L62),IF(R$1="9M",SUM(K62:M62),SUM(K62:N62))))</f>
        <v>1832</v>
      </c>
    </row>
    <row r="63" spans="1:29" ht="12" customHeight="1" x14ac:dyDescent="0.25">
      <c r="A63" s="2">
        <f t="shared" si="0"/>
        <v>62</v>
      </c>
      <c r="B63" s="1222"/>
      <c r="C63" s="1025"/>
      <c r="D63" s="1025"/>
      <c r="E63" s="1025"/>
      <c r="F63" s="1222"/>
      <c r="G63" s="1222"/>
      <c r="H63" s="1222"/>
      <c r="I63" s="1222"/>
      <c r="J63" s="1222"/>
      <c r="K63" s="1222"/>
      <c r="L63" s="1222"/>
      <c r="M63" s="1222"/>
      <c r="N63" s="1222"/>
      <c r="O63" s="1222"/>
      <c r="Q63" s="1222"/>
      <c r="R63" s="1222"/>
    </row>
    <row r="64" spans="1:29" ht="12" customHeight="1" x14ac:dyDescent="0.25">
      <c r="A64" s="2">
        <f t="shared" si="0"/>
        <v>63</v>
      </c>
      <c r="B64" s="1025" t="s">
        <v>1975</v>
      </c>
      <c r="C64" s="1025"/>
      <c r="D64" s="1025"/>
      <c r="E64" s="1025"/>
      <c r="F64" s="1025"/>
      <c r="G64" s="1025"/>
      <c r="H64" s="1025"/>
      <c r="I64" s="1025"/>
      <c r="J64" s="1241">
        <f t="shared" ref="J64" si="47">(J60*4)/J66</f>
        <v>0.5232558139534883</v>
      </c>
      <c r="K64" s="1241">
        <f t="shared" ref="K64:L64" si="48">(K60*4)/K66</f>
        <v>0.56511627906976736</v>
      </c>
      <c r="L64" s="1241">
        <f t="shared" si="48"/>
        <v>0.55116279069767438</v>
      </c>
      <c r="M64" s="1241">
        <f>(M60*4)/M66</f>
        <v>0.59302325581395343</v>
      </c>
      <c r="N64" s="1224">
        <v>0.6</v>
      </c>
      <c r="O64" s="1224"/>
      <c r="P64" s="244"/>
      <c r="Q64" s="1224"/>
      <c r="R64" s="1224"/>
      <c r="S64" s="244"/>
      <c r="T64" s="244"/>
      <c r="U64" s="244"/>
      <c r="V64" s="244"/>
      <c r="W64" s="244"/>
      <c r="X64" s="244"/>
      <c r="Y64" s="244"/>
      <c r="Z64" s="244"/>
      <c r="AA64" s="244"/>
      <c r="AB64" s="244"/>
      <c r="AC64" s="244"/>
    </row>
    <row r="65" spans="1:29" ht="12" customHeight="1" x14ac:dyDescent="0.25">
      <c r="A65" s="2">
        <f t="shared" si="0"/>
        <v>64</v>
      </c>
      <c r="B65" s="1222" t="s">
        <v>1976</v>
      </c>
      <c r="C65" s="1025"/>
      <c r="D65" s="1025"/>
      <c r="E65" s="1025"/>
      <c r="F65" s="1025"/>
      <c r="G65" s="1025"/>
      <c r="H65" s="1025"/>
      <c r="I65" s="1025"/>
      <c r="J65" s="1025"/>
      <c r="K65" s="1025"/>
      <c r="L65" s="1025"/>
      <c r="M65" s="1025"/>
      <c r="N65" s="1025"/>
      <c r="O65" s="1025"/>
      <c r="Q65" s="1025"/>
      <c r="R65" s="1025"/>
    </row>
    <row r="66" spans="1:29" ht="12" customHeight="1" x14ac:dyDescent="0.25">
      <c r="A66" s="2">
        <f t="shared" si="0"/>
        <v>65</v>
      </c>
      <c r="B66" s="1225" t="s">
        <v>1977</v>
      </c>
      <c r="C66" s="1025"/>
      <c r="D66" s="1025"/>
      <c r="E66" s="1025"/>
      <c r="F66" s="1025"/>
      <c r="G66" s="1025"/>
      <c r="H66" s="1025"/>
      <c r="I66" s="1025"/>
      <c r="J66" s="1226">
        <f>K66</f>
        <v>573.33333333333337</v>
      </c>
      <c r="K66" s="1226">
        <f>L66</f>
        <v>573.33333333333337</v>
      </c>
      <c r="L66" s="1226">
        <f>M66</f>
        <v>573.33333333333337</v>
      </c>
      <c r="M66" s="1226">
        <f>N66</f>
        <v>573.33333333333337</v>
      </c>
      <c r="N66" s="1226">
        <f>(N60*4)/$N$64</f>
        <v>573.33333333333337</v>
      </c>
      <c r="O66" s="1226">
        <f>(O60*4)/$N$64</f>
        <v>0</v>
      </c>
      <c r="P66" s="1044"/>
      <c r="Q66" s="1226">
        <f>N66</f>
        <v>573.33333333333337</v>
      </c>
      <c r="R66" s="1226">
        <f>Q66</f>
        <v>573.33333333333337</v>
      </c>
      <c r="S66" s="1044"/>
      <c r="T66" s="1044"/>
      <c r="U66" s="1044"/>
      <c r="V66" s="1044"/>
      <c r="W66" s="1044"/>
      <c r="X66" s="1044"/>
      <c r="Y66" s="1044"/>
      <c r="Z66" s="1044"/>
      <c r="AA66" s="1044"/>
      <c r="AB66" s="1044"/>
      <c r="AC66" s="1044"/>
    </row>
    <row r="67" spans="1:29" ht="12" customHeight="1" x14ac:dyDescent="0.25">
      <c r="A67" s="2">
        <f t="shared" si="0"/>
        <v>66</v>
      </c>
      <c r="B67" s="1225" t="s">
        <v>1980</v>
      </c>
      <c r="C67" s="1025"/>
      <c r="D67" s="1025"/>
      <c r="E67" s="1025"/>
      <c r="F67" s="1025"/>
      <c r="G67" s="1025"/>
      <c r="H67" s="1025"/>
      <c r="I67" s="1025"/>
      <c r="J67" s="1025"/>
      <c r="K67" s="1025"/>
      <c r="L67" s="1025"/>
      <c r="M67" s="1025"/>
      <c r="N67" s="1226">
        <f>(N61*4)/$N$64</f>
        <v>2846.666666666667</v>
      </c>
      <c r="O67" s="1226">
        <f>(O61*4)/$N$64</f>
        <v>0</v>
      </c>
      <c r="Q67" s="1226"/>
      <c r="R67" s="1226"/>
    </row>
    <row r="68" spans="1:29" ht="12" customHeight="1" x14ac:dyDescent="0.25">
      <c r="A68" s="2">
        <f t="shared" ref="A68:A86" si="49">+A67+1</f>
        <v>67</v>
      </c>
      <c r="B68" s="1232" t="s">
        <v>1983</v>
      </c>
      <c r="C68" s="1230"/>
      <c r="D68" s="1230"/>
      <c r="E68" s="1230"/>
      <c r="F68" s="1230"/>
      <c r="G68" s="1230"/>
      <c r="H68" s="1230"/>
      <c r="I68" s="1230"/>
      <c r="J68" s="1230"/>
      <c r="K68" s="1230"/>
      <c r="L68" s="1230"/>
      <c r="M68" s="1230"/>
      <c r="N68" s="1231"/>
      <c r="O68" s="1231"/>
      <c r="Q68" s="1231"/>
      <c r="R68" s="1231"/>
    </row>
    <row r="69" spans="1:29" ht="12" customHeight="1" x14ac:dyDescent="0.25">
      <c r="A69" s="2">
        <f t="shared" si="49"/>
        <v>68</v>
      </c>
      <c r="B69" s="1025" t="s">
        <v>1981</v>
      </c>
      <c r="C69" s="1025"/>
      <c r="D69" s="1025"/>
      <c r="E69" s="1025"/>
      <c r="F69" s="1025"/>
      <c r="G69" s="1025"/>
      <c r="H69" s="1025"/>
      <c r="I69" s="1025"/>
      <c r="J69" s="1025"/>
      <c r="K69" s="1025"/>
      <c r="L69" s="1025"/>
      <c r="M69" s="1025"/>
      <c r="N69" s="1226">
        <f>(N60*14.8)</f>
        <v>1272.8</v>
      </c>
      <c r="O69" s="1226">
        <f>(O60*14.8)</f>
        <v>0</v>
      </c>
      <c r="Q69" s="1226"/>
      <c r="R69" s="1226"/>
    </row>
    <row r="70" spans="1:29" ht="12" customHeight="1" x14ac:dyDescent="0.25">
      <c r="A70" s="2">
        <f t="shared" si="49"/>
        <v>69</v>
      </c>
      <c r="B70" s="1025" t="s">
        <v>1982</v>
      </c>
      <c r="C70" s="1025"/>
      <c r="D70" s="1025"/>
      <c r="E70" s="1025"/>
      <c r="F70" s="1025"/>
      <c r="G70" s="1025"/>
      <c r="H70" s="1025"/>
      <c r="I70" s="1025"/>
      <c r="J70" s="1025"/>
      <c r="K70" s="1025"/>
      <c r="L70" s="1025"/>
      <c r="M70" s="1025"/>
      <c r="N70" s="1226">
        <f>N61</f>
        <v>427</v>
      </c>
      <c r="O70" s="1226">
        <f>O61</f>
        <v>0</v>
      </c>
      <c r="Q70" s="1226"/>
      <c r="R70" s="1226"/>
    </row>
    <row r="71" spans="1:29" ht="12" customHeight="1" x14ac:dyDescent="0.25">
      <c r="A71" s="2">
        <f t="shared" si="49"/>
        <v>70</v>
      </c>
      <c r="B71" s="1046" t="s">
        <v>1978</v>
      </c>
      <c r="C71" s="1046"/>
      <c r="D71" s="1046"/>
      <c r="E71" s="1046"/>
      <c r="F71" s="1046"/>
      <c r="G71" s="1046"/>
      <c r="H71" s="1046"/>
      <c r="I71" s="1046"/>
      <c r="J71" s="1046"/>
      <c r="K71" s="1046"/>
      <c r="L71" s="1046"/>
      <c r="M71" s="1046"/>
      <c r="N71" s="1229">
        <f>SUM(N69:N70)</f>
        <v>1699.8</v>
      </c>
      <c r="O71" s="1229">
        <f>SUM(O69:O70)</f>
        <v>0</v>
      </c>
      <c r="Q71" s="1229"/>
      <c r="R71" s="1229"/>
    </row>
    <row r="72" spans="1:29" ht="12" customHeight="1" x14ac:dyDescent="0.25">
      <c r="A72" s="2">
        <f t="shared" si="49"/>
        <v>71</v>
      </c>
      <c r="B72" s="1025"/>
      <c r="C72" s="1025"/>
      <c r="D72" s="1025"/>
      <c r="E72" s="1025"/>
      <c r="F72" s="1025"/>
      <c r="G72" s="1025"/>
      <c r="H72" s="1025"/>
      <c r="I72" s="1025"/>
      <c r="J72" s="1025"/>
      <c r="K72" s="1025"/>
      <c r="L72" s="1025"/>
      <c r="M72" s="1025"/>
      <c r="N72" s="1227"/>
      <c r="O72" s="1227"/>
      <c r="Q72" s="1227"/>
      <c r="R72" s="1227"/>
    </row>
    <row r="73" spans="1:29" ht="12" customHeight="1" x14ac:dyDescent="0.25">
      <c r="A73" s="2">
        <f t="shared" si="49"/>
        <v>72</v>
      </c>
      <c r="B73" s="1025" t="s">
        <v>1507</v>
      </c>
      <c r="C73" s="1025"/>
      <c r="D73" s="1025"/>
      <c r="E73" s="1025"/>
      <c r="F73" s="1025"/>
      <c r="G73" s="1025"/>
      <c r="H73" s="1025"/>
      <c r="I73" s="1025"/>
      <c r="J73" s="1025"/>
      <c r="K73" s="1025"/>
      <c r="L73" s="1025"/>
      <c r="M73" s="1025"/>
      <c r="N73" s="1223">
        <v>0.6</v>
      </c>
      <c r="O73" s="1223"/>
      <c r="Q73" s="1223"/>
      <c r="R73" s="1223"/>
    </row>
    <row r="74" spans="1:29" ht="12" customHeight="1" x14ac:dyDescent="0.25">
      <c r="A74" s="2">
        <f t="shared" si="49"/>
        <v>73</v>
      </c>
      <c r="B74" s="1025"/>
      <c r="C74" s="1025"/>
      <c r="D74" s="1025"/>
      <c r="E74" s="1025"/>
      <c r="F74" s="1025"/>
      <c r="G74" s="1025"/>
      <c r="H74" s="1025"/>
      <c r="I74" s="1025"/>
      <c r="J74" s="1025"/>
      <c r="K74" s="1025"/>
      <c r="L74" s="1025"/>
      <c r="M74" s="1025"/>
      <c r="N74" s="1227"/>
      <c r="O74" s="1227"/>
      <c r="Q74" s="1227"/>
      <c r="R74" s="1227"/>
    </row>
    <row r="75" spans="1:29" ht="12" customHeight="1" x14ac:dyDescent="0.25">
      <c r="A75" s="2">
        <f t="shared" si="49"/>
        <v>74</v>
      </c>
      <c r="B75" s="1025" t="s">
        <v>1979</v>
      </c>
      <c r="C75" s="1025"/>
      <c r="D75" s="1025"/>
      <c r="E75" s="1025"/>
      <c r="F75" s="1025"/>
      <c r="G75" s="1025"/>
      <c r="H75" s="1025"/>
      <c r="I75" s="1025"/>
      <c r="J75" s="1025"/>
      <c r="K75" s="1025"/>
      <c r="L75" s="1025"/>
      <c r="M75" s="1025"/>
      <c r="N75" s="1228">
        <f>(N71*4/N73)/1000</f>
        <v>11.332000000000001</v>
      </c>
      <c r="O75" s="1228" t="e">
        <f>(O71*4/O73)/1000</f>
        <v>#DIV/0!</v>
      </c>
      <c r="Q75" s="1228"/>
      <c r="R75" s="1228"/>
    </row>
    <row r="76" spans="1:29" ht="12" customHeight="1" x14ac:dyDescent="0.25">
      <c r="A76" s="2">
        <f t="shared" si="49"/>
        <v>75</v>
      </c>
      <c r="B76" s="1025"/>
      <c r="C76" s="1025"/>
      <c r="D76" s="1025"/>
      <c r="E76" s="1025"/>
      <c r="F76" s="1025"/>
      <c r="G76" s="1025"/>
      <c r="H76" s="1025"/>
      <c r="I76" s="1025"/>
      <c r="J76" s="1025"/>
      <c r="K76" s="1025"/>
      <c r="L76" s="1025"/>
      <c r="M76" s="1025"/>
      <c r="N76" s="1227"/>
      <c r="O76" s="1227"/>
      <c r="Q76" s="1227"/>
      <c r="R76" s="1227"/>
    </row>
    <row r="77" spans="1:29" ht="12" customHeight="1" x14ac:dyDescent="0.25">
      <c r="A77" s="2">
        <f t="shared" si="49"/>
        <v>76</v>
      </c>
      <c r="B77" s="1025"/>
      <c r="C77" s="1025"/>
      <c r="D77" s="1025"/>
      <c r="E77" s="1025"/>
      <c r="F77" s="1025"/>
      <c r="G77" s="1025"/>
      <c r="H77" s="1025"/>
      <c r="I77" s="1025"/>
      <c r="J77" s="1025"/>
      <c r="K77" s="1025"/>
      <c r="L77" s="1025"/>
      <c r="M77" s="1025"/>
      <c r="N77" s="1227"/>
      <c r="O77" s="1227"/>
      <c r="Q77" s="1227"/>
      <c r="R77" s="1227"/>
    </row>
    <row r="78" spans="1:29" ht="12" customHeight="1" x14ac:dyDescent="0.25">
      <c r="A78" s="2">
        <f t="shared" si="49"/>
        <v>77</v>
      </c>
    </row>
    <row r="79" spans="1:29" ht="12" customHeight="1" x14ac:dyDescent="0.25">
      <c r="A79" s="2">
        <f t="shared" si="49"/>
        <v>78</v>
      </c>
      <c r="B79" s="1025" t="s">
        <v>1806</v>
      </c>
      <c r="C79" s="1025">
        <v>34</v>
      </c>
      <c r="D79" s="1025">
        <v>66</v>
      </c>
      <c r="E79" s="1025"/>
      <c r="F79" s="1025">
        <v>13</v>
      </c>
      <c r="G79" s="1025">
        <v>15</v>
      </c>
      <c r="H79" s="1025">
        <v>16</v>
      </c>
      <c r="I79" s="1025">
        <f>D79-G79-H79-J79</f>
        <v>17</v>
      </c>
      <c r="J79" s="1025">
        <v>18</v>
      </c>
      <c r="K79" s="1025">
        <v>19</v>
      </c>
      <c r="L79" s="1025">
        <v>20</v>
      </c>
      <c r="M79" s="1025"/>
      <c r="N79" s="1025"/>
      <c r="O79" s="1025"/>
      <c r="Q79" s="1025"/>
      <c r="R79" s="1025"/>
    </row>
    <row r="80" spans="1:29" ht="12" customHeight="1" x14ac:dyDescent="0.25">
      <c r="A80" s="2">
        <f t="shared" si="49"/>
        <v>79</v>
      </c>
      <c r="B80" s="1025" t="s">
        <v>1807</v>
      </c>
      <c r="C80" s="1025">
        <v>191</v>
      </c>
      <c r="D80" s="1025">
        <v>208</v>
      </c>
      <c r="E80" s="1025"/>
      <c r="F80" s="1025">
        <v>46</v>
      </c>
      <c r="G80" s="1025">
        <v>48</v>
      </c>
      <c r="H80" s="1025">
        <v>49</v>
      </c>
      <c r="I80" s="1025">
        <f>D80-G80-H80-J80</f>
        <v>54</v>
      </c>
      <c r="J80" s="1025">
        <v>57</v>
      </c>
      <c r="K80" s="1025">
        <v>62</v>
      </c>
      <c r="L80" s="1025">
        <v>59</v>
      </c>
      <c r="M80" s="1025"/>
      <c r="N80" s="1025"/>
      <c r="O80" s="1025"/>
      <c r="Q80" s="1025"/>
      <c r="R80" s="1025"/>
    </row>
    <row r="81" spans="1:3" ht="12" customHeight="1" x14ac:dyDescent="0.25">
      <c r="A81" s="2">
        <f t="shared" si="49"/>
        <v>80</v>
      </c>
    </row>
    <row r="82" spans="1:3" ht="12" customHeight="1" x14ac:dyDescent="0.25">
      <c r="A82" s="2">
        <f t="shared" si="49"/>
        <v>81</v>
      </c>
    </row>
    <row r="83" spans="1:3" ht="12" customHeight="1" x14ac:dyDescent="0.25">
      <c r="A83" s="2">
        <f t="shared" si="49"/>
        <v>82</v>
      </c>
      <c r="B83" s="18" t="s">
        <v>1809</v>
      </c>
    </row>
    <row r="84" spans="1:3" ht="12" customHeight="1" x14ac:dyDescent="0.25">
      <c r="A84" s="2">
        <f t="shared" si="49"/>
        <v>83</v>
      </c>
      <c r="B84" s="18" t="s">
        <v>1556</v>
      </c>
      <c r="C84" s="2" t="s">
        <v>1810</v>
      </c>
    </row>
    <row r="85" spans="1:3" ht="12" customHeight="1" x14ac:dyDescent="0.25">
      <c r="A85" s="2">
        <f t="shared" si="49"/>
        <v>84</v>
      </c>
      <c r="B85" s="18" t="s">
        <v>1557</v>
      </c>
      <c r="C85" s="2" t="s">
        <v>1811</v>
      </c>
    </row>
    <row r="86" spans="1:3" ht="12" customHeight="1" x14ac:dyDescent="0.25">
      <c r="A86" s="2">
        <f t="shared" si="49"/>
        <v>85</v>
      </c>
      <c r="B86" s="18" t="s">
        <v>1558</v>
      </c>
      <c r="C86" s="2" t="s">
        <v>1812</v>
      </c>
    </row>
  </sheetData>
  <dataValidations disablePrompts="1" count="1">
    <dataValidation type="list" allowBlank="1" showInputMessage="1" showErrorMessage="1" sqref="Q1" xr:uid="{BBB94E10-4472-43F0-977C-8B27BB533106}">
      <formula1>"3M,6M,9M,12M"</formula1>
    </dataValidation>
  </dataValidations>
  <pageMargins left="0.7" right="0.7" top="0.75" bottom="0.75" header="0.3" footer="0.3"/>
  <pageSetup paperSize="9" orientation="portrait" verticalDpi="300" r:id="rId1"/>
  <ignoredErrors>
    <ignoredError sqref="R4 Q34:R35" formulaRange="1"/>
    <ignoredError sqref="X9:X20 Z19:Z21 X5:X6" formula="1"/>
  </ignoredErrors>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6C710-F32C-4689-846A-4EFD5787322B}">
  <dimension ref="B1:AA179"/>
  <sheetViews>
    <sheetView showGridLines="0" zoomScaleNormal="100" workbookViewId="0">
      <pane xSplit="2" ySplit="2" topLeftCell="C3" activePane="bottomRight" state="frozen"/>
      <selection pane="topRight" activeCell="C1" sqref="C1"/>
      <selection pane="bottomLeft" activeCell="A3" sqref="A3"/>
      <selection pane="bottomRight" activeCell="J9" sqref="A9:XFD14"/>
    </sheetView>
  </sheetViews>
  <sheetFormatPr defaultColWidth="8.28515625" defaultRowHeight="12" customHeight="1" x14ac:dyDescent="0.25"/>
  <cols>
    <col min="1" max="1" width="3.5703125" style="2" customWidth="1"/>
    <col min="2" max="2" width="35.7109375" style="2" customWidth="1"/>
    <col min="3" max="6" width="8.28515625" style="2" customWidth="1"/>
    <col min="7" max="9" width="9" style="2" bestFit="1" customWidth="1"/>
    <col min="10" max="16" width="8.28515625" style="2"/>
    <col min="17" max="17" width="10" style="2" bestFit="1" customWidth="1"/>
    <col min="18" max="16384" width="8.28515625" style="2"/>
  </cols>
  <sheetData>
    <row r="1" spans="2:18" ht="12" customHeight="1" x14ac:dyDescent="0.25">
      <c r="B1" s="1" t="s">
        <v>217</v>
      </c>
    </row>
    <row r="2" spans="2:18" ht="12" customHeight="1" x14ac:dyDescent="0.25">
      <c r="B2" s="3" t="s">
        <v>17</v>
      </c>
      <c r="C2" s="4" t="s">
        <v>22</v>
      </c>
      <c r="D2" s="4" t="s">
        <v>23</v>
      </c>
      <c r="E2" s="4" t="s">
        <v>24</v>
      </c>
      <c r="F2" s="4" t="s">
        <v>25</v>
      </c>
      <c r="G2" s="4" t="s">
        <v>26</v>
      </c>
      <c r="H2" s="4" t="s">
        <v>27</v>
      </c>
      <c r="I2" s="4" t="s">
        <v>273</v>
      </c>
      <c r="J2" s="4" t="s">
        <v>347</v>
      </c>
      <c r="K2" s="227" t="s">
        <v>177</v>
      </c>
      <c r="L2" s="227" t="s">
        <v>178</v>
      </c>
      <c r="M2" s="227" t="s">
        <v>179</v>
      </c>
      <c r="N2" s="227" t="s">
        <v>231</v>
      </c>
      <c r="O2" s="227" t="s">
        <v>232</v>
      </c>
    </row>
    <row r="3" spans="2:18" ht="12" customHeight="1" x14ac:dyDescent="0.25">
      <c r="B3" s="6"/>
      <c r="C3" s="7"/>
      <c r="D3" s="7"/>
      <c r="E3" s="7"/>
      <c r="F3" s="7"/>
      <c r="G3" s="7"/>
      <c r="H3" s="7"/>
      <c r="I3" s="7"/>
      <c r="J3" s="7"/>
      <c r="K3" s="8"/>
      <c r="L3" s="8"/>
      <c r="M3" s="8"/>
      <c r="N3" s="8"/>
      <c r="O3" s="8"/>
    </row>
    <row r="4" spans="2:18" ht="12" customHeight="1" x14ac:dyDescent="0.25">
      <c r="B4" s="6" t="s">
        <v>478</v>
      </c>
      <c r="C4" s="7">
        <v>182.72900000000001</v>
      </c>
      <c r="D4" s="7">
        <v>207.28899999999999</v>
      </c>
      <c r="E4" s="123">
        <v>191.24700000000001</v>
      </c>
      <c r="F4" s="123">
        <v>189.898</v>
      </c>
      <c r="G4" s="7">
        <v>301.63400000000001</v>
      </c>
      <c r="H4" s="7">
        <v>421.82799999999997</v>
      </c>
      <c r="I4" s="7"/>
      <c r="J4" s="7"/>
      <c r="K4" s="8">
        <f ca="1">J4*(1+Assumptions!M237)</f>
        <v>0</v>
      </c>
      <c r="L4" s="8">
        <f ca="1">K4*(1+Assumptions!N237)</f>
        <v>0</v>
      </c>
      <c r="M4" s="8">
        <f ca="1">L4*(1+Assumptions!O237)</f>
        <v>0</v>
      </c>
      <c r="N4" s="8">
        <f ca="1">M4*(1+Assumptions!P237)</f>
        <v>0</v>
      </c>
      <c r="O4" s="8">
        <f ca="1">N4*(1+Assumptions!Q237)</f>
        <v>0</v>
      </c>
    </row>
    <row r="5" spans="2:18" ht="12" customHeight="1" x14ac:dyDescent="0.25">
      <c r="B5" s="6" t="s">
        <v>479</v>
      </c>
      <c r="C5" s="7">
        <v>267.27600000000001</v>
      </c>
      <c r="D5" s="7">
        <v>306.05399999999997</v>
      </c>
      <c r="E5" s="123">
        <v>269.99400000000003</v>
      </c>
      <c r="F5" s="123">
        <v>286.25400000000002</v>
      </c>
      <c r="G5" s="123">
        <v>568.995</v>
      </c>
      <c r="H5" s="123">
        <v>863.70600000000002</v>
      </c>
      <c r="I5" s="123"/>
      <c r="J5" s="123"/>
      <c r="K5" s="8">
        <f ca="1">J5*(1+Assumptions!M237)</f>
        <v>0</v>
      </c>
      <c r="L5" s="8">
        <f ca="1">K5*(1+Assumptions!N237)</f>
        <v>0</v>
      </c>
      <c r="M5" s="8">
        <f ca="1">L5*(1+Assumptions!O237)</f>
        <v>0</v>
      </c>
      <c r="N5" s="8">
        <f ca="1">M5*(1+Assumptions!P237)</f>
        <v>0</v>
      </c>
      <c r="O5" s="8">
        <f ca="1">N5*(1+Assumptions!Q237)</f>
        <v>0</v>
      </c>
    </row>
    <row r="6" spans="2:18" ht="12" customHeight="1" x14ac:dyDescent="0.25">
      <c r="B6" s="6" t="s">
        <v>480</v>
      </c>
      <c r="C6" s="7">
        <v>544.06700000000001</v>
      </c>
      <c r="D6" s="7">
        <v>853.49800000000005</v>
      </c>
      <c r="E6" s="123">
        <v>684.75</v>
      </c>
      <c r="F6" s="123">
        <v>689.34400000000005</v>
      </c>
      <c r="G6" s="123">
        <v>1205.5609999999999</v>
      </c>
      <c r="H6" s="123">
        <v>1746.6559999999999</v>
      </c>
      <c r="I6" s="123">
        <v>3242.652</v>
      </c>
      <c r="J6" s="123">
        <v>3708.62</v>
      </c>
      <c r="K6" s="8">
        <f>J6*(1+Assumptions!L477)</f>
        <v>3777.5742412060308</v>
      </c>
      <c r="L6" s="8">
        <f>K6*(1+Assumptions!M477)</f>
        <v>3928.6772108542723</v>
      </c>
      <c r="M6" s="8">
        <f>L6*(1+Assumptions!N477)</f>
        <v>4901.9696800080419</v>
      </c>
      <c r="N6" s="8">
        <f>M6*(1+Assumptions!O477)</f>
        <v>5392.1666480088452</v>
      </c>
      <c r="O6" s="8">
        <f>N6*(1+Assumptions!P477)</f>
        <v>5661.7749804092873</v>
      </c>
      <c r="R6" s="2" t="s">
        <v>523</v>
      </c>
    </row>
    <row r="7" spans="2:18" ht="12" customHeight="1" x14ac:dyDescent="0.25">
      <c r="B7" s="6" t="s">
        <v>481</v>
      </c>
      <c r="C7" s="7">
        <v>2192.7240000000002</v>
      </c>
      <c r="D7" s="7">
        <v>3008.65</v>
      </c>
      <c r="E7" s="123">
        <v>3395.029</v>
      </c>
      <c r="F7" s="123">
        <v>3616.7130000000002</v>
      </c>
      <c r="G7" s="123">
        <v>4623.143</v>
      </c>
      <c r="H7" s="123">
        <v>5963.3879999999999</v>
      </c>
      <c r="I7" s="123">
        <v>7947.0280000000002</v>
      </c>
      <c r="J7" s="123">
        <v>7252.8450000000003</v>
      </c>
      <c r="K7" s="8">
        <f>Assumptions!L454</f>
        <v>7796.733809013821</v>
      </c>
      <c r="L7" s="8">
        <f>Assumptions!M454</f>
        <v>8351.861256215605</v>
      </c>
      <c r="M7" s="8">
        <f>Assumptions!N454</f>
        <v>10733.584233539372</v>
      </c>
      <c r="N7" s="8">
        <f>Assumptions!O454</f>
        <v>12161.150936600108</v>
      </c>
      <c r="O7" s="8">
        <f>Assumptions!P454</f>
        <v>13152.28473793302</v>
      </c>
    </row>
    <row r="8" spans="2:18" ht="12" customHeight="1" x14ac:dyDescent="0.25">
      <c r="B8" s="6" t="s">
        <v>483</v>
      </c>
      <c r="C8" s="7">
        <v>301.02199999999999</v>
      </c>
      <c r="D8" s="7">
        <v>421.76600000000002</v>
      </c>
      <c r="E8" s="123">
        <v>298.56599999999997</v>
      </c>
      <c r="F8" s="123">
        <v>211.09299999999999</v>
      </c>
      <c r="G8" s="123">
        <v>420.93</v>
      </c>
      <c r="H8" s="123">
        <v>734.43399999999997</v>
      </c>
      <c r="I8" s="123"/>
      <c r="J8" s="123"/>
      <c r="K8" s="8">
        <f t="shared" ref="K8:O8" si="0">J8</f>
        <v>0</v>
      </c>
      <c r="L8" s="8">
        <f t="shared" si="0"/>
        <v>0</v>
      </c>
      <c r="M8" s="8">
        <f t="shared" si="0"/>
        <v>0</v>
      </c>
      <c r="N8" s="8">
        <f t="shared" si="0"/>
        <v>0</v>
      </c>
      <c r="O8" s="8">
        <f t="shared" si="0"/>
        <v>0</v>
      </c>
    </row>
    <row r="9" spans="2:18" ht="12" customHeight="1" x14ac:dyDescent="0.25">
      <c r="B9" s="6" t="s">
        <v>482</v>
      </c>
      <c r="C9" s="7">
        <v>170.71</v>
      </c>
      <c r="D9" s="7">
        <v>209.67500000000001</v>
      </c>
      <c r="E9" s="123">
        <v>186.53</v>
      </c>
      <c r="F9" s="123">
        <v>169.02600000000001</v>
      </c>
      <c r="G9" s="123">
        <v>330.154</v>
      </c>
      <c r="H9" s="123">
        <v>173.76499999999999</v>
      </c>
      <c r="I9" s="123">
        <v>255.89500000000001</v>
      </c>
      <c r="J9" s="123">
        <v>225.09299999999999</v>
      </c>
      <c r="K9" s="8">
        <f t="shared" ref="K9:O9" si="1">J9</f>
        <v>225.09299999999999</v>
      </c>
      <c r="L9" s="8">
        <f t="shared" si="1"/>
        <v>225.09299999999999</v>
      </c>
      <c r="M9" s="8">
        <f t="shared" si="1"/>
        <v>225.09299999999999</v>
      </c>
      <c r="N9" s="8">
        <f t="shared" si="1"/>
        <v>225.09299999999999</v>
      </c>
      <c r="O9" s="8">
        <f t="shared" si="1"/>
        <v>225.09299999999999</v>
      </c>
    </row>
    <row r="10" spans="2:18" ht="12" customHeight="1" x14ac:dyDescent="0.25">
      <c r="B10" s="6" t="s">
        <v>484</v>
      </c>
      <c r="C10" s="7">
        <v>674.36199999999997</v>
      </c>
      <c r="D10" s="7">
        <v>555.90700000000004</v>
      </c>
      <c r="E10" s="123">
        <v>505.27100000000002</v>
      </c>
      <c r="F10" s="123">
        <v>499.226</v>
      </c>
      <c r="G10" s="123">
        <v>583.07100000000003</v>
      </c>
      <c r="H10" s="123">
        <v>933.96500000000003</v>
      </c>
      <c r="I10" s="123"/>
      <c r="J10" s="123"/>
      <c r="K10" s="8">
        <f t="shared" ref="K10:O10" si="2">J10</f>
        <v>0</v>
      </c>
      <c r="L10" s="8">
        <f t="shared" si="2"/>
        <v>0</v>
      </c>
      <c r="M10" s="8">
        <f t="shared" si="2"/>
        <v>0</v>
      </c>
      <c r="N10" s="8">
        <f t="shared" si="2"/>
        <v>0</v>
      </c>
      <c r="O10" s="8">
        <f t="shared" si="2"/>
        <v>0</v>
      </c>
    </row>
    <row r="11" spans="2:18" ht="12" customHeight="1" x14ac:dyDescent="0.25">
      <c r="B11" s="6" t="s">
        <v>485</v>
      </c>
      <c r="C11" s="7"/>
      <c r="D11" s="7"/>
      <c r="E11" s="123">
        <v>310.59800000000001</v>
      </c>
      <c r="F11" s="123">
        <v>849.65800000000002</v>
      </c>
      <c r="G11" s="123">
        <v>941.72900000000004</v>
      </c>
      <c r="H11" s="123">
        <v>805.73500000000001</v>
      </c>
      <c r="I11" s="123">
        <v>1149.777</v>
      </c>
      <c r="J11" s="123">
        <v>727.56</v>
      </c>
      <c r="K11" s="8">
        <f t="shared" ref="K11:O11" si="3">J11</f>
        <v>727.56</v>
      </c>
      <c r="L11" s="8">
        <f t="shared" si="3"/>
        <v>727.56</v>
      </c>
      <c r="M11" s="8">
        <f t="shared" si="3"/>
        <v>727.56</v>
      </c>
      <c r="N11" s="8">
        <f t="shared" si="3"/>
        <v>727.56</v>
      </c>
      <c r="O11" s="8">
        <f t="shared" si="3"/>
        <v>727.56</v>
      </c>
    </row>
    <row r="12" spans="2:18" ht="12" customHeight="1" x14ac:dyDescent="0.25">
      <c r="B12" s="6" t="s">
        <v>486</v>
      </c>
      <c r="C12" s="7"/>
      <c r="D12" s="7"/>
      <c r="E12" s="123">
        <v>0</v>
      </c>
      <c r="F12" s="123">
        <v>0</v>
      </c>
      <c r="G12" s="123">
        <v>0</v>
      </c>
      <c r="H12" s="123">
        <v>0</v>
      </c>
      <c r="I12" s="123"/>
      <c r="J12" s="123"/>
      <c r="K12" s="8">
        <f t="shared" ref="K12:O12" si="4">J12</f>
        <v>0</v>
      </c>
      <c r="L12" s="8">
        <f t="shared" si="4"/>
        <v>0</v>
      </c>
      <c r="M12" s="8">
        <f t="shared" si="4"/>
        <v>0</v>
      </c>
      <c r="N12" s="8">
        <f t="shared" si="4"/>
        <v>0</v>
      </c>
      <c r="O12" s="8">
        <f t="shared" si="4"/>
        <v>0</v>
      </c>
    </row>
    <row r="13" spans="2:18" ht="12" customHeight="1" x14ac:dyDescent="0.25">
      <c r="B13" s="6" t="s">
        <v>487</v>
      </c>
      <c r="C13" s="7"/>
      <c r="D13" s="7"/>
      <c r="E13" s="123">
        <v>0</v>
      </c>
      <c r="F13" s="123">
        <v>0</v>
      </c>
      <c r="G13" s="123">
        <v>0</v>
      </c>
      <c r="H13" s="123">
        <v>0</v>
      </c>
      <c r="I13" s="123"/>
      <c r="J13" s="123"/>
      <c r="K13" s="8">
        <f t="shared" ref="K13:O13" si="5">J13</f>
        <v>0</v>
      </c>
      <c r="L13" s="8">
        <f t="shared" si="5"/>
        <v>0</v>
      </c>
      <c r="M13" s="8">
        <f t="shared" si="5"/>
        <v>0</v>
      </c>
      <c r="N13" s="8">
        <f t="shared" si="5"/>
        <v>0</v>
      </c>
      <c r="O13" s="8">
        <f t="shared" si="5"/>
        <v>0</v>
      </c>
    </row>
    <row r="14" spans="2:18" ht="12" customHeight="1" x14ac:dyDescent="0.25">
      <c r="B14" s="6" t="s">
        <v>488</v>
      </c>
      <c r="C14" s="7">
        <f>22.1+163.485+ 750+9.856</f>
        <v>945.44100000000003</v>
      </c>
      <c r="D14" s="7">
        <f>21.967+ 275.156+ 46.478</f>
        <v>343.601</v>
      </c>
      <c r="E14" s="123">
        <f>14.064+145.275</f>
        <v>159.339</v>
      </c>
      <c r="F14" s="123">
        <f>121.604</f>
        <v>121.604</v>
      </c>
      <c r="G14" s="123">
        <v>219.08199999999999</v>
      </c>
      <c r="H14" s="123">
        <v>395.03399999999999</v>
      </c>
      <c r="I14" s="123">
        <v>390.13900000000001</v>
      </c>
      <c r="J14" s="123">
        <v>279.44099999999997</v>
      </c>
      <c r="K14" s="8">
        <f t="shared" ref="K14:O14" si="6">J14</f>
        <v>279.44099999999997</v>
      </c>
      <c r="L14" s="8">
        <f t="shared" si="6"/>
        <v>279.44099999999997</v>
      </c>
      <c r="M14" s="8">
        <f t="shared" si="6"/>
        <v>279.44099999999997</v>
      </c>
      <c r="N14" s="8">
        <f t="shared" si="6"/>
        <v>279.44099999999997</v>
      </c>
      <c r="O14" s="8">
        <f t="shared" si="6"/>
        <v>279.44099999999997</v>
      </c>
    </row>
    <row r="15" spans="2:18" ht="12" customHeight="1" x14ac:dyDescent="0.25">
      <c r="B15" s="6"/>
      <c r="C15" s="7"/>
      <c r="D15" s="7"/>
      <c r="E15" s="7"/>
      <c r="F15" s="7"/>
      <c r="G15" s="7"/>
      <c r="H15" s="7"/>
      <c r="I15" s="7"/>
      <c r="J15" s="7"/>
      <c r="K15" s="8"/>
      <c r="L15" s="8"/>
      <c r="M15" s="8"/>
      <c r="N15" s="8"/>
      <c r="O15" s="8"/>
    </row>
    <row r="16" spans="2:18" ht="12" customHeight="1" x14ac:dyDescent="0.25">
      <c r="B16" s="9" t="s">
        <v>29</v>
      </c>
      <c r="C16" s="10">
        <f t="shared" ref="C16:H16" si="7">SUM(C4:C14)</f>
        <v>5278.3310000000001</v>
      </c>
      <c r="D16" s="10">
        <f t="shared" si="7"/>
        <v>5906.44</v>
      </c>
      <c r="E16" s="10">
        <f t="shared" si="7"/>
        <v>6001.3239999999996</v>
      </c>
      <c r="F16" s="10">
        <f t="shared" si="7"/>
        <v>6632.8160000000007</v>
      </c>
      <c r="G16" s="10">
        <f t="shared" si="7"/>
        <v>9194.2990000000009</v>
      </c>
      <c r="H16" s="10">
        <f t="shared" si="7"/>
        <v>12038.510999999999</v>
      </c>
      <c r="I16" s="10">
        <f t="shared" ref="I16:O16" si="8">SUM(I4:I14)</f>
        <v>12985.491</v>
      </c>
      <c r="J16" s="10">
        <f t="shared" ref="J16" si="9">SUM(J4:J14)</f>
        <v>12193.559000000001</v>
      </c>
      <c r="K16" s="5">
        <f t="shared" ca="1" si="8"/>
        <v>12806.402050219853</v>
      </c>
      <c r="L16" s="5">
        <f t="shared" ca="1" si="8"/>
        <v>13512.632467069878</v>
      </c>
      <c r="M16" s="5">
        <f t="shared" ca="1" si="8"/>
        <v>16867.647913547415</v>
      </c>
      <c r="N16" s="5">
        <f t="shared" ca="1" si="8"/>
        <v>18785.411584608955</v>
      </c>
      <c r="O16" s="5">
        <f t="shared" ca="1" si="8"/>
        <v>20046.15371834231</v>
      </c>
    </row>
    <row r="17" spans="2:27" s="14" customFormat="1" ht="12" customHeight="1" x14ac:dyDescent="0.25">
      <c r="B17" s="11" t="s">
        <v>30</v>
      </c>
      <c r="C17" s="12" t="str">
        <f t="shared" ref="C17:H17" si="10">IF(ISERROR(C16/B16-1)," ",C16/B16-1)</f>
        <v xml:space="preserve"> </v>
      </c>
      <c r="D17" s="12">
        <f t="shared" si="10"/>
        <v>0.11899765285655617</v>
      </c>
      <c r="E17" s="12">
        <f t="shared" si="10"/>
        <v>1.606449908912988E-2</v>
      </c>
      <c r="F17" s="12">
        <f t="shared" si="10"/>
        <v>0.10522544691804692</v>
      </c>
      <c r="G17" s="12">
        <f t="shared" si="10"/>
        <v>0.38618333449925335</v>
      </c>
      <c r="H17" s="12">
        <f t="shared" si="10"/>
        <v>0.30934517139370787</v>
      </c>
      <c r="I17" s="12">
        <f t="shared" ref="I17:O17" si="11">IF(ISERROR(I16/H16-1)," ",I16/H16-1)</f>
        <v>7.8662552204338265E-2</v>
      </c>
      <c r="J17" s="12">
        <f t="shared" si="11"/>
        <v>-6.0985911121882008E-2</v>
      </c>
      <c r="K17" s="13">
        <f t="shared" ca="1" si="11"/>
        <v>5.0259571485228527E-2</v>
      </c>
      <c r="L17" s="13">
        <f t="shared" ca="1" si="11"/>
        <v>5.5146669148802951E-2</v>
      </c>
      <c r="M17" s="13">
        <f t="shared" ca="1" si="11"/>
        <v>0.2482873307368989</v>
      </c>
      <c r="N17" s="13">
        <f t="shared" ca="1" si="11"/>
        <v>0.11369478903583641</v>
      </c>
      <c r="O17" s="13">
        <f t="shared" ca="1" si="11"/>
        <v>6.7112829977400645E-2</v>
      </c>
      <c r="T17" s="894"/>
    </row>
    <row r="18" spans="2:27" ht="12" customHeight="1" x14ac:dyDescent="0.25">
      <c r="B18" s="6"/>
      <c r="C18" s="7"/>
      <c r="D18" s="7"/>
      <c r="E18" s="7"/>
      <c r="F18" s="7"/>
      <c r="G18" s="7"/>
      <c r="H18" s="7"/>
      <c r="I18" s="7"/>
      <c r="J18" s="7"/>
      <c r="K18" s="8"/>
      <c r="L18" s="8"/>
      <c r="M18" s="8"/>
      <c r="N18" s="8"/>
      <c r="O18" s="8"/>
    </row>
    <row r="19" spans="2:27" ht="12" customHeight="1" x14ac:dyDescent="0.25">
      <c r="B19" s="6" t="s">
        <v>31</v>
      </c>
      <c r="C19" s="7">
        <v>1765.2470000000001</v>
      </c>
      <c r="D19" s="7">
        <v>2364.9540000000002</v>
      </c>
      <c r="E19" s="7">
        <v>2490.5830000000001</v>
      </c>
      <c r="F19" s="7">
        <v>2747.7139999999999</v>
      </c>
      <c r="G19" s="7">
        <v>3436.6419999999998</v>
      </c>
      <c r="H19" s="7">
        <v>4236.0219999999999</v>
      </c>
      <c r="I19" s="7">
        <v>4013.4070000000002</v>
      </c>
      <c r="J19" s="7">
        <v>3716.5509999999999</v>
      </c>
      <c r="K19" s="8"/>
      <c r="L19" s="8"/>
      <c r="M19" s="8"/>
      <c r="N19" s="8"/>
      <c r="O19" s="8"/>
    </row>
    <row r="20" spans="2:27" ht="12" customHeight="1" x14ac:dyDescent="0.25">
      <c r="B20" s="6" t="s">
        <v>32</v>
      </c>
      <c r="C20" s="7">
        <v>152.779</v>
      </c>
      <c r="D20" s="7">
        <v>169.94399999999999</v>
      </c>
      <c r="E20" s="7">
        <v>200.297</v>
      </c>
      <c r="F20" s="7">
        <v>232.01499999999999</v>
      </c>
      <c r="G20" s="7">
        <v>303.71499999999997</v>
      </c>
      <c r="H20" s="7">
        <v>314.13200000000001</v>
      </c>
      <c r="I20" s="7">
        <v>339.96199999999999</v>
      </c>
      <c r="J20" s="7">
        <v>332.96100000000001</v>
      </c>
      <c r="K20" s="8"/>
      <c r="L20" s="8"/>
      <c r="M20" s="8"/>
      <c r="N20" s="8"/>
      <c r="O20" s="8"/>
    </row>
    <row r="21" spans="2:27" ht="12" customHeight="1" x14ac:dyDescent="0.25">
      <c r="B21" s="6" t="s">
        <v>33</v>
      </c>
      <c r="C21" s="7">
        <v>294.34399999999999</v>
      </c>
      <c r="D21" s="7">
        <v>262.44600000000003</v>
      </c>
      <c r="E21" s="7">
        <v>343.77300000000002</v>
      </c>
      <c r="F21" s="7">
        <v>331.76</v>
      </c>
      <c r="G21" s="7">
        <v>528.49400000000003</v>
      </c>
      <c r="H21" s="7">
        <v>450.25360000000001</v>
      </c>
      <c r="I21" s="7">
        <v>522.78</v>
      </c>
      <c r="J21" s="7">
        <v>528.68299999999999</v>
      </c>
      <c r="K21" s="8"/>
      <c r="L21" s="8"/>
      <c r="M21" s="8"/>
      <c r="N21" s="8"/>
      <c r="O21" s="8"/>
    </row>
    <row r="22" spans="2:27" ht="12" customHeight="1" x14ac:dyDescent="0.25">
      <c r="B22" s="6"/>
      <c r="C22" s="7"/>
      <c r="D22" s="7"/>
      <c r="E22" s="7"/>
      <c r="F22" s="7"/>
      <c r="G22" s="7"/>
      <c r="H22" s="7"/>
      <c r="I22" s="7"/>
      <c r="J22" s="7"/>
      <c r="K22" s="8"/>
      <c r="L22" s="8"/>
      <c r="M22" s="8"/>
      <c r="N22" s="8"/>
      <c r="O22" s="8"/>
    </row>
    <row r="23" spans="2:27" ht="12" customHeight="1" x14ac:dyDescent="0.25">
      <c r="B23" s="9" t="s">
        <v>34</v>
      </c>
      <c r="C23" s="10">
        <f t="shared" ref="C23:I23" si="12">C16-SUM(C19:C21)</f>
        <v>3065.9610000000002</v>
      </c>
      <c r="D23" s="10">
        <f t="shared" si="12"/>
        <v>3109.0959999999995</v>
      </c>
      <c r="E23" s="10">
        <f t="shared" si="12"/>
        <v>2966.6709999999994</v>
      </c>
      <c r="F23" s="10">
        <f t="shared" si="12"/>
        <v>3321.3270000000011</v>
      </c>
      <c r="G23" s="10">
        <f t="shared" si="12"/>
        <v>4925.4480000000012</v>
      </c>
      <c r="H23" s="10">
        <f t="shared" si="12"/>
        <v>7038.1033999999991</v>
      </c>
      <c r="I23" s="10">
        <f t="shared" si="12"/>
        <v>8109.3419999999996</v>
      </c>
      <c r="J23" s="10">
        <f t="shared" ref="J23" si="13">J16-SUM(J19:J21)</f>
        <v>7615.3640000000014</v>
      </c>
      <c r="K23" s="5">
        <f t="shared" ref="K23:O23" ca="1" si="14">K16*K24</f>
        <v>8190.2049620973357</v>
      </c>
      <c r="L23" s="5">
        <f t="shared" ca="1" si="14"/>
        <v>8641.8674854030014</v>
      </c>
      <c r="M23" s="5">
        <f t="shared" ca="1" si="14"/>
        <v>10618.857216800234</v>
      </c>
      <c r="N23" s="5">
        <f t="shared" ca="1" si="14"/>
        <v>11826.165947866006</v>
      </c>
      <c r="O23" s="5">
        <f t="shared" ca="1" si="14"/>
        <v>12619.853412409664</v>
      </c>
    </row>
    <row r="24" spans="2:27" ht="12" customHeight="1" x14ac:dyDescent="0.25">
      <c r="B24" s="15" t="s">
        <v>35</v>
      </c>
      <c r="C24" s="16">
        <f t="shared" ref="C24:I24" si="15">IF(ISERROR(C23/C16)," ",C23/C16)</f>
        <v>0.58085804016458997</v>
      </c>
      <c r="D24" s="16">
        <f t="shared" si="15"/>
        <v>0.52639085472805947</v>
      </c>
      <c r="E24" s="16">
        <f t="shared" si="15"/>
        <v>0.49433608317098021</v>
      </c>
      <c r="F24" s="16">
        <f t="shared" si="15"/>
        <v>0.50074161562751041</v>
      </c>
      <c r="G24" s="16">
        <f t="shared" si="15"/>
        <v>0.53570674610429803</v>
      </c>
      <c r="H24" s="16">
        <f t="shared" si="15"/>
        <v>0.58463238518451321</v>
      </c>
      <c r="I24" s="16">
        <f t="shared" si="15"/>
        <v>0.62449252015191414</v>
      </c>
      <c r="J24" s="16">
        <f t="shared" ref="J24" si="16">IF(ISERROR(J23/J16)," ",J23/J16)</f>
        <v>0.62453989028141832</v>
      </c>
      <c r="K24" s="198">
        <f>J24+1.5%</f>
        <v>0.63953989028141833</v>
      </c>
      <c r="L24" s="198">
        <f>K24</f>
        <v>0.63953989028141833</v>
      </c>
      <c r="M24" s="198">
        <f>L24-1%</f>
        <v>0.62953989028141832</v>
      </c>
      <c r="N24" s="198">
        <f>M24</f>
        <v>0.62953989028141832</v>
      </c>
      <c r="O24" s="198">
        <f>N24</f>
        <v>0.62953989028141832</v>
      </c>
      <c r="P24" s="242">
        <v>0.02</v>
      </c>
    </row>
    <row r="25" spans="2:27" s="14" customFormat="1" ht="12" customHeight="1" x14ac:dyDescent="0.25">
      <c r="B25" s="11" t="s">
        <v>30</v>
      </c>
      <c r="C25" s="12" t="str">
        <f t="shared" ref="C25:J25" si="17">IF(ISERROR(C23/B23-1)," ",C23/B23-1)</f>
        <v xml:space="preserve"> </v>
      </c>
      <c r="D25" s="12">
        <f t="shared" si="17"/>
        <v>1.4068998268405686E-2</v>
      </c>
      <c r="E25" s="12">
        <f t="shared" si="17"/>
        <v>-4.5809135517205113E-2</v>
      </c>
      <c r="F25" s="12">
        <f t="shared" si="17"/>
        <v>0.11954679167322624</v>
      </c>
      <c r="G25" s="12">
        <f t="shared" si="17"/>
        <v>0.48297593100588987</v>
      </c>
      <c r="H25" s="12">
        <f t="shared" si="17"/>
        <v>0.42892654637710059</v>
      </c>
      <c r="I25" s="12">
        <f t="shared" si="17"/>
        <v>0.15220557856538464</v>
      </c>
      <c r="J25" s="12">
        <f t="shared" si="17"/>
        <v>-6.0914683336822928E-2</v>
      </c>
      <c r="K25" s="13"/>
      <c r="L25" s="13"/>
      <c r="M25" s="13"/>
      <c r="N25" s="13"/>
      <c r="O25" s="13"/>
    </row>
    <row r="26" spans="2:27" ht="12" customHeight="1" x14ac:dyDescent="0.25">
      <c r="B26" s="15"/>
      <c r="C26" s="16"/>
      <c r="D26" s="16"/>
      <c r="E26" s="16"/>
      <c r="F26" s="16"/>
      <c r="G26" s="16"/>
      <c r="H26" s="16"/>
      <c r="I26" s="16"/>
      <c r="J26" s="16"/>
      <c r="K26" s="17"/>
      <c r="L26" s="17"/>
      <c r="M26" s="17"/>
      <c r="N26" s="17"/>
      <c r="O26" s="17"/>
    </row>
    <row r="27" spans="2:27" ht="12" customHeight="1" x14ac:dyDescent="0.25">
      <c r="B27" s="6" t="s">
        <v>36</v>
      </c>
      <c r="C27" s="7">
        <v>276.43700000000001</v>
      </c>
      <c r="D27" s="7">
        <v>280.05</v>
      </c>
      <c r="E27" s="7">
        <v>363.56</v>
      </c>
      <c r="F27" s="7">
        <v>158.48599999999999</v>
      </c>
      <c r="G27" s="7">
        <v>830.59799999999996</v>
      </c>
      <c r="H27" s="7">
        <v>997.24900000000002</v>
      </c>
      <c r="I27" s="7">
        <v>820.327</v>
      </c>
      <c r="J27" s="7">
        <v>589.4</v>
      </c>
      <c r="K27" s="8">
        <f t="shared" ref="K27:O27" si="18">AVERAGE(I27:J27)</f>
        <v>704.86349999999993</v>
      </c>
      <c r="L27" s="8">
        <f t="shared" si="18"/>
        <v>647.13175000000001</v>
      </c>
      <c r="M27" s="8">
        <f t="shared" si="18"/>
        <v>675.99762499999997</v>
      </c>
      <c r="N27" s="8">
        <f t="shared" si="18"/>
        <v>661.56468749999999</v>
      </c>
      <c r="O27" s="8">
        <f t="shared" si="18"/>
        <v>668.78115624999998</v>
      </c>
    </row>
    <row r="28" spans="2:27" ht="12" customHeight="1" x14ac:dyDescent="0.25">
      <c r="B28" s="6" t="s">
        <v>37</v>
      </c>
      <c r="C28" s="7">
        <v>1018.015</v>
      </c>
      <c r="D28" s="7">
        <v>1160.92</v>
      </c>
      <c r="E28" s="7">
        <v>1275.9490000000001</v>
      </c>
      <c r="F28" s="7">
        <v>1364.194</v>
      </c>
      <c r="G28" s="7">
        <v>1405.4690000000001</v>
      </c>
      <c r="H28" s="7">
        <v>1453.769</v>
      </c>
      <c r="I28" s="7">
        <v>1480.4010000000001</v>
      </c>
      <c r="J28" s="7">
        <v>1430.855</v>
      </c>
      <c r="K28" s="8">
        <f>J28</f>
        <v>1430.855</v>
      </c>
      <c r="L28" s="8">
        <f>K28</f>
        <v>1430.855</v>
      </c>
      <c r="M28" s="8">
        <f>L28+$R$29</f>
        <v>1430.855</v>
      </c>
      <c r="N28" s="8">
        <f>M28</f>
        <v>1430.855</v>
      </c>
      <c r="O28" s="8">
        <f>N28</f>
        <v>1430.855</v>
      </c>
      <c r="R28" s="33"/>
    </row>
    <row r="29" spans="2:27" ht="12" customHeight="1" x14ac:dyDescent="0.25">
      <c r="B29" s="6"/>
      <c r="C29" s="7"/>
      <c r="D29" s="7"/>
      <c r="E29" s="7"/>
      <c r="F29" s="7"/>
      <c r="G29" s="7"/>
      <c r="H29" s="7"/>
      <c r="I29" s="7"/>
      <c r="J29" s="7"/>
      <c r="K29" s="8"/>
      <c r="L29" s="8"/>
      <c r="M29" s="8"/>
      <c r="N29" s="8"/>
      <c r="O29" s="8"/>
    </row>
    <row r="30" spans="2:27" ht="12" customHeight="1" x14ac:dyDescent="0.25">
      <c r="B30" s="9" t="s">
        <v>38</v>
      </c>
      <c r="C30" s="10">
        <f>C23+C27-C28</f>
        <v>2324.3830000000003</v>
      </c>
      <c r="D30" s="10">
        <f>D23+D27-D28</f>
        <v>2228.2259999999997</v>
      </c>
      <c r="E30" s="10">
        <f t="shared" ref="E30:O30" si="19">E23+E27-E28</f>
        <v>2054.2819999999992</v>
      </c>
      <c r="F30" s="10">
        <f t="shared" si="19"/>
        <v>2115.6190000000011</v>
      </c>
      <c r="G30" s="10">
        <f t="shared" si="19"/>
        <v>4350.5770000000011</v>
      </c>
      <c r="H30" s="10">
        <f t="shared" si="19"/>
        <v>6581.5833999999986</v>
      </c>
      <c r="I30" s="10">
        <f t="shared" si="19"/>
        <v>7449.268</v>
      </c>
      <c r="J30" s="10">
        <f t="shared" ref="J30" si="20">J23+J27-J28</f>
        <v>6773.9090000000015</v>
      </c>
      <c r="K30" s="5">
        <f t="shared" ca="1" si="19"/>
        <v>7464.2134620973357</v>
      </c>
      <c r="L30" s="5">
        <f t="shared" ca="1" si="19"/>
        <v>7858.1442354030023</v>
      </c>
      <c r="M30" s="5">
        <f t="shared" ca="1" si="19"/>
        <v>9863.9998418002342</v>
      </c>
      <c r="N30" s="5">
        <f t="shared" ca="1" si="19"/>
        <v>11056.875635366006</v>
      </c>
      <c r="O30" s="5">
        <f t="shared" ca="1" si="19"/>
        <v>11857.779568659664</v>
      </c>
    </row>
    <row r="31" spans="2:27" ht="12" customHeight="1" thickBot="1" x14ac:dyDescent="0.3">
      <c r="B31" s="6"/>
      <c r="C31" s="7"/>
      <c r="D31" s="7"/>
      <c r="E31" s="7"/>
      <c r="F31" s="7"/>
      <c r="G31" s="7"/>
      <c r="H31" s="7"/>
      <c r="I31" s="7"/>
      <c r="J31" s="7"/>
      <c r="K31" s="8"/>
      <c r="L31" s="8"/>
      <c r="M31" s="8"/>
      <c r="N31" s="8"/>
      <c r="O31" s="8"/>
      <c r="R31" s="970" t="s">
        <v>1704</v>
      </c>
      <c r="S31" s="971" t="s">
        <v>24</v>
      </c>
      <c r="T31" s="971" t="s">
        <v>25</v>
      </c>
      <c r="U31" s="971" t="s">
        <v>26</v>
      </c>
      <c r="V31" s="971" t="s">
        <v>27</v>
      </c>
      <c r="W31" s="971" t="s">
        <v>273</v>
      </c>
      <c r="X31" s="971" t="s">
        <v>28</v>
      </c>
      <c r="Y31" s="971" t="s">
        <v>177</v>
      </c>
      <c r="Z31" s="971" t="s">
        <v>1735</v>
      </c>
      <c r="AA31" s="971" t="s">
        <v>1736</v>
      </c>
    </row>
    <row r="32" spans="2:27" ht="12" customHeight="1" x14ac:dyDescent="0.25">
      <c r="B32" s="6" t="s">
        <v>39</v>
      </c>
      <c r="C32" s="7">
        <v>901.61400000000003</v>
      </c>
      <c r="D32" s="7">
        <v>1536.7329999999999</v>
      </c>
      <c r="E32" s="7">
        <v>1764.79</v>
      </c>
      <c r="F32" s="7">
        <v>728.79</v>
      </c>
      <c r="G32" s="7">
        <v>1413.7249999999999</v>
      </c>
      <c r="H32" s="7">
        <v>1957.5129999999999</v>
      </c>
      <c r="I32" s="7">
        <f>1489.514+106.242</f>
        <v>1595.7559999999999</v>
      </c>
      <c r="J32" s="7">
        <f>889.447+24.663</f>
        <v>914.11</v>
      </c>
      <c r="K32" s="8"/>
      <c r="L32" s="8"/>
      <c r="M32" s="8"/>
      <c r="N32" s="8"/>
      <c r="O32" s="8"/>
      <c r="R32" s="972" t="s">
        <v>797</v>
      </c>
      <c r="S32" s="973">
        <f>E16</f>
        <v>6001.3239999999996</v>
      </c>
      <c r="T32" s="973">
        <f t="shared" ref="T32:Y32" si="21">F16</f>
        <v>6632.8160000000007</v>
      </c>
      <c r="U32" s="973">
        <f t="shared" si="21"/>
        <v>9194.2990000000009</v>
      </c>
      <c r="V32" s="973">
        <f t="shared" si="21"/>
        <v>12038.510999999999</v>
      </c>
      <c r="W32" s="973">
        <f t="shared" si="21"/>
        <v>12985.491</v>
      </c>
      <c r="X32" s="973">
        <f t="shared" si="21"/>
        <v>12193.559000000001</v>
      </c>
      <c r="Y32" s="973">
        <f t="shared" ca="1" si="21"/>
        <v>12806.402050219853</v>
      </c>
      <c r="Z32" s="980">
        <f>(W32/S32)^(1/4)-1</f>
        <v>0.21283808315024277</v>
      </c>
      <c r="AA32" s="980">
        <f ca="1">(Y32/W32)^(1/2)-1</f>
        <v>-6.919673639778301E-3</v>
      </c>
    </row>
    <row r="33" spans="2:27" ht="12" customHeight="1" x14ac:dyDescent="0.25">
      <c r="B33" s="6" t="s">
        <v>307</v>
      </c>
      <c r="C33" s="7"/>
      <c r="D33" s="7"/>
      <c r="E33" s="7"/>
      <c r="F33" s="7">
        <v>59.13</v>
      </c>
      <c r="G33" s="7"/>
      <c r="H33" s="7"/>
      <c r="I33" s="7">
        <v>140.99</v>
      </c>
      <c r="J33" s="7"/>
      <c r="K33" s="8"/>
      <c r="L33" s="8"/>
      <c r="M33" s="8"/>
      <c r="N33" s="8"/>
      <c r="O33" s="8"/>
      <c r="R33" s="972" t="s">
        <v>1580</v>
      </c>
      <c r="S33" s="982"/>
      <c r="T33" s="983">
        <f>+T32/S32-1</f>
        <v>0.10522544691804692</v>
      </c>
      <c r="U33" s="983">
        <f t="shared" ref="U33:Y33" si="22">+U32/T32-1</f>
        <v>0.38618333449925335</v>
      </c>
      <c r="V33" s="983">
        <f t="shared" si="22"/>
        <v>0.30934517139370787</v>
      </c>
      <c r="W33" s="983">
        <f t="shared" si="22"/>
        <v>7.8662552204338265E-2</v>
      </c>
      <c r="X33" s="983">
        <f t="shared" si="22"/>
        <v>-6.0985911121882008E-2</v>
      </c>
      <c r="Y33" s="983">
        <f t="shared" ca="1" si="22"/>
        <v>5.0259571485228527E-2</v>
      </c>
      <c r="Z33" s="982"/>
      <c r="AA33" s="982"/>
    </row>
    <row r="34" spans="2:27" ht="12" customHeight="1" x14ac:dyDescent="0.25">
      <c r="B34" s="6"/>
      <c r="C34" s="7"/>
      <c r="D34" s="7"/>
      <c r="E34" s="7"/>
      <c r="F34" s="7"/>
      <c r="G34" s="7"/>
      <c r="H34" s="7"/>
      <c r="I34" s="7"/>
      <c r="J34" s="7"/>
      <c r="K34" s="8"/>
      <c r="L34" s="8"/>
      <c r="M34" s="8"/>
      <c r="N34" s="8"/>
      <c r="O34" s="8"/>
      <c r="R34" s="972" t="s">
        <v>34</v>
      </c>
      <c r="S34" s="973">
        <f>E23</f>
        <v>2966.6709999999994</v>
      </c>
      <c r="T34" s="973">
        <f t="shared" ref="T34:Y34" si="23">F23</f>
        <v>3321.3270000000011</v>
      </c>
      <c r="U34" s="973">
        <f t="shared" si="23"/>
        <v>4925.4480000000012</v>
      </c>
      <c r="V34" s="973">
        <f t="shared" si="23"/>
        <v>7038.1033999999991</v>
      </c>
      <c r="W34" s="973">
        <f t="shared" si="23"/>
        <v>8109.3419999999996</v>
      </c>
      <c r="X34" s="973">
        <f t="shared" si="23"/>
        <v>7615.3640000000014</v>
      </c>
      <c r="Y34" s="973">
        <f t="shared" ca="1" si="23"/>
        <v>8190.2049620973357</v>
      </c>
      <c r="Z34" s="980">
        <f>(W34/S34)^(1/4)-1</f>
        <v>0.28581668683137096</v>
      </c>
      <c r="AA34" s="980">
        <f ca="1">(Y34/W34)^(1/2)-1</f>
        <v>4.9734231229434656E-3</v>
      </c>
    </row>
    <row r="35" spans="2:27" ht="12" customHeight="1" x14ac:dyDescent="0.25">
      <c r="B35" s="9" t="s">
        <v>40</v>
      </c>
      <c r="C35" s="10">
        <f t="shared" ref="C35:I35" si="24">C30-C32-C33</f>
        <v>1422.7690000000002</v>
      </c>
      <c r="D35" s="10">
        <f t="shared" si="24"/>
        <v>691.49299999999971</v>
      </c>
      <c r="E35" s="10">
        <f t="shared" si="24"/>
        <v>289.49199999999928</v>
      </c>
      <c r="F35" s="10">
        <f t="shared" si="24"/>
        <v>1327.699000000001</v>
      </c>
      <c r="G35" s="10">
        <f t="shared" si="24"/>
        <v>2936.8520000000012</v>
      </c>
      <c r="H35" s="10">
        <f t="shared" si="24"/>
        <v>4624.0703999999987</v>
      </c>
      <c r="I35" s="10">
        <f t="shared" si="24"/>
        <v>5712.5220000000008</v>
      </c>
      <c r="J35" s="10">
        <f t="shared" ref="J35" si="25">J30-J32-J33</f>
        <v>5859.7990000000018</v>
      </c>
      <c r="K35" s="5"/>
      <c r="L35" s="5"/>
      <c r="M35" s="5"/>
      <c r="N35" s="5"/>
      <c r="O35" s="5"/>
      <c r="R35" s="972" t="s">
        <v>1580</v>
      </c>
      <c r="S35" s="982"/>
      <c r="T35" s="983">
        <f>+T34/S34-1</f>
        <v>0.11954679167322624</v>
      </c>
      <c r="U35" s="983">
        <f t="shared" ref="U35" si="26">+U34/T34-1</f>
        <v>0.48297593100588987</v>
      </c>
      <c r="V35" s="983">
        <f t="shared" ref="V35" si="27">+V34/U34-1</f>
        <v>0.42892654637710059</v>
      </c>
      <c r="W35" s="983">
        <f t="shared" ref="W35" si="28">+W34/V34-1</f>
        <v>0.15220557856538464</v>
      </c>
      <c r="X35" s="983">
        <f t="shared" ref="X35" si="29">+X34/W34-1</f>
        <v>-6.0914683336822928E-2</v>
      </c>
      <c r="Y35" s="983">
        <f t="shared" ref="Y35" ca="1" si="30">+Y34/X34-1</f>
        <v>7.548437108158379E-2</v>
      </c>
      <c r="Z35" s="982"/>
      <c r="AA35" s="982"/>
    </row>
    <row r="36" spans="2:27" ht="12" customHeight="1" x14ac:dyDescent="0.25">
      <c r="B36" s="6"/>
      <c r="C36" s="7"/>
      <c r="D36" s="7"/>
      <c r="E36" s="7"/>
      <c r="F36" s="7"/>
      <c r="G36" s="7"/>
      <c r="H36" s="7"/>
      <c r="I36" s="7"/>
      <c r="J36" s="7"/>
      <c r="K36" s="8"/>
      <c r="L36" s="8"/>
      <c r="M36" s="8"/>
      <c r="N36" s="8"/>
      <c r="O36" s="8"/>
      <c r="R36" s="972" t="s">
        <v>1734</v>
      </c>
      <c r="S36" s="982"/>
      <c r="T36" s="980">
        <f>+T34/T32</f>
        <v>0.50074161562751041</v>
      </c>
      <c r="U36" s="980">
        <v>0.54</v>
      </c>
      <c r="V36" s="980">
        <v>0.57999999999999996</v>
      </c>
      <c r="W36" s="980">
        <v>0.59</v>
      </c>
      <c r="X36" s="980">
        <v>0.61</v>
      </c>
      <c r="Y36" s="980">
        <v>0.62</v>
      </c>
      <c r="Z36" s="982"/>
      <c r="AA36" s="982"/>
    </row>
    <row r="37" spans="2:27" ht="12" customHeight="1" x14ac:dyDescent="0.25">
      <c r="B37" s="6" t="s">
        <v>41</v>
      </c>
      <c r="C37" s="7"/>
      <c r="D37" s="7"/>
      <c r="E37" s="7"/>
      <c r="F37" s="7"/>
      <c r="G37" s="7"/>
      <c r="H37" s="7"/>
      <c r="I37" s="7"/>
      <c r="J37" s="7"/>
      <c r="K37" s="8"/>
      <c r="L37" s="8"/>
      <c r="M37" s="8"/>
      <c r="N37" s="8"/>
      <c r="O37" s="8"/>
      <c r="R37" s="972" t="s">
        <v>798</v>
      </c>
      <c r="S37" s="981">
        <f>E49</f>
        <v>205.15299999999928</v>
      </c>
      <c r="T37" s="981">
        <f t="shared" ref="T37:Y37" si="31">F49</f>
        <v>883.04300000000103</v>
      </c>
      <c r="U37" s="981">
        <f t="shared" si="31"/>
        <v>1612.0650000000014</v>
      </c>
      <c r="V37" s="981">
        <f t="shared" si="31"/>
        <v>4280.7123999999985</v>
      </c>
      <c r="W37" s="981">
        <f t="shared" si="31"/>
        <v>4728.3820000000005</v>
      </c>
      <c r="X37" s="981">
        <f t="shared" si="31"/>
        <v>4936.2570000000014</v>
      </c>
      <c r="Y37" s="981">
        <f t="shared" si="31"/>
        <v>0</v>
      </c>
      <c r="Z37" s="980">
        <f>(W37/S37)^(1/4)-1</f>
        <v>1.1910822004144985</v>
      </c>
      <c r="AA37" s="980">
        <f>(Y37/W37)^(1/2)-1</f>
        <v>-1</v>
      </c>
    </row>
    <row r="38" spans="2:27" ht="12" customHeight="1" x14ac:dyDescent="0.25">
      <c r="B38" s="6" t="s">
        <v>42</v>
      </c>
      <c r="C38" s="7">
        <v>65.709000000000003</v>
      </c>
      <c r="D38" s="7">
        <v>76.143000000000001</v>
      </c>
      <c r="E38" s="7"/>
      <c r="F38" s="7">
        <v>-93.286000000000001</v>
      </c>
      <c r="G38" s="7">
        <v>513.12699999999995</v>
      </c>
      <c r="H38" s="7">
        <v>855.755</v>
      </c>
      <c r="I38" s="7">
        <v>1023.558</v>
      </c>
      <c r="J38" s="7">
        <v>1024.5340000000001</v>
      </c>
      <c r="K38" s="8"/>
      <c r="L38" s="8"/>
      <c r="M38" s="8"/>
      <c r="N38" s="8"/>
      <c r="O38" s="8"/>
      <c r="R38" s="972" t="s">
        <v>1580</v>
      </c>
      <c r="S38" s="982"/>
      <c r="T38" s="983">
        <f>+T37/S37-1</f>
        <v>3.3043143410040514</v>
      </c>
      <c r="U38" s="983">
        <f t="shared" ref="U38" si="32">+U37/T37-1</f>
        <v>0.82557927530142883</v>
      </c>
      <c r="V38" s="983">
        <f t="shared" ref="V38" si="33">+V37/U37-1</f>
        <v>1.6554217106630285</v>
      </c>
      <c r="W38" s="983">
        <f t="shared" ref="W38" si="34">+W37/V37-1</f>
        <v>0.10457829402414465</v>
      </c>
      <c r="X38" s="983"/>
      <c r="Y38" s="983"/>
      <c r="Z38" s="982"/>
      <c r="AA38" s="982"/>
    </row>
    <row r="39" spans="2:27" ht="12" customHeight="1" x14ac:dyDescent="0.25">
      <c r="B39" s="6" t="s">
        <v>43</v>
      </c>
      <c r="C39" s="7">
        <v>358.76</v>
      </c>
      <c r="D39" s="7">
        <v>-156.27099999999999</v>
      </c>
      <c r="E39" s="7">
        <v>84.338999999999999</v>
      </c>
      <c r="F39" s="7">
        <v>537.94200000000001</v>
      </c>
      <c r="G39" s="7">
        <v>811.66</v>
      </c>
      <c r="H39" s="7">
        <v>-512.39700000000005</v>
      </c>
      <c r="I39" s="7">
        <v>-39.417999999999999</v>
      </c>
      <c r="J39" s="7">
        <v>-100.992</v>
      </c>
      <c r="K39" s="8"/>
      <c r="L39" s="8"/>
      <c r="M39" s="8"/>
      <c r="N39" s="8"/>
      <c r="O39" s="8"/>
    </row>
    <row r="40" spans="2:27" ht="12" customHeight="1" x14ac:dyDescent="0.25">
      <c r="B40" s="6" t="s">
        <v>44</v>
      </c>
      <c r="C40" s="7"/>
      <c r="D40" s="7"/>
      <c r="E40" s="7"/>
      <c r="F40" s="7"/>
      <c r="G40" s="7"/>
      <c r="H40" s="7"/>
      <c r="I40" s="7"/>
      <c r="J40" s="7"/>
      <c r="K40" s="8"/>
      <c r="L40" s="8"/>
      <c r="M40" s="8"/>
      <c r="N40" s="8"/>
      <c r="O40" s="8"/>
    </row>
    <row r="41" spans="2:27" s="18" customFormat="1" ht="12" customHeight="1" x14ac:dyDescent="0.25">
      <c r="B41" s="9" t="s">
        <v>45</v>
      </c>
      <c r="C41" s="10">
        <f t="shared" ref="C41:I41" si="35">SUM(C38:C40)</f>
        <v>424.46899999999999</v>
      </c>
      <c r="D41" s="10">
        <f t="shared" si="35"/>
        <v>-80.127999999999986</v>
      </c>
      <c r="E41" s="10">
        <f t="shared" si="35"/>
        <v>84.338999999999999</v>
      </c>
      <c r="F41" s="10">
        <f t="shared" si="35"/>
        <v>444.65600000000001</v>
      </c>
      <c r="G41" s="10">
        <f t="shared" si="35"/>
        <v>1324.7869999999998</v>
      </c>
      <c r="H41" s="10">
        <f t="shared" si="35"/>
        <v>343.35799999999995</v>
      </c>
      <c r="I41" s="10">
        <f t="shared" si="35"/>
        <v>984.14</v>
      </c>
      <c r="J41" s="10">
        <f t="shared" ref="J41" si="36">SUM(J38:J40)</f>
        <v>923.54200000000014</v>
      </c>
      <c r="K41" s="5"/>
      <c r="L41" s="5"/>
      <c r="M41" s="5"/>
      <c r="N41" s="5"/>
      <c r="O41" s="5"/>
    </row>
    <row r="42" spans="2:27" ht="12" customHeight="1" x14ac:dyDescent="0.25">
      <c r="B42" s="19" t="s">
        <v>46</v>
      </c>
      <c r="C42" s="12">
        <f t="shared" ref="C42:I42" si="37">IF(ISERROR(C41/C35)," ",C41/C35)</f>
        <v>0.2983400678536009</v>
      </c>
      <c r="D42" s="12">
        <f t="shared" si="37"/>
        <v>-0.11587680569434546</v>
      </c>
      <c r="E42" s="12">
        <f t="shared" si="37"/>
        <v>0.29133447556409231</v>
      </c>
      <c r="F42" s="12">
        <f t="shared" si="37"/>
        <v>0.33490723424511104</v>
      </c>
      <c r="G42" s="12">
        <f t="shared" si="37"/>
        <v>0.45109082786602772</v>
      </c>
      <c r="H42" s="12">
        <f t="shared" si="37"/>
        <v>7.4254492319148088E-2</v>
      </c>
      <c r="I42" s="12">
        <f t="shared" si="37"/>
        <v>0.17227767350392695</v>
      </c>
      <c r="J42" s="12">
        <f t="shared" ref="J42" si="38">IF(ISERROR(J41/J35)," ",J41/J35)</f>
        <v>0.15760642984511924</v>
      </c>
      <c r="K42" s="198">
        <v>0.25</v>
      </c>
      <c r="L42" s="198">
        <v>0.25</v>
      </c>
      <c r="M42" s="198">
        <v>0.25</v>
      </c>
      <c r="N42" s="198">
        <v>0.25</v>
      </c>
      <c r="O42" s="198">
        <v>0.25</v>
      </c>
    </row>
    <row r="43" spans="2:27" ht="12" customHeight="1" x14ac:dyDescent="0.25">
      <c r="B43" s="19"/>
      <c r="C43" s="12"/>
      <c r="D43" s="12"/>
      <c r="E43" s="12"/>
      <c r="F43" s="12"/>
      <c r="G43" s="12"/>
      <c r="H43" s="12"/>
      <c r="I43" s="12"/>
      <c r="J43" s="12"/>
      <c r="K43" s="13"/>
      <c r="L43" s="13"/>
      <c r="M43" s="13"/>
      <c r="N43" s="13"/>
      <c r="O43" s="13"/>
    </row>
    <row r="44" spans="2:27" ht="12" customHeight="1" x14ac:dyDescent="0.25">
      <c r="B44" s="9" t="s">
        <v>47</v>
      </c>
      <c r="C44" s="10">
        <f t="shared" ref="C44:I44" si="39">C35-C36-C41</f>
        <v>998.30000000000018</v>
      </c>
      <c r="D44" s="10">
        <f t="shared" si="39"/>
        <v>771.62099999999964</v>
      </c>
      <c r="E44" s="10">
        <f t="shared" si="39"/>
        <v>205.15299999999928</v>
      </c>
      <c r="F44" s="10">
        <f t="shared" si="39"/>
        <v>883.04300000000103</v>
      </c>
      <c r="G44" s="10">
        <f t="shared" si="39"/>
        <v>1612.0650000000014</v>
      </c>
      <c r="H44" s="10">
        <f t="shared" si="39"/>
        <v>4280.7123999999985</v>
      </c>
      <c r="I44" s="10">
        <f t="shared" si="39"/>
        <v>4728.3820000000005</v>
      </c>
      <c r="J44" s="10">
        <f t="shared" ref="J44" si="40">J35-J36-J41</f>
        <v>4936.2570000000014</v>
      </c>
      <c r="K44" s="5"/>
      <c r="L44" s="5"/>
      <c r="M44" s="5"/>
      <c r="N44" s="5"/>
      <c r="O44" s="5"/>
    </row>
    <row r="45" spans="2:27" ht="12" customHeight="1" x14ac:dyDescent="0.25">
      <c r="B45" s="6"/>
      <c r="C45" s="7"/>
      <c r="D45" s="7"/>
      <c r="E45" s="7"/>
      <c r="F45" s="7"/>
      <c r="G45" s="7"/>
      <c r="H45" s="7"/>
      <c r="I45" s="7"/>
      <c r="J45" s="7"/>
      <c r="K45" s="8"/>
      <c r="L45" s="8"/>
      <c r="M45" s="8"/>
      <c r="N45" s="8"/>
      <c r="O45" s="8"/>
    </row>
    <row r="46" spans="2:27" ht="12" customHeight="1" x14ac:dyDescent="0.25">
      <c r="B46" s="6" t="s">
        <v>48</v>
      </c>
      <c r="C46" s="7"/>
      <c r="D46" s="7"/>
      <c r="E46" s="7"/>
      <c r="F46" s="7"/>
      <c r="G46" s="7"/>
      <c r="H46" s="7"/>
      <c r="I46" s="7"/>
      <c r="J46" s="7"/>
      <c r="K46" s="8"/>
      <c r="L46" s="8"/>
      <c r="M46" s="8"/>
      <c r="N46" s="8"/>
      <c r="O46" s="8"/>
    </row>
    <row r="47" spans="2:27" ht="12" customHeight="1" x14ac:dyDescent="0.25">
      <c r="B47" s="6" t="s">
        <v>49</v>
      </c>
      <c r="C47" s="7"/>
      <c r="D47" s="7"/>
      <c r="E47" s="7"/>
      <c r="F47" s="7"/>
      <c r="G47" s="7"/>
      <c r="H47" s="7"/>
      <c r="I47" s="7"/>
      <c r="J47" s="7"/>
      <c r="K47" s="8"/>
      <c r="L47" s="8"/>
      <c r="M47" s="8"/>
      <c r="N47" s="8"/>
      <c r="O47" s="8"/>
    </row>
    <row r="48" spans="2:27" ht="12" customHeight="1" x14ac:dyDescent="0.25">
      <c r="B48" s="6"/>
      <c r="C48" s="7"/>
      <c r="D48" s="7"/>
      <c r="E48" s="7"/>
      <c r="F48" s="7"/>
      <c r="G48" s="7"/>
      <c r="H48" s="7"/>
      <c r="I48" s="7"/>
      <c r="J48" s="7"/>
      <c r="K48" s="8"/>
      <c r="L48" s="8"/>
      <c r="M48" s="8"/>
      <c r="N48" s="8"/>
      <c r="O48" s="8"/>
    </row>
    <row r="49" spans="2:15" ht="12" customHeight="1" x14ac:dyDescent="0.25">
      <c r="B49" s="9" t="s">
        <v>50</v>
      </c>
      <c r="C49" s="10">
        <f t="shared" ref="C49:I49" si="41">C44-C46+C47</f>
        <v>998.30000000000018</v>
      </c>
      <c r="D49" s="10">
        <f t="shared" si="41"/>
        <v>771.62099999999964</v>
      </c>
      <c r="E49" s="10">
        <f t="shared" si="41"/>
        <v>205.15299999999928</v>
      </c>
      <c r="F49" s="10">
        <f t="shared" si="41"/>
        <v>883.04300000000103</v>
      </c>
      <c r="G49" s="10">
        <f t="shared" si="41"/>
        <v>1612.0650000000014</v>
      </c>
      <c r="H49" s="10">
        <f t="shared" si="41"/>
        <v>4280.7123999999985</v>
      </c>
      <c r="I49" s="10">
        <f t="shared" si="41"/>
        <v>4728.3820000000005</v>
      </c>
      <c r="J49" s="10">
        <f t="shared" ref="J49" si="42">J44-J46+J47</f>
        <v>4936.2570000000014</v>
      </c>
      <c r="K49" s="5"/>
      <c r="L49" s="5"/>
      <c r="M49" s="5"/>
      <c r="N49" s="5"/>
      <c r="O49" s="5"/>
    </row>
    <row r="50" spans="2:15" ht="12" customHeight="1" x14ac:dyDescent="0.25">
      <c r="B50" s="15" t="s">
        <v>35</v>
      </c>
      <c r="C50" s="16">
        <f t="shared" ref="C50:I50" si="43">IF(ISERROR(C49/C16)," ",C49/C16)</f>
        <v>0.18913175395783252</v>
      </c>
      <c r="D50" s="16">
        <f t="shared" si="43"/>
        <v>0.13064062277784921</v>
      </c>
      <c r="E50" s="16">
        <f t="shared" si="43"/>
        <v>3.4184623259800553E-2</v>
      </c>
      <c r="F50" s="16">
        <f t="shared" si="43"/>
        <v>0.13313244329407012</v>
      </c>
      <c r="G50" s="16">
        <f t="shared" si="43"/>
        <v>0.17533310587354201</v>
      </c>
      <c r="H50" s="16">
        <f t="shared" si="43"/>
        <v>0.35558487258100269</v>
      </c>
      <c r="I50" s="16">
        <f t="shared" si="43"/>
        <v>0.36412808726293067</v>
      </c>
      <c r="J50" s="16">
        <f t="shared" ref="J50" si="44">IF(ISERROR(J49/J16)," ",J49/J16)</f>
        <v>0.40482495717616168</v>
      </c>
      <c r="K50" s="17"/>
      <c r="L50" s="17"/>
      <c r="M50" s="17"/>
      <c r="N50" s="17"/>
      <c r="O50" s="17"/>
    </row>
    <row r="51" spans="2:15" s="14" customFormat="1" ht="12" customHeight="1" x14ac:dyDescent="0.25">
      <c r="B51" s="11" t="s">
        <v>30</v>
      </c>
      <c r="C51" s="12" t="str">
        <f t="shared" ref="C51:J51" si="45">IF(ISERROR(C49/B49-1)," ",C49/B49-1)</f>
        <v xml:space="preserve"> </v>
      </c>
      <c r="D51" s="12">
        <f t="shared" si="45"/>
        <v>-0.22706501051788086</v>
      </c>
      <c r="E51" s="12">
        <f t="shared" si="45"/>
        <v>-0.73412724640723959</v>
      </c>
      <c r="F51" s="12">
        <f t="shared" si="45"/>
        <v>3.3043143410040514</v>
      </c>
      <c r="G51" s="12">
        <f t="shared" si="45"/>
        <v>0.82557927530142883</v>
      </c>
      <c r="H51" s="12">
        <f t="shared" si="45"/>
        <v>1.6554217106630285</v>
      </c>
      <c r="I51" s="12">
        <f t="shared" si="45"/>
        <v>0.10457829402414465</v>
      </c>
      <c r="J51" s="12">
        <f t="shared" si="45"/>
        <v>4.3963241548589105E-2</v>
      </c>
      <c r="K51" s="13"/>
      <c r="L51" s="13"/>
      <c r="M51" s="13"/>
      <c r="N51" s="13"/>
      <c r="O51" s="13"/>
    </row>
    <row r="52" spans="2:15" ht="12" customHeight="1" x14ac:dyDescent="0.25">
      <c r="B52" s="15"/>
      <c r="C52" s="16"/>
      <c r="D52" s="16"/>
      <c r="E52" s="16"/>
      <c r="F52" s="16"/>
      <c r="G52" s="16"/>
      <c r="H52" s="16"/>
      <c r="I52" s="16"/>
      <c r="J52" s="16"/>
      <c r="K52" s="17"/>
      <c r="L52" s="17"/>
      <c r="M52" s="17"/>
      <c r="N52" s="17"/>
      <c r="O52" s="17"/>
    </row>
    <row r="53" spans="2:15" ht="12" customHeight="1" x14ac:dyDescent="0.25">
      <c r="B53" s="9" t="s">
        <v>51</v>
      </c>
      <c r="C53" s="10"/>
      <c r="D53" s="10"/>
      <c r="E53" s="10"/>
      <c r="F53" s="10"/>
      <c r="G53" s="10"/>
      <c r="H53" s="10"/>
      <c r="I53" s="10"/>
      <c r="J53" s="10"/>
      <c r="K53" s="5"/>
      <c r="L53" s="5"/>
      <c r="M53" s="5"/>
      <c r="N53" s="5"/>
      <c r="O53" s="5"/>
    </row>
    <row r="54" spans="2:15" ht="12" customHeight="1" x14ac:dyDescent="0.25">
      <c r="B54" s="9" t="s">
        <v>52</v>
      </c>
      <c r="C54" s="20"/>
      <c r="D54" s="20"/>
      <c r="E54" s="20"/>
      <c r="F54" s="20"/>
      <c r="G54" s="20"/>
      <c r="H54" s="20"/>
      <c r="I54" s="20"/>
      <c r="J54" s="20"/>
      <c r="K54" s="21"/>
      <c r="L54" s="21"/>
      <c r="M54" s="21"/>
      <c r="N54" s="21"/>
      <c r="O54" s="21"/>
    </row>
    <row r="55" spans="2:15" ht="12" customHeight="1" x14ac:dyDescent="0.25">
      <c r="B55" s="9" t="s">
        <v>53</v>
      </c>
      <c r="C55" s="20"/>
      <c r="D55" s="20"/>
      <c r="E55" s="20"/>
      <c r="F55" s="20"/>
      <c r="G55" s="20"/>
      <c r="H55" s="20"/>
      <c r="I55" s="20"/>
      <c r="J55" s="20"/>
      <c r="K55" s="21"/>
      <c r="L55" s="21"/>
      <c r="M55" s="21"/>
      <c r="N55" s="21"/>
      <c r="O55" s="21"/>
    </row>
    <row r="56" spans="2:15" ht="12" customHeight="1" x14ac:dyDescent="0.25">
      <c r="B56" s="9" t="s">
        <v>54</v>
      </c>
      <c r="C56" s="20"/>
      <c r="D56" s="20"/>
      <c r="E56" s="20"/>
      <c r="F56" s="20"/>
      <c r="G56" s="20"/>
      <c r="H56" s="20"/>
      <c r="I56" s="20"/>
      <c r="J56" s="20"/>
      <c r="K56" s="21"/>
      <c r="L56" s="21"/>
      <c r="M56" s="21"/>
      <c r="N56" s="21"/>
      <c r="O56" s="21"/>
    </row>
    <row r="57" spans="2:15" ht="12" customHeight="1" x14ac:dyDescent="0.25">
      <c r="B57" s="9" t="s">
        <v>55</v>
      </c>
      <c r="C57" s="20"/>
      <c r="D57" s="20"/>
      <c r="E57" s="20"/>
      <c r="F57" s="20"/>
      <c r="G57" s="20"/>
      <c r="H57" s="20"/>
      <c r="I57" s="20"/>
      <c r="J57" s="20"/>
      <c r="K57" s="21"/>
      <c r="L57" s="21"/>
      <c r="M57" s="21"/>
      <c r="N57" s="21"/>
      <c r="O57" s="21"/>
    </row>
    <row r="58" spans="2:15" ht="12" customHeight="1" x14ac:dyDescent="0.25">
      <c r="B58" s="9" t="s">
        <v>56</v>
      </c>
      <c r="C58" s="20"/>
      <c r="D58" s="20"/>
      <c r="E58" s="20"/>
      <c r="F58" s="20"/>
      <c r="G58" s="20"/>
      <c r="H58" s="20"/>
      <c r="I58" s="20"/>
      <c r="J58" s="20"/>
      <c r="K58" s="21"/>
      <c r="L58" s="21"/>
      <c r="M58" s="21"/>
      <c r="N58" s="21"/>
      <c r="O58" s="21"/>
    </row>
    <row r="59" spans="2:15" ht="12" customHeight="1" x14ac:dyDescent="0.25">
      <c r="B59" s="9" t="s">
        <v>57</v>
      </c>
      <c r="C59" s="22"/>
      <c r="D59" s="22"/>
      <c r="E59" s="22"/>
      <c r="F59" s="22"/>
      <c r="G59" s="22"/>
      <c r="H59" s="22"/>
      <c r="I59" s="22"/>
      <c r="J59" s="22"/>
      <c r="K59" s="23"/>
      <c r="L59" s="23"/>
      <c r="M59" s="23"/>
      <c r="N59" s="23"/>
      <c r="O59" s="23"/>
    </row>
    <row r="60" spans="2:15" ht="12" customHeight="1" x14ac:dyDescent="0.25">
      <c r="B60" s="9" t="s">
        <v>58</v>
      </c>
      <c r="C60" s="10"/>
      <c r="D60" s="10"/>
      <c r="E60" s="10"/>
      <c r="F60" s="10"/>
      <c r="G60" s="10"/>
      <c r="H60" s="10"/>
      <c r="I60" s="10"/>
      <c r="J60" s="10"/>
      <c r="K60" s="5"/>
      <c r="L60" s="5"/>
      <c r="M60" s="5"/>
      <c r="N60" s="5"/>
      <c r="O60" s="5"/>
    </row>
    <row r="61" spans="2:15" ht="12" customHeight="1" x14ac:dyDescent="0.25">
      <c r="B61" s="9"/>
      <c r="C61" s="10"/>
      <c r="D61" s="10"/>
      <c r="E61" s="10"/>
      <c r="F61" s="10"/>
      <c r="G61" s="10"/>
      <c r="H61" s="10"/>
      <c r="I61" s="10"/>
      <c r="J61" s="10"/>
      <c r="K61" s="5"/>
      <c r="L61" s="5"/>
      <c r="M61" s="5"/>
      <c r="N61" s="5"/>
      <c r="O61" s="5"/>
    </row>
    <row r="62" spans="2:15" s="26" customFormat="1" ht="12" customHeight="1" x14ac:dyDescent="0.25">
      <c r="B62" s="24"/>
      <c r="C62" s="25"/>
      <c r="D62" s="25"/>
      <c r="E62" s="25"/>
      <c r="F62" s="25"/>
      <c r="G62" s="25"/>
      <c r="H62" s="25"/>
      <c r="I62" s="25"/>
      <c r="J62" s="25"/>
      <c r="K62" s="25"/>
      <c r="L62" s="25"/>
      <c r="M62" s="25"/>
      <c r="N62" s="25"/>
      <c r="O62" s="25"/>
    </row>
    <row r="63" spans="2:15" ht="12" customHeight="1" x14ac:dyDescent="0.25">
      <c r="B63" s="3" t="s">
        <v>59</v>
      </c>
      <c r="C63" s="4" t="str">
        <f>C2</f>
        <v>FY18</v>
      </c>
      <c r="D63" s="4" t="str">
        <f t="shared" ref="D63:O63" si="46">D2</f>
        <v>FY19</v>
      </c>
      <c r="E63" s="4" t="str">
        <f t="shared" si="46"/>
        <v>FY20</v>
      </c>
      <c r="F63" s="4" t="str">
        <f t="shared" si="46"/>
        <v>FY21</v>
      </c>
      <c r="G63" s="4" t="str">
        <f t="shared" si="46"/>
        <v>FY22</v>
      </c>
      <c r="H63" s="4" t="str">
        <f t="shared" si="46"/>
        <v>FY23</v>
      </c>
      <c r="I63" s="4" t="str">
        <f t="shared" si="46"/>
        <v>FY24</v>
      </c>
      <c r="J63" s="4" t="str">
        <f t="shared" si="46"/>
        <v>FY25</v>
      </c>
      <c r="K63" s="227" t="str">
        <f t="shared" si="46"/>
        <v>FY26E</v>
      </c>
      <c r="L63" s="227" t="str">
        <f t="shared" si="46"/>
        <v>FY27E</v>
      </c>
      <c r="M63" s="227" t="str">
        <f t="shared" si="46"/>
        <v>FY28E</v>
      </c>
      <c r="N63" s="227" t="str">
        <f t="shared" si="46"/>
        <v>FY29E</v>
      </c>
      <c r="O63" s="227" t="str">
        <f t="shared" si="46"/>
        <v>FY30E</v>
      </c>
    </row>
    <row r="64" spans="2:15" ht="12" customHeight="1" x14ac:dyDescent="0.25">
      <c r="B64" s="6" t="s">
        <v>376</v>
      </c>
      <c r="C64" s="7"/>
      <c r="D64" s="7"/>
      <c r="E64" s="7"/>
      <c r="F64" s="7"/>
      <c r="G64" s="7"/>
      <c r="H64" s="7"/>
      <c r="I64" s="7"/>
      <c r="J64" s="7"/>
      <c r="K64" s="5"/>
      <c r="L64" s="5"/>
      <c r="M64" s="5"/>
      <c r="N64" s="5"/>
      <c r="O64" s="5"/>
    </row>
    <row r="65" spans="2:15" ht="12" customHeight="1" x14ac:dyDescent="0.25">
      <c r="B65" s="6" t="s">
        <v>60</v>
      </c>
      <c r="C65" s="7">
        <v>4005</v>
      </c>
      <c r="D65" s="7">
        <v>4005</v>
      </c>
      <c r="E65" s="7">
        <v>4005</v>
      </c>
      <c r="F65" s="7">
        <v>4005</v>
      </c>
      <c r="G65" s="7">
        <v>4005</v>
      </c>
      <c r="H65" s="7">
        <v>4005</v>
      </c>
      <c r="I65" s="7">
        <v>4005</v>
      </c>
      <c r="J65" s="7">
        <v>4005</v>
      </c>
      <c r="K65" s="5"/>
      <c r="L65" s="5"/>
      <c r="M65" s="5"/>
      <c r="N65" s="5"/>
      <c r="O65" s="5"/>
    </row>
    <row r="66" spans="2:15" ht="12" customHeight="1" x14ac:dyDescent="0.25">
      <c r="B66" s="6" t="s">
        <v>61</v>
      </c>
      <c r="C66" s="7">
        <v>7922.6729999999998</v>
      </c>
      <c r="D66" s="7">
        <v>8696.8590000000004</v>
      </c>
      <c r="E66" s="7">
        <v>8949.9950000000008</v>
      </c>
      <c r="F66" s="7">
        <v>9945.2759999999998</v>
      </c>
      <c r="G66" s="7">
        <v>11672.638999999999</v>
      </c>
      <c r="H66" s="7">
        <v>16056.182000000001</v>
      </c>
      <c r="I66" s="7">
        <v>21127.78</v>
      </c>
      <c r="J66" s="7">
        <v>25172.81</v>
      </c>
      <c r="K66" s="5"/>
      <c r="L66" s="5"/>
      <c r="M66" s="5"/>
      <c r="N66" s="5"/>
      <c r="O66" s="5"/>
    </row>
    <row r="67" spans="2:15" ht="12" customHeight="1" x14ac:dyDescent="0.25">
      <c r="B67" s="6" t="s">
        <v>62</v>
      </c>
      <c r="C67" s="7"/>
      <c r="D67" s="7"/>
      <c r="E67" s="7"/>
      <c r="F67" s="7"/>
      <c r="G67" s="7"/>
      <c r="H67" s="7"/>
      <c r="I67" s="7"/>
      <c r="J67" s="7"/>
      <c r="K67" s="5"/>
      <c r="L67" s="5"/>
      <c r="M67" s="5"/>
      <c r="N67" s="5"/>
      <c r="O67" s="5"/>
    </row>
    <row r="68" spans="2:15" ht="12" customHeight="1" x14ac:dyDescent="0.25">
      <c r="B68" s="6"/>
      <c r="C68" s="7"/>
      <c r="D68" s="7"/>
      <c r="E68" s="7"/>
      <c r="F68" s="7"/>
      <c r="G68" s="7"/>
      <c r="H68" s="7"/>
      <c r="I68" s="7"/>
      <c r="J68" s="7"/>
      <c r="K68" s="5"/>
      <c r="L68" s="5"/>
      <c r="M68" s="5"/>
      <c r="N68" s="5"/>
      <c r="O68" s="5"/>
    </row>
    <row r="69" spans="2:15" ht="12" customHeight="1" x14ac:dyDescent="0.25">
      <c r="B69" s="6" t="s">
        <v>63</v>
      </c>
      <c r="C69" s="7"/>
      <c r="D69" s="7"/>
      <c r="E69" s="7"/>
      <c r="F69" s="7"/>
      <c r="G69" s="7"/>
      <c r="H69" s="7"/>
      <c r="I69" s="7"/>
      <c r="J69" s="7"/>
      <c r="K69" s="5"/>
      <c r="L69" s="5"/>
      <c r="M69" s="5"/>
      <c r="N69" s="5"/>
      <c r="O69" s="5"/>
    </row>
    <row r="70" spans="2:15" ht="12" customHeight="1" x14ac:dyDescent="0.25">
      <c r="B70" s="6"/>
      <c r="C70" s="7"/>
      <c r="D70" s="7"/>
      <c r="E70" s="7"/>
      <c r="F70" s="7"/>
      <c r="G70" s="7"/>
      <c r="H70" s="7"/>
      <c r="I70" s="7"/>
      <c r="J70" s="7"/>
      <c r="K70" s="5"/>
      <c r="L70" s="5"/>
      <c r="M70" s="5"/>
      <c r="N70" s="5"/>
      <c r="O70" s="5"/>
    </row>
    <row r="71" spans="2:15" ht="12" customHeight="1" x14ac:dyDescent="0.25">
      <c r="B71" s="6" t="s">
        <v>64</v>
      </c>
      <c r="C71" s="7">
        <v>11929.692999999999</v>
      </c>
      <c r="D71" s="7">
        <v>13646.648999999999</v>
      </c>
      <c r="E71" s="7">
        <v>13926.414000000001</v>
      </c>
      <c r="F71" s="7">
        <v>13041.565000000001</v>
      </c>
      <c r="G71" s="7">
        <v>15201.484</v>
      </c>
      <c r="H71" s="7">
        <v>13601.684999999999</v>
      </c>
      <c r="I71" s="7">
        <v>15020.308000000001</v>
      </c>
      <c r="J71" s="7">
        <v>2363.4899999999998</v>
      </c>
      <c r="K71" s="5"/>
      <c r="L71" s="5"/>
      <c r="M71" s="5"/>
      <c r="N71" s="5"/>
      <c r="O71" s="5"/>
    </row>
    <row r="72" spans="2:15" ht="12" customHeight="1" x14ac:dyDescent="0.25">
      <c r="B72" s="6" t="s">
        <v>65</v>
      </c>
      <c r="C72" s="7">
        <v>1865.6890000000001</v>
      </c>
      <c r="D72" s="7">
        <v>550</v>
      </c>
      <c r="E72" s="7">
        <v>1554.838</v>
      </c>
      <c r="F72" s="7">
        <v>1352.7629999999999</v>
      </c>
      <c r="G72" s="7">
        <v>1508.537</v>
      </c>
      <c r="H72" s="7">
        <v>1237.0519999999999</v>
      </c>
      <c r="I72" s="7">
        <v>0</v>
      </c>
      <c r="J72" s="7">
        <v>635.19000000000005</v>
      </c>
      <c r="K72" s="5"/>
      <c r="L72" s="5"/>
      <c r="M72" s="5"/>
      <c r="N72" s="5"/>
      <c r="O72" s="5"/>
    </row>
    <row r="73" spans="2:15" ht="12" customHeight="1" x14ac:dyDescent="0.25">
      <c r="B73" s="6" t="s">
        <v>66</v>
      </c>
      <c r="C73" s="122"/>
      <c r="D73" s="122"/>
      <c r="E73" s="122"/>
      <c r="F73" s="122"/>
      <c r="G73" s="7"/>
      <c r="H73" s="7"/>
      <c r="I73" s="7"/>
      <c r="J73" s="7"/>
      <c r="K73" s="5"/>
      <c r="L73" s="5"/>
      <c r="M73" s="5"/>
      <c r="N73" s="5"/>
      <c r="O73" s="5"/>
    </row>
    <row r="74" spans="2:15" ht="12" customHeight="1" x14ac:dyDescent="0.25">
      <c r="B74" s="27" t="s">
        <v>67</v>
      </c>
      <c r="C74" s="28">
        <f t="shared" ref="C74:I74" si="47">C71+C72+C73</f>
        <v>13795.382</v>
      </c>
      <c r="D74" s="28">
        <f t="shared" si="47"/>
        <v>14196.648999999999</v>
      </c>
      <c r="E74" s="28">
        <f t="shared" si="47"/>
        <v>15481.252</v>
      </c>
      <c r="F74" s="28">
        <f t="shared" si="47"/>
        <v>14394.328000000001</v>
      </c>
      <c r="G74" s="28">
        <f t="shared" si="47"/>
        <v>16710.021000000001</v>
      </c>
      <c r="H74" s="28">
        <f t="shared" si="47"/>
        <v>14838.736999999999</v>
      </c>
      <c r="I74" s="28">
        <f t="shared" si="47"/>
        <v>15020.308000000001</v>
      </c>
      <c r="J74" s="28">
        <f t="shared" ref="J74" si="48">J71+J72+J73</f>
        <v>2998.68</v>
      </c>
      <c r="K74" s="5"/>
      <c r="L74" s="5"/>
      <c r="M74" s="5"/>
      <c r="N74" s="5"/>
      <c r="O74" s="5"/>
    </row>
    <row r="75" spans="2:15" ht="12" customHeight="1" x14ac:dyDescent="0.25">
      <c r="B75" s="6" t="s">
        <v>68</v>
      </c>
      <c r="C75" s="7"/>
      <c r="D75" s="7"/>
      <c r="E75" s="7"/>
      <c r="F75" s="7"/>
      <c r="G75" s="7"/>
      <c r="H75" s="7"/>
      <c r="I75" s="7"/>
      <c r="J75" s="7"/>
      <c r="K75" s="5"/>
      <c r="L75" s="5"/>
      <c r="M75" s="5"/>
      <c r="N75" s="5"/>
      <c r="O75" s="5"/>
    </row>
    <row r="76" spans="2:15" ht="12" customHeight="1" x14ac:dyDescent="0.25">
      <c r="B76" s="6" t="s">
        <v>69</v>
      </c>
      <c r="C76" s="7"/>
      <c r="D76" s="7"/>
      <c r="E76" s="7"/>
      <c r="F76" s="7"/>
      <c r="G76" s="7"/>
      <c r="H76" s="7"/>
      <c r="I76" s="7"/>
      <c r="J76" s="7"/>
      <c r="K76" s="5"/>
      <c r="L76" s="5"/>
      <c r="M76" s="5"/>
      <c r="N76" s="5"/>
      <c r="O76" s="5"/>
    </row>
    <row r="77" spans="2:15" ht="12" customHeight="1" x14ac:dyDescent="0.25">
      <c r="B77" s="29" t="s">
        <v>70</v>
      </c>
      <c r="C77" s="30">
        <f t="shared" ref="C77:H77" si="49">C74+C75-C76</f>
        <v>13795.382</v>
      </c>
      <c r="D77" s="30">
        <f t="shared" si="49"/>
        <v>14196.648999999999</v>
      </c>
      <c r="E77" s="30">
        <f t="shared" si="49"/>
        <v>15481.252</v>
      </c>
      <c r="F77" s="30">
        <f t="shared" si="49"/>
        <v>14394.328000000001</v>
      </c>
      <c r="G77" s="30">
        <f t="shared" si="49"/>
        <v>16710.021000000001</v>
      </c>
      <c r="H77" s="30">
        <f t="shared" si="49"/>
        <v>14838.736999999999</v>
      </c>
      <c r="I77" s="30">
        <f>I74+I75-I76</f>
        <v>15020.308000000001</v>
      </c>
      <c r="J77" s="30">
        <f>J74+J75-J76</f>
        <v>2998.68</v>
      </c>
      <c r="K77" s="5"/>
      <c r="L77" s="5"/>
      <c r="M77" s="5"/>
      <c r="N77" s="5"/>
      <c r="O77" s="5"/>
    </row>
    <row r="78" spans="2:15" ht="12" customHeight="1" x14ac:dyDescent="0.25">
      <c r="B78" s="6" t="s">
        <v>71</v>
      </c>
      <c r="C78" s="7">
        <f t="shared" ref="C78:I78" si="50">C77</f>
        <v>13795.382</v>
      </c>
      <c r="D78" s="7">
        <f t="shared" si="50"/>
        <v>14196.648999999999</v>
      </c>
      <c r="E78" s="7">
        <f t="shared" si="50"/>
        <v>15481.252</v>
      </c>
      <c r="F78" s="7">
        <f t="shared" si="50"/>
        <v>14394.328000000001</v>
      </c>
      <c r="G78" s="7">
        <f t="shared" si="50"/>
        <v>16710.021000000001</v>
      </c>
      <c r="H78" s="7">
        <f t="shared" si="50"/>
        <v>14838.736999999999</v>
      </c>
      <c r="I78" s="7">
        <f t="shared" si="50"/>
        <v>15020.308000000001</v>
      </c>
      <c r="J78" s="7">
        <f t="shared" ref="J78" si="51">J77</f>
        <v>2998.68</v>
      </c>
      <c r="K78" s="5"/>
      <c r="L78" s="5"/>
      <c r="M78" s="5"/>
      <c r="N78" s="5"/>
      <c r="O78" s="5"/>
    </row>
    <row r="79" spans="2:15" ht="12" customHeight="1" x14ac:dyDescent="0.25">
      <c r="B79" s="6" t="s">
        <v>72</v>
      </c>
      <c r="C79" s="7">
        <v>722.61699999999996</v>
      </c>
      <c r="D79" s="7">
        <v>566.346</v>
      </c>
      <c r="E79" s="7">
        <v>260.95299999999997</v>
      </c>
      <c r="F79" s="7">
        <v>465.82600000000002</v>
      </c>
      <c r="G79" s="7">
        <v>1277.7370000000001</v>
      </c>
      <c r="H79" s="7">
        <v>764.06600000000003</v>
      </c>
      <c r="I79" s="7">
        <v>780.88499999999999</v>
      </c>
      <c r="J79" s="7">
        <v>672.31</v>
      </c>
      <c r="K79" s="5"/>
      <c r="L79" s="5"/>
      <c r="M79" s="5"/>
      <c r="N79" s="5"/>
      <c r="O79" s="5"/>
    </row>
    <row r="80" spans="2:15" ht="12" customHeight="1" x14ac:dyDescent="0.25">
      <c r="B80" s="6" t="s">
        <v>73</v>
      </c>
      <c r="C80" s="7">
        <f>1067.46+1532.337</f>
        <v>2599.797</v>
      </c>
      <c r="D80" s="7">
        <f>934.246+1455.58</f>
        <v>2389.826</v>
      </c>
      <c r="E80" s="7">
        <f>1492.661+729.209</f>
        <v>2221.87</v>
      </c>
      <c r="F80" s="7">
        <f>1558.691+733.154</f>
        <v>2291.8450000000003</v>
      </c>
      <c r="G80" s="7">
        <f>542.512+1249.96</f>
        <v>1792.472</v>
      </c>
      <c r="H80" s="7">
        <f>13.998+448.104+1141.594</f>
        <v>1603.6959999999999</v>
      </c>
      <c r="I80" s="7">
        <f>43.023+433.339+1032.866</f>
        <v>1509.2280000000001</v>
      </c>
      <c r="J80" s="7">
        <f>68.87+310.12+332.83</f>
        <v>711.81999999999994</v>
      </c>
      <c r="K80" s="5"/>
      <c r="L80" s="5"/>
      <c r="M80" s="5"/>
      <c r="N80" s="5"/>
      <c r="O80" s="5"/>
    </row>
    <row r="81" spans="2:15" ht="12" customHeight="1" x14ac:dyDescent="0.25">
      <c r="B81" s="6" t="s">
        <v>74</v>
      </c>
      <c r="C81" s="7">
        <v>6.53</v>
      </c>
      <c r="D81" s="7">
        <v>7.242</v>
      </c>
      <c r="E81" s="7">
        <v>8.1180000000000003</v>
      </c>
      <c r="F81" s="7">
        <v>9.5139999999999993</v>
      </c>
      <c r="G81" s="7">
        <v>10.601000000000001</v>
      </c>
      <c r="H81" s="7">
        <v>2.4580000000000002</v>
      </c>
      <c r="I81" s="7">
        <v>3.4169999999999998</v>
      </c>
      <c r="J81" s="7">
        <v>4.08</v>
      </c>
      <c r="K81" s="5"/>
      <c r="L81" s="5"/>
      <c r="M81" s="5"/>
      <c r="N81" s="5"/>
      <c r="O81" s="5"/>
    </row>
    <row r="82" spans="2:15" ht="12" customHeight="1" x14ac:dyDescent="0.25">
      <c r="B82" s="6"/>
      <c r="C82" s="7"/>
      <c r="D82" s="7"/>
      <c r="E82" s="7"/>
      <c r="F82" s="7"/>
      <c r="G82" s="7"/>
      <c r="H82" s="7"/>
      <c r="I82" s="7"/>
      <c r="J82" s="7"/>
      <c r="K82" s="5"/>
      <c r="L82" s="5"/>
      <c r="M82" s="5"/>
      <c r="N82" s="5"/>
      <c r="O82" s="5"/>
    </row>
    <row r="83" spans="2:15" ht="12" customHeight="1" x14ac:dyDescent="0.25">
      <c r="B83" s="9" t="s">
        <v>75</v>
      </c>
      <c r="C83" s="10">
        <f t="shared" ref="C83:I83" si="52">SUM(C65:C66)+C69+SUM(C78:C81)</f>
        <v>29051.998999999996</v>
      </c>
      <c r="D83" s="10">
        <f t="shared" si="52"/>
        <v>29861.921999999999</v>
      </c>
      <c r="E83" s="10">
        <f t="shared" si="52"/>
        <v>30927.188000000002</v>
      </c>
      <c r="F83" s="10">
        <f t="shared" si="52"/>
        <v>31111.789000000004</v>
      </c>
      <c r="G83" s="10">
        <f t="shared" si="52"/>
        <v>35468.47</v>
      </c>
      <c r="H83" s="10">
        <f t="shared" si="52"/>
        <v>37270.138999999996</v>
      </c>
      <c r="I83" s="10">
        <f t="shared" si="52"/>
        <v>42446.618000000002</v>
      </c>
      <c r="J83" s="10">
        <f t="shared" ref="J83" si="53">SUM(J65:J66)+J69+SUM(J78:J81)</f>
        <v>33564.699999999997</v>
      </c>
      <c r="K83" s="5"/>
      <c r="L83" s="5"/>
      <c r="M83" s="5"/>
      <c r="N83" s="5"/>
      <c r="O83" s="5"/>
    </row>
    <row r="84" spans="2:15" ht="12" customHeight="1" x14ac:dyDescent="0.25">
      <c r="B84" s="6"/>
      <c r="C84" s="7"/>
      <c r="D84" s="7"/>
      <c r="E84" s="7"/>
      <c r="F84" s="7"/>
      <c r="G84" s="7"/>
      <c r="H84" s="7"/>
      <c r="I84" s="7"/>
      <c r="J84" s="7"/>
      <c r="K84" s="5"/>
      <c r="L84" s="5"/>
      <c r="M84" s="5"/>
      <c r="N84" s="5"/>
      <c r="O84" s="5"/>
    </row>
    <row r="85" spans="2:15" ht="12" customHeight="1" x14ac:dyDescent="0.25">
      <c r="B85" s="6" t="s">
        <v>76</v>
      </c>
      <c r="C85" s="7"/>
      <c r="D85" s="7"/>
      <c r="E85" s="7"/>
      <c r="F85" s="7"/>
      <c r="G85" s="7"/>
      <c r="H85" s="7"/>
      <c r="I85" s="7"/>
      <c r="J85" s="7"/>
      <c r="K85" s="5"/>
      <c r="L85" s="5"/>
      <c r="M85" s="5"/>
      <c r="N85" s="5"/>
      <c r="O85" s="5"/>
    </row>
    <row r="86" spans="2:15" ht="12" customHeight="1" x14ac:dyDescent="0.25">
      <c r="B86" s="6" t="s">
        <v>77</v>
      </c>
      <c r="C86" s="7"/>
      <c r="D86" s="7"/>
      <c r="E86" s="7"/>
      <c r="F86" s="7"/>
      <c r="G86" s="7"/>
      <c r="H86" s="7"/>
      <c r="I86" s="7"/>
      <c r="J86" s="7"/>
      <c r="K86" s="5"/>
      <c r="L86" s="5"/>
      <c r="M86" s="5"/>
      <c r="N86" s="5"/>
      <c r="O86" s="5"/>
    </row>
    <row r="87" spans="2:15" ht="12" customHeight="1" x14ac:dyDescent="0.25">
      <c r="B87" s="6" t="s">
        <v>78</v>
      </c>
      <c r="C87" s="7"/>
      <c r="D87" s="7"/>
      <c r="E87" s="7"/>
      <c r="F87" s="7"/>
      <c r="G87" s="7"/>
      <c r="H87" s="7"/>
      <c r="I87" s="7"/>
      <c r="J87" s="7"/>
      <c r="K87" s="5"/>
      <c r="L87" s="5"/>
      <c r="M87" s="5"/>
      <c r="N87" s="5"/>
      <c r="O87" s="5"/>
    </row>
    <row r="88" spans="2:15" ht="12" customHeight="1" x14ac:dyDescent="0.25">
      <c r="B88" s="6" t="s">
        <v>79</v>
      </c>
      <c r="C88" s="7"/>
      <c r="D88" s="7"/>
      <c r="E88" s="7"/>
      <c r="F88" s="7"/>
      <c r="G88" s="7"/>
      <c r="H88" s="7"/>
      <c r="I88" s="7"/>
      <c r="J88" s="7"/>
      <c r="K88" s="5"/>
      <c r="L88" s="5"/>
      <c r="M88" s="5"/>
      <c r="N88" s="5"/>
      <c r="O88" s="5"/>
    </row>
    <row r="89" spans="2:15" ht="12" customHeight="1" x14ac:dyDescent="0.25">
      <c r="B89" s="6" t="s">
        <v>80</v>
      </c>
      <c r="C89" s="7">
        <f>23831.357</f>
        <v>23831.357</v>
      </c>
      <c r="D89" s="7">
        <v>25104.041000000001</v>
      </c>
      <c r="E89" s="7">
        <f>23933.187+1336.538</f>
        <v>25269.725000000002</v>
      </c>
      <c r="F89" s="7">
        <f>24147.317+1332.958</f>
        <v>25480.274999999998</v>
      </c>
      <c r="G89" s="7">
        <f>24756.022+1309.167</f>
        <v>26065.189000000002</v>
      </c>
      <c r="H89" s="7">
        <f>23845.488+1269.406</f>
        <v>25114.894</v>
      </c>
      <c r="I89" s="7">
        <f>22611.213+1313.552</f>
        <v>23924.764999999999</v>
      </c>
      <c r="J89" s="7">
        <f>22115.04+1278.99</f>
        <v>23394.030000000002</v>
      </c>
      <c r="K89" s="5"/>
      <c r="L89" s="5"/>
      <c r="M89" s="5"/>
      <c r="N89" s="5"/>
      <c r="O89" s="5"/>
    </row>
    <row r="90" spans="2:15" ht="12" customHeight="1" x14ac:dyDescent="0.25">
      <c r="B90" s="6" t="s">
        <v>81</v>
      </c>
      <c r="C90" s="7">
        <v>2231.9789999999998</v>
      </c>
      <c r="D90" s="7">
        <v>720.245</v>
      </c>
      <c r="E90" s="7">
        <v>1942.7</v>
      </c>
      <c r="F90" s="7">
        <v>1678.66</v>
      </c>
      <c r="G90" s="7">
        <v>251.489</v>
      </c>
      <c r="H90" s="7">
        <v>84.021000000000001</v>
      </c>
      <c r="I90" s="7">
        <v>656.03499999999997</v>
      </c>
      <c r="J90" s="7">
        <v>1821.63</v>
      </c>
      <c r="K90" s="5"/>
      <c r="L90" s="5"/>
      <c r="M90" s="5"/>
      <c r="N90" s="5"/>
      <c r="O90" s="5"/>
    </row>
    <row r="91" spans="2:15" ht="12" customHeight="1" x14ac:dyDescent="0.25">
      <c r="B91" s="6"/>
      <c r="C91" s="7"/>
      <c r="D91" s="7"/>
      <c r="E91" s="7"/>
      <c r="F91" s="7"/>
      <c r="G91" s="7"/>
      <c r="H91" s="7"/>
      <c r="I91" s="7"/>
      <c r="J91" s="7"/>
      <c r="K91" s="5"/>
      <c r="L91" s="5"/>
      <c r="M91" s="5"/>
      <c r="N91" s="5"/>
      <c r="O91" s="5"/>
    </row>
    <row r="92" spans="2:15" ht="12" customHeight="1" x14ac:dyDescent="0.25">
      <c r="B92" s="6" t="s">
        <v>82</v>
      </c>
      <c r="C92" s="7"/>
      <c r="D92" s="7"/>
      <c r="E92" s="7"/>
      <c r="F92" s="7"/>
      <c r="G92" s="7"/>
      <c r="H92" s="7"/>
      <c r="I92" s="7"/>
      <c r="J92" s="7"/>
      <c r="K92" s="5"/>
      <c r="L92" s="5"/>
      <c r="M92" s="5"/>
      <c r="N92" s="5"/>
      <c r="O92" s="5"/>
    </row>
    <row r="93" spans="2:15" ht="12" customHeight="1" x14ac:dyDescent="0.25">
      <c r="B93" s="6" t="s">
        <v>83</v>
      </c>
      <c r="C93" s="7">
        <v>5.9509999999999996</v>
      </c>
      <c r="D93" s="7">
        <v>6.4379999999999997</v>
      </c>
      <c r="E93" s="7">
        <v>6.9870000000000001</v>
      </c>
      <c r="F93" s="7">
        <v>3.645</v>
      </c>
      <c r="G93" s="7">
        <v>8.3179999999999996</v>
      </c>
      <c r="H93" s="7">
        <v>3.1379999999999999</v>
      </c>
      <c r="I93" s="7">
        <v>3.9359999999999999</v>
      </c>
      <c r="J93" s="7">
        <v>3.47</v>
      </c>
      <c r="K93" s="5"/>
      <c r="L93" s="5"/>
      <c r="M93" s="5"/>
      <c r="N93" s="5"/>
      <c r="O93" s="5"/>
    </row>
    <row r="94" spans="2:15" ht="12" customHeight="1" x14ac:dyDescent="0.25">
      <c r="B94" s="6" t="s">
        <v>84</v>
      </c>
      <c r="C94" s="7">
        <v>7.3159999999999998</v>
      </c>
      <c r="D94" s="7">
        <v>8.4670000000000005</v>
      </c>
      <c r="E94" s="7">
        <v>5.1070000000000002</v>
      </c>
      <c r="F94" s="7">
        <v>5.407</v>
      </c>
      <c r="G94" s="7">
        <v>2.536</v>
      </c>
      <c r="H94" s="7">
        <v>1.806</v>
      </c>
      <c r="I94" s="7">
        <v>0.14099999999999999</v>
      </c>
      <c r="J94" s="7">
        <v>13.21</v>
      </c>
      <c r="K94" s="5"/>
      <c r="L94" s="5"/>
      <c r="M94" s="5"/>
      <c r="N94" s="5"/>
      <c r="O94" s="5"/>
    </row>
    <row r="95" spans="2:15" ht="12" customHeight="1" x14ac:dyDescent="0.25">
      <c r="B95" s="6"/>
      <c r="C95" s="7"/>
      <c r="D95" s="7"/>
      <c r="E95" s="7"/>
      <c r="F95" s="7"/>
      <c r="G95" s="7"/>
      <c r="H95" s="7"/>
      <c r="I95" s="7"/>
      <c r="J95" s="7"/>
      <c r="K95" s="5"/>
      <c r="L95" s="5"/>
      <c r="M95" s="5"/>
      <c r="N95" s="5"/>
      <c r="O95" s="5"/>
    </row>
    <row r="96" spans="2:15" ht="12" customHeight="1" x14ac:dyDescent="0.25">
      <c r="B96" s="6" t="s">
        <v>85</v>
      </c>
      <c r="C96" s="7">
        <f>630</f>
        <v>630</v>
      </c>
      <c r="D96" s="7">
        <v>630</v>
      </c>
      <c r="E96" s="7">
        <v>630</v>
      </c>
      <c r="F96" s="7">
        <f>570.87</f>
        <v>570.87</v>
      </c>
      <c r="G96" s="7">
        <f>570.87+2597.1</f>
        <v>3167.97</v>
      </c>
      <c r="H96" s="7">
        <f>570.87+1597.936</f>
        <v>2168.806</v>
      </c>
      <c r="I96" s="7">
        <f>799.88+1856.985</f>
        <v>2656.8649999999998</v>
      </c>
      <c r="J96" s="7">
        <f>799.88+1947.2</f>
        <v>2747.08</v>
      </c>
      <c r="K96" s="5"/>
      <c r="L96" s="5"/>
      <c r="M96" s="5"/>
      <c r="N96" s="5"/>
      <c r="O96" s="5"/>
    </row>
    <row r="97" spans="2:15" ht="12" customHeight="1" x14ac:dyDescent="0.25">
      <c r="B97" s="6" t="s">
        <v>86</v>
      </c>
      <c r="C97" s="7"/>
      <c r="D97" s="7"/>
      <c r="E97" s="7"/>
      <c r="F97" s="7"/>
      <c r="G97" s="7"/>
      <c r="H97" s="7"/>
      <c r="I97" s="7"/>
      <c r="J97" s="7"/>
      <c r="K97" s="5"/>
      <c r="L97" s="5"/>
      <c r="M97" s="5"/>
      <c r="N97" s="5"/>
      <c r="O97" s="5"/>
    </row>
    <row r="98" spans="2:15" ht="12" customHeight="1" x14ac:dyDescent="0.25">
      <c r="B98" s="6" t="s">
        <v>87</v>
      </c>
      <c r="C98" s="7"/>
      <c r="D98" s="7"/>
      <c r="E98" s="7"/>
      <c r="F98" s="7"/>
      <c r="G98" s="7"/>
      <c r="H98" s="7"/>
      <c r="I98" s="7"/>
      <c r="J98" s="7"/>
      <c r="K98" s="5"/>
      <c r="L98" s="5"/>
      <c r="M98" s="5"/>
      <c r="N98" s="5"/>
      <c r="O98" s="5"/>
    </row>
    <row r="99" spans="2:15" ht="12" customHeight="1" x14ac:dyDescent="0.25">
      <c r="B99" s="6" t="s">
        <v>88</v>
      </c>
      <c r="C99" s="7">
        <f>1485.304+790.282</f>
        <v>2275.5860000000002</v>
      </c>
      <c r="D99" s="7">
        <f>1402.849+751.736</f>
        <v>2154.585</v>
      </c>
      <c r="E99" s="7">
        <f>1233.561+159.503</f>
        <v>1393.0639999999999</v>
      </c>
      <c r="F99" s="7">
        <f>1310.553+151.762</f>
        <v>1462.3150000000001</v>
      </c>
      <c r="G99" s="7">
        <f>1370.213+143.669+49.851</f>
        <v>1563.7330000000002</v>
      </c>
      <c r="H99" s="7">
        <f>1970.344+46.417+96.585</f>
        <v>2113.346</v>
      </c>
      <c r="I99" s="7">
        <f>1064.992+169.039+177.438</f>
        <v>1411.4690000000001</v>
      </c>
      <c r="J99" s="7">
        <f>219.28+212.61+914.04</f>
        <v>1345.9299999999998</v>
      </c>
      <c r="K99" s="5"/>
      <c r="L99" s="5"/>
      <c r="M99" s="5"/>
      <c r="N99" s="5"/>
      <c r="O99" s="5"/>
    </row>
    <row r="100" spans="2:15" ht="12" customHeight="1" x14ac:dyDescent="0.25">
      <c r="B100" s="6"/>
      <c r="C100" s="7"/>
      <c r="D100" s="7"/>
      <c r="E100" s="7"/>
      <c r="F100" s="7"/>
      <c r="G100" s="7"/>
      <c r="H100" s="7"/>
      <c r="I100" s="7"/>
      <c r="J100" s="7"/>
      <c r="K100" s="5"/>
      <c r="L100" s="5"/>
      <c r="M100" s="5"/>
      <c r="N100" s="5"/>
      <c r="O100" s="5"/>
    </row>
    <row r="101" spans="2:15" ht="12" customHeight="1" x14ac:dyDescent="0.25">
      <c r="B101" s="9" t="s">
        <v>377</v>
      </c>
      <c r="C101" s="10"/>
      <c r="D101" s="10"/>
      <c r="E101" s="10"/>
      <c r="F101" s="10"/>
      <c r="G101" s="10"/>
      <c r="H101" s="10"/>
      <c r="I101" s="10"/>
      <c r="J101" s="10"/>
      <c r="K101" s="5"/>
      <c r="L101" s="5"/>
      <c r="M101" s="5"/>
      <c r="N101" s="5"/>
      <c r="O101" s="5"/>
    </row>
    <row r="102" spans="2:15" ht="12" customHeight="1" x14ac:dyDescent="0.25">
      <c r="B102" s="6" t="s">
        <v>89</v>
      </c>
      <c r="C102" s="7"/>
      <c r="D102" s="7">
        <v>481.98</v>
      </c>
      <c r="E102" s="7"/>
      <c r="F102" s="7"/>
      <c r="G102" s="7"/>
      <c r="H102" s="7">
        <f>636.662</f>
        <v>636.66200000000003</v>
      </c>
      <c r="I102" s="7">
        <v>110.04600000000001</v>
      </c>
      <c r="J102" s="7">
        <v>0</v>
      </c>
      <c r="K102" s="5"/>
      <c r="L102" s="5"/>
      <c r="M102" s="5"/>
      <c r="N102" s="5"/>
      <c r="O102" s="5"/>
    </row>
    <row r="103" spans="2:15" ht="12" customHeight="1" x14ac:dyDescent="0.25">
      <c r="B103" s="6" t="s">
        <v>90</v>
      </c>
      <c r="C103" s="7">
        <v>330.262</v>
      </c>
      <c r="D103" s="7">
        <v>348.59300000000002</v>
      </c>
      <c r="E103" s="7">
        <v>929.93799999999999</v>
      </c>
      <c r="F103" s="7">
        <v>551.56700000000001</v>
      </c>
      <c r="G103" s="7">
        <v>336.94299999999998</v>
      </c>
      <c r="H103" s="7">
        <v>339.274</v>
      </c>
      <c r="I103" s="7">
        <v>371.59699999999998</v>
      </c>
      <c r="J103" s="7">
        <v>403.96</v>
      </c>
      <c r="K103" s="5"/>
      <c r="L103" s="5"/>
      <c r="M103" s="5"/>
      <c r="N103" s="5"/>
      <c r="O103" s="5"/>
    </row>
    <row r="104" spans="2:15" ht="12" customHeight="1" x14ac:dyDescent="0.25">
      <c r="B104" s="6" t="s">
        <v>91</v>
      </c>
      <c r="C104" s="7">
        <v>1705.855</v>
      </c>
      <c r="D104" s="7">
        <v>1688.346</v>
      </c>
      <c r="E104" s="7">
        <v>2700.665</v>
      </c>
      <c r="F104" s="7">
        <v>2209.4209999999998</v>
      </c>
      <c r="G104" s="7">
        <v>3644.8809999999999</v>
      </c>
      <c r="H104" s="7">
        <v>2251.2800000000002</v>
      </c>
      <c r="I104" s="7">
        <v>3321.2840000000001</v>
      </c>
      <c r="J104" s="7">
        <v>3898.28</v>
      </c>
      <c r="K104" s="5"/>
      <c r="L104" s="5"/>
      <c r="M104" s="5"/>
      <c r="N104" s="5"/>
      <c r="O104" s="5"/>
    </row>
    <row r="105" spans="2:15" ht="12" customHeight="1" x14ac:dyDescent="0.25">
      <c r="B105" s="6" t="s">
        <v>92</v>
      </c>
      <c r="C105" s="7">
        <v>226.684</v>
      </c>
      <c r="D105" s="7">
        <v>133.875</v>
      </c>
      <c r="E105" s="7">
        <f>203.419+19.496</f>
        <v>222.91500000000002</v>
      </c>
      <c r="F105" s="7">
        <f>276.47+614.295</f>
        <v>890.76499999999999</v>
      </c>
      <c r="G105" s="7">
        <f>1004.381+974.474</f>
        <v>1978.855</v>
      </c>
      <c r="H105" s="7">
        <f>1985.991+3775.851</f>
        <v>5761.8420000000006</v>
      </c>
      <c r="I105" s="7">
        <f>1800.169+7694.459</f>
        <v>9494.6280000000006</v>
      </c>
      <c r="J105" s="7">
        <f>687.38+32.17</f>
        <v>719.55</v>
      </c>
      <c r="K105" s="5"/>
      <c r="L105" s="5"/>
      <c r="M105" s="5"/>
      <c r="N105" s="5"/>
      <c r="O105" s="5"/>
    </row>
    <row r="106" spans="2:15" ht="12" customHeight="1" x14ac:dyDescent="0.25">
      <c r="B106" s="6" t="s">
        <v>93</v>
      </c>
      <c r="C106" s="7">
        <v>6.7720000000000002</v>
      </c>
      <c r="D106" s="7">
        <v>106.16</v>
      </c>
      <c r="E106" s="7">
        <v>90.727000000000004</v>
      </c>
      <c r="F106" s="7">
        <v>70.656999999999996</v>
      </c>
      <c r="G106" s="7">
        <v>75.022000000000006</v>
      </c>
      <c r="H106" s="7">
        <v>81.158000000000001</v>
      </c>
      <c r="I106" s="7">
        <v>0</v>
      </c>
      <c r="J106" s="7"/>
      <c r="K106" s="5"/>
      <c r="L106" s="5"/>
      <c r="M106" s="5"/>
      <c r="N106" s="5"/>
      <c r="O106" s="5"/>
    </row>
    <row r="107" spans="2:15" ht="12" customHeight="1" x14ac:dyDescent="0.25">
      <c r="B107" s="6" t="s">
        <v>94</v>
      </c>
      <c r="C107" s="7">
        <f>128.408+185.367+1464.523</f>
        <v>1778.2979999999998</v>
      </c>
      <c r="D107" s="7">
        <f>137.234+626.839+ 65.335</f>
        <v>829.40800000000013</v>
      </c>
      <c r="E107" s="7">
        <f>102.517+1071.947</f>
        <v>1174.4639999999999</v>
      </c>
      <c r="F107" s="7">
        <f>125.03+912.973</f>
        <v>1038.0029999999999</v>
      </c>
      <c r="G107" s="7">
        <f>200.686+295.867</f>
        <v>496.553</v>
      </c>
      <c r="H107" s="7">
        <f>171.503+197.629</f>
        <v>369.13199999999995</v>
      </c>
      <c r="I107" s="7">
        <f>1436.718+199.149</f>
        <v>1635.8670000000002</v>
      </c>
      <c r="J107" s="7">
        <f>10.29+286.38</f>
        <v>296.67</v>
      </c>
      <c r="K107" s="5"/>
      <c r="L107" s="5"/>
      <c r="M107" s="5"/>
      <c r="N107" s="5"/>
      <c r="O107" s="5"/>
    </row>
    <row r="108" spans="2:15" ht="12" customHeight="1" x14ac:dyDescent="0.25">
      <c r="B108" s="9" t="s">
        <v>95</v>
      </c>
      <c r="C108" s="10">
        <f t="shared" ref="C108:I108" si="54">SUM(C102:C107)</f>
        <v>4047.8709999999996</v>
      </c>
      <c r="D108" s="10">
        <f t="shared" si="54"/>
        <v>3588.3620000000001</v>
      </c>
      <c r="E108" s="10">
        <f t="shared" si="54"/>
        <v>5118.7089999999998</v>
      </c>
      <c r="F108" s="10">
        <f t="shared" si="54"/>
        <v>4760.4129999999996</v>
      </c>
      <c r="G108" s="10">
        <f t="shared" si="54"/>
        <v>6532.2539999999999</v>
      </c>
      <c r="H108" s="10">
        <f t="shared" si="54"/>
        <v>9439.348</v>
      </c>
      <c r="I108" s="10">
        <f t="shared" si="54"/>
        <v>14933.422</v>
      </c>
      <c r="J108" s="10">
        <f t="shared" ref="J108" si="55">SUM(J102:J107)</f>
        <v>5318.46</v>
      </c>
      <c r="K108" s="5"/>
      <c r="L108" s="5"/>
      <c r="M108" s="5"/>
      <c r="N108" s="5"/>
      <c r="O108" s="5"/>
    </row>
    <row r="109" spans="2:15" ht="12" customHeight="1" x14ac:dyDescent="0.25">
      <c r="B109" s="6"/>
      <c r="C109" s="7"/>
      <c r="D109" s="7"/>
      <c r="E109" s="7"/>
      <c r="F109" s="7"/>
      <c r="G109" s="7"/>
      <c r="H109" s="7"/>
      <c r="I109" s="7"/>
      <c r="J109" s="7"/>
      <c r="K109" s="5"/>
      <c r="L109" s="5"/>
      <c r="M109" s="5"/>
      <c r="N109" s="5"/>
      <c r="O109" s="5"/>
    </row>
    <row r="110" spans="2:15" ht="12" customHeight="1" x14ac:dyDescent="0.25">
      <c r="B110" s="6" t="s">
        <v>96</v>
      </c>
      <c r="C110" s="7">
        <f>2.25+1027.482</f>
        <v>1029.732</v>
      </c>
      <c r="D110" s="7">
        <f>3.411+314.694</f>
        <v>318.10500000000002</v>
      </c>
      <c r="E110" s="7">
        <f>2.08+1147.969</f>
        <v>1150.049</v>
      </c>
      <c r="F110" s="7">
        <f>9.51+895.333</f>
        <v>904.84299999999996</v>
      </c>
      <c r="G110" s="7">
        <f>23.154+601.527</f>
        <v>624.68100000000004</v>
      </c>
      <c r="H110" s="7">
        <f>76.934+707.031</f>
        <v>783.96499999999992</v>
      </c>
      <c r="I110" s="7">
        <f>125.007+439.228</f>
        <v>564.23500000000001</v>
      </c>
      <c r="J110" s="7">
        <f>141.02+317.03</f>
        <v>458.04999999999995</v>
      </c>
      <c r="K110" s="5"/>
      <c r="L110" s="5"/>
      <c r="M110" s="5"/>
      <c r="N110" s="5"/>
      <c r="O110" s="5"/>
    </row>
    <row r="111" spans="2:15" ht="12" customHeight="1" x14ac:dyDescent="0.25">
      <c r="B111" s="6" t="s">
        <v>97</v>
      </c>
      <c r="C111" s="7">
        <f>2864.191+83.48</f>
        <v>2947.6709999999998</v>
      </c>
      <c r="D111" s="7">
        <f>1936.552+94.763</f>
        <v>2031.3149999999998</v>
      </c>
      <c r="E111" s="7">
        <f>2021.312+74.033+192.988</f>
        <v>2288.3329999999996</v>
      </c>
      <c r="F111" s="7">
        <f>1540.748+265.841+137.045</f>
        <v>1943.634</v>
      </c>
      <c r="G111" s="7">
        <f>0.394+982.753+461.798+52.442</f>
        <v>1497.3870000000002</v>
      </c>
      <c r="H111" s="7">
        <f>0.068+560.039+305.868</f>
        <v>865.97499999999991</v>
      </c>
      <c r="I111" s="7">
        <f>52.599+317.461+197.659</f>
        <v>567.71900000000005</v>
      </c>
      <c r="J111" s="7">
        <f>42.32+292.2+274.59</f>
        <v>609.1099999999999</v>
      </c>
      <c r="K111" s="5"/>
      <c r="L111" s="5"/>
      <c r="M111" s="5"/>
      <c r="N111" s="5"/>
      <c r="O111" s="5"/>
    </row>
    <row r="112" spans="2:15" ht="12" customHeight="1" x14ac:dyDescent="0.25">
      <c r="B112" s="6" t="s">
        <v>98</v>
      </c>
      <c r="C112" s="7">
        <v>0.65800000000000003</v>
      </c>
      <c r="D112" s="7">
        <v>0.79600000000000004</v>
      </c>
      <c r="E112" s="7">
        <v>0.72199999999999998</v>
      </c>
      <c r="F112" s="7">
        <v>1.319</v>
      </c>
      <c r="G112" s="7">
        <v>0.95199999999999996</v>
      </c>
      <c r="H112" s="7">
        <v>5.28</v>
      </c>
      <c r="I112" s="7">
        <v>8.0609999999999999</v>
      </c>
      <c r="J112" s="7">
        <v>11.93</v>
      </c>
      <c r="K112" s="5"/>
      <c r="L112" s="5"/>
      <c r="M112" s="5"/>
      <c r="N112" s="5"/>
      <c r="O112" s="5"/>
    </row>
    <row r="113" spans="2:15" ht="12" customHeight="1" x14ac:dyDescent="0.25">
      <c r="B113" s="9" t="s">
        <v>99</v>
      </c>
      <c r="C113" s="10">
        <f t="shared" ref="C113:I113" si="56">SUM(C110:C112)</f>
        <v>3978.0609999999997</v>
      </c>
      <c r="D113" s="10">
        <f t="shared" si="56"/>
        <v>2350.2159999999999</v>
      </c>
      <c r="E113" s="10">
        <f t="shared" si="56"/>
        <v>3439.1039999999998</v>
      </c>
      <c r="F113" s="10">
        <f t="shared" si="56"/>
        <v>2849.7959999999998</v>
      </c>
      <c r="G113" s="10">
        <f t="shared" si="56"/>
        <v>2123.0200000000004</v>
      </c>
      <c r="H113" s="10">
        <f t="shared" si="56"/>
        <v>1655.2199999999998</v>
      </c>
      <c r="I113" s="10">
        <f t="shared" si="56"/>
        <v>1140.0150000000001</v>
      </c>
      <c r="J113" s="10">
        <f t="shared" ref="J113" si="57">SUM(J110:J112)</f>
        <v>1079.0899999999999</v>
      </c>
      <c r="K113" s="5"/>
      <c r="L113" s="5"/>
      <c r="M113" s="5"/>
      <c r="N113" s="5"/>
      <c r="O113" s="5"/>
    </row>
    <row r="114" spans="2:15" ht="12" customHeight="1" x14ac:dyDescent="0.25">
      <c r="B114" s="6"/>
      <c r="C114" s="7"/>
      <c r="D114" s="7"/>
      <c r="E114" s="7"/>
      <c r="F114" s="7"/>
      <c r="G114" s="7"/>
      <c r="H114" s="7"/>
      <c r="I114" s="7"/>
      <c r="J114" s="7"/>
      <c r="K114" s="5"/>
      <c r="L114" s="5"/>
      <c r="M114" s="5"/>
      <c r="N114" s="5"/>
      <c r="O114" s="5"/>
    </row>
    <row r="115" spans="2:15" ht="12" customHeight="1" x14ac:dyDescent="0.25">
      <c r="B115" s="6" t="s">
        <v>100</v>
      </c>
      <c r="C115" s="7">
        <f t="shared" ref="C115:H115" si="58">C108-C113</f>
        <v>69.809999999999945</v>
      </c>
      <c r="D115" s="7">
        <f t="shared" si="58"/>
        <v>1238.1460000000002</v>
      </c>
      <c r="E115" s="7">
        <f t="shared" si="58"/>
        <v>1679.605</v>
      </c>
      <c r="F115" s="7">
        <f t="shared" si="58"/>
        <v>1910.6169999999997</v>
      </c>
      <c r="G115" s="7">
        <f t="shared" si="58"/>
        <v>4409.2339999999995</v>
      </c>
      <c r="H115" s="7">
        <f t="shared" si="58"/>
        <v>7784.1280000000006</v>
      </c>
      <c r="I115" s="7">
        <f>I108-I113</f>
        <v>13793.407000000001</v>
      </c>
      <c r="J115" s="7">
        <f>J108-J113</f>
        <v>4239.37</v>
      </c>
      <c r="K115" s="5"/>
      <c r="L115" s="5"/>
      <c r="M115" s="5"/>
      <c r="N115" s="5"/>
      <c r="O115" s="5"/>
    </row>
    <row r="116" spans="2:15" ht="12" customHeight="1" x14ac:dyDescent="0.25">
      <c r="B116" s="6"/>
      <c r="C116" s="7"/>
      <c r="D116" s="7"/>
      <c r="E116" s="7"/>
      <c r="F116" s="7"/>
      <c r="G116" s="7"/>
      <c r="H116" s="7"/>
      <c r="I116" s="7"/>
      <c r="J116" s="7"/>
      <c r="K116" s="5"/>
      <c r="L116" s="5"/>
      <c r="M116" s="5"/>
      <c r="N116" s="5"/>
      <c r="O116" s="5"/>
    </row>
    <row r="117" spans="2:15" ht="12" customHeight="1" x14ac:dyDescent="0.25">
      <c r="B117" s="9" t="s">
        <v>101</v>
      </c>
      <c r="C117" s="10">
        <f t="shared" ref="C117:I117" si="59">SUM(C89:C94)+SUM(C96:C99)+C115</f>
        <v>29051.999</v>
      </c>
      <c r="D117" s="10">
        <f t="shared" si="59"/>
        <v>29861.921999999999</v>
      </c>
      <c r="E117" s="10">
        <f t="shared" si="59"/>
        <v>30927.188000000002</v>
      </c>
      <c r="F117" s="10">
        <f t="shared" si="59"/>
        <v>31111.788999999997</v>
      </c>
      <c r="G117" s="10">
        <f t="shared" si="59"/>
        <v>35468.468999999997</v>
      </c>
      <c r="H117" s="10">
        <f t="shared" si="59"/>
        <v>37270.138999999996</v>
      </c>
      <c r="I117" s="10">
        <f t="shared" si="59"/>
        <v>42446.618000000002</v>
      </c>
      <c r="J117" s="10">
        <f t="shared" ref="J117" si="60">SUM(J89:J94)+SUM(J96:J99)+J115</f>
        <v>33564.720000000001</v>
      </c>
      <c r="K117" s="5"/>
      <c r="L117" s="5"/>
      <c r="M117" s="5"/>
      <c r="N117" s="5"/>
      <c r="O117" s="5"/>
    </row>
    <row r="118" spans="2:15" ht="12" customHeight="1" x14ac:dyDescent="0.25">
      <c r="B118" s="31"/>
      <c r="C118" s="162">
        <f t="shared" ref="C118:I118" si="61">C83-C117</f>
        <v>0</v>
      </c>
      <c r="D118" s="162">
        <f t="shared" si="61"/>
        <v>0</v>
      </c>
      <c r="E118" s="162">
        <f t="shared" si="61"/>
        <v>0</v>
      </c>
      <c r="F118" s="162">
        <f t="shared" si="61"/>
        <v>0</v>
      </c>
      <c r="G118" s="162">
        <f t="shared" si="61"/>
        <v>1.0000000038417056E-3</v>
      </c>
      <c r="H118" s="162">
        <f t="shared" si="61"/>
        <v>0</v>
      </c>
      <c r="I118" s="162">
        <f t="shared" si="61"/>
        <v>0</v>
      </c>
      <c r="J118" s="162">
        <f t="shared" ref="J118" si="62">J83-J117</f>
        <v>-2.0000000004074536E-2</v>
      </c>
      <c r="K118" s="5"/>
      <c r="L118" s="5"/>
      <c r="M118" s="5"/>
      <c r="N118" s="5"/>
      <c r="O118" s="5"/>
    </row>
    <row r="119" spans="2:15" ht="12" customHeight="1" x14ac:dyDescent="0.25">
      <c r="B119" s="33"/>
      <c r="C119" s="34"/>
      <c r="D119" s="34"/>
      <c r="E119" s="34"/>
      <c r="F119" s="34"/>
      <c r="G119" s="34"/>
      <c r="H119" s="34"/>
      <c r="I119" s="34"/>
      <c r="K119" s="5"/>
      <c r="L119" s="5"/>
      <c r="M119" s="5"/>
      <c r="N119" s="5"/>
      <c r="O119" s="5"/>
    </row>
    <row r="120" spans="2:15" ht="12" customHeight="1" x14ac:dyDescent="0.25">
      <c r="B120" s="3" t="s">
        <v>102</v>
      </c>
      <c r="C120" s="4" t="s">
        <v>22</v>
      </c>
      <c r="D120" s="4" t="s">
        <v>23</v>
      </c>
      <c r="E120" s="4" t="s">
        <v>24</v>
      </c>
      <c r="F120" s="4" t="s">
        <v>25</v>
      </c>
      <c r="G120" s="4" t="s">
        <v>26</v>
      </c>
      <c r="H120" s="4" t="s">
        <v>27</v>
      </c>
      <c r="I120" s="4" t="s">
        <v>273</v>
      </c>
      <c r="J120" s="4" t="s">
        <v>347</v>
      </c>
      <c r="K120" s="5"/>
      <c r="L120" s="5"/>
      <c r="M120" s="5"/>
      <c r="N120" s="5"/>
      <c r="O120" s="5"/>
    </row>
    <row r="121" spans="2:15" ht="12" customHeight="1" x14ac:dyDescent="0.25">
      <c r="B121" s="6" t="s">
        <v>40</v>
      </c>
      <c r="C121" s="7">
        <v>1422.769</v>
      </c>
      <c r="D121" s="7">
        <v>691.49199999999996</v>
      </c>
      <c r="E121" s="7">
        <v>289.49200000000002</v>
      </c>
      <c r="F121" s="7">
        <v>1327.6990000000001</v>
      </c>
      <c r="G121" s="7">
        <v>2936.8519999999999</v>
      </c>
      <c r="H121" s="7">
        <v>4624.0709999999999</v>
      </c>
      <c r="I121" s="7">
        <v>5712.5219999999999</v>
      </c>
      <c r="J121" s="7">
        <v>5859.8010000000004</v>
      </c>
      <c r="K121" s="5"/>
      <c r="L121" s="5"/>
      <c r="M121" s="5"/>
      <c r="N121" s="5"/>
      <c r="O121" s="5"/>
    </row>
    <row r="122" spans="2:15" ht="12" customHeight="1" x14ac:dyDescent="0.25">
      <c r="B122" s="6"/>
      <c r="C122" s="7"/>
      <c r="D122" s="7"/>
      <c r="E122" s="7"/>
      <c r="F122" s="7"/>
      <c r="G122" s="7"/>
      <c r="H122" s="7"/>
      <c r="I122" s="7"/>
      <c r="J122" s="7"/>
      <c r="K122" s="5"/>
      <c r="L122" s="5"/>
      <c r="M122" s="5"/>
      <c r="N122" s="5"/>
      <c r="O122" s="5"/>
    </row>
    <row r="123" spans="2:15" ht="12" customHeight="1" x14ac:dyDescent="0.25">
      <c r="B123" s="6" t="s">
        <v>103</v>
      </c>
      <c r="C123" s="7">
        <v>1018.015</v>
      </c>
      <c r="D123" s="7">
        <v>1160.92</v>
      </c>
      <c r="E123" s="7">
        <v>1275.9490000000001</v>
      </c>
      <c r="F123" s="7">
        <v>1364.194</v>
      </c>
      <c r="G123" s="7">
        <v>1405.4690000000001</v>
      </c>
      <c r="H123" s="7">
        <v>1453.769</v>
      </c>
      <c r="I123" s="7">
        <v>1480.4010000000001</v>
      </c>
      <c r="J123" s="7">
        <v>1430.855</v>
      </c>
      <c r="K123" s="5"/>
      <c r="L123" s="5"/>
      <c r="M123" s="5"/>
      <c r="N123" s="5"/>
      <c r="O123" s="5"/>
    </row>
    <row r="124" spans="2:15" ht="12" customHeight="1" x14ac:dyDescent="0.25">
      <c r="B124" s="6" t="s">
        <v>104</v>
      </c>
      <c r="C124" s="7">
        <v>901.61400000000003</v>
      </c>
      <c r="D124" s="7">
        <v>1536.7329999999999</v>
      </c>
      <c r="E124" s="7">
        <v>1028.135</v>
      </c>
      <c r="F124" s="7">
        <v>945.71699999999998</v>
      </c>
      <c r="G124" s="7">
        <v>1152.0920000000001</v>
      </c>
      <c r="H124" s="7">
        <v>1281.5039999999999</v>
      </c>
      <c r="I124" s="7">
        <v>1595.7560000000001</v>
      </c>
      <c r="J124" s="7">
        <v>914.11099999999999</v>
      </c>
      <c r="K124" s="5"/>
      <c r="L124" s="5"/>
      <c r="M124" s="5"/>
      <c r="N124" s="5"/>
      <c r="O124" s="5"/>
    </row>
    <row r="125" spans="2:15" ht="12" customHeight="1" x14ac:dyDescent="0.25">
      <c r="B125" s="6" t="s">
        <v>105</v>
      </c>
      <c r="C125" s="7">
        <v>-3.9380000000000002</v>
      </c>
      <c r="D125" s="7">
        <v>-3.7989999999999999</v>
      </c>
      <c r="E125" s="7">
        <v>48.326000000000001</v>
      </c>
      <c r="F125" s="7">
        <v>111.39</v>
      </c>
      <c r="G125" s="7">
        <v>117.818</v>
      </c>
      <c r="H125" s="7">
        <v>105.197</v>
      </c>
      <c r="I125" s="7">
        <v>145.98699999999999</v>
      </c>
      <c r="J125" s="7">
        <v>116.41</v>
      </c>
      <c r="K125" s="5"/>
      <c r="L125" s="5"/>
      <c r="M125" s="5"/>
      <c r="N125" s="5"/>
      <c r="O125" s="5"/>
    </row>
    <row r="126" spans="2:15" ht="12" customHeight="1" x14ac:dyDescent="0.25">
      <c r="B126" s="6" t="s">
        <v>106</v>
      </c>
      <c r="C126" s="7">
        <v>-53.298999999999999</v>
      </c>
      <c r="D126" s="7">
        <v>-60.396999999999998</v>
      </c>
      <c r="E126" s="7">
        <v>-45.35</v>
      </c>
      <c r="F126" s="7">
        <v>-75.084000000000003</v>
      </c>
      <c r="G126" s="7">
        <v>-363.85300000000001</v>
      </c>
      <c r="H126" s="7">
        <v>-387.39400000000001</v>
      </c>
      <c r="I126" s="7">
        <v>-585.12800000000004</v>
      </c>
      <c r="J126" s="7">
        <v>-258.46499999999997</v>
      </c>
      <c r="K126" s="5"/>
      <c r="L126" s="5"/>
      <c r="M126" s="5"/>
      <c r="N126" s="5"/>
      <c r="O126" s="5"/>
    </row>
    <row r="127" spans="2:15" ht="12" customHeight="1" x14ac:dyDescent="0.25">
      <c r="B127" s="6" t="s">
        <v>107</v>
      </c>
      <c r="C127" s="7"/>
      <c r="D127" s="7"/>
      <c r="E127" s="7">
        <v>-11.702999999999999</v>
      </c>
      <c r="F127" s="7"/>
      <c r="G127" s="7"/>
      <c r="H127" s="7">
        <v>3.0009999999999999</v>
      </c>
      <c r="I127" s="7">
        <v>6.6159999999999997</v>
      </c>
      <c r="J127" s="7">
        <v>10.045999999999999</v>
      </c>
      <c r="K127" s="5"/>
      <c r="L127" s="5"/>
      <c r="M127" s="5"/>
      <c r="N127" s="5"/>
      <c r="O127" s="5"/>
    </row>
    <row r="128" spans="2:15" ht="12" customHeight="1" x14ac:dyDescent="0.25">
      <c r="B128" s="6" t="s">
        <v>109</v>
      </c>
      <c r="C128" s="122"/>
      <c r="D128" s="7"/>
      <c r="E128" s="122"/>
      <c r="F128" s="7"/>
      <c r="G128" s="7"/>
      <c r="H128" s="7">
        <v>16.661999999999999</v>
      </c>
      <c r="I128" s="7">
        <v>-49.341000000000001</v>
      </c>
      <c r="J128" s="7">
        <v>-47.924999999999997</v>
      </c>
      <c r="K128" s="5"/>
      <c r="L128" s="5"/>
      <c r="M128" s="5"/>
      <c r="N128" s="5"/>
      <c r="O128" s="5"/>
    </row>
    <row r="129" spans="2:15" ht="12" customHeight="1" x14ac:dyDescent="0.25">
      <c r="B129" s="6" t="s">
        <v>110</v>
      </c>
      <c r="C129" s="7">
        <v>0.34300000000000003</v>
      </c>
      <c r="D129" s="7"/>
      <c r="E129" s="7">
        <v>-1.601</v>
      </c>
      <c r="F129" s="7">
        <v>-35.042999999999999</v>
      </c>
      <c r="G129" s="7">
        <v>0.36499999999999999</v>
      </c>
      <c r="H129" s="7">
        <v>-7.0000000000000001E-3</v>
      </c>
      <c r="I129" s="7">
        <v>-22.693999999999999</v>
      </c>
      <c r="J129" s="7">
        <v>-4.5709999999999997</v>
      </c>
      <c r="K129" s="5"/>
      <c r="L129" s="5"/>
      <c r="M129" s="5"/>
      <c r="N129" s="5"/>
      <c r="O129" s="5"/>
    </row>
    <row r="130" spans="2:15" ht="12" customHeight="1" x14ac:dyDescent="0.25">
      <c r="B130" s="6" t="s">
        <v>111</v>
      </c>
      <c r="C130" s="122">
        <f>-5.68+43.404-129.203-57.146+68.359</f>
        <v>-80.266000000000005</v>
      </c>
      <c r="D130" s="122">
        <f>-12.85-65.079- 57.146+ 9.886</f>
        <v>-125.18899999999999</v>
      </c>
      <c r="E130" s="122">
        <f>38.26-80-57.303</f>
        <v>-99.043000000000006</v>
      </c>
      <c r="F130" s="122">
        <f>59.13+ 10.702+1.883-57.146-216.928+51.559</f>
        <v>-150.79999999999998</v>
      </c>
      <c r="G130" s="122">
        <f>-58.629+261.633+123.767</f>
        <v>326.77099999999996</v>
      </c>
      <c r="H130" s="122">
        <f>-0.189-58.675+676.009+0.158</f>
        <v>617.303</v>
      </c>
      <c r="I130" s="7">
        <f>140.99-0.692-0.189-58.836</f>
        <v>81.27300000000001</v>
      </c>
      <c r="J130" s="7">
        <f>-0.21-52.143</f>
        <v>-52.353000000000002</v>
      </c>
      <c r="K130" s="5"/>
      <c r="L130" s="5"/>
      <c r="M130" s="5"/>
      <c r="N130" s="5"/>
      <c r="O130" s="5"/>
    </row>
    <row r="131" spans="2:15" ht="12" customHeight="1" x14ac:dyDescent="0.25">
      <c r="B131" s="9" t="s">
        <v>112</v>
      </c>
      <c r="C131" s="10">
        <f t="shared" ref="C131:J131" si="63">SUM(C121:C130)</f>
        <v>3205.2379999999998</v>
      </c>
      <c r="D131" s="10">
        <f t="shared" si="63"/>
        <v>3199.76</v>
      </c>
      <c r="E131" s="10">
        <f t="shared" si="63"/>
        <v>2484.2049999999999</v>
      </c>
      <c r="F131" s="10">
        <f t="shared" si="63"/>
        <v>3488.0729999999999</v>
      </c>
      <c r="G131" s="10">
        <f t="shared" si="63"/>
        <v>5575.5140000000001</v>
      </c>
      <c r="H131" s="10">
        <f t="shared" si="63"/>
        <v>7714.1060000000007</v>
      </c>
      <c r="I131" s="10">
        <f t="shared" si="63"/>
        <v>8365.391999999998</v>
      </c>
      <c r="J131" s="10">
        <f t="shared" si="63"/>
        <v>7967.9090000000015</v>
      </c>
      <c r="K131" s="5"/>
      <c r="L131" s="5"/>
      <c r="M131" s="5"/>
      <c r="N131" s="5"/>
      <c r="O131" s="5"/>
    </row>
    <row r="132" spans="2:15" ht="12" customHeight="1" x14ac:dyDescent="0.25">
      <c r="B132" s="6" t="s">
        <v>113</v>
      </c>
      <c r="C132" s="7">
        <v>-517.67600000000004</v>
      </c>
      <c r="D132" s="7">
        <v>1063.1099999999999</v>
      </c>
      <c r="E132" s="7">
        <v>-1002.99</v>
      </c>
      <c r="F132" s="7">
        <v>489.36099999999999</v>
      </c>
      <c r="G132" s="7">
        <v>-1249.3820000000001</v>
      </c>
      <c r="H132" s="7">
        <v>1393.444</v>
      </c>
      <c r="I132" s="7">
        <v>-1193.0889999999999</v>
      </c>
      <c r="J132" s="7">
        <v>-576.99300000000005</v>
      </c>
      <c r="K132" s="5"/>
      <c r="L132" s="5"/>
      <c r="M132" s="5"/>
      <c r="N132" s="5"/>
      <c r="O132" s="5"/>
    </row>
    <row r="133" spans="2:15" ht="12" customHeight="1" x14ac:dyDescent="0.25">
      <c r="B133" s="6" t="s">
        <v>114</v>
      </c>
      <c r="C133" s="7"/>
      <c r="D133" s="7"/>
      <c r="E133" s="7">
        <f>67.027+501.705</f>
        <v>568.73199999999997</v>
      </c>
      <c r="F133" s="7">
        <f>-90.77+172.303</f>
        <v>81.533000000000001</v>
      </c>
      <c r="G133" s="7">
        <v>-181.36600000000001</v>
      </c>
      <c r="H133" s="7">
        <v>-600.07299999999998</v>
      </c>
      <c r="I133" s="7">
        <v>-333.12900000000002</v>
      </c>
      <c r="J133" s="7">
        <v>1025.4100000000001</v>
      </c>
      <c r="K133" s="5"/>
      <c r="L133" s="5"/>
      <c r="M133" s="5"/>
      <c r="N133" s="5"/>
      <c r="O133" s="5"/>
    </row>
    <row r="134" spans="2:15" ht="12" customHeight="1" x14ac:dyDescent="0.25">
      <c r="B134" s="6" t="s">
        <v>115</v>
      </c>
      <c r="C134" s="7">
        <v>-61.951000000000001</v>
      </c>
      <c r="D134" s="7">
        <v>-18.331</v>
      </c>
      <c r="E134" s="7">
        <v>-581.34500000000003</v>
      </c>
      <c r="F134" s="7">
        <v>378.37099999999998</v>
      </c>
      <c r="G134" s="7">
        <v>214.624</v>
      </c>
      <c r="H134" s="7">
        <v>-2.331</v>
      </c>
      <c r="I134" s="7">
        <v>-32.323999999999998</v>
      </c>
      <c r="J134" s="7">
        <v>-32.36</v>
      </c>
      <c r="K134" s="5"/>
      <c r="L134" s="5"/>
      <c r="M134" s="5"/>
      <c r="N134" s="5"/>
      <c r="O134" s="5"/>
    </row>
    <row r="135" spans="2:15" ht="12" customHeight="1" x14ac:dyDescent="0.25">
      <c r="B135" s="6" t="s">
        <v>116</v>
      </c>
      <c r="C135" s="7">
        <v>1764.345</v>
      </c>
      <c r="D135" s="7">
        <v>-1576.396</v>
      </c>
      <c r="E135" s="7">
        <v>1653.549</v>
      </c>
      <c r="F135" s="7">
        <v>-245.20500000000001</v>
      </c>
      <c r="G135" s="7">
        <v>30.279</v>
      </c>
      <c r="H135" s="7">
        <v>159.28299999999999</v>
      </c>
      <c r="I135" s="7">
        <v>-219.73</v>
      </c>
      <c r="J135" s="7">
        <v>-106.187</v>
      </c>
      <c r="K135" s="5"/>
      <c r="L135" s="5"/>
      <c r="M135" s="5"/>
      <c r="N135" s="5"/>
      <c r="O135" s="5"/>
    </row>
    <row r="136" spans="2:15" ht="12" customHeight="1" x14ac:dyDescent="0.25">
      <c r="B136" s="6" t="s">
        <v>117</v>
      </c>
      <c r="C136" s="7"/>
      <c r="D136" s="7"/>
      <c r="E136" s="7">
        <f>499.17-711.013</f>
        <v>-211.84300000000002</v>
      </c>
      <c r="F136" s="7">
        <f>-695.297+87.69</f>
        <v>-607.60699999999997</v>
      </c>
      <c r="G136" s="7">
        <v>-140.46</v>
      </c>
      <c r="H136" s="7">
        <v>-802.02499999999998</v>
      </c>
      <c r="I136" s="7">
        <v>-362.25299999999999</v>
      </c>
      <c r="J136" s="7">
        <v>-820.29700000000003</v>
      </c>
      <c r="K136" s="5"/>
      <c r="L136" s="5"/>
      <c r="M136" s="5"/>
      <c r="N136" s="5"/>
      <c r="O136" s="5"/>
    </row>
    <row r="137" spans="2:15" ht="12" customHeight="1" x14ac:dyDescent="0.25">
      <c r="B137" s="6" t="s">
        <v>118</v>
      </c>
      <c r="C137" s="7">
        <v>25.498999999999999</v>
      </c>
      <c r="D137" s="7">
        <v>-132.364</v>
      </c>
      <c r="E137" s="7">
        <v>0.80300000000000005</v>
      </c>
      <c r="F137" s="7">
        <v>1.9930000000000001</v>
      </c>
      <c r="G137" s="7">
        <v>0.72</v>
      </c>
      <c r="H137" s="7">
        <v>-3.641</v>
      </c>
      <c r="I137" s="7">
        <v>-1.6</v>
      </c>
      <c r="J137" s="7">
        <v>-4.532</v>
      </c>
      <c r="K137" s="5"/>
      <c r="L137" s="5"/>
      <c r="M137" s="5"/>
      <c r="N137" s="5"/>
      <c r="O137" s="5"/>
    </row>
    <row r="138" spans="2:15" ht="12" customHeight="1" x14ac:dyDescent="0.25">
      <c r="B138" s="9" t="s">
        <v>119</v>
      </c>
      <c r="C138" s="10">
        <f t="shared" ref="C138:J138" si="64">SUM(C131:C137)</f>
        <v>4415.4549999999999</v>
      </c>
      <c r="D138" s="10">
        <f t="shared" si="64"/>
        <v>2535.779</v>
      </c>
      <c r="E138" s="10">
        <f t="shared" si="64"/>
        <v>2911.1109999999999</v>
      </c>
      <c r="F138" s="10">
        <f t="shared" si="64"/>
        <v>3586.5189999999998</v>
      </c>
      <c r="G138" s="10">
        <f t="shared" si="64"/>
        <v>4249.9290000000001</v>
      </c>
      <c r="H138" s="10">
        <f t="shared" si="64"/>
        <v>7858.7630000000008</v>
      </c>
      <c r="I138" s="10">
        <f t="shared" si="64"/>
        <v>6223.2669999999989</v>
      </c>
      <c r="J138" s="10">
        <f t="shared" si="64"/>
        <v>7452.95</v>
      </c>
      <c r="K138" s="5"/>
      <c r="L138" s="5"/>
      <c r="M138" s="5"/>
      <c r="N138" s="5"/>
      <c r="O138" s="5"/>
    </row>
    <row r="139" spans="2:15" ht="12" customHeight="1" x14ac:dyDescent="0.25">
      <c r="B139" s="6" t="s">
        <v>120</v>
      </c>
      <c r="C139" s="7"/>
      <c r="D139" s="7"/>
      <c r="E139" s="7"/>
      <c r="F139" s="7"/>
      <c r="G139" s="7"/>
      <c r="H139" s="7"/>
      <c r="I139" s="7"/>
      <c r="J139" s="7"/>
      <c r="K139" s="5"/>
      <c r="L139" s="5"/>
      <c r="M139" s="5"/>
      <c r="N139" s="5"/>
      <c r="O139" s="5"/>
    </row>
    <row r="140" spans="2:15" ht="12" customHeight="1" x14ac:dyDescent="0.25">
      <c r="B140" s="6" t="s">
        <v>121</v>
      </c>
      <c r="C140" s="7">
        <v>-233.16499999999999</v>
      </c>
      <c r="D140" s="7">
        <v>-82.15</v>
      </c>
      <c r="E140" s="7">
        <v>-248.142</v>
      </c>
      <c r="F140" s="7">
        <v>-186.81299999999999</v>
      </c>
      <c r="G140" s="7">
        <v>-460.685</v>
      </c>
      <c r="H140" s="7">
        <v>-758.91399999999999</v>
      </c>
      <c r="I140" s="7">
        <v>-1022.7859999999999</v>
      </c>
      <c r="J140" s="7">
        <v>-1017.616</v>
      </c>
      <c r="K140" s="5"/>
      <c r="L140" s="5"/>
      <c r="M140" s="5"/>
      <c r="N140" s="5"/>
      <c r="O140" s="5"/>
    </row>
    <row r="141" spans="2:15" ht="12" customHeight="1" x14ac:dyDescent="0.25">
      <c r="B141" s="9" t="s">
        <v>122</v>
      </c>
      <c r="C141" s="10">
        <f t="shared" ref="C141:J141" si="65">C138+C139+C140</f>
        <v>4182.29</v>
      </c>
      <c r="D141" s="10">
        <f t="shared" si="65"/>
        <v>2453.6289999999999</v>
      </c>
      <c r="E141" s="10">
        <f t="shared" si="65"/>
        <v>2662.9690000000001</v>
      </c>
      <c r="F141" s="10">
        <f t="shared" si="65"/>
        <v>3399.7059999999997</v>
      </c>
      <c r="G141" s="10">
        <f t="shared" si="65"/>
        <v>3789.2440000000001</v>
      </c>
      <c r="H141" s="10">
        <f t="shared" si="65"/>
        <v>7099.8490000000011</v>
      </c>
      <c r="I141" s="10">
        <f t="shared" si="65"/>
        <v>5200.4809999999989</v>
      </c>
      <c r="J141" s="10">
        <f t="shared" si="65"/>
        <v>6435.3339999999998</v>
      </c>
      <c r="K141" s="5"/>
      <c r="L141" s="5"/>
      <c r="M141" s="5"/>
      <c r="N141" s="5"/>
      <c r="O141" s="5"/>
    </row>
    <row r="142" spans="2:15" ht="12" customHeight="1" x14ac:dyDescent="0.25">
      <c r="B142" s="6"/>
      <c r="C142" s="7"/>
      <c r="D142" s="7"/>
      <c r="E142" s="7"/>
      <c r="F142" s="7"/>
      <c r="G142" s="7"/>
      <c r="H142" s="7"/>
      <c r="I142" s="7"/>
      <c r="J142" s="7"/>
      <c r="K142" s="5"/>
      <c r="L142" s="5"/>
      <c r="M142" s="5"/>
      <c r="N142" s="5"/>
      <c r="O142" s="5"/>
    </row>
    <row r="143" spans="2:15" ht="12" customHeight="1" x14ac:dyDescent="0.25">
      <c r="B143" s="6" t="s">
        <v>123</v>
      </c>
      <c r="C143" s="7">
        <v>0.1</v>
      </c>
      <c r="D143" s="7">
        <v>3305.87</v>
      </c>
      <c r="E143" s="7">
        <v>3.16</v>
      </c>
      <c r="F143" s="7">
        <v>39.393000000000001</v>
      </c>
      <c r="G143" s="7">
        <v>0.64500000000000002</v>
      </c>
      <c r="H143" s="7">
        <v>1060.1569999999999</v>
      </c>
      <c r="I143" s="7">
        <v>2.25</v>
      </c>
      <c r="J143" s="7">
        <v>756.01499999999999</v>
      </c>
      <c r="K143" s="5"/>
      <c r="L143" s="5"/>
      <c r="M143" s="5"/>
      <c r="N143" s="5"/>
      <c r="O143" s="5"/>
    </row>
    <row r="144" spans="2:15" ht="12" customHeight="1" x14ac:dyDescent="0.25">
      <c r="B144" s="6" t="s">
        <v>124</v>
      </c>
      <c r="C144" s="7"/>
      <c r="D144" s="7"/>
      <c r="E144" s="7">
        <v>3417.4319999999998</v>
      </c>
      <c r="F144" s="7"/>
      <c r="G144" s="7"/>
      <c r="H144" s="7">
        <v>203.001</v>
      </c>
      <c r="I144" s="7">
        <v>575.95699999999999</v>
      </c>
      <c r="J144" s="7">
        <v>1347.925</v>
      </c>
      <c r="K144" s="5"/>
      <c r="L144" s="5"/>
      <c r="M144" s="5"/>
      <c r="N144" s="5"/>
      <c r="O144" s="5"/>
    </row>
    <row r="145" spans="2:15" ht="12" customHeight="1" x14ac:dyDescent="0.25">
      <c r="B145" s="6" t="s">
        <v>125</v>
      </c>
      <c r="C145" s="7"/>
      <c r="D145" s="7"/>
      <c r="E145" s="7"/>
      <c r="F145" s="7"/>
      <c r="G145" s="7"/>
      <c r="H145" s="7">
        <v>2597.1</v>
      </c>
      <c r="I145" s="7"/>
      <c r="J145" s="7"/>
      <c r="K145" s="5"/>
      <c r="L145" s="5"/>
      <c r="M145" s="5"/>
      <c r="N145" s="5"/>
      <c r="O145" s="5"/>
    </row>
    <row r="146" spans="2:15" ht="12" customHeight="1" x14ac:dyDescent="0.25">
      <c r="B146" s="6" t="s">
        <v>126</v>
      </c>
      <c r="C146" s="7">
        <v>16.466000000000001</v>
      </c>
      <c r="D146" s="7"/>
      <c r="E146" s="7">
        <v>36.020000000000003</v>
      </c>
      <c r="F146" s="7">
        <v>55.987000000000002</v>
      </c>
      <c r="G146" s="7">
        <v>250.20099999999999</v>
      </c>
      <c r="H146" s="7">
        <v>409.18900000000002</v>
      </c>
      <c r="I146" s="7">
        <v>434.47300000000001</v>
      </c>
      <c r="J146" s="7">
        <v>437.8</v>
      </c>
      <c r="K146" s="5"/>
      <c r="L146" s="5"/>
      <c r="M146" s="5"/>
      <c r="N146" s="5"/>
      <c r="O146" s="5"/>
    </row>
    <row r="147" spans="2:15" ht="12" customHeight="1" x14ac:dyDescent="0.25">
      <c r="B147" s="6" t="s">
        <v>127</v>
      </c>
      <c r="C147" s="7">
        <v>-6488.1909999999998</v>
      </c>
      <c r="D147" s="7">
        <v>-923.50800000000004</v>
      </c>
      <c r="E147" s="7">
        <v>-2643.4140000000002</v>
      </c>
      <c r="F147" s="7">
        <v>-1312.011</v>
      </c>
      <c r="G147" s="7">
        <v>-521.16600000000005</v>
      </c>
      <c r="H147" s="7">
        <v>-1382.548</v>
      </c>
      <c r="I147" s="7">
        <v>-912.34100000000001</v>
      </c>
      <c r="J147" s="7">
        <v>-2563.1959999999999</v>
      </c>
      <c r="K147" s="5"/>
      <c r="L147" s="5"/>
      <c r="M147" s="5"/>
      <c r="N147" s="5"/>
      <c r="O147" s="5"/>
    </row>
    <row r="148" spans="2:15" ht="12" customHeight="1" x14ac:dyDescent="0.25">
      <c r="B148" s="6" t="s">
        <v>128</v>
      </c>
      <c r="C148" s="7">
        <v>-2452.5230000000001</v>
      </c>
      <c r="D148" s="7">
        <v>-3775</v>
      </c>
      <c r="E148" s="7">
        <v>-2923.7489999999998</v>
      </c>
      <c r="F148" s="7">
        <v>-7651.1</v>
      </c>
      <c r="G148" s="7"/>
      <c r="H148" s="7">
        <v>-859.32600000000002</v>
      </c>
      <c r="I148" s="7"/>
      <c r="J148" s="7">
        <v>-1200</v>
      </c>
      <c r="K148" s="5"/>
      <c r="L148" s="5"/>
      <c r="M148" s="5"/>
      <c r="N148" s="5"/>
      <c r="O148" s="5"/>
    </row>
    <row r="149" spans="2:15" ht="12" customHeight="1" x14ac:dyDescent="0.25">
      <c r="B149" s="6" t="s">
        <v>129</v>
      </c>
      <c r="C149" s="122"/>
      <c r="D149" s="7"/>
      <c r="E149" s="122"/>
      <c r="F149" s="7"/>
      <c r="G149" s="7">
        <v>-2597.1</v>
      </c>
      <c r="H149" s="7">
        <v>-1601.752</v>
      </c>
      <c r="I149" s="7"/>
      <c r="J149" s="7"/>
      <c r="K149" s="5"/>
      <c r="L149" s="5"/>
      <c r="M149" s="5"/>
      <c r="N149" s="5"/>
      <c r="O149" s="5"/>
    </row>
    <row r="150" spans="2:15" ht="12" customHeight="1" x14ac:dyDescent="0.25">
      <c r="B150" s="6" t="s">
        <v>130</v>
      </c>
      <c r="C150" s="122"/>
      <c r="D150" s="7"/>
      <c r="E150" s="122">
        <v>-19.495999999999999</v>
      </c>
      <c r="F150" s="7">
        <v>-594.79899999999998</v>
      </c>
      <c r="G150" s="7">
        <v>-364.59500000000003</v>
      </c>
      <c r="H150" s="7">
        <v>-2801.377</v>
      </c>
      <c r="I150" s="7">
        <v>-3918.6080000000002</v>
      </c>
      <c r="J150" s="7">
        <v>7662.2920000000004</v>
      </c>
      <c r="K150" s="5"/>
      <c r="L150" s="5"/>
      <c r="M150" s="5"/>
      <c r="N150" s="5"/>
      <c r="O150" s="5"/>
    </row>
    <row r="151" spans="2:15" ht="12" customHeight="1" x14ac:dyDescent="0.25">
      <c r="B151" s="6" t="s">
        <v>496</v>
      </c>
      <c r="C151" s="122"/>
      <c r="D151" s="122"/>
      <c r="E151" s="122"/>
      <c r="F151" s="122"/>
      <c r="G151" s="122"/>
      <c r="H151" s="122"/>
      <c r="I151" s="7">
        <v>-370</v>
      </c>
      <c r="J151" s="7"/>
      <c r="K151" s="5"/>
      <c r="L151" s="5"/>
      <c r="M151" s="5"/>
      <c r="N151" s="5"/>
      <c r="O151" s="5"/>
    </row>
    <row r="152" spans="2:15" ht="12" customHeight="1" x14ac:dyDescent="0.25">
      <c r="B152" s="6" t="s">
        <v>111</v>
      </c>
      <c r="C152" s="123">
        <f>2458.203-377.585</f>
        <v>2080.6179999999999</v>
      </c>
      <c r="D152" s="123">
        <v>60.140999999999998</v>
      </c>
      <c r="E152" s="123">
        <v>15.433</v>
      </c>
      <c r="F152" s="123">
        <f>7661.462+20.061</f>
        <v>7681.5230000000001</v>
      </c>
      <c r="G152" s="122"/>
      <c r="H152" s="122">
        <f>-7.387+1.251+0.189</f>
        <v>-5.9469999999999992</v>
      </c>
      <c r="I152" s="7">
        <f>81.158+0.189</f>
        <v>81.346999999999994</v>
      </c>
      <c r="J152" s="7">
        <v>0.21</v>
      </c>
      <c r="K152" s="5"/>
      <c r="L152" s="5"/>
      <c r="M152" s="5"/>
      <c r="N152" s="5"/>
      <c r="O152" s="5"/>
    </row>
    <row r="153" spans="2:15" ht="12" customHeight="1" x14ac:dyDescent="0.25">
      <c r="B153" s="6"/>
      <c r="C153" s="7"/>
      <c r="D153" s="7"/>
      <c r="E153" s="7"/>
      <c r="F153" s="7"/>
      <c r="G153" s="7"/>
      <c r="H153" s="7"/>
      <c r="I153" s="7"/>
      <c r="J153" s="7"/>
      <c r="K153" s="5"/>
      <c r="L153" s="5"/>
      <c r="M153" s="5"/>
      <c r="N153" s="5"/>
      <c r="O153" s="5"/>
    </row>
    <row r="154" spans="2:15" ht="12" customHeight="1" x14ac:dyDescent="0.25">
      <c r="B154" s="9" t="s">
        <v>131</v>
      </c>
      <c r="C154" s="10">
        <f t="shared" ref="C154:J154" si="66">SUM(C143:C152)</f>
        <v>-6843.5300000000007</v>
      </c>
      <c r="D154" s="10">
        <f t="shared" si="66"/>
        <v>-1332.4969999999998</v>
      </c>
      <c r="E154" s="10">
        <f t="shared" si="66"/>
        <v>-2114.6140000000005</v>
      </c>
      <c r="F154" s="10">
        <f t="shared" si="66"/>
        <v>-1781.0069999999987</v>
      </c>
      <c r="G154" s="10">
        <f t="shared" si="66"/>
        <v>-3232.0150000000003</v>
      </c>
      <c r="H154" s="10">
        <f t="shared" si="66"/>
        <v>-2381.5029999999997</v>
      </c>
      <c r="I154" s="10">
        <f t="shared" si="66"/>
        <v>-4106.9220000000005</v>
      </c>
      <c r="J154" s="10">
        <f t="shared" si="66"/>
        <v>6441.0460000000012</v>
      </c>
      <c r="K154" s="5"/>
      <c r="L154" s="5"/>
      <c r="M154" s="5"/>
      <c r="N154" s="5"/>
      <c r="O154" s="5"/>
    </row>
    <row r="155" spans="2:15" ht="12" customHeight="1" x14ac:dyDescent="0.25">
      <c r="B155" s="6"/>
      <c r="C155" s="7"/>
      <c r="D155" s="7"/>
      <c r="E155" s="7"/>
      <c r="F155" s="7"/>
      <c r="G155" s="7"/>
      <c r="H155" s="7"/>
      <c r="I155" s="7"/>
      <c r="J155" s="7"/>
      <c r="K155" s="5"/>
      <c r="L155" s="5"/>
      <c r="M155" s="5"/>
      <c r="N155" s="5"/>
      <c r="O155" s="5"/>
    </row>
    <row r="156" spans="2:15" ht="12" customHeight="1" x14ac:dyDescent="0.25">
      <c r="B156" s="6" t="s">
        <v>132</v>
      </c>
      <c r="C156" s="122"/>
      <c r="D156" s="122"/>
      <c r="E156" s="122"/>
      <c r="F156" s="122"/>
      <c r="G156" s="122"/>
      <c r="H156" s="7"/>
      <c r="I156" s="7"/>
      <c r="J156" s="7"/>
      <c r="K156" s="5"/>
      <c r="L156" s="5"/>
      <c r="M156" s="5"/>
      <c r="N156" s="5"/>
      <c r="O156" s="5"/>
    </row>
    <row r="157" spans="2:15" ht="12" customHeight="1" x14ac:dyDescent="0.25">
      <c r="B157" s="6" t="s">
        <v>133</v>
      </c>
      <c r="C157" s="123"/>
      <c r="D157" s="7"/>
      <c r="E157" s="123"/>
      <c r="F157" s="7"/>
      <c r="G157" s="7"/>
      <c r="H157" s="7"/>
      <c r="I157" s="7"/>
      <c r="J157" s="7"/>
      <c r="K157" s="5"/>
      <c r="L157" s="5"/>
      <c r="M157" s="5"/>
      <c r="N157" s="5"/>
      <c r="O157" s="5"/>
    </row>
    <row r="158" spans="2:15" ht="12" customHeight="1" x14ac:dyDescent="0.25">
      <c r="B158" s="6" t="s">
        <v>134</v>
      </c>
      <c r="C158" s="123"/>
      <c r="D158" s="7"/>
      <c r="E158" s="123"/>
      <c r="F158" s="7"/>
      <c r="G158" s="7"/>
      <c r="H158" s="7"/>
      <c r="I158" s="7"/>
      <c r="J158" s="7"/>
      <c r="K158" s="5"/>
      <c r="L158" s="5"/>
      <c r="M158" s="5"/>
      <c r="N158" s="5"/>
      <c r="O158" s="5"/>
    </row>
    <row r="159" spans="2:15" ht="12" customHeight="1" x14ac:dyDescent="0.25">
      <c r="B159" s="6" t="s">
        <v>135</v>
      </c>
      <c r="C159" s="123">
        <v>5971.1409999999996</v>
      </c>
      <c r="D159" s="7">
        <v>1289.135</v>
      </c>
      <c r="E159" s="123">
        <v>101.3</v>
      </c>
      <c r="F159" s="7"/>
      <c r="G159" s="7">
        <v>8584.7999999999993</v>
      </c>
      <c r="H159" s="7">
        <v>723.5</v>
      </c>
      <c r="I159" s="7">
        <v>8491.3700000000008</v>
      </c>
      <c r="J159" s="7">
        <v>2568.3380000000002</v>
      </c>
      <c r="K159" s="5"/>
      <c r="L159" s="5"/>
      <c r="M159" s="5"/>
      <c r="N159" s="5"/>
      <c r="O159" s="5"/>
    </row>
    <row r="160" spans="2:15" ht="12" customHeight="1" x14ac:dyDescent="0.25">
      <c r="B160" s="6" t="s">
        <v>136</v>
      </c>
      <c r="C160" s="123"/>
      <c r="D160" s="7">
        <v>14.571</v>
      </c>
      <c r="E160" s="123">
        <v>965.13900000000001</v>
      </c>
      <c r="F160" s="7">
        <v>104.17</v>
      </c>
      <c r="G160" s="7"/>
      <c r="H160" s="7">
        <v>678.92200000000003</v>
      </c>
      <c r="I160" s="7">
        <v>100</v>
      </c>
      <c r="J160" s="7">
        <v>610.53</v>
      </c>
      <c r="K160" s="5"/>
      <c r="L160" s="5"/>
      <c r="M160" s="5"/>
      <c r="N160" s="5"/>
      <c r="O160" s="5"/>
    </row>
    <row r="161" spans="2:15" ht="12" customHeight="1" x14ac:dyDescent="0.25">
      <c r="B161" s="6" t="s">
        <v>137</v>
      </c>
      <c r="C161" s="123"/>
      <c r="D161" s="7"/>
      <c r="E161" s="123">
        <v>-0.40600000000000003</v>
      </c>
      <c r="F161" s="7">
        <v>-0.82499999999999996</v>
      </c>
      <c r="G161" s="7"/>
      <c r="H161" s="7"/>
      <c r="I161" s="7">
        <v>-7.2350000000000003</v>
      </c>
      <c r="J161" s="7">
        <v>-1.91</v>
      </c>
      <c r="K161" s="5"/>
      <c r="L161" s="5"/>
      <c r="M161" s="5"/>
      <c r="N161" s="5"/>
      <c r="O161" s="5"/>
    </row>
    <row r="162" spans="2:15" ht="12" customHeight="1" x14ac:dyDescent="0.25">
      <c r="B162" s="6" t="s">
        <v>138</v>
      </c>
      <c r="C162" s="123">
        <v>-125</v>
      </c>
      <c r="D162" s="7">
        <v>-152.80199999999999</v>
      </c>
      <c r="E162" s="123">
        <v>-364.43099999999998</v>
      </c>
      <c r="F162" s="7">
        <v>-410.505</v>
      </c>
      <c r="G162" s="7">
        <v>-6760.8649999999998</v>
      </c>
      <c r="H162" s="7">
        <v>-3101.4050000000002</v>
      </c>
      <c r="I162" s="7">
        <v>-7670.7830000000004</v>
      </c>
      <c r="J162" s="7">
        <v>-15280.398999999999</v>
      </c>
      <c r="K162" s="5"/>
      <c r="L162" s="5"/>
      <c r="M162" s="5"/>
      <c r="N162" s="5"/>
      <c r="O162" s="5"/>
    </row>
    <row r="163" spans="2:15" ht="12" customHeight="1" x14ac:dyDescent="0.25">
      <c r="B163" s="6" t="s">
        <v>139</v>
      </c>
      <c r="C163" s="123">
        <v>-2149.0219999999999</v>
      </c>
      <c r="D163" s="7">
        <v>-1357.1110000000001</v>
      </c>
      <c r="E163" s="123">
        <v>-152.28399999999999</v>
      </c>
      <c r="F163" s="7">
        <v>-292.77699999999999</v>
      </c>
      <c r="G163" s="7">
        <v>-558.91999999999996</v>
      </c>
      <c r="H163" s="7">
        <v>-862.32600000000002</v>
      </c>
      <c r="I163" s="7">
        <v>-777.46699999999998</v>
      </c>
      <c r="J163" s="7"/>
      <c r="K163" s="5"/>
      <c r="L163" s="5"/>
      <c r="M163" s="5"/>
      <c r="N163" s="5"/>
      <c r="O163" s="5"/>
    </row>
    <row r="164" spans="2:15" ht="12" customHeight="1" x14ac:dyDescent="0.25">
      <c r="B164" s="6" t="s">
        <v>140</v>
      </c>
      <c r="C164" s="123"/>
      <c r="D164" s="7"/>
      <c r="E164" s="123"/>
      <c r="F164" s="7"/>
      <c r="G164" s="7"/>
      <c r="H164" s="7"/>
      <c r="I164" s="7"/>
      <c r="J164" s="7"/>
      <c r="K164" s="5"/>
      <c r="L164" s="5"/>
      <c r="M164" s="5"/>
      <c r="N164" s="5"/>
      <c r="O164" s="5"/>
    </row>
    <row r="165" spans="2:15" ht="12" customHeight="1" x14ac:dyDescent="0.25">
      <c r="B165" s="6" t="s">
        <v>141</v>
      </c>
      <c r="C165" s="123">
        <v>-855.39</v>
      </c>
      <c r="D165" s="7">
        <v>-1007.735</v>
      </c>
      <c r="E165" s="123">
        <v>-1028.133</v>
      </c>
      <c r="F165" s="7">
        <v>-945.721</v>
      </c>
      <c r="G165" s="7">
        <v>-1093.636</v>
      </c>
      <c r="H165" s="7">
        <v>-1160.2619999999999</v>
      </c>
      <c r="I165" s="7">
        <v>-1415.2660000000001</v>
      </c>
      <c r="J165" s="7">
        <v>-784.35699999999997</v>
      </c>
      <c r="K165" s="5"/>
      <c r="L165" s="5"/>
      <c r="M165" s="5"/>
      <c r="N165" s="5"/>
      <c r="O165" s="5"/>
    </row>
    <row r="166" spans="2:15" ht="12" customHeight="1" x14ac:dyDescent="0.25">
      <c r="B166" s="6" t="s">
        <v>58</v>
      </c>
      <c r="C166" s="123"/>
      <c r="D166" s="7"/>
      <c r="E166" s="123"/>
      <c r="F166" s="7"/>
      <c r="G166" s="7"/>
      <c r="H166" s="7"/>
      <c r="I166" s="7"/>
      <c r="J166" s="7">
        <v>-1101.375</v>
      </c>
      <c r="K166" s="5"/>
      <c r="L166" s="5"/>
      <c r="M166" s="5"/>
      <c r="N166" s="5"/>
      <c r="O166" s="5"/>
    </row>
    <row r="167" spans="2:15" ht="12" customHeight="1" x14ac:dyDescent="0.25">
      <c r="B167" s="6" t="s">
        <v>111</v>
      </c>
      <c r="C167" s="7"/>
      <c r="D167" s="7"/>
      <c r="E167" s="7"/>
      <c r="F167" s="7"/>
      <c r="G167" s="7">
        <v>-0.69599999999999995</v>
      </c>
      <c r="H167" s="7">
        <f>-5.881-9.285</f>
        <v>-15.166</v>
      </c>
      <c r="I167" s="7"/>
      <c r="J167" s="7"/>
      <c r="K167" s="5"/>
      <c r="L167" s="5"/>
      <c r="M167" s="5"/>
      <c r="N167" s="5"/>
      <c r="O167" s="5"/>
    </row>
    <row r="168" spans="2:15" ht="12" customHeight="1" x14ac:dyDescent="0.25">
      <c r="B168" s="6"/>
      <c r="C168" s="7"/>
      <c r="D168" s="7"/>
      <c r="E168" s="7"/>
      <c r="F168" s="7"/>
      <c r="G168" s="7"/>
      <c r="H168" s="7"/>
      <c r="I168" s="7"/>
      <c r="J168" s="7"/>
      <c r="K168" s="5"/>
      <c r="L168" s="5"/>
      <c r="M168" s="5"/>
      <c r="N168" s="5"/>
      <c r="O168" s="5"/>
    </row>
    <row r="169" spans="2:15" ht="12" customHeight="1" x14ac:dyDescent="0.25">
      <c r="B169" s="9" t="s">
        <v>142</v>
      </c>
      <c r="C169" s="10">
        <f t="shared" ref="C169:J169" si="67">SUM(C156:C167)</f>
        <v>2841.7289999999998</v>
      </c>
      <c r="D169" s="10">
        <f t="shared" si="67"/>
        <v>-1213.942</v>
      </c>
      <c r="E169" s="10">
        <f t="shared" si="67"/>
        <v>-478.81499999999994</v>
      </c>
      <c r="F169" s="10">
        <f t="shared" si="67"/>
        <v>-1545.6579999999999</v>
      </c>
      <c r="G169" s="10">
        <f t="shared" si="67"/>
        <v>170.68299999999945</v>
      </c>
      <c r="H169" s="10">
        <f t="shared" si="67"/>
        <v>-3736.7370000000001</v>
      </c>
      <c r="I169" s="10">
        <f t="shared" si="67"/>
        <v>-1279.3810000000003</v>
      </c>
      <c r="J169" s="10">
        <f t="shared" si="67"/>
        <v>-13989.172999999999</v>
      </c>
      <c r="K169" s="5"/>
      <c r="L169" s="5"/>
      <c r="M169" s="5"/>
      <c r="N169" s="5"/>
      <c r="O169" s="5"/>
    </row>
    <row r="170" spans="2:15" ht="12" customHeight="1" x14ac:dyDescent="0.25">
      <c r="B170" s="6"/>
      <c r="C170" s="7"/>
      <c r="D170" s="7"/>
      <c r="E170" s="7"/>
      <c r="F170" s="7"/>
      <c r="G170" s="7"/>
      <c r="H170" s="7"/>
      <c r="I170" s="7"/>
      <c r="J170" s="7"/>
      <c r="K170" s="5"/>
      <c r="L170" s="5"/>
      <c r="M170" s="5"/>
      <c r="N170" s="5"/>
      <c r="O170" s="5"/>
    </row>
    <row r="171" spans="2:15" ht="12" customHeight="1" x14ac:dyDescent="0.25">
      <c r="B171" s="9" t="s">
        <v>143</v>
      </c>
      <c r="C171" s="7"/>
      <c r="D171" s="7"/>
      <c r="E171" s="7"/>
      <c r="F171" s="7"/>
      <c r="G171" s="7"/>
      <c r="H171" s="7"/>
      <c r="I171" s="7"/>
      <c r="J171" s="7"/>
      <c r="K171" s="5"/>
      <c r="L171" s="5"/>
      <c r="M171" s="5"/>
      <c r="N171" s="5"/>
      <c r="O171" s="5"/>
    </row>
    <row r="172" spans="2:15" ht="12" customHeight="1" x14ac:dyDescent="0.25">
      <c r="B172" s="6"/>
      <c r="C172" s="7"/>
      <c r="D172" s="7"/>
      <c r="E172" s="7"/>
      <c r="F172" s="7"/>
      <c r="G172" s="7"/>
      <c r="H172" s="7"/>
      <c r="I172" s="7"/>
      <c r="J172" s="7"/>
      <c r="K172" s="5"/>
      <c r="L172" s="5"/>
      <c r="M172" s="5"/>
      <c r="N172" s="5"/>
      <c r="O172" s="5"/>
    </row>
    <row r="173" spans="2:15" ht="12" customHeight="1" x14ac:dyDescent="0.25">
      <c r="B173" s="9" t="s">
        <v>144</v>
      </c>
      <c r="C173" s="10">
        <f t="shared" ref="C173:J173" si="68">C141+C154+C169+C171</f>
        <v>180.48899999999912</v>
      </c>
      <c r="D173" s="10">
        <f t="shared" si="68"/>
        <v>-92.809999999999945</v>
      </c>
      <c r="E173" s="10">
        <f t="shared" si="68"/>
        <v>69.539999999999623</v>
      </c>
      <c r="F173" s="10">
        <f t="shared" si="68"/>
        <v>73.041000000001077</v>
      </c>
      <c r="G173" s="10">
        <f t="shared" si="68"/>
        <v>727.91199999999924</v>
      </c>
      <c r="H173" s="10">
        <f t="shared" si="68"/>
        <v>981.60900000000129</v>
      </c>
      <c r="I173" s="10">
        <f t="shared" si="68"/>
        <v>-185.82200000000194</v>
      </c>
      <c r="J173" s="10">
        <f t="shared" si="68"/>
        <v>-1112.7929999999978</v>
      </c>
      <c r="K173" s="5"/>
      <c r="L173" s="5"/>
      <c r="M173" s="5"/>
      <c r="N173" s="5"/>
      <c r="O173" s="5"/>
    </row>
    <row r="174" spans="2:15" ht="12" customHeight="1" x14ac:dyDescent="0.25">
      <c r="B174" s="9" t="s">
        <v>145</v>
      </c>
      <c r="C174" s="10">
        <v>46.195999999999998</v>
      </c>
      <c r="D174" s="10">
        <f>C175</f>
        <v>226.68499999999912</v>
      </c>
      <c r="E174" s="10">
        <f>D175</f>
        <v>133.87499999999918</v>
      </c>
      <c r="F174" s="10">
        <f>E175</f>
        <v>203.4149999999988</v>
      </c>
      <c r="G174" s="10">
        <f>F175</f>
        <v>276.4559999999999</v>
      </c>
      <c r="H174" s="10">
        <v>1004.381</v>
      </c>
      <c r="I174" s="10">
        <f>H175</f>
        <v>1985.9900000000011</v>
      </c>
      <c r="J174" s="10">
        <f>I175</f>
        <v>1800.1679999999992</v>
      </c>
      <c r="K174" s="5"/>
      <c r="L174" s="5"/>
      <c r="M174" s="5"/>
      <c r="N174" s="5"/>
      <c r="O174" s="5"/>
    </row>
    <row r="175" spans="2:15" ht="12" customHeight="1" x14ac:dyDescent="0.25">
      <c r="B175" s="9" t="s">
        <v>146</v>
      </c>
      <c r="C175" s="10">
        <f t="shared" ref="C175:I175" si="69">C173+C174</f>
        <v>226.68499999999912</v>
      </c>
      <c r="D175" s="10">
        <f t="shared" si="69"/>
        <v>133.87499999999918</v>
      </c>
      <c r="E175" s="10">
        <f t="shared" si="69"/>
        <v>203.4149999999988</v>
      </c>
      <c r="F175" s="10">
        <f t="shared" si="69"/>
        <v>276.4559999999999</v>
      </c>
      <c r="G175" s="10">
        <f t="shared" si="69"/>
        <v>1004.3679999999991</v>
      </c>
      <c r="H175" s="10">
        <f t="shared" si="69"/>
        <v>1985.9900000000011</v>
      </c>
      <c r="I175" s="10">
        <f t="shared" si="69"/>
        <v>1800.1679999999992</v>
      </c>
      <c r="J175" s="10">
        <f t="shared" ref="J175" si="70">J173+J174</f>
        <v>687.37500000000136</v>
      </c>
      <c r="K175" s="5"/>
      <c r="L175" s="5"/>
      <c r="M175" s="5"/>
      <c r="N175" s="5"/>
      <c r="O175" s="5"/>
    </row>
    <row r="178" spans="2:9" ht="12" customHeight="1" x14ac:dyDescent="0.25">
      <c r="B178" s="2" t="s">
        <v>1533</v>
      </c>
      <c r="C178" s="244">
        <f t="shared" ref="C178:I178" si="71">(C30*(1-C42))/C117</f>
        <v>5.6138182369558934E-2</v>
      </c>
      <c r="D178" s="244">
        <f t="shared" si="71"/>
        <v>8.3264088334471187E-2</v>
      </c>
      <c r="E178" s="244">
        <f t="shared" si="71"/>
        <v>4.7071813669876637E-2</v>
      </c>
      <c r="F178" s="244">
        <f t="shared" si="71"/>
        <v>4.5226678928479279E-2</v>
      </c>
      <c r="G178" s="244">
        <f t="shared" si="71"/>
        <v>6.7329424886512626E-2</v>
      </c>
      <c r="H178" s="244">
        <f t="shared" si="71"/>
        <v>0.16347863006298063</v>
      </c>
      <c r="I178" s="244">
        <f t="shared" si="71"/>
        <v>0.14526305581407564</v>
      </c>
    </row>
    <row r="179" spans="2:9" ht="12" customHeight="1" x14ac:dyDescent="0.25">
      <c r="B179" s="2" t="s">
        <v>1534</v>
      </c>
    </row>
  </sheetData>
  <pageMargins left="0.7" right="0.7" top="0.75" bottom="0.75" header="0.3" footer="0.3"/>
  <pageSetup paperSize="9" orientation="portrait" verticalDpi="300" r:id="rId1"/>
  <ignoredErrors>
    <ignoredError sqref="D16 T34:Y34" formula="1"/>
  </ignoredError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B5C9E-0D9E-4E9D-B509-F00D4BDD14BF}">
  <dimension ref="B1:O203"/>
  <sheetViews>
    <sheetView showGridLines="0" zoomScale="115" zoomScaleNormal="115" workbookViewId="0">
      <selection activeCell="K2" sqref="K2"/>
    </sheetView>
  </sheetViews>
  <sheetFormatPr defaultColWidth="8.28515625" defaultRowHeight="12" customHeight="1" x14ac:dyDescent="0.25"/>
  <cols>
    <col min="1" max="1" width="3.5703125" style="2" customWidth="1"/>
    <col min="2" max="2" width="35.7109375" style="2" customWidth="1"/>
    <col min="3" max="5" width="8.7109375" style="2" customWidth="1"/>
    <col min="6" max="6" width="10" style="2" customWidth="1"/>
    <col min="7" max="9" width="8.7109375" style="2" customWidth="1"/>
    <col min="10" max="11" width="10.5703125" style="2" bestFit="1" customWidth="1"/>
    <col min="12" max="16" width="8.28515625" style="2"/>
    <col min="17" max="17" width="10" style="2" bestFit="1" customWidth="1"/>
    <col min="18" max="16384" width="8.28515625" style="2"/>
  </cols>
  <sheetData>
    <row r="1" spans="2:15" ht="12" customHeight="1" x14ac:dyDescent="0.25">
      <c r="B1" s="1" t="s">
        <v>213</v>
      </c>
    </row>
    <row r="2" spans="2:15" ht="12" customHeight="1" x14ac:dyDescent="0.25">
      <c r="B2" s="3" t="s">
        <v>17</v>
      </c>
      <c r="C2" s="4" t="s">
        <v>22</v>
      </c>
      <c r="D2" s="4" t="s">
        <v>23</v>
      </c>
      <c r="E2" s="4" t="s">
        <v>24</v>
      </c>
      <c r="F2" s="4" t="s">
        <v>25</v>
      </c>
      <c r="G2" s="4" t="s">
        <v>26</v>
      </c>
      <c r="H2" s="4" t="s">
        <v>27</v>
      </c>
      <c r="I2" s="4" t="s">
        <v>273</v>
      </c>
      <c r="J2" s="4" t="s">
        <v>347</v>
      </c>
      <c r="K2" s="4" t="s">
        <v>348</v>
      </c>
      <c r="L2" s="227" t="s">
        <v>178</v>
      </c>
      <c r="M2" s="227" t="s">
        <v>179</v>
      </c>
      <c r="N2" s="227" t="s">
        <v>231</v>
      </c>
      <c r="O2" s="227" t="s">
        <v>232</v>
      </c>
    </row>
    <row r="3" spans="2:15" ht="12" customHeight="1" x14ac:dyDescent="0.25">
      <c r="B3" s="6"/>
      <c r="C3" s="7"/>
      <c r="D3" s="7"/>
      <c r="E3" s="7"/>
      <c r="F3" s="7"/>
      <c r="G3" s="7"/>
      <c r="H3" s="7"/>
      <c r="I3" s="7"/>
      <c r="J3" s="7"/>
      <c r="K3" s="7"/>
      <c r="L3" s="8"/>
      <c r="M3" s="8"/>
      <c r="N3" s="8"/>
      <c r="O3" s="8"/>
    </row>
    <row r="4" spans="2:15" ht="12" customHeight="1" x14ac:dyDescent="0.25">
      <c r="B4" s="6" t="s">
        <v>478</v>
      </c>
      <c r="C4" s="7" t="s">
        <v>108</v>
      </c>
      <c r="D4" s="7" t="s">
        <v>108</v>
      </c>
      <c r="E4" s="122">
        <v>0</v>
      </c>
      <c r="F4" s="122">
        <v>0</v>
      </c>
      <c r="G4" s="122">
        <v>0</v>
      </c>
      <c r="H4" s="122">
        <v>0</v>
      </c>
      <c r="I4" s="122"/>
      <c r="J4" s="122"/>
      <c r="K4" s="122"/>
      <c r="L4" s="8"/>
      <c r="M4" s="8"/>
      <c r="N4" s="8"/>
      <c r="O4" s="8"/>
    </row>
    <row r="5" spans="2:15" ht="12" customHeight="1" x14ac:dyDescent="0.25">
      <c r="B5" s="6" t="s">
        <v>479</v>
      </c>
      <c r="C5" s="7" t="s">
        <v>108</v>
      </c>
      <c r="D5" s="7" t="s">
        <v>108</v>
      </c>
      <c r="E5" s="122">
        <v>0</v>
      </c>
      <c r="F5" s="122">
        <v>0</v>
      </c>
      <c r="G5" s="122">
        <v>0</v>
      </c>
      <c r="H5" s="122">
        <v>0</v>
      </c>
      <c r="I5" s="122"/>
      <c r="J5" s="122"/>
      <c r="K5" s="122"/>
      <c r="L5" s="8"/>
      <c r="M5" s="8"/>
      <c r="N5" s="8"/>
      <c r="O5" s="8"/>
    </row>
    <row r="6" spans="2:15" ht="12" customHeight="1" x14ac:dyDescent="0.25">
      <c r="B6" s="6" t="s">
        <v>480</v>
      </c>
      <c r="C6" s="7" t="s">
        <v>108</v>
      </c>
      <c r="D6" s="7" t="s">
        <v>108</v>
      </c>
      <c r="E6" s="122">
        <v>0</v>
      </c>
      <c r="F6" s="122">
        <v>0</v>
      </c>
      <c r="G6" s="122">
        <v>0</v>
      </c>
      <c r="H6" s="122">
        <v>0</v>
      </c>
      <c r="I6" s="122"/>
      <c r="J6" s="122"/>
      <c r="K6" s="122"/>
      <c r="L6" s="8"/>
      <c r="M6" s="8"/>
      <c r="N6" s="8"/>
      <c r="O6" s="8"/>
    </row>
    <row r="7" spans="2:15" ht="12" customHeight="1" x14ac:dyDescent="0.25">
      <c r="B7" s="6" t="s">
        <v>481</v>
      </c>
      <c r="C7" s="7">
        <v>2295.3159999999998</v>
      </c>
      <c r="D7" s="7">
        <v>2708.3339999999998</v>
      </c>
      <c r="E7" s="123">
        <v>2845.712</v>
      </c>
      <c r="F7" s="123">
        <v>3202.5889999999999</v>
      </c>
      <c r="G7" s="123">
        <v>4579.7240000000002</v>
      </c>
      <c r="H7" s="123">
        <v>5144.4459999999999</v>
      </c>
      <c r="I7" s="123">
        <v>5343.8</v>
      </c>
      <c r="J7" s="123">
        <v>5199.3</v>
      </c>
      <c r="K7" s="123">
        <v>6007.8</v>
      </c>
      <c r="L7" s="8">
        <f>Assumptions!M929</f>
        <v>7141.4010281250021</v>
      </c>
      <c r="M7" s="8">
        <f>Assumptions!N929</f>
        <v>7648.4405011218787</v>
      </c>
      <c r="N7" s="8">
        <f>Assumptions!O929</f>
        <v>8191.4797767015325</v>
      </c>
      <c r="O7" s="8">
        <f>Assumptions!P929</f>
        <v>8773.074840847341</v>
      </c>
    </row>
    <row r="8" spans="2:15" ht="12" customHeight="1" x14ac:dyDescent="0.25">
      <c r="B8" s="6" t="s">
        <v>483</v>
      </c>
      <c r="C8" s="7" t="s">
        <v>108</v>
      </c>
      <c r="D8" s="7" t="s">
        <v>108</v>
      </c>
      <c r="E8" s="122">
        <v>0</v>
      </c>
      <c r="F8" s="122">
        <v>0</v>
      </c>
      <c r="G8" s="122">
        <v>0</v>
      </c>
      <c r="H8" s="122">
        <v>0</v>
      </c>
      <c r="I8" s="122"/>
      <c r="J8" s="122"/>
      <c r="K8" s="122"/>
      <c r="L8" s="8"/>
      <c r="M8" s="8"/>
      <c r="N8" s="8"/>
      <c r="O8" s="8"/>
    </row>
    <row r="9" spans="2:15" ht="12" customHeight="1" x14ac:dyDescent="0.25">
      <c r="B9" s="6" t="s">
        <v>482</v>
      </c>
      <c r="C9" s="7" t="s">
        <v>108</v>
      </c>
      <c r="D9" s="7" t="s">
        <v>108</v>
      </c>
      <c r="E9" s="122">
        <v>0</v>
      </c>
      <c r="F9" s="122">
        <v>0</v>
      </c>
      <c r="G9" s="122">
        <v>0</v>
      </c>
      <c r="H9" s="122">
        <v>0</v>
      </c>
      <c r="I9" s="122"/>
      <c r="J9" s="122"/>
      <c r="K9" s="122"/>
      <c r="L9" s="8"/>
      <c r="M9" s="8"/>
      <c r="N9" s="8"/>
      <c r="O9" s="8"/>
    </row>
    <row r="10" spans="2:15" ht="12" customHeight="1" x14ac:dyDescent="0.25">
      <c r="B10" s="6" t="s">
        <v>484</v>
      </c>
      <c r="C10" s="7" t="s">
        <v>108</v>
      </c>
      <c r="D10" s="7" t="s">
        <v>108</v>
      </c>
      <c r="E10" s="122">
        <v>0</v>
      </c>
      <c r="F10" s="122">
        <v>0</v>
      </c>
      <c r="G10" s="122">
        <v>0</v>
      </c>
      <c r="H10" s="122">
        <v>0</v>
      </c>
      <c r="I10" s="122"/>
      <c r="J10" s="122"/>
      <c r="K10" s="122"/>
      <c r="L10" s="8"/>
      <c r="M10" s="8"/>
      <c r="N10" s="8"/>
      <c r="O10" s="8"/>
    </row>
    <row r="11" spans="2:15" ht="12" customHeight="1" x14ac:dyDescent="0.25">
      <c r="B11" s="6" t="s">
        <v>485</v>
      </c>
      <c r="C11" s="7" t="s">
        <v>108</v>
      </c>
      <c r="D11" s="7" t="s">
        <v>108</v>
      </c>
      <c r="E11" s="122">
        <v>0</v>
      </c>
      <c r="F11" s="122">
        <v>0</v>
      </c>
      <c r="G11" s="122">
        <v>0</v>
      </c>
      <c r="H11" s="122">
        <v>0</v>
      </c>
      <c r="I11" s="122"/>
      <c r="J11" s="122"/>
      <c r="K11" s="122"/>
      <c r="L11" s="8"/>
      <c r="M11" s="8"/>
      <c r="N11" s="8"/>
      <c r="O11" s="8"/>
    </row>
    <row r="12" spans="2:15" ht="12" customHeight="1" x14ac:dyDescent="0.25">
      <c r="B12" s="6" t="s">
        <v>486</v>
      </c>
      <c r="C12" s="7" t="s">
        <v>108</v>
      </c>
      <c r="D12" s="7" t="s">
        <v>108</v>
      </c>
      <c r="E12" s="122">
        <v>0</v>
      </c>
      <c r="F12" s="122">
        <v>0</v>
      </c>
      <c r="G12" s="122">
        <v>0</v>
      </c>
      <c r="H12" s="122">
        <v>0</v>
      </c>
      <c r="I12" s="122"/>
      <c r="J12" s="122"/>
      <c r="K12" s="122"/>
      <c r="L12" s="8"/>
      <c r="M12" s="8"/>
      <c r="N12" s="8"/>
      <c r="O12" s="8"/>
    </row>
    <row r="13" spans="2:15" ht="12" customHeight="1" x14ac:dyDescent="0.25">
      <c r="B13" s="6" t="s">
        <v>487</v>
      </c>
      <c r="C13" s="7" t="s">
        <v>108</v>
      </c>
      <c r="D13" s="7" t="s">
        <v>108</v>
      </c>
      <c r="E13" s="122">
        <v>0</v>
      </c>
      <c r="F13" s="122">
        <v>0</v>
      </c>
      <c r="G13" s="122">
        <v>0</v>
      </c>
      <c r="H13" s="122">
        <v>0</v>
      </c>
      <c r="I13" s="122"/>
      <c r="J13" s="122"/>
      <c r="K13" s="122"/>
      <c r="L13" s="8"/>
      <c r="M13" s="8"/>
      <c r="N13" s="8"/>
      <c r="O13" s="8"/>
    </row>
    <row r="14" spans="2:15" ht="12" customHeight="1" x14ac:dyDescent="0.25">
      <c r="B14" s="6" t="s">
        <v>488</v>
      </c>
      <c r="C14" s="7" t="s">
        <v>108</v>
      </c>
      <c r="D14" s="7" t="s">
        <v>108</v>
      </c>
      <c r="E14" s="122">
        <v>0</v>
      </c>
      <c r="F14" s="122">
        <v>0</v>
      </c>
      <c r="G14" s="7">
        <v>150.613</v>
      </c>
      <c r="H14" s="7">
        <v>171.37100000000001</v>
      </c>
      <c r="I14" s="7"/>
      <c r="J14" s="7"/>
      <c r="K14" s="7"/>
      <c r="L14" s="8"/>
      <c r="M14" s="8"/>
      <c r="N14" s="8"/>
      <c r="O14" s="8"/>
    </row>
    <row r="15" spans="2:15" ht="12" customHeight="1" x14ac:dyDescent="0.25">
      <c r="B15" s="6"/>
      <c r="C15" s="7" t="s">
        <v>108</v>
      </c>
      <c r="D15" s="7" t="s">
        <v>108</v>
      </c>
      <c r="E15" s="7"/>
      <c r="F15" s="7"/>
      <c r="G15" s="7"/>
      <c r="H15" s="7"/>
      <c r="I15" s="7"/>
      <c r="J15" s="7"/>
      <c r="K15" s="7"/>
      <c r="L15" s="8"/>
      <c r="M15" s="8"/>
      <c r="N15" s="8"/>
      <c r="O15" s="8"/>
    </row>
    <row r="16" spans="2:15" ht="12" customHeight="1" x14ac:dyDescent="0.25">
      <c r="B16" s="9" t="s">
        <v>29</v>
      </c>
      <c r="C16" s="10">
        <f t="shared" ref="C16:J16" si="0">SUM(C4:C14)</f>
        <v>2295.3159999999998</v>
      </c>
      <c r="D16" s="10">
        <f t="shared" si="0"/>
        <v>2708.3339999999998</v>
      </c>
      <c r="E16" s="10">
        <f t="shared" si="0"/>
        <v>2845.712</v>
      </c>
      <c r="F16" s="10">
        <f t="shared" si="0"/>
        <v>3202.5889999999999</v>
      </c>
      <c r="G16" s="10">
        <f t="shared" si="0"/>
        <v>4730.3370000000004</v>
      </c>
      <c r="H16" s="10">
        <f t="shared" si="0"/>
        <v>5315.817</v>
      </c>
      <c r="I16" s="10">
        <f t="shared" si="0"/>
        <v>5343.8</v>
      </c>
      <c r="J16" s="10">
        <f t="shared" si="0"/>
        <v>5199.3</v>
      </c>
      <c r="K16" s="10">
        <f t="shared" ref="K16" si="1">SUM(K4:K14)</f>
        <v>6007.8</v>
      </c>
      <c r="L16" s="5">
        <f t="shared" ref="L16:O16" si="2">SUM(L4:L14)</f>
        <v>7141.4010281250021</v>
      </c>
      <c r="M16" s="5">
        <f t="shared" si="2"/>
        <v>7648.4405011218787</v>
      </c>
      <c r="N16" s="5">
        <f t="shared" si="2"/>
        <v>8191.4797767015325</v>
      </c>
      <c r="O16" s="5">
        <f t="shared" si="2"/>
        <v>8773.074840847341</v>
      </c>
    </row>
    <row r="17" spans="2:15" s="14" customFormat="1" ht="12" customHeight="1" x14ac:dyDescent="0.25">
      <c r="B17" s="11" t="s">
        <v>30</v>
      </c>
      <c r="C17" s="12"/>
      <c r="D17" s="12">
        <f t="shared" ref="D17:O17" si="3">IF(ISERROR(D16/C16-1)," ",D16/C16-1)</f>
        <v>0.17993949416986599</v>
      </c>
      <c r="E17" s="12">
        <f t="shared" si="3"/>
        <v>5.0724172129434697E-2</v>
      </c>
      <c r="F17" s="12">
        <f t="shared" si="3"/>
        <v>0.12540868506721692</v>
      </c>
      <c r="G17" s="12">
        <f t="shared" si="3"/>
        <v>0.47703529862870342</v>
      </c>
      <c r="H17" s="12">
        <f t="shared" si="3"/>
        <v>0.12377130847125684</v>
      </c>
      <c r="I17" s="12">
        <f t="shared" si="3"/>
        <v>5.2641014542074149E-3</v>
      </c>
      <c r="J17" s="12">
        <f t="shared" si="3"/>
        <v>-2.7040682660279147E-2</v>
      </c>
      <c r="K17" s="12">
        <f t="shared" si="3"/>
        <v>0.15550170215221271</v>
      </c>
      <c r="L17" s="13">
        <f t="shared" si="3"/>
        <v>0.18868821001448155</v>
      </c>
      <c r="M17" s="13">
        <f t="shared" si="3"/>
        <v>7.1000000000000174E-2</v>
      </c>
      <c r="N17" s="13">
        <f t="shared" si="3"/>
        <v>7.0999999999999952E-2</v>
      </c>
      <c r="O17" s="13">
        <f t="shared" si="3"/>
        <v>7.0999999999999952E-2</v>
      </c>
    </row>
    <row r="18" spans="2:15" ht="12" customHeight="1" x14ac:dyDescent="0.25">
      <c r="B18" s="6"/>
      <c r="C18" s="7"/>
      <c r="D18" s="7"/>
      <c r="E18" s="7"/>
      <c r="F18" s="7"/>
      <c r="G18" s="7"/>
      <c r="H18" s="7"/>
      <c r="I18" s="7"/>
      <c r="J18" s="7"/>
      <c r="K18" s="7"/>
      <c r="L18" s="8"/>
      <c r="M18" s="8"/>
      <c r="N18" s="8"/>
      <c r="O18" s="8"/>
    </row>
    <row r="19" spans="2:15" ht="12" customHeight="1" x14ac:dyDescent="0.25">
      <c r="B19" s="6" t="s">
        <v>31</v>
      </c>
      <c r="C19" s="7">
        <v>294.423</v>
      </c>
      <c r="D19" s="7">
        <v>939.43399999999997</v>
      </c>
      <c r="E19" s="7">
        <v>888.05600000000004</v>
      </c>
      <c r="F19" s="7">
        <v>1212.5930000000001</v>
      </c>
      <c r="G19" s="7">
        <v>2109.4549999999999</v>
      </c>
      <c r="H19" s="7">
        <v>2273.6999999999998</v>
      </c>
      <c r="I19" s="7">
        <v>2184.7999999999997</v>
      </c>
      <c r="J19" s="7">
        <v>2474.4</v>
      </c>
      <c r="K19" s="7">
        <v>2974.5</v>
      </c>
      <c r="L19" s="8"/>
      <c r="M19" s="8"/>
      <c r="N19" s="8"/>
      <c r="O19" s="8"/>
    </row>
    <row r="20" spans="2:15" ht="12" customHeight="1" x14ac:dyDescent="0.25">
      <c r="B20" s="6" t="s">
        <v>32</v>
      </c>
      <c r="C20" s="7">
        <v>205.51599999999999</v>
      </c>
      <c r="D20" s="7">
        <v>189.51300000000001</v>
      </c>
      <c r="E20" s="7">
        <v>233.21299999999999</v>
      </c>
      <c r="F20" s="7">
        <v>301.50099999999998</v>
      </c>
      <c r="G20" s="7">
        <v>356.762</v>
      </c>
      <c r="H20" s="7">
        <v>632.61099999999999</v>
      </c>
      <c r="I20" s="7">
        <v>816.9</v>
      </c>
      <c r="J20" s="7">
        <v>469.8</v>
      </c>
      <c r="K20" s="7">
        <v>441</v>
      </c>
      <c r="L20" s="8"/>
      <c r="M20" s="8"/>
      <c r="N20" s="8"/>
      <c r="O20" s="8"/>
    </row>
    <row r="21" spans="2:15" ht="12" customHeight="1" x14ac:dyDescent="0.25">
      <c r="B21" s="6" t="s">
        <v>33</v>
      </c>
      <c r="C21" s="7">
        <v>118.205</v>
      </c>
      <c r="D21" s="7">
        <v>132.93</v>
      </c>
      <c r="E21" s="7">
        <v>161.52099999999999</v>
      </c>
      <c r="F21" s="7">
        <v>124.834</v>
      </c>
      <c r="G21" s="7">
        <v>234.21</v>
      </c>
      <c r="H21" s="7">
        <v>231.083</v>
      </c>
      <c r="I21" s="7">
        <v>297.39999999999998</v>
      </c>
      <c r="J21" s="7">
        <v>434.5</v>
      </c>
      <c r="K21" s="7">
        <v>387.8</v>
      </c>
      <c r="L21" s="8"/>
      <c r="M21" s="8"/>
      <c r="N21" s="8"/>
      <c r="O21" s="8"/>
    </row>
    <row r="22" spans="2:15" ht="12" customHeight="1" x14ac:dyDescent="0.25">
      <c r="B22" s="6"/>
      <c r="C22" s="7"/>
      <c r="D22" s="7"/>
      <c r="E22" s="7"/>
      <c r="F22" s="7"/>
      <c r="G22" s="7"/>
      <c r="H22" s="7"/>
      <c r="I22" s="7"/>
      <c r="J22" s="7"/>
      <c r="K22" s="7"/>
      <c r="L22" s="8"/>
      <c r="M22" s="8"/>
      <c r="N22" s="8"/>
      <c r="O22" s="8"/>
    </row>
    <row r="23" spans="2:15" ht="12" customHeight="1" x14ac:dyDescent="0.25">
      <c r="B23" s="9" t="s">
        <v>34</v>
      </c>
      <c r="C23" s="10">
        <f t="shared" ref="C23:J23" si="4">C16-SUM(C19:C21)</f>
        <v>1677.1719999999998</v>
      </c>
      <c r="D23" s="10">
        <f t="shared" si="4"/>
        <v>1446.4569999999999</v>
      </c>
      <c r="E23" s="10">
        <f t="shared" si="4"/>
        <v>1562.922</v>
      </c>
      <c r="F23" s="10">
        <f t="shared" si="4"/>
        <v>1563.6609999999998</v>
      </c>
      <c r="G23" s="10">
        <f t="shared" si="4"/>
        <v>2029.9100000000003</v>
      </c>
      <c r="H23" s="10">
        <f t="shared" si="4"/>
        <v>2178.4230000000002</v>
      </c>
      <c r="I23" s="10">
        <f t="shared" si="4"/>
        <v>2044.7000000000003</v>
      </c>
      <c r="J23" s="10">
        <f t="shared" si="4"/>
        <v>1820.6</v>
      </c>
      <c r="K23" s="10">
        <f t="shared" ref="K23" si="5">K16-SUM(K19:K21)</f>
        <v>2204.5</v>
      </c>
      <c r="L23" s="5">
        <f t="shared" ref="L23:O23" si="6">L16*L24</f>
        <v>2620.4631589769247</v>
      </c>
      <c r="M23" s="5">
        <f t="shared" si="6"/>
        <v>2806.5160432642865</v>
      </c>
      <c r="N23" s="5">
        <f t="shared" si="6"/>
        <v>3005.7786823360511</v>
      </c>
      <c r="O23" s="5">
        <f t="shared" si="6"/>
        <v>3219.1889687819107</v>
      </c>
    </row>
    <row r="24" spans="2:15" ht="12" customHeight="1" x14ac:dyDescent="0.25">
      <c r="B24" s="15" t="s">
        <v>35</v>
      </c>
      <c r="C24" s="16">
        <f t="shared" ref="C24:J24" si="7">IF(ISERROR(C23/C16)," ",C23/C16)</f>
        <v>0.73069329016135465</v>
      </c>
      <c r="D24" s="16">
        <f t="shared" si="7"/>
        <v>0.53407629930429557</v>
      </c>
      <c r="E24" s="16">
        <f t="shared" si="7"/>
        <v>0.54922001945383092</v>
      </c>
      <c r="F24" s="16">
        <f t="shared" si="7"/>
        <v>0.48824903851227863</v>
      </c>
      <c r="G24" s="16">
        <f t="shared" si="7"/>
        <v>0.42912587411848252</v>
      </c>
      <c r="H24" s="16">
        <f t="shared" si="7"/>
        <v>0.40980022449982761</v>
      </c>
      <c r="I24" s="16">
        <f t="shared" si="7"/>
        <v>0.38263033796175011</v>
      </c>
      <c r="J24" s="16">
        <f t="shared" si="7"/>
        <v>0.35016252187794505</v>
      </c>
      <c r="K24" s="16">
        <f t="shared" ref="K24" si="8">IF(ISERROR(K23/K16)," ",K23/K16)</f>
        <v>0.36693964512800026</v>
      </c>
      <c r="L24" s="198">
        <f>K24</f>
        <v>0.36693964512800026</v>
      </c>
      <c r="M24" s="198">
        <f>L24</f>
        <v>0.36693964512800026</v>
      </c>
      <c r="N24" s="198">
        <f>M24</f>
        <v>0.36693964512800026</v>
      </c>
      <c r="O24" s="198">
        <f>N24</f>
        <v>0.36693964512800026</v>
      </c>
    </row>
    <row r="25" spans="2:15"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f t="shared" ref="F25:K25" si="9">IF(ISERROR(F23/E23-1)," ",F23/E23-1)</f>
        <v>4.7283229745298527E-4</v>
      </c>
      <c r="G25" s="12">
        <f t="shared" si="9"/>
        <v>0.2981778019660275</v>
      </c>
      <c r="H25" s="12">
        <f t="shared" si="9"/>
        <v>7.3162356951786078E-2</v>
      </c>
      <c r="I25" s="12">
        <f t="shared" si="9"/>
        <v>-6.1385231426587028E-2</v>
      </c>
      <c r="J25" s="12">
        <f t="shared" si="9"/>
        <v>-0.1096004303809851</v>
      </c>
      <c r="K25" s="12">
        <f t="shared" si="9"/>
        <v>0.21086455014830285</v>
      </c>
      <c r="L25" s="13"/>
      <c r="M25" s="13"/>
      <c r="N25" s="13"/>
      <c r="O25" s="13"/>
    </row>
    <row r="26" spans="2:15" ht="12" customHeight="1" x14ac:dyDescent="0.25">
      <c r="B26" s="15"/>
      <c r="C26" s="16"/>
      <c r="D26" s="16"/>
      <c r="E26" s="16"/>
      <c r="F26" s="16"/>
      <c r="G26" s="16"/>
      <c r="H26" s="16"/>
      <c r="I26" s="16"/>
      <c r="J26" s="16"/>
      <c r="K26" s="16"/>
      <c r="L26" s="17"/>
      <c r="M26" s="17"/>
      <c r="N26" s="17"/>
      <c r="O26" s="17"/>
    </row>
    <row r="27" spans="2:15" ht="12" customHeight="1" x14ac:dyDescent="0.25">
      <c r="B27" s="6" t="s">
        <v>36</v>
      </c>
      <c r="C27" s="7">
        <v>338.77</v>
      </c>
      <c r="D27" s="7">
        <v>654.16999999999996</v>
      </c>
      <c r="E27" s="7">
        <v>729.31</v>
      </c>
      <c r="F27" s="7">
        <v>493.96199999999999</v>
      </c>
      <c r="G27" s="7">
        <v>1171.6780000000001</v>
      </c>
      <c r="H27" s="7">
        <v>2966.9659999999999</v>
      </c>
      <c r="I27" s="7">
        <v>4164.5999999999995</v>
      </c>
      <c r="J27" s="7">
        <v>6639.3</v>
      </c>
      <c r="K27" s="7">
        <v>5891.5</v>
      </c>
      <c r="L27" s="8"/>
      <c r="M27" s="8"/>
      <c r="N27" s="8"/>
      <c r="O27" s="8"/>
    </row>
    <row r="28" spans="2:15" ht="12" customHeight="1" x14ac:dyDescent="0.25">
      <c r="B28" s="6" t="s">
        <v>37</v>
      </c>
      <c r="C28" s="7">
        <v>740.74099999999999</v>
      </c>
      <c r="D28" s="7">
        <v>835.31100000000004</v>
      </c>
      <c r="E28" s="7">
        <v>17.728999999999999</v>
      </c>
      <c r="F28" s="7">
        <v>17.702999999999999</v>
      </c>
      <c r="G28" s="7">
        <v>16.594999999999999</v>
      </c>
      <c r="H28" s="7">
        <v>13.648999999999999</v>
      </c>
      <c r="I28" s="7">
        <v>17.2</v>
      </c>
      <c r="J28" s="7">
        <v>26.5</v>
      </c>
      <c r="K28" s="7">
        <v>59.8</v>
      </c>
      <c r="L28" s="8"/>
      <c r="M28" s="8"/>
      <c r="N28" s="8"/>
      <c r="O28" s="8"/>
    </row>
    <row r="29" spans="2:15" ht="12" customHeight="1" x14ac:dyDescent="0.25">
      <c r="B29" s="6"/>
      <c r="C29" s="7"/>
      <c r="D29" s="7"/>
      <c r="E29" s="7"/>
      <c r="F29" s="7"/>
      <c r="G29" s="7"/>
      <c r="H29" s="7"/>
      <c r="I29" s="7"/>
      <c r="J29" s="7"/>
      <c r="K29" s="7"/>
      <c r="L29" s="8"/>
      <c r="M29" s="8"/>
      <c r="N29" s="8"/>
      <c r="O29" s="8"/>
    </row>
    <row r="30" spans="2:15" ht="12" customHeight="1" x14ac:dyDescent="0.25">
      <c r="B30" s="9" t="s">
        <v>38</v>
      </c>
      <c r="C30" s="10">
        <f t="shared" ref="C30:J30" si="10">C23+C27-C28</f>
        <v>1275.2009999999998</v>
      </c>
      <c r="D30" s="10">
        <f t="shared" si="10"/>
        <v>1265.3159999999998</v>
      </c>
      <c r="E30" s="10">
        <f t="shared" si="10"/>
        <v>2274.5030000000002</v>
      </c>
      <c r="F30" s="10">
        <f t="shared" si="10"/>
        <v>2039.9199999999996</v>
      </c>
      <c r="G30" s="10">
        <f t="shared" si="10"/>
        <v>3184.9930000000008</v>
      </c>
      <c r="H30" s="10">
        <f t="shared" si="10"/>
        <v>5131.74</v>
      </c>
      <c r="I30" s="10">
        <f t="shared" si="10"/>
        <v>6192.0999999999995</v>
      </c>
      <c r="J30" s="10">
        <f t="shared" si="10"/>
        <v>8433.4</v>
      </c>
      <c r="K30" s="10">
        <f t="shared" ref="K30" si="11">K23+K27-K28</f>
        <v>8036.2</v>
      </c>
      <c r="L30" s="5"/>
      <c r="M30" s="5"/>
      <c r="N30" s="5"/>
      <c r="O30" s="5"/>
    </row>
    <row r="31" spans="2:15" ht="12" customHeight="1" x14ac:dyDescent="0.25">
      <c r="B31" s="6"/>
      <c r="C31" s="7"/>
      <c r="D31" s="7"/>
      <c r="E31" s="7"/>
      <c r="F31" s="7"/>
      <c r="G31" s="7"/>
      <c r="H31" s="7"/>
      <c r="I31" s="7"/>
      <c r="J31" s="7"/>
      <c r="K31" s="7"/>
      <c r="L31" s="8"/>
      <c r="M31" s="8"/>
      <c r="N31" s="8"/>
      <c r="O31" s="8"/>
    </row>
    <row r="32" spans="2:15" ht="12" customHeight="1" x14ac:dyDescent="0.25">
      <c r="B32" s="6" t="s">
        <v>39</v>
      </c>
      <c r="C32" s="7">
        <v>294.09300000000002</v>
      </c>
      <c r="D32" s="7">
        <v>61.052999999999997</v>
      </c>
      <c r="E32" s="7">
        <v>667.98900000000003</v>
      </c>
      <c r="F32" s="7">
        <v>691.60799999999995</v>
      </c>
      <c r="G32" s="7">
        <v>1453.5</v>
      </c>
      <c r="H32" s="7">
        <v>4604.7960000000003</v>
      </c>
      <c r="I32" s="7">
        <f>(205.88+46.28)*10</f>
        <v>2521.6</v>
      </c>
      <c r="J32" s="7">
        <f>2590+883</f>
        <v>3473</v>
      </c>
      <c r="K32" s="7">
        <f>2614.1+3629.5</f>
        <v>6243.6</v>
      </c>
      <c r="L32" s="8"/>
      <c r="M32" s="8"/>
      <c r="N32" s="8"/>
      <c r="O32" s="8"/>
    </row>
    <row r="33" spans="2:15" ht="12" customHeight="1" x14ac:dyDescent="0.25">
      <c r="B33" s="6" t="s">
        <v>307</v>
      </c>
      <c r="C33" s="7"/>
      <c r="D33" s="7"/>
      <c r="E33" s="7"/>
      <c r="F33" s="7"/>
      <c r="G33" s="7"/>
      <c r="H33" s="7"/>
      <c r="I33" s="7"/>
      <c r="J33" s="7"/>
      <c r="K33" s="7">
        <v>29.5</v>
      </c>
      <c r="L33" s="8"/>
      <c r="M33" s="8"/>
      <c r="N33" s="8"/>
      <c r="O33" s="8"/>
    </row>
    <row r="34" spans="2:15" ht="12" customHeight="1" x14ac:dyDescent="0.25">
      <c r="B34" s="6"/>
      <c r="C34" s="7"/>
      <c r="D34" s="7"/>
      <c r="E34" s="7"/>
      <c r="F34" s="7"/>
      <c r="G34" s="7"/>
      <c r="H34" s="7"/>
      <c r="I34" s="7"/>
      <c r="J34" s="7"/>
      <c r="K34" s="7"/>
      <c r="L34" s="8"/>
      <c r="M34" s="8"/>
      <c r="N34" s="8"/>
      <c r="O34" s="8"/>
    </row>
    <row r="35" spans="2:15" ht="12" customHeight="1" x14ac:dyDescent="0.25">
      <c r="B35" s="9" t="s">
        <v>40</v>
      </c>
      <c r="C35" s="10">
        <f t="shared" ref="C35:J35" si="12">C30-C32-C33</f>
        <v>981.10799999999972</v>
      </c>
      <c r="D35" s="10">
        <f t="shared" si="12"/>
        <v>1204.2629999999999</v>
      </c>
      <c r="E35" s="10">
        <f t="shared" si="12"/>
        <v>1606.5140000000001</v>
      </c>
      <c r="F35" s="10">
        <f t="shared" si="12"/>
        <v>1348.3119999999997</v>
      </c>
      <c r="G35" s="10">
        <f t="shared" si="12"/>
        <v>1731.4930000000008</v>
      </c>
      <c r="H35" s="10">
        <f t="shared" si="12"/>
        <v>526.94399999999951</v>
      </c>
      <c r="I35" s="10">
        <f t="shared" si="12"/>
        <v>3670.4999999999995</v>
      </c>
      <c r="J35" s="10">
        <f t="shared" si="12"/>
        <v>4960.3999999999996</v>
      </c>
      <c r="K35" s="10">
        <f t="shared" ref="K35" si="13">K30-K32-K33</f>
        <v>1763.0999999999995</v>
      </c>
      <c r="L35" s="5"/>
      <c r="M35" s="5"/>
      <c r="N35" s="5"/>
      <c r="O35" s="5"/>
    </row>
    <row r="36" spans="2:15" ht="12" customHeight="1" x14ac:dyDescent="0.25">
      <c r="B36" s="6"/>
      <c r="C36" s="7"/>
      <c r="D36" s="7"/>
      <c r="E36" s="7"/>
      <c r="F36" s="7"/>
      <c r="G36" s="7"/>
      <c r="H36" s="7"/>
      <c r="I36" s="7"/>
      <c r="J36" s="7"/>
      <c r="K36" s="7"/>
      <c r="L36" s="8"/>
      <c r="M36" s="8"/>
      <c r="N36" s="8"/>
      <c r="O36" s="8"/>
    </row>
    <row r="37" spans="2:15" ht="12" customHeight="1" x14ac:dyDescent="0.25">
      <c r="B37" s="6" t="s">
        <v>41</v>
      </c>
      <c r="C37" s="7"/>
      <c r="D37" s="7"/>
      <c r="E37" s="7"/>
      <c r="F37" s="7"/>
      <c r="G37" s="7"/>
      <c r="H37" s="7"/>
      <c r="I37" s="7">
        <v>0</v>
      </c>
      <c r="J37" s="7"/>
      <c r="K37" s="7"/>
      <c r="L37" s="8"/>
      <c r="M37" s="8"/>
      <c r="N37" s="8"/>
      <c r="O37" s="8"/>
    </row>
    <row r="38" spans="2:15" ht="12" customHeight="1" x14ac:dyDescent="0.25">
      <c r="B38" s="6" t="s">
        <v>42</v>
      </c>
      <c r="C38" s="7">
        <v>258.64100000000002</v>
      </c>
      <c r="D38" s="7">
        <v>314.43</v>
      </c>
      <c r="E38" s="7">
        <v>140.304</v>
      </c>
      <c r="F38" s="7">
        <v>57.365000000000002</v>
      </c>
      <c r="G38" s="7">
        <v>302.50900000000001</v>
      </c>
      <c r="H38" s="7">
        <v>92.067999999999998</v>
      </c>
      <c r="I38" s="7">
        <v>664.2</v>
      </c>
      <c r="J38" s="7">
        <v>866.7</v>
      </c>
      <c r="K38" s="7">
        <v>308</v>
      </c>
      <c r="L38" s="8"/>
      <c r="M38" s="8"/>
      <c r="N38" s="8"/>
      <c r="O38" s="8"/>
    </row>
    <row r="39" spans="2:15" ht="12" customHeight="1" x14ac:dyDescent="0.25">
      <c r="B39" s="6" t="s">
        <v>43</v>
      </c>
      <c r="C39" s="7">
        <v>13.542</v>
      </c>
      <c r="D39" s="7">
        <v>-219.471</v>
      </c>
      <c r="E39" s="7">
        <v>151.09299999999999</v>
      </c>
      <c r="F39" s="7">
        <v>301.06599999999997</v>
      </c>
      <c r="G39" s="7">
        <v>23.456</v>
      </c>
      <c r="H39" s="7">
        <v>-235.77</v>
      </c>
      <c r="I39" s="7">
        <v>134.19999999999999</v>
      </c>
      <c r="J39" s="7">
        <v>391.7</v>
      </c>
      <c r="K39" s="7">
        <v>-221.3</v>
      </c>
      <c r="L39" s="8"/>
      <c r="M39" s="8"/>
      <c r="N39" s="8"/>
      <c r="O39" s="8"/>
    </row>
    <row r="40" spans="2:15" ht="12" customHeight="1" x14ac:dyDescent="0.25">
      <c r="B40" s="6" t="s">
        <v>44</v>
      </c>
      <c r="C40" s="7"/>
      <c r="D40" s="7"/>
      <c r="E40" s="7"/>
      <c r="F40" s="7"/>
      <c r="G40" s="7"/>
      <c r="H40" s="7"/>
      <c r="I40" s="7"/>
      <c r="J40" s="7">
        <v>-211.9</v>
      </c>
      <c r="K40" s="7">
        <v>0.4</v>
      </c>
      <c r="L40" s="8"/>
      <c r="M40" s="8"/>
      <c r="N40" s="8"/>
      <c r="O40" s="8"/>
    </row>
    <row r="41" spans="2:15" s="18" customFormat="1" ht="12" customHeight="1" x14ac:dyDescent="0.25">
      <c r="B41" s="9" t="s">
        <v>45</v>
      </c>
      <c r="C41" s="10">
        <f t="shared" ref="C41:J41" si="14">SUM(C38:C40)</f>
        <v>272.18299999999999</v>
      </c>
      <c r="D41" s="10">
        <f t="shared" si="14"/>
        <v>94.959000000000003</v>
      </c>
      <c r="E41" s="10">
        <f t="shared" si="14"/>
        <v>291.39699999999999</v>
      </c>
      <c r="F41" s="10">
        <f t="shared" si="14"/>
        <v>358.43099999999998</v>
      </c>
      <c r="G41" s="10">
        <f t="shared" si="14"/>
        <v>325.96500000000003</v>
      </c>
      <c r="H41" s="10">
        <f t="shared" si="14"/>
        <v>-143.702</v>
      </c>
      <c r="I41" s="10">
        <f t="shared" si="14"/>
        <v>798.40000000000009</v>
      </c>
      <c r="J41" s="10">
        <f t="shared" si="14"/>
        <v>1046.5</v>
      </c>
      <c r="K41" s="10">
        <f t="shared" ref="K41" si="15">SUM(K38:K40)</f>
        <v>87.1</v>
      </c>
      <c r="L41" s="5"/>
      <c r="M41" s="5"/>
      <c r="N41" s="5"/>
      <c r="O41" s="5"/>
    </row>
    <row r="42" spans="2:15" ht="12" customHeight="1" x14ac:dyDescent="0.25">
      <c r="B42" s="19" t="s">
        <v>46</v>
      </c>
      <c r="C42" s="12">
        <f t="shared" ref="C42:J42" si="16">IF(ISERROR(C41/C35)," ",C41/C35)</f>
        <v>0.27742409602204859</v>
      </c>
      <c r="D42" s="12">
        <f t="shared" si="16"/>
        <v>7.8852376930952803E-2</v>
      </c>
      <c r="E42" s="12">
        <f t="shared" si="16"/>
        <v>0.18138466269201511</v>
      </c>
      <c r="F42" s="12">
        <f t="shared" si="16"/>
        <v>0.26583683895122201</v>
      </c>
      <c r="G42" s="12">
        <f t="shared" si="16"/>
        <v>0.18825660860309565</v>
      </c>
      <c r="H42" s="12">
        <f t="shared" si="16"/>
        <v>-0.27270829537863633</v>
      </c>
      <c r="I42" s="12">
        <f t="shared" si="16"/>
        <v>0.21751804931208288</v>
      </c>
      <c r="J42" s="12">
        <f t="shared" si="16"/>
        <v>0.21097088944439965</v>
      </c>
      <c r="K42" s="12">
        <f t="shared" ref="K42" si="17">IF(ISERROR(K41/K35)," ",K41/K35)</f>
        <v>4.940162214281664E-2</v>
      </c>
      <c r="L42" s="13"/>
      <c r="M42" s="13"/>
      <c r="N42" s="13"/>
      <c r="O42" s="13"/>
    </row>
    <row r="43" spans="2:15" ht="12" customHeight="1" x14ac:dyDescent="0.25">
      <c r="B43" s="19"/>
      <c r="C43" s="12"/>
      <c r="D43" s="12"/>
      <c r="E43" s="12"/>
      <c r="F43" s="12"/>
      <c r="G43" s="12"/>
      <c r="H43" s="12"/>
      <c r="I43" s="12"/>
      <c r="J43" s="12"/>
      <c r="K43" s="12"/>
      <c r="L43" s="13"/>
      <c r="M43" s="13"/>
      <c r="N43" s="13"/>
      <c r="O43" s="13"/>
    </row>
    <row r="44" spans="2:15" ht="12" customHeight="1" x14ac:dyDescent="0.25">
      <c r="B44" s="9" t="s">
        <v>47</v>
      </c>
      <c r="C44" s="10">
        <f t="shared" ref="C44:J44" si="18">C35-C36-C41</f>
        <v>708.92499999999973</v>
      </c>
      <c r="D44" s="10">
        <f t="shared" si="18"/>
        <v>1109.3039999999999</v>
      </c>
      <c r="E44" s="10">
        <f t="shared" si="18"/>
        <v>1315.1170000000002</v>
      </c>
      <c r="F44" s="10">
        <f t="shared" si="18"/>
        <v>989.88099999999963</v>
      </c>
      <c r="G44" s="10">
        <f t="shared" si="18"/>
        <v>1405.5280000000007</v>
      </c>
      <c r="H44" s="10">
        <f t="shared" si="18"/>
        <v>670.6459999999995</v>
      </c>
      <c r="I44" s="10">
        <f t="shared" si="18"/>
        <v>2872.0999999999995</v>
      </c>
      <c r="J44" s="10">
        <f t="shared" si="18"/>
        <v>3913.8999999999996</v>
      </c>
      <c r="K44" s="10">
        <f t="shared" ref="K44" si="19">K35-K36-K41</f>
        <v>1675.9999999999995</v>
      </c>
      <c r="L44" s="5"/>
      <c r="M44" s="5"/>
      <c r="N44" s="5"/>
      <c r="O44" s="5"/>
    </row>
    <row r="45" spans="2:15" ht="12" customHeight="1" x14ac:dyDescent="0.25">
      <c r="B45" s="6"/>
      <c r="C45" s="7"/>
      <c r="D45" s="7"/>
      <c r="E45" s="7"/>
      <c r="F45" s="7"/>
      <c r="G45" s="7"/>
      <c r="H45" s="7"/>
      <c r="I45" s="7"/>
      <c r="J45" s="7"/>
      <c r="K45" s="7"/>
      <c r="L45" s="8"/>
      <c r="M45" s="8"/>
      <c r="N45" s="8"/>
      <c r="O45" s="8"/>
    </row>
    <row r="46" spans="2:15" ht="12" customHeight="1" x14ac:dyDescent="0.25">
      <c r="B46" s="6" t="s">
        <v>48</v>
      </c>
      <c r="C46" s="7"/>
      <c r="D46" s="7"/>
      <c r="E46" s="7"/>
      <c r="F46" s="7"/>
      <c r="G46" s="7"/>
      <c r="H46" s="7"/>
      <c r="I46" s="7"/>
      <c r="J46" s="7"/>
      <c r="K46" s="7"/>
      <c r="L46" s="8"/>
      <c r="M46" s="8"/>
      <c r="N46" s="8"/>
      <c r="O46" s="8"/>
    </row>
    <row r="47" spans="2:15" ht="12" customHeight="1" x14ac:dyDescent="0.25">
      <c r="B47" s="6" t="s">
        <v>49</v>
      </c>
      <c r="C47" s="7"/>
      <c r="D47" s="7"/>
      <c r="E47" s="7"/>
      <c r="F47" s="7"/>
      <c r="G47" s="7"/>
      <c r="H47" s="7"/>
      <c r="I47" s="7"/>
      <c r="J47" s="7"/>
      <c r="K47" s="7"/>
      <c r="L47" s="8"/>
      <c r="M47" s="8"/>
      <c r="N47" s="8"/>
      <c r="O47" s="8"/>
    </row>
    <row r="48" spans="2:15" ht="12" customHeight="1" x14ac:dyDescent="0.25">
      <c r="B48" s="6"/>
      <c r="C48" s="7"/>
      <c r="D48" s="7"/>
      <c r="E48" s="7"/>
      <c r="F48" s="7"/>
      <c r="G48" s="7"/>
      <c r="H48" s="7"/>
      <c r="I48" s="7"/>
      <c r="J48" s="7"/>
      <c r="K48" s="7"/>
      <c r="L48" s="8"/>
      <c r="M48" s="8"/>
      <c r="N48" s="8"/>
      <c r="O48" s="8"/>
    </row>
    <row r="49" spans="2:15" ht="12" customHeight="1" x14ac:dyDescent="0.25">
      <c r="B49" s="9" t="s">
        <v>50</v>
      </c>
      <c r="C49" s="10">
        <f t="shared" ref="C49:J49" si="20">C44-C46+C47</f>
        <v>708.92499999999973</v>
      </c>
      <c r="D49" s="10">
        <f t="shared" si="20"/>
        <v>1109.3039999999999</v>
      </c>
      <c r="E49" s="10">
        <f t="shared" si="20"/>
        <v>1315.1170000000002</v>
      </c>
      <c r="F49" s="10">
        <f t="shared" si="20"/>
        <v>989.88099999999963</v>
      </c>
      <c r="G49" s="10">
        <f t="shared" si="20"/>
        <v>1405.5280000000007</v>
      </c>
      <c r="H49" s="10">
        <f t="shared" si="20"/>
        <v>670.6459999999995</v>
      </c>
      <c r="I49" s="10">
        <f t="shared" si="20"/>
        <v>2872.0999999999995</v>
      </c>
      <c r="J49" s="10">
        <f t="shared" si="20"/>
        <v>3913.8999999999996</v>
      </c>
      <c r="K49" s="10">
        <f t="shared" ref="K49" si="21">K44-K46+K47</f>
        <v>1675.9999999999995</v>
      </c>
      <c r="L49" s="5"/>
      <c r="M49" s="5"/>
      <c r="N49" s="5"/>
      <c r="O49" s="5"/>
    </row>
    <row r="50" spans="2:15" ht="12" customHeight="1" x14ac:dyDescent="0.25">
      <c r="B50" s="15" t="s">
        <v>35</v>
      </c>
      <c r="C50" s="16">
        <f t="shared" ref="C50:J50" si="22">IF(ISERROR(C49/C16)," ",C49/C16)</f>
        <v>0.3088572553844437</v>
      </c>
      <c r="D50" s="16">
        <f t="shared" si="22"/>
        <v>0.40958906840884468</v>
      </c>
      <c r="E50" s="16">
        <f t="shared" si="22"/>
        <v>0.46213987922881872</v>
      </c>
      <c r="F50" s="16">
        <f t="shared" si="22"/>
        <v>0.30908774119938576</v>
      </c>
      <c r="G50" s="16">
        <f t="shared" si="22"/>
        <v>0.29713062726820533</v>
      </c>
      <c r="H50" s="16">
        <f t="shared" si="22"/>
        <v>0.12616047542644893</v>
      </c>
      <c r="I50" s="16">
        <f t="shared" si="22"/>
        <v>0.53746397694524484</v>
      </c>
      <c r="J50" s="16">
        <f t="shared" si="22"/>
        <v>0.75277441194006878</v>
      </c>
      <c r="K50" s="16">
        <f t="shared" ref="K50" si="23">IF(ISERROR(K49/K16)," ",K49/K16)</f>
        <v>0.27897067146043469</v>
      </c>
      <c r="L50" s="17"/>
      <c r="M50" s="17"/>
      <c r="N50" s="17"/>
      <c r="O50" s="17"/>
    </row>
    <row r="51" spans="2:15" s="14" customFormat="1" ht="12" customHeight="1" x14ac:dyDescent="0.25">
      <c r="B51" s="11" t="s">
        <v>30</v>
      </c>
      <c r="C51" s="12" t="str">
        <f t="shared" ref="C51:K51" si="24">IF(ISERROR(C49/B49-1)," ",C49/B49-1)</f>
        <v xml:space="preserve"> </v>
      </c>
      <c r="D51" s="12">
        <f t="shared" si="24"/>
        <v>0.56476919279190363</v>
      </c>
      <c r="E51" s="12">
        <f t="shared" si="24"/>
        <v>0.1855334516056919</v>
      </c>
      <c r="F51" s="12">
        <f t="shared" si="24"/>
        <v>-0.24730575302425606</v>
      </c>
      <c r="G51" s="12">
        <f t="shared" si="24"/>
        <v>0.41989592688414179</v>
      </c>
      <c r="H51" s="12">
        <f t="shared" si="24"/>
        <v>-0.52285119898002796</v>
      </c>
      <c r="I51" s="12">
        <f t="shared" si="24"/>
        <v>3.2825872367836411</v>
      </c>
      <c r="J51" s="12">
        <f t="shared" si="24"/>
        <v>0.36273110267748354</v>
      </c>
      <c r="K51" s="12">
        <f t="shared" si="24"/>
        <v>-0.57178262091519971</v>
      </c>
      <c r="L51" s="13"/>
      <c r="M51" s="13"/>
      <c r="N51" s="13"/>
      <c r="O51" s="13"/>
    </row>
    <row r="52" spans="2:15" ht="12" customHeight="1" x14ac:dyDescent="0.25">
      <c r="B52" s="15"/>
      <c r="C52" s="16"/>
      <c r="D52" s="16"/>
      <c r="E52" s="16"/>
      <c r="F52" s="16"/>
      <c r="G52" s="16"/>
      <c r="H52" s="16"/>
      <c r="I52" s="16"/>
      <c r="J52" s="16"/>
      <c r="K52" s="16"/>
      <c r="L52" s="17"/>
      <c r="M52" s="17"/>
      <c r="N52" s="17"/>
      <c r="O52" s="17"/>
    </row>
    <row r="53" spans="2:15" ht="12" customHeight="1" x14ac:dyDescent="0.25">
      <c r="B53" s="9" t="s">
        <v>51</v>
      </c>
      <c r="C53" s="10"/>
      <c r="D53" s="10"/>
      <c r="E53" s="10">
        <v>59.929144000000001</v>
      </c>
      <c r="F53" s="10">
        <v>59.929144000000001</v>
      </c>
      <c r="G53" s="10">
        <v>59.929144000000001</v>
      </c>
      <c r="H53" s="10">
        <v>1797.8743199999999</v>
      </c>
      <c r="I53" s="10">
        <v>2100</v>
      </c>
      <c r="J53" s="10">
        <v>2100</v>
      </c>
      <c r="K53" s="10"/>
      <c r="L53" s="5"/>
      <c r="M53" s="5"/>
      <c r="N53" s="5"/>
      <c r="O53" s="5"/>
    </row>
    <row r="54" spans="2:15" ht="12" customHeight="1" x14ac:dyDescent="0.25">
      <c r="B54" s="9" t="s">
        <v>52</v>
      </c>
      <c r="C54" s="20"/>
      <c r="D54" s="20"/>
      <c r="E54" s="20"/>
      <c r="F54" s="20"/>
      <c r="G54" s="20"/>
      <c r="H54" s="20"/>
      <c r="I54" s="20"/>
      <c r="J54" s="20"/>
      <c r="K54" s="20"/>
      <c r="L54" s="21"/>
      <c r="M54" s="21"/>
      <c r="N54" s="21"/>
      <c r="O54" s="21"/>
    </row>
    <row r="55" spans="2:15" ht="12" customHeight="1" x14ac:dyDescent="0.25">
      <c r="B55" s="9" t="s">
        <v>53</v>
      </c>
      <c r="C55" s="20"/>
      <c r="D55" s="20"/>
      <c r="E55" s="20"/>
      <c r="F55" s="20"/>
      <c r="G55" s="20"/>
      <c r="H55" s="20"/>
      <c r="I55" s="20"/>
      <c r="J55" s="20"/>
      <c r="K55" s="20"/>
      <c r="L55" s="21"/>
      <c r="M55" s="21"/>
      <c r="N55" s="21"/>
      <c r="O55" s="21"/>
    </row>
    <row r="56" spans="2:15" ht="12" customHeight="1" x14ac:dyDescent="0.25">
      <c r="B56" s="9" t="s">
        <v>54</v>
      </c>
      <c r="C56" s="20"/>
      <c r="D56" s="20"/>
      <c r="E56" s="20"/>
      <c r="F56" s="20"/>
      <c r="G56" s="20"/>
      <c r="H56" s="20"/>
      <c r="I56" s="20"/>
      <c r="J56" s="20"/>
      <c r="K56" s="20"/>
      <c r="L56" s="21"/>
      <c r="M56" s="21"/>
      <c r="N56" s="21"/>
      <c r="O56" s="21"/>
    </row>
    <row r="57" spans="2:15" ht="12" customHeight="1" x14ac:dyDescent="0.25">
      <c r="B57" s="9" t="s">
        <v>55</v>
      </c>
      <c r="C57" s="20"/>
      <c r="D57" s="20"/>
      <c r="E57" s="20"/>
      <c r="F57" s="20"/>
      <c r="G57" s="20"/>
      <c r="H57" s="20"/>
      <c r="I57" s="20"/>
      <c r="J57" s="20"/>
      <c r="K57" s="20"/>
      <c r="L57" s="21"/>
      <c r="M57" s="21"/>
      <c r="N57" s="21"/>
      <c r="O57" s="21"/>
    </row>
    <row r="58" spans="2:15" ht="12" customHeight="1" x14ac:dyDescent="0.25">
      <c r="B58" s="9" t="s">
        <v>56</v>
      </c>
      <c r="C58" s="20"/>
      <c r="D58" s="20"/>
      <c r="E58" s="20"/>
      <c r="F58" s="20"/>
      <c r="G58" s="20"/>
      <c r="H58" s="20"/>
      <c r="I58" s="20"/>
      <c r="J58" s="20"/>
      <c r="K58" s="20"/>
      <c r="L58" s="21"/>
      <c r="M58" s="21"/>
      <c r="N58" s="21"/>
      <c r="O58" s="21"/>
    </row>
    <row r="59" spans="2:15" ht="12" customHeight="1" x14ac:dyDescent="0.25">
      <c r="B59" s="9" t="s">
        <v>57</v>
      </c>
      <c r="C59" s="22"/>
      <c r="D59" s="22"/>
      <c r="E59" s="22"/>
      <c r="F59" s="22"/>
      <c r="G59" s="22"/>
      <c r="H59" s="22"/>
      <c r="I59" s="22"/>
      <c r="J59" s="22"/>
      <c r="K59" s="22"/>
      <c r="L59" s="23"/>
      <c r="M59" s="23"/>
      <c r="N59" s="23"/>
      <c r="O59" s="23"/>
    </row>
    <row r="60" spans="2:15" ht="12" customHeight="1" x14ac:dyDescent="0.25">
      <c r="B60" s="9" t="s">
        <v>58</v>
      </c>
      <c r="C60" s="10"/>
      <c r="D60" s="10"/>
      <c r="E60" s="10"/>
      <c r="F60" s="10"/>
      <c r="G60" s="10"/>
      <c r="H60" s="10"/>
      <c r="I60" s="10"/>
      <c r="J60" s="10"/>
      <c r="K60" s="10"/>
      <c r="L60" s="5"/>
      <c r="M60" s="5"/>
      <c r="N60" s="5"/>
      <c r="O60" s="5"/>
    </row>
    <row r="61" spans="2:15" ht="12" customHeight="1" x14ac:dyDescent="0.25">
      <c r="B61" s="9"/>
      <c r="C61" s="10"/>
      <c r="D61" s="10"/>
      <c r="E61" s="10"/>
      <c r="F61" s="10"/>
      <c r="G61" s="10"/>
      <c r="H61" s="10"/>
      <c r="I61" s="10"/>
      <c r="J61" s="10"/>
      <c r="K61" s="10"/>
      <c r="L61" s="5"/>
      <c r="M61" s="5"/>
      <c r="N61" s="5"/>
      <c r="O61" s="5"/>
    </row>
    <row r="62" spans="2:15" s="26" customFormat="1" ht="12" customHeight="1" x14ac:dyDescent="0.25">
      <c r="B62" s="24"/>
      <c r="C62" s="25"/>
      <c r="D62" s="25"/>
      <c r="E62" s="25"/>
      <c r="F62" s="25"/>
      <c r="G62" s="25"/>
      <c r="H62" s="25"/>
      <c r="I62" s="25"/>
      <c r="J62" s="25"/>
      <c r="K62" s="25"/>
      <c r="L62" s="25"/>
      <c r="M62" s="25"/>
      <c r="N62" s="25"/>
      <c r="O62" s="25"/>
    </row>
    <row r="63" spans="2:15" ht="12" customHeight="1" x14ac:dyDescent="0.25">
      <c r="B63" s="3" t="s">
        <v>59</v>
      </c>
      <c r="C63" s="4"/>
      <c r="D63" s="4"/>
      <c r="E63" s="4"/>
      <c r="F63" s="4"/>
      <c r="G63" s="4"/>
      <c r="H63" s="4"/>
      <c r="I63" s="4"/>
      <c r="J63" s="4"/>
      <c r="K63" s="4"/>
    </row>
    <row r="64" spans="2:15" ht="12" customHeight="1" x14ac:dyDescent="0.25">
      <c r="B64" s="6" t="s">
        <v>376</v>
      </c>
      <c r="C64" s="7"/>
      <c r="D64" s="7"/>
      <c r="E64" s="7"/>
      <c r="F64" s="7"/>
      <c r="G64" s="7"/>
      <c r="H64" s="7"/>
      <c r="I64" s="7"/>
      <c r="J64" s="7"/>
      <c r="K64" s="7"/>
    </row>
    <row r="65" spans="2:11" ht="12" customHeight="1" x14ac:dyDescent="0.25">
      <c r="B65" s="6" t="s">
        <v>60</v>
      </c>
      <c r="C65" s="7">
        <v>601.798</v>
      </c>
      <c r="D65" s="7">
        <v>601.798</v>
      </c>
      <c r="E65" s="7">
        <v>599.29100000000005</v>
      </c>
      <c r="F65" s="7">
        <v>599.29100000000005</v>
      </c>
      <c r="G65" s="7">
        <v>599.29100000000005</v>
      </c>
      <c r="H65" s="7">
        <v>3595.7489999999998</v>
      </c>
      <c r="I65" s="7">
        <v>4103</v>
      </c>
      <c r="J65" s="7">
        <v>4147</v>
      </c>
      <c r="K65" s="7">
        <v>4170.3999999999996</v>
      </c>
    </row>
    <row r="66" spans="2:11" ht="12" customHeight="1" x14ac:dyDescent="0.25">
      <c r="B66" s="6" t="s">
        <v>61</v>
      </c>
      <c r="C66" s="7">
        <v>12357.512000000001</v>
      </c>
      <c r="D66" s="7">
        <v>13547.057000000001</v>
      </c>
      <c r="E66" s="7">
        <v>9899.7870000000003</v>
      </c>
      <c r="F66" s="7">
        <v>11407.697</v>
      </c>
      <c r="G66" s="7">
        <v>13325.656000000001</v>
      </c>
      <c r="H66" s="7">
        <v>12431.895</v>
      </c>
      <c r="I66" s="7">
        <v>43864.399999999994</v>
      </c>
      <c r="J66" s="7">
        <v>47298.3</v>
      </c>
      <c r="K66" s="7">
        <v>47571.3</v>
      </c>
    </row>
    <row r="67" spans="2:11" ht="12" customHeight="1" x14ac:dyDescent="0.25">
      <c r="B67" s="6" t="s">
        <v>62</v>
      </c>
      <c r="C67" s="7"/>
      <c r="D67" s="7"/>
      <c r="E67" s="7"/>
      <c r="F67" s="7"/>
      <c r="G67" s="7"/>
      <c r="H67" s="7"/>
      <c r="I67" s="7">
        <v>0</v>
      </c>
      <c r="J67" s="7"/>
      <c r="K67" s="7"/>
    </row>
    <row r="68" spans="2:11" ht="12" customHeight="1" x14ac:dyDescent="0.25">
      <c r="B68" s="6"/>
      <c r="C68" s="7"/>
      <c r="D68" s="7"/>
      <c r="E68" s="7"/>
      <c r="F68" s="7"/>
      <c r="G68" s="7"/>
      <c r="H68" s="7"/>
      <c r="I68" s="7">
        <v>0</v>
      </c>
      <c r="J68" s="7"/>
      <c r="K68" s="7"/>
    </row>
    <row r="69" spans="2:11" ht="12" customHeight="1" x14ac:dyDescent="0.25">
      <c r="B69" s="6" t="s">
        <v>63</v>
      </c>
      <c r="C69" s="7"/>
      <c r="D69" s="7"/>
      <c r="E69" s="7"/>
      <c r="F69" s="7"/>
      <c r="G69" s="7">
        <v>0</v>
      </c>
      <c r="H69" s="7">
        <v>0</v>
      </c>
      <c r="I69" s="7">
        <v>0</v>
      </c>
      <c r="J69" s="7"/>
      <c r="K69" s="7"/>
    </row>
    <row r="70" spans="2:11" ht="12" customHeight="1" x14ac:dyDescent="0.25">
      <c r="B70" s="6"/>
      <c r="C70" s="7"/>
      <c r="D70" s="7"/>
      <c r="E70" s="7"/>
      <c r="F70" s="7"/>
      <c r="G70" s="7"/>
      <c r="H70" s="7"/>
      <c r="I70" s="7">
        <v>0</v>
      </c>
      <c r="J70" s="7"/>
      <c r="K70" s="7"/>
    </row>
    <row r="71" spans="2:11" ht="12" customHeight="1" x14ac:dyDescent="0.25">
      <c r="B71" s="6" t="s">
        <v>64</v>
      </c>
      <c r="C71" s="7"/>
      <c r="D71" s="7"/>
      <c r="E71" s="7">
        <v>2842.252</v>
      </c>
      <c r="F71" s="7">
        <v>2247.9490000000001</v>
      </c>
      <c r="G71" s="7">
        <v>30067.421999999999</v>
      </c>
      <c r="H71" s="7">
        <v>32596.302</v>
      </c>
      <c r="I71" s="7">
        <v>33109.199999999997</v>
      </c>
      <c r="J71" s="7">
        <v>34042.199999999997</v>
      </c>
      <c r="K71" s="7">
        <v>43755</v>
      </c>
    </row>
    <row r="72" spans="2:11" ht="12" customHeight="1" x14ac:dyDescent="0.25">
      <c r="B72" s="6" t="s">
        <v>65</v>
      </c>
      <c r="C72" s="7">
        <v>538.07399999999996</v>
      </c>
      <c r="D72" s="122"/>
      <c r="E72" s="7"/>
      <c r="F72" s="7"/>
      <c r="G72" s="7">
        <v>1500</v>
      </c>
      <c r="H72" s="7">
        <v>0</v>
      </c>
      <c r="I72" s="7"/>
      <c r="J72" s="7"/>
      <c r="K72" s="7">
        <v>1238.3</v>
      </c>
    </row>
    <row r="73" spans="2:11" ht="12" customHeight="1" x14ac:dyDescent="0.25">
      <c r="B73" s="6" t="s">
        <v>66</v>
      </c>
      <c r="C73" s="7"/>
      <c r="D73" s="122"/>
      <c r="E73" s="122"/>
      <c r="F73" s="122"/>
      <c r="G73" s="7"/>
      <c r="H73" s="7"/>
      <c r="I73" s="7"/>
      <c r="J73" s="7"/>
      <c r="K73" s="7"/>
    </row>
    <row r="74" spans="2:11" ht="12" customHeight="1" x14ac:dyDescent="0.25">
      <c r="B74" s="27" t="s">
        <v>67</v>
      </c>
      <c r="C74" s="28">
        <f t="shared" ref="C74:J74" si="25">C71+C72+C73</f>
        <v>538.07399999999996</v>
      </c>
      <c r="D74" s="28">
        <f t="shared" si="25"/>
        <v>0</v>
      </c>
      <c r="E74" s="28">
        <f t="shared" si="25"/>
        <v>2842.252</v>
      </c>
      <c r="F74" s="28">
        <f t="shared" si="25"/>
        <v>2247.9490000000001</v>
      </c>
      <c r="G74" s="28">
        <f t="shared" si="25"/>
        <v>31567.421999999999</v>
      </c>
      <c r="H74" s="28">
        <f t="shared" si="25"/>
        <v>32596.302</v>
      </c>
      <c r="I74" s="28">
        <f t="shared" si="25"/>
        <v>33109.199999999997</v>
      </c>
      <c r="J74" s="28">
        <f t="shared" si="25"/>
        <v>34042.199999999997</v>
      </c>
      <c r="K74" s="28">
        <f t="shared" ref="K74" si="26">K71+K72+K73</f>
        <v>44993.3</v>
      </c>
    </row>
    <row r="75" spans="2:11" ht="12" customHeight="1" x14ac:dyDescent="0.25">
      <c r="B75" s="6" t="s">
        <v>68</v>
      </c>
      <c r="C75" s="7"/>
      <c r="D75" s="7"/>
      <c r="E75" s="7"/>
      <c r="F75" s="7"/>
      <c r="G75" s="7"/>
      <c r="H75" s="7"/>
      <c r="I75" s="7"/>
      <c r="J75" s="7"/>
      <c r="K75" s="7"/>
    </row>
    <row r="76" spans="2:11" ht="12" customHeight="1" x14ac:dyDescent="0.25">
      <c r="B76" s="6" t="s">
        <v>69</v>
      </c>
      <c r="C76" s="7"/>
      <c r="D76" s="7"/>
      <c r="E76" s="7"/>
      <c r="F76" s="7"/>
      <c r="G76" s="7"/>
      <c r="H76" s="7"/>
      <c r="I76" s="7"/>
      <c r="J76" s="7"/>
      <c r="K76" s="7"/>
    </row>
    <row r="77" spans="2:11" ht="12" customHeight="1" x14ac:dyDescent="0.25">
      <c r="B77" s="29" t="s">
        <v>70</v>
      </c>
      <c r="C77" s="30">
        <f t="shared" ref="C77:J77" si="27">C74+C75-C76</f>
        <v>538.07399999999996</v>
      </c>
      <c r="D77" s="30">
        <f t="shared" si="27"/>
        <v>0</v>
      </c>
      <c r="E77" s="30">
        <f t="shared" si="27"/>
        <v>2842.252</v>
      </c>
      <c r="F77" s="30">
        <f t="shared" si="27"/>
        <v>2247.9490000000001</v>
      </c>
      <c r="G77" s="30">
        <f t="shared" si="27"/>
        <v>31567.421999999999</v>
      </c>
      <c r="H77" s="30">
        <f t="shared" si="27"/>
        <v>32596.302</v>
      </c>
      <c r="I77" s="30">
        <f t="shared" si="27"/>
        <v>33109.199999999997</v>
      </c>
      <c r="J77" s="30">
        <f t="shared" si="27"/>
        <v>34042.199999999997</v>
      </c>
      <c r="K77" s="30">
        <f t="shared" ref="K77" si="28">K74+K75-K76</f>
        <v>44993.3</v>
      </c>
    </row>
    <row r="78" spans="2:11" ht="12" customHeight="1" x14ac:dyDescent="0.25">
      <c r="B78" s="6" t="s">
        <v>71</v>
      </c>
      <c r="C78" s="7">
        <f t="shared" ref="C78:J78" si="29">C77</f>
        <v>538.07399999999996</v>
      </c>
      <c r="D78" s="7">
        <f t="shared" si="29"/>
        <v>0</v>
      </c>
      <c r="E78" s="7">
        <f t="shared" si="29"/>
        <v>2842.252</v>
      </c>
      <c r="F78" s="7">
        <f t="shared" si="29"/>
        <v>2247.9490000000001</v>
      </c>
      <c r="G78" s="7">
        <f t="shared" si="29"/>
        <v>31567.421999999999</v>
      </c>
      <c r="H78" s="7">
        <f t="shared" si="29"/>
        <v>32596.302</v>
      </c>
      <c r="I78" s="7">
        <f t="shared" si="29"/>
        <v>33109.199999999997</v>
      </c>
      <c r="J78" s="7">
        <f t="shared" si="29"/>
        <v>34042.199999999997</v>
      </c>
      <c r="K78" s="7">
        <f t="shared" ref="K78" si="30">K77</f>
        <v>44993.3</v>
      </c>
    </row>
    <row r="79" spans="2:11" ht="12" customHeight="1" x14ac:dyDescent="0.25">
      <c r="B79" s="6" t="s">
        <v>72</v>
      </c>
      <c r="C79" s="7"/>
      <c r="D79" s="7"/>
      <c r="E79" s="7"/>
      <c r="F79" s="7"/>
      <c r="G79" s="7">
        <v>0</v>
      </c>
      <c r="H79" s="7">
        <v>0</v>
      </c>
      <c r="I79" s="7">
        <v>0</v>
      </c>
      <c r="J79" s="7">
        <v>0</v>
      </c>
      <c r="K79" s="7"/>
    </row>
    <row r="80" spans="2:11" ht="12" customHeight="1" x14ac:dyDescent="0.25">
      <c r="B80" s="6" t="s">
        <v>73</v>
      </c>
      <c r="C80" s="7">
        <v>82.703000000000003</v>
      </c>
      <c r="D80" s="7">
        <v>114.81399999999999</v>
      </c>
      <c r="E80" s="7">
        <f>81.268+154.102</f>
        <v>235.37</v>
      </c>
      <c r="F80" s="7">
        <f>324.841+873.441</f>
        <v>1198.2820000000002</v>
      </c>
      <c r="G80" s="7">
        <f>355.421+772.779</f>
        <v>1128.2</v>
      </c>
      <c r="H80" s="7">
        <f>716.052+388.879+3.29</f>
        <v>1108.221</v>
      </c>
      <c r="I80" s="7">
        <f>(0.17+42.56+60.15)*10</f>
        <v>1028.8</v>
      </c>
      <c r="J80" s="7">
        <f>2.4+83.1+74.6</f>
        <v>160.1</v>
      </c>
      <c r="K80" s="7">
        <f>591.3+316.8+18.4</f>
        <v>926.49999999999989</v>
      </c>
    </row>
    <row r="81" spans="2:11" ht="12" customHeight="1" x14ac:dyDescent="0.25">
      <c r="B81" s="6" t="s">
        <v>74</v>
      </c>
      <c r="C81" s="7">
        <v>9.4380000000000006</v>
      </c>
      <c r="D81" s="7">
        <v>9.67</v>
      </c>
      <c r="E81" s="7">
        <v>14.930999999999999</v>
      </c>
      <c r="F81" s="7">
        <v>15.532999999999999</v>
      </c>
      <c r="G81" s="7">
        <v>14.239000000000001</v>
      </c>
      <c r="H81" s="7">
        <v>2.0259999999999998</v>
      </c>
      <c r="I81" s="7">
        <v>2.4</v>
      </c>
      <c r="J81" s="7">
        <v>2.5</v>
      </c>
      <c r="K81" s="7">
        <v>23.1</v>
      </c>
    </row>
    <row r="82" spans="2:11" ht="12" customHeight="1" x14ac:dyDescent="0.25">
      <c r="B82" s="6"/>
      <c r="C82" s="7"/>
      <c r="D82" s="7"/>
      <c r="E82" s="7"/>
      <c r="F82" s="7"/>
      <c r="G82" s="7"/>
      <c r="H82" s="7"/>
      <c r="I82" s="7">
        <v>0</v>
      </c>
      <c r="J82" s="7">
        <v>0</v>
      </c>
      <c r="K82" s="7"/>
    </row>
    <row r="83" spans="2:11" ht="12" customHeight="1" x14ac:dyDescent="0.25">
      <c r="B83" s="9" t="s">
        <v>75</v>
      </c>
      <c r="C83" s="10">
        <f t="shared" ref="C83:J83" si="31">SUM(C65:C66)+C69+SUM(C78:C81)</f>
        <v>13589.525000000001</v>
      </c>
      <c r="D83" s="10">
        <f t="shared" si="31"/>
        <v>14273.339000000002</v>
      </c>
      <c r="E83" s="10">
        <f t="shared" si="31"/>
        <v>13591.630999999999</v>
      </c>
      <c r="F83" s="10">
        <f t="shared" si="31"/>
        <v>15468.752</v>
      </c>
      <c r="G83" s="10">
        <f t="shared" si="31"/>
        <v>46634.808000000005</v>
      </c>
      <c r="H83" s="10">
        <f t="shared" si="31"/>
        <v>49734.192999999999</v>
      </c>
      <c r="I83" s="10">
        <f t="shared" si="31"/>
        <v>82107.799999999988</v>
      </c>
      <c r="J83" s="10">
        <f t="shared" si="31"/>
        <v>85650.1</v>
      </c>
      <c r="K83" s="10">
        <f t="shared" ref="K83" si="32">SUM(K65:K66)+K69+SUM(K78:K81)</f>
        <v>97684.6</v>
      </c>
    </row>
    <row r="84" spans="2:11" ht="12" customHeight="1" x14ac:dyDescent="0.25">
      <c r="B84" s="6"/>
      <c r="C84" s="7"/>
      <c r="D84" s="7"/>
      <c r="E84" s="7"/>
      <c r="F84" s="7"/>
      <c r="G84" s="7"/>
      <c r="H84" s="7"/>
      <c r="I84" s="7"/>
      <c r="J84" s="7"/>
      <c r="K84" s="7"/>
    </row>
    <row r="85" spans="2:11" ht="12" customHeight="1" x14ac:dyDescent="0.25">
      <c r="B85" s="6" t="s">
        <v>76</v>
      </c>
      <c r="C85" s="7"/>
      <c r="D85" s="7"/>
      <c r="E85" s="7"/>
      <c r="F85" s="7"/>
      <c r="G85" s="7"/>
      <c r="H85" s="7"/>
      <c r="I85" s="7"/>
      <c r="J85" s="7"/>
      <c r="K85" s="7"/>
    </row>
    <row r="86" spans="2:11" ht="12" customHeight="1" x14ac:dyDescent="0.25">
      <c r="B86" s="6" t="s">
        <v>77</v>
      </c>
      <c r="C86" s="7"/>
      <c r="D86" s="7"/>
      <c r="E86" s="7"/>
      <c r="F86" s="7"/>
      <c r="G86" s="7"/>
      <c r="H86" s="7"/>
      <c r="I86" s="7"/>
      <c r="J86" s="7"/>
      <c r="K86" s="7"/>
    </row>
    <row r="87" spans="2:11" ht="12" customHeight="1" x14ac:dyDescent="0.25">
      <c r="B87" s="6" t="s">
        <v>78</v>
      </c>
      <c r="C87" s="7"/>
      <c r="D87" s="7"/>
      <c r="E87" s="7"/>
      <c r="F87" s="7"/>
      <c r="G87" s="7"/>
      <c r="H87" s="7"/>
      <c r="I87" s="7"/>
      <c r="J87" s="7"/>
      <c r="K87" s="7">
        <f>1689+632.4</f>
        <v>2321.4</v>
      </c>
    </row>
    <row r="88" spans="2:11" ht="12" customHeight="1" x14ac:dyDescent="0.25">
      <c r="B88" s="6" t="s">
        <v>79</v>
      </c>
      <c r="C88" s="7"/>
      <c r="D88" s="7"/>
      <c r="E88" s="7"/>
      <c r="F88" s="7"/>
      <c r="G88" s="7"/>
      <c r="H88" s="7"/>
      <c r="I88" s="7"/>
      <c r="J88" s="7"/>
      <c r="K88" s="7">
        <f>118.5+28.2</f>
        <v>146.7</v>
      </c>
    </row>
    <row r="89" spans="2:11" ht="12" customHeight="1" x14ac:dyDescent="0.25">
      <c r="B89" s="6" t="s">
        <v>80</v>
      </c>
      <c r="C89" s="7">
        <f>925.564</f>
        <v>925.56399999999996</v>
      </c>
      <c r="D89" s="7">
        <v>912.46799999999996</v>
      </c>
      <c r="E89" s="7">
        <f>1020.026+0.638</f>
        <v>1020.664</v>
      </c>
      <c r="F89" s="7">
        <f>1002.158+0.201</f>
        <v>1002.359</v>
      </c>
      <c r="G89" s="7">
        <f>975.632+3.052</f>
        <v>978.68399999999997</v>
      </c>
      <c r="H89" s="7">
        <f>1002.998+4.631 +6.671</f>
        <v>1014.3000000000001</v>
      </c>
      <c r="I89" s="7">
        <f>(100.95+0.3)*10</f>
        <v>1012.5</v>
      </c>
      <c r="J89" s="7">
        <f>1506.7+3.6</f>
        <v>1510.3</v>
      </c>
      <c r="K89" s="7">
        <f>1570.5+604.2</f>
        <v>2174.6999999999998</v>
      </c>
    </row>
    <row r="90" spans="2:11" ht="12" customHeight="1" x14ac:dyDescent="0.25">
      <c r="B90" s="6" t="s">
        <v>81</v>
      </c>
      <c r="C90" s="7"/>
      <c r="D90" s="7"/>
      <c r="E90" s="7"/>
      <c r="F90" s="7"/>
      <c r="G90" s="7">
        <v>0</v>
      </c>
      <c r="H90" s="7">
        <v>0</v>
      </c>
      <c r="I90" s="7">
        <v>0</v>
      </c>
      <c r="J90" s="7">
        <v>15846.9</v>
      </c>
      <c r="K90" s="7">
        <v>21202.2</v>
      </c>
    </row>
    <row r="91" spans="2:11" ht="12" customHeight="1" x14ac:dyDescent="0.25">
      <c r="B91" s="6"/>
      <c r="C91" s="7"/>
      <c r="D91" s="7"/>
      <c r="E91" s="7"/>
      <c r="F91" s="7"/>
      <c r="G91" s="7"/>
      <c r="H91" s="7"/>
      <c r="I91" s="7"/>
      <c r="J91" s="7"/>
      <c r="K91" s="7"/>
    </row>
    <row r="92" spans="2:11" ht="12" customHeight="1" x14ac:dyDescent="0.25">
      <c r="B92" s="6" t="s">
        <v>82</v>
      </c>
      <c r="C92" s="7"/>
      <c r="D92" s="7"/>
      <c r="E92" s="7"/>
      <c r="F92" s="7"/>
      <c r="G92" s="7">
        <v>0</v>
      </c>
      <c r="H92" s="7">
        <v>0</v>
      </c>
      <c r="I92" s="7">
        <v>0</v>
      </c>
      <c r="J92" s="7"/>
      <c r="K92" s="7"/>
    </row>
    <row r="93" spans="2:11" ht="12" customHeight="1" x14ac:dyDescent="0.25">
      <c r="B93" s="6" t="s">
        <v>83</v>
      </c>
      <c r="C93" s="7">
        <f>819.067+2.596</f>
        <v>821.66300000000001</v>
      </c>
      <c r="D93" s="7">
        <v>2.6890000000000001</v>
      </c>
      <c r="E93" s="7">
        <v>2.1030000000000002</v>
      </c>
      <c r="F93" s="7">
        <v>3.4209999999999998</v>
      </c>
      <c r="G93" s="7">
        <v>0</v>
      </c>
      <c r="H93" s="7">
        <v>0</v>
      </c>
      <c r="I93" s="7">
        <v>4.6999999999999993</v>
      </c>
      <c r="J93" s="7">
        <v>113.5</v>
      </c>
      <c r="K93" s="7">
        <v>1.7</v>
      </c>
    </row>
    <row r="94" spans="2:11" ht="12" customHeight="1" x14ac:dyDescent="0.25">
      <c r="B94" s="6" t="s">
        <v>84</v>
      </c>
      <c r="C94" s="7"/>
      <c r="D94" s="7"/>
      <c r="E94" s="7"/>
      <c r="F94" s="7"/>
      <c r="G94" s="7">
        <v>0</v>
      </c>
      <c r="H94" s="7">
        <v>0</v>
      </c>
      <c r="I94" s="7">
        <v>0</v>
      </c>
      <c r="J94" s="7"/>
      <c r="K94" s="7"/>
    </row>
    <row r="95" spans="2:11" ht="12" customHeight="1" x14ac:dyDescent="0.25">
      <c r="B95" s="6"/>
      <c r="C95" s="7"/>
      <c r="D95" s="7"/>
      <c r="E95" s="7"/>
      <c r="F95" s="7"/>
      <c r="G95" s="7"/>
      <c r="H95" s="7"/>
      <c r="I95" s="7"/>
      <c r="J95" s="7"/>
      <c r="K95" s="7"/>
    </row>
    <row r="96" spans="2:11" ht="12" customHeight="1" x14ac:dyDescent="0.25">
      <c r="B96" s="6" t="s">
        <v>85</v>
      </c>
      <c r="C96" s="7">
        <f>5096.566+214.203</f>
        <v>5310.7690000000002</v>
      </c>
      <c r="D96" s="7">
        <f>5466.548+288.6</f>
        <v>5755.1480000000001</v>
      </c>
      <c r="E96" s="7">
        <f>7206.799+3090</f>
        <v>10296.798999999999</v>
      </c>
      <c r="F96" s="7">
        <f>11183.739+2955</f>
        <v>14138.739</v>
      </c>
      <c r="G96" s="7">
        <f>2830+12768.529</f>
        <v>15598.529</v>
      </c>
      <c r="H96" s="7">
        <v>13452.602999999999</v>
      </c>
      <c r="I96" s="7">
        <f>1915.02*10</f>
        <v>19150.2</v>
      </c>
      <c r="J96" s="7">
        <v>31883.9</v>
      </c>
      <c r="K96" s="7">
        <v>33204.9</v>
      </c>
    </row>
    <row r="97" spans="2:11" ht="12" customHeight="1" x14ac:dyDescent="0.25">
      <c r="B97" s="6" t="s">
        <v>86</v>
      </c>
      <c r="C97" s="7">
        <v>421.142</v>
      </c>
      <c r="D97" s="7">
        <v>552.73299999999995</v>
      </c>
      <c r="E97" s="7">
        <v>514.88800000000003</v>
      </c>
      <c r="F97" s="7">
        <v>365.47399999999999</v>
      </c>
      <c r="G97" s="7">
        <v>340.65199999999999</v>
      </c>
      <c r="H97" s="7">
        <v>576.42899999999997</v>
      </c>
      <c r="I97" s="7">
        <v>663.19999999999993</v>
      </c>
      <c r="J97" s="7">
        <v>483</v>
      </c>
      <c r="K97" s="7">
        <v>704.1</v>
      </c>
    </row>
    <row r="98" spans="2:11" ht="12" customHeight="1" x14ac:dyDescent="0.25">
      <c r="B98" s="6" t="s">
        <v>87</v>
      </c>
      <c r="C98" s="7">
        <v>19</v>
      </c>
      <c r="D98" s="7">
        <v>15.2</v>
      </c>
      <c r="E98" s="7">
        <v>198.25800000000001</v>
      </c>
      <c r="F98" s="7">
        <v>169.553</v>
      </c>
      <c r="G98" s="7">
        <v>24076.391</v>
      </c>
      <c r="H98" s="7">
        <v>27506.685000000001</v>
      </c>
      <c r="I98" s="7">
        <v>38582.600000000006</v>
      </c>
      <c r="J98" s="7">
        <v>17105.5</v>
      </c>
      <c r="K98" s="7">
        <v>22191.1</v>
      </c>
    </row>
    <row r="99" spans="2:11" ht="12" customHeight="1" x14ac:dyDescent="0.25">
      <c r="B99" s="6" t="s">
        <v>88</v>
      </c>
      <c r="C99" s="7">
        <f>344.536+32.981</f>
        <v>377.517</v>
      </c>
      <c r="D99" s="7">
        <f>18.297+33.874</f>
        <v>52.171000000000006</v>
      </c>
      <c r="E99" s="7">
        <f>30.626+120.55</f>
        <v>151.17599999999999</v>
      </c>
      <c r="F99" s="7">
        <f>14.313+118.472</f>
        <v>132.785</v>
      </c>
      <c r="G99" s="7">
        <f>117+189.194+16.844</f>
        <v>323.03799999999995</v>
      </c>
      <c r="H99" s="7">
        <f>15.701+603.881</f>
        <v>619.58199999999999</v>
      </c>
      <c r="I99" s="7">
        <f>(3.07+55.3)*10</f>
        <v>583.69999999999993</v>
      </c>
      <c r="J99" s="7">
        <f>4718.8+239.3+350</f>
        <v>5308.1</v>
      </c>
      <c r="K99" s="7">
        <f>6620.5+673+618.5</f>
        <v>7912</v>
      </c>
    </row>
    <row r="100" spans="2:11" ht="12" customHeight="1" x14ac:dyDescent="0.25">
      <c r="B100" s="6"/>
      <c r="C100" s="7"/>
      <c r="D100" s="7"/>
      <c r="E100" s="7"/>
      <c r="F100" s="7"/>
      <c r="G100" s="7"/>
      <c r="H100" s="7"/>
      <c r="I100" s="7">
        <v>0</v>
      </c>
      <c r="J100" s="7"/>
      <c r="K100" s="7"/>
    </row>
    <row r="101" spans="2:11" ht="12" customHeight="1" x14ac:dyDescent="0.25">
      <c r="B101" s="9" t="s">
        <v>377</v>
      </c>
      <c r="C101" s="10"/>
      <c r="D101" s="10"/>
      <c r="E101" s="10"/>
      <c r="F101" s="10"/>
      <c r="G101" s="10"/>
      <c r="H101" s="10"/>
      <c r="I101" s="10">
        <v>0</v>
      </c>
      <c r="J101" s="10"/>
      <c r="K101" s="10"/>
    </row>
    <row r="102" spans="2:11" ht="12" customHeight="1" x14ac:dyDescent="0.25">
      <c r="B102" s="6" t="s">
        <v>89</v>
      </c>
      <c r="C102" s="7">
        <v>57.850999999999999</v>
      </c>
      <c r="D102" s="7">
        <v>1167.5360000000001</v>
      </c>
      <c r="E102" s="7">
        <v>311.577</v>
      </c>
      <c r="F102" s="7"/>
      <c r="G102" s="7">
        <v>0</v>
      </c>
      <c r="H102" s="7">
        <v>400.94400000000002</v>
      </c>
      <c r="I102" s="7">
        <v>36.9</v>
      </c>
      <c r="J102" s="7"/>
      <c r="K102" s="7"/>
    </row>
    <row r="103" spans="2:11" ht="12" customHeight="1" x14ac:dyDescent="0.25">
      <c r="B103" s="6" t="s">
        <v>90</v>
      </c>
      <c r="C103" s="7">
        <v>5.08</v>
      </c>
      <c r="D103" s="7">
        <v>5.5810000000000004</v>
      </c>
      <c r="E103" s="7">
        <v>7.4669999999999996</v>
      </c>
      <c r="F103" s="7">
        <v>8.5429999999999993</v>
      </c>
      <c r="G103" s="7">
        <v>10.725</v>
      </c>
      <c r="H103" s="7">
        <v>20.553999999999998</v>
      </c>
      <c r="I103" s="7">
        <v>12</v>
      </c>
      <c r="J103" s="7">
        <v>13.1</v>
      </c>
      <c r="K103" s="7">
        <v>16.600000000000001</v>
      </c>
    </row>
    <row r="104" spans="2:11" ht="12" customHeight="1" x14ac:dyDescent="0.25">
      <c r="B104" s="6" t="s">
        <v>91</v>
      </c>
      <c r="C104" s="7">
        <v>1436.75</v>
      </c>
      <c r="D104" s="7">
        <v>1106.9110000000001</v>
      </c>
      <c r="E104" s="7">
        <v>1500.077</v>
      </c>
      <c r="F104" s="7">
        <v>898.13400000000001</v>
      </c>
      <c r="G104" s="7">
        <v>890.11699999999996</v>
      </c>
      <c r="H104" s="7">
        <v>747.95299999999997</v>
      </c>
      <c r="I104" s="7">
        <v>964.80000000000007</v>
      </c>
      <c r="J104" s="7">
        <v>804.2</v>
      </c>
      <c r="K104" s="7">
        <v>1023.5</v>
      </c>
    </row>
    <row r="105" spans="2:11" ht="12" customHeight="1" x14ac:dyDescent="0.25">
      <c r="B105" s="6" t="s">
        <v>92</v>
      </c>
      <c r="C105" s="7">
        <f>365.929+2074.121</f>
        <v>2440.0500000000002</v>
      </c>
      <c r="D105" s="7">
        <f>160.641+212.397</f>
        <v>373.03800000000001</v>
      </c>
      <c r="E105" s="7">
        <v>493.97399999999999</v>
      </c>
      <c r="F105" s="7">
        <f>131.628+151.8</f>
        <v>283.428</v>
      </c>
      <c r="G105" s="7">
        <f>2292.989+1400</f>
        <v>3692.989</v>
      </c>
      <c r="H105" s="7">
        <f>1295.725+2803.366</f>
        <v>4099.0910000000003</v>
      </c>
      <c r="I105" s="7">
        <f>(291.41+1760.47)*10</f>
        <v>20518.800000000003</v>
      </c>
      <c r="J105" s="7">
        <f>1218+14925.3</f>
        <v>16143.3</v>
      </c>
      <c r="K105" s="7">
        <f>1602.7+9600</f>
        <v>11202.7</v>
      </c>
    </row>
    <row r="106" spans="2:11" ht="12" customHeight="1" x14ac:dyDescent="0.25">
      <c r="B106" s="6" t="s">
        <v>93</v>
      </c>
      <c r="C106" s="7">
        <v>1588.848</v>
      </c>
      <c r="D106" s="7">
        <v>3986.4740000000002</v>
      </c>
      <c r="E106" s="7">
        <v>1336.3879999999999</v>
      </c>
      <c r="F106" s="7">
        <v>1555.086</v>
      </c>
      <c r="G106" s="7">
        <v>1360.087</v>
      </c>
      <c r="H106" s="7">
        <v>1819.9870000000001</v>
      </c>
      <c r="I106" s="7">
        <v>1153.4000000000001</v>
      </c>
      <c r="J106" s="7"/>
      <c r="K106" s="7"/>
    </row>
    <row r="107" spans="2:11" ht="12" customHeight="1" x14ac:dyDescent="0.25">
      <c r="B107" s="6" t="s">
        <v>94</v>
      </c>
      <c r="C107" s="7">
        <f>220.695+23.729+181.307</f>
        <v>425.73099999999999</v>
      </c>
      <c r="D107" s="7">
        <f>385.684+181.71</f>
        <v>567.39400000000001</v>
      </c>
      <c r="E107" s="7">
        <f>362.908+116.351+17.996</f>
        <v>497.255</v>
      </c>
      <c r="F107" s="7">
        <f>738.101+123.762+169.991</f>
        <v>1031.854</v>
      </c>
      <c r="G107" s="7">
        <f>27.146+782.194</f>
        <v>809.33999999999992</v>
      </c>
      <c r="H107" s="7">
        <f>202.602+62.378</f>
        <v>264.98</v>
      </c>
      <c r="I107" s="7">
        <f>(51.95+7.75)*10</f>
        <v>597</v>
      </c>
      <c r="J107" s="7">
        <f>548.8+2173.3</f>
        <v>2722.1000000000004</v>
      </c>
      <c r="K107" s="7">
        <f>899.9+3094.7</f>
        <v>3994.6</v>
      </c>
    </row>
    <row r="108" spans="2:11" ht="12" customHeight="1" x14ac:dyDescent="0.25">
      <c r="B108" s="9" t="s">
        <v>95</v>
      </c>
      <c r="C108" s="10">
        <f t="shared" ref="C108:J108" si="33">SUM(C102:C107)</f>
        <v>5954.3099999999995</v>
      </c>
      <c r="D108" s="10">
        <f t="shared" si="33"/>
        <v>7206.9340000000011</v>
      </c>
      <c r="E108" s="10">
        <f t="shared" si="33"/>
        <v>4146.7380000000003</v>
      </c>
      <c r="F108" s="10">
        <f t="shared" si="33"/>
        <v>3777.0450000000001</v>
      </c>
      <c r="G108" s="10">
        <f t="shared" si="33"/>
        <v>6763.2579999999998</v>
      </c>
      <c r="H108" s="10">
        <f t="shared" si="33"/>
        <v>7353.509</v>
      </c>
      <c r="I108" s="10">
        <f t="shared" si="33"/>
        <v>23282.900000000005</v>
      </c>
      <c r="J108" s="10">
        <f t="shared" si="33"/>
        <v>19682.699999999997</v>
      </c>
      <c r="K108" s="10">
        <f t="shared" ref="K108" si="34">SUM(K102:K107)</f>
        <v>16237.400000000001</v>
      </c>
    </row>
    <row r="109" spans="2:11" ht="12" customHeight="1" x14ac:dyDescent="0.25">
      <c r="B109" s="6"/>
      <c r="C109" s="7"/>
      <c r="D109" s="7"/>
      <c r="E109" s="7"/>
      <c r="F109" s="7"/>
      <c r="G109" s="7"/>
      <c r="H109" s="7"/>
      <c r="I109" s="7"/>
      <c r="J109" s="7"/>
      <c r="K109" s="7"/>
    </row>
    <row r="110" spans="2:11" ht="12" customHeight="1" x14ac:dyDescent="0.25">
      <c r="B110" s="6" t="s">
        <v>96</v>
      </c>
      <c r="C110" s="7">
        <f>170.605</f>
        <v>170.60499999999999</v>
      </c>
      <c r="D110" s="7">
        <v>74.683999999999997</v>
      </c>
      <c r="E110" s="7">
        <v>369.84399999999999</v>
      </c>
      <c r="F110" s="7">
        <f>0.97+585.085</f>
        <v>586.05500000000006</v>
      </c>
      <c r="G110" s="7">
        <f>17.02+926.057</f>
        <v>943.077</v>
      </c>
      <c r="H110" s="7">
        <f>20.708+338.867</f>
        <v>359.57500000000005</v>
      </c>
      <c r="I110" s="7">
        <f>(8.77+55.21)*10</f>
        <v>639.80000000000007</v>
      </c>
      <c r="J110" s="7">
        <f>85.8+241.1</f>
        <v>326.89999999999998</v>
      </c>
      <c r="K110" s="7">
        <f>100.4+300.9</f>
        <v>401.29999999999995</v>
      </c>
    </row>
    <row r="111" spans="2:11" ht="12" customHeight="1" x14ac:dyDescent="0.25">
      <c r="B111" s="6" t="s">
        <v>97</v>
      </c>
      <c r="C111" s="7">
        <f>45.41+23.748</f>
        <v>69.158000000000001</v>
      </c>
      <c r="D111" s="7">
        <f>102.28+24.997+21.162</f>
        <v>148.43899999999999</v>
      </c>
      <c r="E111" s="7">
        <f>2290.778+77.272</f>
        <v>2368.0499999999997</v>
      </c>
      <c r="F111" s="7">
        <f>3516.073+15.374</f>
        <v>3531.4469999999997</v>
      </c>
      <c r="G111" s="7">
        <f>369.961+125.055</f>
        <v>495.01600000000002</v>
      </c>
      <c r="H111" s="7">
        <f>1.396+390.284+33.014</f>
        <v>424.69400000000002</v>
      </c>
      <c r="I111" s="7">
        <f>(0.16+40.56+11.9)*10</f>
        <v>526.19999999999993</v>
      </c>
      <c r="J111" s="7">
        <f>1.1+5856.7+87.2</f>
        <v>5945</v>
      </c>
      <c r="K111" s="7">
        <f>12.8+5388.6+109.6</f>
        <v>5511.0000000000009</v>
      </c>
    </row>
    <row r="112" spans="2:11" ht="12" customHeight="1" x14ac:dyDescent="0.25">
      <c r="B112" s="6" t="s">
        <v>98</v>
      </c>
      <c r="C112" s="7">
        <v>0.67700000000000005</v>
      </c>
      <c r="D112" s="7">
        <v>0.88100000000000001</v>
      </c>
      <c r="E112" s="7">
        <v>1.101</v>
      </c>
      <c r="F112" s="7">
        <v>3.1219999999999999</v>
      </c>
      <c r="G112" s="7">
        <v>7.6509999999999998</v>
      </c>
      <c r="H112" s="7">
        <v>4.6459999999999999</v>
      </c>
      <c r="I112" s="7">
        <v>6</v>
      </c>
      <c r="J112" s="7">
        <v>11.9</v>
      </c>
      <c r="K112" s="7">
        <v>31.2</v>
      </c>
    </row>
    <row r="113" spans="2:11" ht="12" customHeight="1" x14ac:dyDescent="0.25">
      <c r="B113" s="9" t="s">
        <v>99</v>
      </c>
      <c r="C113" s="10">
        <f t="shared" ref="C113:J113" si="35">SUM(C110:C112)</f>
        <v>240.43999999999997</v>
      </c>
      <c r="D113" s="10">
        <f t="shared" si="35"/>
        <v>224.00399999999999</v>
      </c>
      <c r="E113" s="10">
        <f t="shared" si="35"/>
        <v>2738.9949999999999</v>
      </c>
      <c r="F113" s="10">
        <f t="shared" si="35"/>
        <v>4120.6239999999998</v>
      </c>
      <c r="G113" s="10">
        <f t="shared" si="35"/>
        <v>1445.7440000000001</v>
      </c>
      <c r="H113" s="10">
        <f t="shared" si="35"/>
        <v>788.91499999999996</v>
      </c>
      <c r="I113" s="10">
        <f t="shared" si="35"/>
        <v>1172</v>
      </c>
      <c r="J113" s="10">
        <f t="shared" si="35"/>
        <v>6283.7999999999993</v>
      </c>
      <c r="K113" s="10">
        <f t="shared" ref="K113" si="36">SUM(K110:K112)</f>
        <v>5943.5000000000009</v>
      </c>
    </row>
    <row r="114" spans="2:11" ht="12" customHeight="1" x14ac:dyDescent="0.25">
      <c r="B114" s="6"/>
      <c r="C114" s="7"/>
      <c r="D114" s="7"/>
      <c r="E114" s="7"/>
      <c r="F114" s="7"/>
      <c r="G114" s="7"/>
      <c r="H114" s="7"/>
      <c r="I114" s="7"/>
      <c r="J114" s="7"/>
      <c r="K114" s="7"/>
    </row>
    <row r="115" spans="2:11" ht="12" customHeight="1" x14ac:dyDescent="0.25">
      <c r="B115" s="6" t="s">
        <v>100</v>
      </c>
      <c r="C115" s="7">
        <f t="shared" ref="C115:J115" si="37">C108-C113</f>
        <v>5713.87</v>
      </c>
      <c r="D115" s="7">
        <f t="shared" si="37"/>
        <v>6982.9300000000012</v>
      </c>
      <c r="E115" s="7">
        <f t="shared" si="37"/>
        <v>1407.7430000000004</v>
      </c>
      <c r="F115" s="7">
        <f t="shared" si="37"/>
        <v>-343.57899999999972</v>
      </c>
      <c r="G115" s="7">
        <f t="shared" si="37"/>
        <v>5317.5139999999992</v>
      </c>
      <c r="H115" s="7">
        <f t="shared" si="37"/>
        <v>6564.5940000000001</v>
      </c>
      <c r="I115" s="7">
        <f t="shared" si="37"/>
        <v>22110.900000000005</v>
      </c>
      <c r="J115" s="7">
        <f t="shared" si="37"/>
        <v>13398.899999999998</v>
      </c>
      <c r="K115" s="7">
        <f t="shared" ref="K115" si="38">K108-K113</f>
        <v>10293.900000000001</v>
      </c>
    </row>
    <row r="116" spans="2:11" ht="12" customHeight="1" x14ac:dyDescent="0.25">
      <c r="B116" s="6"/>
      <c r="C116" s="7"/>
      <c r="D116" s="7"/>
      <c r="E116" s="7"/>
      <c r="F116" s="7"/>
      <c r="G116" s="7"/>
      <c r="H116" s="7"/>
      <c r="I116" s="7"/>
      <c r="J116" s="7"/>
      <c r="K116" s="7"/>
    </row>
    <row r="117" spans="2:11" ht="12" customHeight="1" x14ac:dyDescent="0.25">
      <c r="B117" s="9" t="s">
        <v>101</v>
      </c>
      <c r="C117" s="10">
        <f t="shared" ref="C117:J117" si="39">SUM(C89:C94)+SUM(C96:C99)+C115</f>
        <v>13589.525</v>
      </c>
      <c r="D117" s="10">
        <f t="shared" si="39"/>
        <v>14273.339000000002</v>
      </c>
      <c r="E117" s="10">
        <f t="shared" si="39"/>
        <v>13591.630999999999</v>
      </c>
      <c r="F117" s="10">
        <f t="shared" si="39"/>
        <v>15468.752</v>
      </c>
      <c r="G117" s="10">
        <f t="shared" si="39"/>
        <v>46634.808000000005</v>
      </c>
      <c r="H117" s="10">
        <f t="shared" si="39"/>
        <v>49734.193000000007</v>
      </c>
      <c r="I117" s="10">
        <f t="shared" si="39"/>
        <v>82107.8</v>
      </c>
      <c r="J117" s="10">
        <f t="shared" si="39"/>
        <v>85650.099999999991</v>
      </c>
      <c r="K117" s="10">
        <f t="shared" ref="K117" si="40">SUM(K89:K94)+SUM(K96:K99)+K115</f>
        <v>97684.6</v>
      </c>
    </row>
    <row r="118" spans="2:11" ht="12" customHeight="1" x14ac:dyDescent="0.25">
      <c r="B118" s="31"/>
      <c r="C118" s="162">
        <f t="shared" ref="C118:J118" si="41">C83-C117</f>
        <v>0</v>
      </c>
      <c r="D118" s="162">
        <f t="shared" si="41"/>
        <v>0</v>
      </c>
      <c r="E118" s="162">
        <f t="shared" si="41"/>
        <v>0</v>
      </c>
      <c r="F118" s="162">
        <f t="shared" si="41"/>
        <v>0</v>
      </c>
      <c r="G118" s="162">
        <f t="shared" si="41"/>
        <v>0</v>
      </c>
      <c r="H118" s="162">
        <f t="shared" si="41"/>
        <v>0</v>
      </c>
      <c r="I118" s="162">
        <f t="shared" si="41"/>
        <v>0</v>
      </c>
      <c r="J118" s="162">
        <f t="shared" si="41"/>
        <v>0</v>
      </c>
      <c r="K118" s="162">
        <f t="shared" ref="K118" si="42">K83-K117</f>
        <v>0</v>
      </c>
    </row>
    <row r="119" spans="2:11" ht="12" customHeight="1" x14ac:dyDescent="0.25">
      <c r="B119" s="33"/>
      <c r="C119" s="34"/>
      <c r="D119" s="34"/>
      <c r="E119" s="34"/>
      <c r="F119" s="34"/>
      <c r="G119" s="34"/>
      <c r="H119" s="34"/>
      <c r="I119" s="34"/>
      <c r="J119" s="34"/>
      <c r="K119" s="34"/>
    </row>
    <row r="120" spans="2:11" ht="12" customHeight="1" x14ac:dyDescent="0.25">
      <c r="B120" s="3" t="s">
        <v>102</v>
      </c>
      <c r="C120" s="4" t="s">
        <v>22</v>
      </c>
      <c r="D120" s="4" t="s">
        <v>23</v>
      </c>
      <c r="E120" s="4" t="s">
        <v>24</v>
      </c>
      <c r="F120" s="4" t="s">
        <v>25</v>
      </c>
      <c r="G120" s="4" t="s">
        <v>26</v>
      </c>
      <c r="H120" s="4" t="s">
        <v>27</v>
      </c>
      <c r="I120" s="4" t="s">
        <v>273</v>
      </c>
      <c r="J120" s="4" t="s">
        <v>347</v>
      </c>
      <c r="K120" s="4" t="s">
        <v>348</v>
      </c>
    </row>
    <row r="121" spans="2:11" ht="12" customHeight="1" x14ac:dyDescent="0.25">
      <c r="B121" s="6" t="s">
        <v>40</v>
      </c>
      <c r="C121" s="7">
        <v>981.10799999999995</v>
      </c>
      <c r="D121" s="7">
        <v>1204.2670000000001</v>
      </c>
      <c r="E121" s="7">
        <v>1606.5150000000001</v>
      </c>
      <c r="F121" s="7">
        <v>1348.3119999999999</v>
      </c>
      <c r="G121" s="7">
        <v>1731.393</v>
      </c>
      <c r="H121" s="7">
        <v>526.94399999999996</v>
      </c>
      <c r="I121" s="7">
        <v>3670.5</v>
      </c>
      <c r="J121" s="7">
        <v>4960.3999999999996</v>
      </c>
      <c r="K121" s="7">
        <v>1763.1</v>
      </c>
    </row>
    <row r="122" spans="2:11" ht="12" customHeight="1" x14ac:dyDescent="0.25">
      <c r="B122" s="6"/>
      <c r="C122" s="7"/>
      <c r="D122" s="7"/>
      <c r="E122" s="7"/>
      <c r="F122" s="7"/>
      <c r="G122" s="7"/>
      <c r="H122" s="7"/>
      <c r="I122" s="7">
        <v>0</v>
      </c>
      <c r="J122" s="7"/>
      <c r="K122" s="7"/>
    </row>
    <row r="123" spans="2:11" ht="12" customHeight="1" x14ac:dyDescent="0.25">
      <c r="B123" s="6" t="s">
        <v>103</v>
      </c>
      <c r="C123" s="7">
        <v>17.875999999999998</v>
      </c>
      <c r="D123" s="7">
        <v>16.244</v>
      </c>
      <c r="E123" s="7">
        <v>17.728999999999999</v>
      </c>
      <c r="F123" s="7">
        <v>17.702999999999999</v>
      </c>
      <c r="G123" s="7">
        <v>16.594999999999999</v>
      </c>
      <c r="H123" s="7">
        <v>13.648999999999999</v>
      </c>
      <c r="I123" s="7">
        <v>17.2</v>
      </c>
      <c r="J123" s="7">
        <v>26.5</v>
      </c>
      <c r="K123" s="7">
        <v>59.8</v>
      </c>
    </row>
    <row r="124" spans="2:11" ht="12" customHeight="1" x14ac:dyDescent="0.25">
      <c r="B124" s="6" t="s">
        <v>104</v>
      </c>
      <c r="C124" s="7">
        <v>288.221</v>
      </c>
      <c r="D124" s="7">
        <v>61.052999999999997</v>
      </c>
      <c r="E124" s="7">
        <v>667.98900000000003</v>
      </c>
      <c r="F124" s="7">
        <v>691.60799999999995</v>
      </c>
      <c r="G124" s="7">
        <v>1453.5</v>
      </c>
      <c r="H124" s="7">
        <v>4604.7960000000003</v>
      </c>
      <c r="I124" s="7">
        <v>2521.6</v>
      </c>
      <c r="J124" s="7">
        <v>3473</v>
      </c>
      <c r="K124" s="7">
        <v>6243.6</v>
      </c>
    </row>
    <row r="125" spans="2:11" ht="12" customHeight="1" x14ac:dyDescent="0.25">
      <c r="B125" s="6" t="s">
        <v>105</v>
      </c>
      <c r="C125" s="7">
        <v>0</v>
      </c>
      <c r="D125" s="7"/>
      <c r="E125" s="7">
        <v>72.774000000000001</v>
      </c>
      <c r="F125" s="7">
        <v>166.149</v>
      </c>
      <c r="G125" s="7">
        <v>176.78399999999999</v>
      </c>
      <c r="H125" s="7">
        <v>924.14800000000002</v>
      </c>
      <c r="I125" s="7">
        <v>552.70000000000005</v>
      </c>
      <c r="J125" s="7">
        <v>183.4</v>
      </c>
      <c r="K125" s="7">
        <v>82.1</v>
      </c>
    </row>
    <row r="126" spans="2:11" ht="12" customHeight="1" x14ac:dyDescent="0.25">
      <c r="B126" s="6" t="s">
        <v>106</v>
      </c>
      <c r="C126" s="7">
        <v>-559.51599999999996</v>
      </c>
      <c r="D126" s="7">
        <v>-589.30499999999995</v>
      </c>
      <c r="E126" s="7">
        <v>-432.94099999999997</v>
      </c>
      <c r="F126" s="7">
        <v>-489.15600000000001</v>
      </c>
      <c r="G126" s="7">
        <v>-1161.895</v>
      </c>
      <c r="H126" s="7">
        <v>-2958.0079999999998</v>
      </c>
      <c r="I126" s="7">
        <v>-4128</v>
      </c>
      <c r="J126" s="7">
        <v>-4836.3</v>
      </c>
      <c r="K126" s="7">
        <v>-4162.3999999999996</v>
      </c>
    </row>
    <row r="127" spans="2:11" ht="12" customHeight="1" x14ac:dyDescent="0.25">
      <c r="B127" s="6" t="s">
        <v>107</v>
      </c>
      <c r="C127" s="7">
        <v>0</v>
      </c>
      <c r="D127" s="7"/>
      <c r="E127" s="7">
        <v>-73.347999999999999</v>
      </c>
      <c r="F127" s="7">
        <v>-4.8070000000000004</v>
      </c>
      <c r="G127" s="7" t="s">
        <v>108</v>
      </c>
      <c r="H127" s="7">
        <v>-0.94399999999999995</v>
      </c>
      <c r="I127" s="7">
        <v>-30.5</v>
      </c>
      <c r="J127" s="7">
        <v>-667.2</v>
      </c>
      <c r="K127" s="7"/>
    </row>
    <row r="128" spans="2:11" ht="12" customHeight="1" x14ac:dyDescent="0.25">
      <c r="B128" s="6" t="s">
        <v>109</v>
      </c>
      <c r="C128" s="7">
        <v>0</v>
      </c>
      <c r="D128" s="122"/>
      <c r="E128" s="122"/>
      <c r="F128" s="7"/>
      <c r="G128" s="7" t="s">
        <v>108</v>
      </c>
      <c r="H128" s="7">
        <f>-(0.303)</f>
        <v>-0.30299999999999999</v>
      </c>
      <c r="I128" s="7">
        <v>-1</v>
      </c>
      <c r="J128" s="7">
        <v>0</v>
      </c>
      <c r="K128" s="7"/>
    </row>
    <row r="129" spans="2:11" ht="12" customHeight="1" x14ac:dyDescent="0.25">
      <c r="B129" s="6" t="s">
        <v>110</v>
      </c>
      <c r="C129" s="7">
        <v>0</v>
      </c>
      <c r="D129" s="7">
        <v>9.7000000000000003E-2</v>
      </c>
      <c r="E129" s="7">
        <v>-0.30399999999999999</v>
      </c>
      <c r="F129" s="7">
        <v>0.26300000000000001</v>
      </c>
      <c r="G129" s="7">
        <v>-9.423</v>
      </c>
      <c r="H129" s="7">
        <v>20.635000000000002</v>
      </c>
      <c r="I129" s="7">
        <v>0.1</v>
      </c>
      <c r="J129" s="7">
        <v>-0.4</v>
      </c>
      <c r="K129" s="7">
        <v>-0.1</v>
      </c>
    </row>
    <row r="130" spans="2:11" ht="12" customHeight="1" x14ac:dyDescent="0.25">
      <c r="B130" s="6" t="s">
        <v>111</v>
      </c>
      <c r="C130" s="7">
        <f>(722.865-5.4)</f>
        <v>717.46500000000003</v>
      </c>
      <c r="D130" s="122">
        <f>819.067-0.184-56.384</f>
        <v>762.49900000000002</v>
      </c>
      <c r="E130" s="122">
        <v>-222.66399999999999</v>
      </c>
      <c r="F130" s="122"/>
      <c r="G130" s="122">
        <v>0</v>
      </c>
      <c r="H130" s="122">
        <v>0</v>
      </c>
      <c r="I130" s="122">
        <v>0</v>
      </c>
      <c r="J130" s="123">
        <v>-1101.4000000000001</v>
      </c>
      <c r="K130" s="123">
        <f>29.5-1651.1</f>
        <v>-1621.6</v>
      </c>
    </row>
    <row r="131" spans="2:11" ht="12" customHeight="1" x14ac:dyDescent="0.25">
      <c r="B131" s="9" t="s">
        <v>112</v>
      </c>
      <c r="C131" s="10">
        <f t="shared" ref="C131:J131" si="43">SUM(C121:C130)</f>
        <v>1445.154</v>
      </c>
      <c r="D131" s="10">
        <f t="shared" si="43"/>
        <v>1454.855</v>
      </c>
      <c r="E131" s="10">
        <f t="shared" si="43"/>
        <v>1635.75</v>
      </c>
      <c r="F131" s="10">
        <f t="shared" si="43"/>
        <v>1730.0719999999994</v>
      </c>
      <c r="G131" s="10">
        <f t="shared" si="43"/>
        <v>2206.9540000000006</v>
      </c>
      <c r="H131" s="10">
        <f t="shared" si="43"/>
        <v>3130.9170000000008</v>
      </c>
      <c r="I131" s="10">
        <f t="shared" si="43"/>
        <v>2602.599999999999</v>
      </c>
      <c r="J131" s="10">
        <f t="shared" si="43"/>
        <v>2037.9999999999991</v>
      </c>
      <c r="K131" s="10">
        <f t="shared" ref="K131" si="44">SUM(K121:K130)</f>
        <v>2364.5000000000009</v>
      </c>
    </row>
    <row r="132" spans="2:11" ht="12" customHeight="1" x14ac:dyDescent="0.25">
      <c r="B132" s="6" t="s">
        <v>113</v>
      </c>
      <c r="C132" s="7">
        <v>-2770.326</v>
      </c>
      <c r="D132" s="7">
        <v>-42.308999999999997</v>
      </c>
      <c r="E132" s="7">
        <v>408.15300000000002</v>
      </c>
      <c r="F132" s="7">
        <v>601.94299999999998</v>
      </c>
      <c r="G132" s="7">
        <v>113.14700000000001</v>
      </c>
      <c r="H132" s="7">
        <v>142.16399999999999</v>
      </c>
      <c r="I132" s="7">
        <v>-217</v>
      </c>
      <c r="J132" s="7">
        <v>160.6</v>
      </c>
      <c r="K132" s="7">
        <v>-219.3</v>
      </c>
    </row>
    <row r="133" spans="2:11" ht="12" customHeight="1" x14ac:dyDescent="0.25">
      <c r="B133" s="6" t="s">
        <v>114</v>
      </c>
      <c r="C133" s="7"/>
      <c r="D133" s="7"/>
      <c r="E133" s="7">
        <v>-202.64</v>
      </c>
      <c r="F133" s="7">
        <v>-205.1</v>
      </c>
      <c r="G133" s="7">
        <f>-2.182+38.038</f>
        <v>35.855999999999995</v>
      </c>
      <c r="H133" s="7">
        <f>-3114.408-9.829</f>
        <v>-3124.2370000000001</v>
      </c>
      <c r="I133" s="7">
        <v>596.9</v>
      </c>
      <c r="J133" s="7">
        <v>-1755</v>
      </c>
      <c r="K133" s="7">
        <v>-2863.3</v>
      </c>
    </row>
    <row r="134" spans="2:11" ht="12" customHeight="1" x14ac:dyDescent="0.25">
      <c r="B134" s="6" t="s">
        <v>115</v>
      </c>
      <c r="C134" s="7">
        <v>-0.63400000000000001</v>
      </c>
      <c r="D134" s="7">
        <v>-0.501</v>
      </c>
      <c r="E134" s="7">
        <v>-1.8859999999999999</v>
      </c>
      <c r="F134" s="7">
        <v>-1.0760000000000001</v>
      </c>
      <c r="G134" s="7">
        <v>0</v>
      </c>
      <c r="H134" s="7">
        <v>0</v>
      </c>
      <c r="I134" s="7">
        <v>8.6</v>
      </c>
      <c r="J134" s="7">
        <v>-1.1000000000000001</v>
      </c>
      <c r="K134" s="7">
        <v>-3.5</v>
      </c>
    </row>
    <row r="135" spans="2:11" ht="12" customHeight="1" x14ac:dyDescent="0.25">
      <c r="B135" s="6" t="s">
        <v>116</v>
      </c>
      <c r="C135" s="7">
        <v>4991.9269999999997</v>
      </c>
      <c r="D135" s="7">
        <v>82.040999999999997</v>
      </c>
      <c r="E135" s="7">
        <v>113.324</v>
      </c>
      <c r="F135" s="7">
        <v>216.21100000000001</v>
      </c>
      <c r="G135" s="7">
        <v>58.546999999999997</v>
      </c>
      <c r="H135" s="7">
        <v>-583.50199999999995</v>
      </c>
      <c r="I135" s="7">
        <v>280.3</v>
      </c>
      <c r="J135" s="7">
        <v>-84.3</v>
      </c>
      <c r="K135" s="7">
        <v>118.2</v>
      </c>
    </row>
    <row r="136" spans="2:11" ht="12" customHeight="1" x14ac:dyDescent="0.25">
      <c r="B136" s="6" t="s">
        <v>117</v>
      </c>
      <c r="C136" s="7"/>
      <c r="D136" s="7"/>
      <c r="E136" s="7">
        <v>-382.435</v>
      </c>
      <c r="F136" s="7">
        <v>1226.873</v>
      </c>
      <c r="G136" s="7">
        <v>-333.81099999999998</v>
      </c>
      <c r="H136" s="7">
        <v>2473.6190000000001</v>
      </c>
      <c r="I136" s="7">
        <v>-134.60000000000002</v>
      </c>
      <c r="J136" s="7">
        <v>1317.4</v>
      </c>
      <c r="K136" s="7">
        <v>-402.6</v>
      </c>
    </row>
    <row r="137" spans="2:11" ht="12" customHeight="1" x14ac:dyDescent="0.25">
      <c r="B137" s="6" t="s">
        <v>118</v>
      </c>
      <c r="C137" s="7">
        <v>2.145</v>
      </c>
      <c r="D137" s="7">
        <v>-1.4410000000000001</v>
      </c>
      <c r="E137" s="7">
        <v>-218.523</v>
      </c>
      <c r="F137" s="7">
        <v>-228.65600000000001</v>
      </c>
      <c r="G137" s="7">
        <v>-13.707000000000001</v>
      </c>
      <c r="H137" s="7">
        <v>-15.218</v>
      </c>
      <c r="I137" s="7">
        <v>1.7999999999999998</v>
      </c>
      <c r="J137" s="7">
        <v>6</v>
      </c>
      <c r="K137" s="7">
        <v>10.4</v>
      </c>
    </row>
    <row r="138" spans="2:11" ht="12" customHeight="1" x14ac:dyDescent="0.25">
      <c r="B138" s="9" t="s">
        <v>119</v>
      </c>
      <c r="C138" s="10">
        <f t="shared" ref="C138:J138" si="45">SUM(C131:C137)</f>
        <v>3668.2659999999996</v>
      </c>
      <c r="D138" s="10">
        <f t="shared" si="45"/>
        <v>1492.645</v>
      </c>
      <c r="E138" s="10">
        <f t="shared" si="45"/>
        <v>1351.7430000000002</v>
      </c>
      <c r="F138" s="10">
        <f t="shared" si="45"/>
        <v>3340.2669999999994</v>
      </c>
      <c r="G138" s="10">
        <f t="shared" si="45"/>
        <v>2066.9860000000003</v>
      </c>
      <c r="H138" s="10">
        <f t="shared" si="45"/>
        <v>2023.7430000000011</v>
      </c>
      <c r="I138" s="10">
        <f t="shared" si="45"/>
        <v>3138.5999999999995</v>
      </c>
      <c r="J138" s="10">
        <f t="shared" si="45"/>
        <v>1681.599999999999</v>
      </c>
      <c r="K138" s="10">
        <f t="shared" ref="K138" si="46">SUM(K131:K137)</f>
        <v>-995.59999999999945</v>
      </c>
    </row>
    <row r="139" spans="2:11" ht="12" customHeight="1" x14ac:dyDescent="0.25">
      <c r="B139" s="6" t="s">
        <v>120</v>
      </c>
      <c r="C139" s="7"/>
      <c r="D139" s="7"/>
      <c r="E139" s="7"/>
      <c r="F139" s="7"/>
      <c r="G139" s="7"/>
      <c r="H139" s="7"/>
      <c r="I139" s="7"/>
      <c r="J139" s="7"/>
      <c r="K139" s="7"/>
    </row>
    <row r="140" spans="2:11" ht="12" customHeight="1" x14ac:dyDescent="0.25">
      <c r="B140" s="6" t="s">
        <v>121</v>
      </c>
      <c r="C140" s="7">
        <v>-127.5</v>
      </c>
      <c r="D140" s="7">
        <v>-205.10300000000001</v>
      </c>
      <c r="E140" s="7">
        <v>-134.37799999999999</v>
      </c>
      <c r="F140" s="7">
        <v>-134.5</v>
      </c>
      <c r="G140" s="7">
        <v>-371.12099999999998</v>
      </c>
      <c r="H140" s="7">
        <v>-403.83</v>
      </c>
      <c r="I140" s="7">
        <v>-643.5</v>
      </c>
      <c r="J140" s="7">
        <v>-942.8</v>
      </c>
      <c r="K140" s="7">
        <v>-783.7</v>
      </c>
    </row>
    <row r="141" spans="2:11" ht="12" customHeight="1" x14ac:dyDescent="0.25">
      <c r="B141" s="9" t="s">
        <v>122</v>
      </c>
      <c r="C141" s="10">
        <f t="shared" ref="C141:J141" si="47">C138+C139+C140</f>
        <v>3540.7659999999996</v>
      </c>
      <c r="D141" s="10">
        <f t="shared" si="47"/>
        <v>1287.5419999999999</v>
      </c>
      <c r="E141" s="10">
        <f t="shared" si="47"/>
        <v>1217.3650000000002</v>
      </c>
      <c r="F141" s="10">
        <f t="shared" si="47"/>
        <v>3205.7669999999994</v>
      </c>
      <c r="G141" s="10">
        <f t="shared" si="47"/>
        <v>1695.8650000000002</v>
      </c>
      <c r="H141" s="10">
        <f t="shared" si="47"/>
        <v>1619.9130000000011</v>
      </c>
      <c r="I141" s="10">
        <f t="shared" si="47"/>
        <v>2495.0999999999995</v>
      </c>
      <c r="J141" s="10">
        <f t="shared" si="47"/>
        <v>738.79999999999905</v>
      </c>
      <c r="K141" s="10">
        <f t="shared" ref="K141" si="48">K138+K139+K140</f>
        <v>-1779.2999999999995</v>
      </c>
    </row>
    <row r="142" spans="2:11" ht="12" customHeight="1" x14ac:dyDescent="0.25">
      <c r="B142" s="6"/>
      <c r="C142" s="7"/>
      <c r="D142" s="7"/>
      <c r="E142" s="7"/>
      <c r="F142" s="7"/>
      <c r="G142" s="7"/>
      <c r="H142" s="7"/>
      <c r="I142" s="7">
        <v>0</v>
      </c>
      <c r="J142" s="7"/>
      <c r="K142" s="7"/>
    </row>
    <row r="143" spans="2:11" ht="12" customHeight="1" x14ac:dyDescent="0.25">
      <c r="B143" s="6" t="s">
        <v>123</v>
      </c>
      <c r="C143" s="7">
        <v>-6.2190000000000003</v>
      </c>
      <c r="D143" s="7"/>
      <c r="E143" s="7"/>
      <c r="F143" s="7">
        <v>1.0109999999999999</v>
      </c>
      <c r="G143" s="7">
        <v>3.0710000000000002</v>
      </c>
      <c r="H143" s="7">
        <v>0</v>
      </c>
      <c r="I143" s="7">
        <v>0.1</v>
      </c>
      <c r="J143" s="7">
        <v>15.2</v>
      </c>
      <c r="K143" s="7">
        <v>81.8</v>
      </c>
    </row>
    <row r="144" spans="2:11" ht="12" customHeight="1" x14ac:dyDescent="0.25">
      <c r="B144" s="6" t="s">
        <v>124</v>
      </c>
      <c r="C144" s="7">
        <v>1758.32</v>
      </c>
      <c r="D144" s="7">
        <v>6467.6940000000004</v>
      </c>
      <c r="E144" s="7">
        <f>4880.106-929.852</f>
        <v>3950.2539999999999</v>
      </c>
      <c r="F144" s="7">
        <v>782.80700000000002</v>
      </c>
      <c r="G144" s="7">
        <v>0</v>
      </c>
      <c r="H144" s="7">
        <v>565.303</v>
      </c>
      <c r="I144" s="7">
        <v>490.5</v>
      </c>
      <c r="J144" s="7">
        <v>19700.7</v>
      </c>
      <c r="K144" s="7"/>
    </row>
    <row r="145" spans="2:11" ht="12" customHeight="1" x14ac:dyDescent="0.25">
      <c r="B145" s="6" t="s">
        <v>125</v>
      </c>
      <c r="C145" s="7"/>
      <c r="D145" s="7"/>
      <c r="E145" s="7"/>
      <c r="F145" s="7"/>
      <c r="G145" s="7">
        <v>125</v>
      </c>
      <c r="H145" s="7">
        <v>2830</v>
      </c>
      <c r="I145" s="7">
        <v>0</v>
      </c>
      <c r="J145" s="7"/>
      <c r="K145" s="7"/>
    </row>
    <row r="146" spans="2:11" ht="12" customHeight="1" x14ac:dyDescent="0.25">
      <c r="B146" s="6" t="s">
        <v>126</v>
      </c>
      <c r="C146" s="7">
        <v>103.40900000000001</v>
      </c>
      <c r="D146" s="7">
        <v>590.21100000000001</v>
      </c>
      <c r="E146" s="7">
        <v>36.023000000000003</v>
      </c>
      <c r="F146" s="7">
        <v>144.87899999999999</v>
      </c>
      <c r="G146" s="7">
        <v>1159.242</v>
      </c>
      <c r="H146" s="7">
        <v>3375.866</v>
      </c>
      <c r="I146" s="7">
        <v>3689.1000000000004</v>
      </c>
      <c r="J146" s="7">
        <v>4647</v>
      </c>
      <c r="K146" s="7">
        <v>3657.4</v>
      </c>
    </row>
    <row r="147" spans="2:11" ht="12" customHeight="1" x14ac:dyDescent="0.25">
      <c r="B147" s="6" t="s">
        <v>127</v>
      </c>
      <c r="C147" s="7"/>
      <c r="D147" s="7">
        <v>-3.3370000000000002</v>
      </c>
      <c r="E147" s="7">
        <v>-0.60799999999999998</v>
      </c>
      <c r="F147" s="7">
        <v>-1.99</v>
      </c>
      <c r="G147" s="7">
        <v>-1.1479999999999999</v>
      </c>
      <c r="H147" s="7">
        <v>-70.781000000000006</v>
      </c>
      <c r="I147" s="7">
        <v>-20.2</v>
      </c>
      <c r="J147" s="7">
        <v>-13467.3</v>
      </c>
      <c r="K147" s="7">
        <v>-5551.9</v>
      </c>
    </row>
    <row r="148" spans="2:11" ht="12" customHeight="1" x14ac:dyDescent="0.25">
      <c r="B148" s="6" t="s">
        <v>128</v>
      </c>
      <c r="C148" s="7">
        <v>-1563.7</v>
      </c>
      <c r="D148" s="7">
        <v>-7503.8919999999998</v>
      </c>
      <c r="E148" s="7">
        <v>-3950.8</v>
      </c>
      <c r="F148" s="7">
        <v>-331.423</v>
      </c>
      <c r="G148" s="7">
        <v>0</v>
      </c>
      <c r="H148" s="7">
        <v>-965</v>
      </c>
      <c r="I148" s="7">
        <v>-95</v>
      </c>
      <c r="J148" s="7">
        <v>-18996.7</v>
      </c>
      <c r="K148" s="7"/>
    </row>
    <row r="149" spans="2:11" ht="12" customHeight="1" x14ac:dyDescent="0.25">
      <c r="B149" s="6" t="s">
        <v>129</v>
      </c>
      <c r="C149" s="7"/>
      <c r="D149" s="122"/>
      <c r="E149" s="122"/>
      <c r="F149" s="7"/>
      <c r="G149" s="7">
        <v>0</v>
      </c>
      <c r="H149" s="7">
        <v>0</v>
      </c>
      <c r="I149" s="7">
        <v>0</v>
      </c>
      <c r="J149" s="7"/>
      <c r="K149" s="7"/>
    </row>
    <row r="150" spans="2:11" ht="12" customHeight="1" x14ac:dyDescent="0.25">
      <c r="B150" s="6" t="s">
        <v>130</v>
      </c>
      <c r="C150" s="7"/>
      <c r="D150" s="122"/>
      <c r="E150" s="122"/>
      <c r="F150" s="7">
        <v>-151.80000000000001</v>
      </c>
      <c r="G150" s="7">
        <v>-1248.2</v>
      </c>
      <c r="H150" s="7">
        <v>-1403.366</v>
      </c>
      <c r="I150" s="7">
        <v>-14801.300000000001</v>
      </c>
      <c r="J150" s="7">
        <v>-2020.6</v>
      </c>
      <c r="K150" s="7">
        <v>5325.3</v>
      </c>
    </row>
    <row r="151" spans="2:11" ht="12" customHeight="1" x14ac:dyDescent="0.25">
      <c r="B151" s="6" t="s">
        <v>496</v>
      </c>
      <c r="C151" s="7"/>
      <c r="D151" s="122">
        <v>-444.38</v>
      </c>
      <c r="E151" s="122"/>
      <c r="F151" s="123">
        <v>-3949.768</v>
      </c>
      <c r="G151" s="123">
        <v>-1252.373</v>
      </c>
      <c r="H151" s="123">
        <v>-45</v>
      </c>
      <c r="I151" s="123">
        <v>-4808.2</v>
      </c>
      <c r="J151" s="123">
        <v>-12240.7</v>
      </c>
      <c r="K151" s="123">
        <v>-1126.4000000000001</v>
      </c>
    </row>
    <row r="152" spans="2:11" ht="12" customHeight="1" x14ac:dyDescent="0.25">
      <c r="B152" s="6" t="s">
        <v>111</v>
      </c>
      <c r="C152" s="7">
        <v>-559.31600000000003</v>
      </c>
      <c r="D152" s="122"/>
      <c r="E152" s="122">
        <f>222.664</f>
        <v>222.66399999999999</v>
      </c>
      <c r="F152" s="122">
        <f>0.1</f>
        <v>0.1</v>
      </c>
      <c r="G152" s="123">
        <v>-23711.84</v>
      </c>
      <c r="H152" s="123">
        <v>-3382.3</v>
      </c>
      <c r="I152" s="123">
        <f>(-1141.49+50)*10</f>
        <v>-10914.9</v>
      </c>
      <c r="J152" s="123">
        <f>-24700+47349.3+1101.4</f>
        <v>23750.700000000004</v>
      </c>
      <c r="K152" s="123">
        <f>-16383.4+1651.1+11375.8</f>
        <v>-3356.5</v>
      </c>
    </row>
    <row r="153" spans="2:11" ht="12" customHeight="1" x14ac:dyDescent="0.25">
      <c r="B153" s="6"/>
      <c r="C153" s="7"/>
      <c r="D153" s="7"/>
      <c r="E153" s="7"/>
      <c r="F153" s="7"/>
      <c r="G153" s="7"/>
      <c r="H153" s="7"/>
      <c r="I153" s="7"/>
      <c r="J153" s="7"/>
      <c r="K153" s="7"/>
    </row>
    <row r="154" spans="2:11" ht="12" customHeight="1" x14ac:dyDescent="0.25">
      <c r="B154" s="9" t="s">
        <v>131</v>
      </c>
      <c r="C154" s="10">
        <f t="shared" ref="C154:J154" si="49">SUM(C143:C152)</f>
        <v>-267.50600000000009</v>
      </c>
      <c r="D154" s="10">
        <f t="shared" si="49"/>
        <v>-893.70399999999961</v>
      </c>
      <c r="E154" s="10">
        <f t="shared" si="49"/>
        <v>257.53299999999967</v>
      </c>
      <c r="F154" s="10">
        <f t="shared" si="49"/>
        <v>-3506.1840000000002</v>
      </c>
      <c r="G154" s="10">
        <f t="shared" si="49"/>
        <v>-24926.248</v>
      </c>
      <c r="H154" s="10">
        <f t="shared" si="49"/>
        <v>904.72199999999975</v>
      </c>
      <c r="I154" s="10">
        <f t="shared" si="49"/>
        <v>-26459.9</v>
      </c>
      <c r="J154" s="10">
        <f t="shared" si="49"/>
        <v>1388.3000000000029</v>
      </c>
      <c r="K154" s="10">
        <f t="shared" ref="K154" si="50">SUM(K143:K152)</f>
        <v>-970.29999999999927</v>
      </c>
    </row>
    <row r="155" spans="2:11" ht="12" customHeight="1" x14ac:dyDescent="0.25">
      <c r="B155" s="6"/>
      <c r="C155" s="7"/>
      <c r="D155" s="7"/>
      <c r="E155" s="7"/>
      <c r="F155" s="7"/>
      <c r="G155" s="7"/>
      <c r="H155" s="7"/>
      <c r="I155" s="7"/>
      <c r="J155" s="7"/>
      <c r="K155" s="7"/>
    </row>
    <row r="156" spans="2:11" ht="12" customHeight="1" x14ac:dyDescent="0.25">
      <c r="B156" s="6" t="s">
        <v>132</v>
      </c>
      <c r="C156" s="7"/>
      <c r="D156" s="122"/>
      <c r="E156" s="122"/>
      <c r="F156" s="122"/>
      <c r="G156" s="122">
        <v>0</v>
      </c>
      <c r="H156" s="7">
        <v>0</v>
      </c>
      <c r="I156" s="7">
        <v>0</v>
      </c>
      <c r="J156" s="7"/>
      <c r="K156" s="7"/>
    </row>
    <row r="157" spans="2:11" ht="12" customHeight="1" x14ac:dyDescent="0.25">
      <c r="B157" s="6" t="s">
        <v>133</v>
      </c>
      <c r="C157" s="7">
        <v>38.624000000000002</v>
      </c>
      <c r="D157" s="123"/>
      <c r="E157" s="123"/>
      <c r="F157" s="7"/>
      <c r="G157" s="7">
        <v>0</v>
      </c>
      <c r="H157" s="7">
        <v>0</v>
      </c>
      <c r="I157" s="7">
        <v>28000</v>
      </c>
      <c r="J157" s="7"/>
      <c r="K157" s="7"/>
    </row>
    <row r="158" spans="2:11" ht="12" customHeight="1" x14ac:dyDescent="0.25">
      <c r="B158" s="6" t="s">
        <v>134</v>
      </c>
      <c r="C158" s="7"/>
      <c r="D158" s="123"/>
      <c r="E158" s="123"/>
      <c r="F158" s="7"/>
      <c r="G158" s="7" t="s">
        <v>108</v>
      </c>
      <c r="H158" s="7" t="s">
        <v>108</v>
      </c>
      <c r="I158" s="7">
        <v>0</v>
      </c>
      <c r="J158" s="7"/>
      <c r="K158" s="7"/>
    </row>
    <row r="159" spans="2:11" ht="12" customHeight="1" x14ac:dyDescent="0.25">
      <c r="B159" s="6" t="s">
        <v>135</v>
      </c>
      <c r="C159" s="7">
        <v>932.7</v>
      </c>
      <c r="D159" s="123"/>
      <c r="E159" s="123">
        <v>5439.28</v>
      </c>
      <c r="F159" s="7">
        <v>2500</v>
      </c>
      <c r="G159" s="7">
        <v>29902.799999999999</v>
      </c>
      <c r="H159" s="7" t="s">
        <v>108</v>
      </c>
      <c r="I159" s="7">
        <v>0</v>
      </c>
      <c r="J159" s="7"/>
      <c r="K159" s="7">
        <v>6200</v>
      </c>
    </row>
    <row r="160" spans="2:11" ht="12" customHeight="1" x14ac:dyDescent="0.25">
      <c r="B160" s="6" t="s">
        <v>136</v>
      </c>
      <c r="C160" s="7"/>
      <c r="D160" s="123"/>
      <c r="E160" s="123"/>
      <c r="F160" s="7"/>
      <c r="G160" s="7">
        <v>1500</v>
      </c>
      <c r="H160" s="7">
        <v>0</v>
      </c>
      <c r="I160" s="7">
        <v>0</v>
      </c>
      <c r="J160" s="7">
        <v>9667</v>
      </c>
      <c r="K160" s="7">
        <v>10885.9</v>
      </c>
    </row>
    <row r="161" spans="2:11" ht="12" customHeight="1" x14ac:dyDescent="0.25">
      <c r="B161" s="6" t="s">
        <v>137</v>
      </c>
      <c r="C161" s="7"/>
      <c r="D161" s="123"/>
      <c r="E161" s="123">
        <v>-0.48</v>
      </c>
      <c r="F161" s="7">
        <v>-0.48</v>
      </c>
      <c r="G161" s="7">
        <v>-0.23400000000000001</v>
      </c>
      <c r="H161" s="7">
        <v>-0.498</v>
      </c>
      <c r="I161" s="7">
        <v>-1.4000000000000001</v>
      </c>
      <c r="J161" s="7">
        <v>-0.9</v>
      </c>
      <c r="K161" s="7">
        <v>-31.8</v>
      </c>
    </row>
    <row r="162" spans="2:11" ht="12" customHeight="1" x14ac:dyDescent="0.25">
      <c r="B162" s="6" t="s">
        <v>138</v>
      </c>
      <c r="C162" s="7"/>
      <c r="D162" s="123"/>
      <c r="E162" s="123">
        <v>-5544</v>
      </c>
      <c r="F162" s="7">
        <v>-2168</v>
      </c>
      <c r="G162" s="7">
        <v>-5259.28</v>
      </c>
      <c r="H162" s="7">
        <v>-85</v>
      </c>
      <c r="I162" s="7">
        <v>0</v>
      </c>
      <c r="J162" s="7"/>
      <c r="K162" s="7"/>
    </row>
    <row r="163" spans="2:11" ht="12" customHeight="1" x14ac:dyDescent="0.25">
      <c r="B163" s="6" t="s">
        <v>139</v>
      </c>
      <c r="C163" s="7">
        <v>-3617.1</v>
      </c>
      <c r="D163" s="123">
        <v>-538.07399999999996</v>
      </c>
      <c r="E163" s="123"/>
      <c r="F163" s="7"/>
      <c r="G163" s="7">
        <v>0</v>
      </c>
      <c r="H163" s="7">
        <v>-1500</v>
      </c>
      <c r="I163" s="7">
        <v>0</v>
      </c>
      <c r="J163" s="7">
        <v>-9667</v>
      </c>
      <c r="K163" s="7">
        <v>-9683.5</v>
      </c>
    </row>
    <row r="164" spans="2:11" ht="12" customHeight="1" x14ac:dyDescent="0.25">
      <c r="B164" s="6" t="s">
        <v>140</v>
      </c>
      <c r="C164" s="7"/>
      <c r="D164" s="123"/>
      <c r="E164" s="123"/>
      <c r="F164" s="7"/>
      <c r="G164" s="7">
        <v>0</v>
      </c>
      <c r="H164" s="7">
        <v>0</v>
      </c>
      <c r="I164" s="7">
        <v>0</v>
      </c>
      <c r="J164" s="7"/>
      <c r="K164" s="7"/>
    </row>
    <row r="165" spans="2:11" ht="12" customHeight="1" x14ac:dyDescent="0.25">
      <c r="B165" s="6" t="s">
        <v>141</v>
      </c>
      <c r="C165" s="7">
        <v>-300.20999999999998</v>
      </c>
      <c r="D165" s="123">
        <v>-61.052999999999997</v>
      </c>
      <c r="E165" s="123">
        <v>-1041.0540000000001</v>
      </c>
      <c r="F165" s="7">
        <v>-393.44900000000001</v>
      </c>
      <c r="G165" s="7">
        <v>-751.54</v>
      </c>
      <c r="H165" s="7">
        <v>-1936.4010000000001</v>
      </c>
      <c r="I165" s="7">
        <v>-1967.1000000000001</v>
      </c>
      <c r="J165" s="7">
        <v>-2438.6</v>
      </c>
      <c r="K165" s="7">
        <v>-2512.5</v>
      </c>
    </row>
    <row r="166" spans="2:11" ht="12" customHeight="1" x14ac:dyDescent="0.25">
      <c r="B166" s="6" t="s">
        <v>58</v>
      </c>
      <c r="C166" s="7"/>
      <c r="D166" s="123"/>
      <c r="E166" s="123"/>
      <c r="F166" s="7"/>
      <c r="G166" s="7">
        <v>0</v>
      </c>
      <c r="H166" s="7">
        <v>0</v>
      </c>
      <c r="I166" s="7">
        <v>0</v>
      </c>
      <c r="J166" s="7">
        <v>-1155</v>
      </c>
      <c r="K166" s="7">
        <v>-1680</v>
      </c>
    </row>
    <row r="167" spans="2:11" ht="12" customHeight="1" x14ac:dyDescent="0.25">
      <c r="B167" s="6" t="s">
        <v>111</v>
      </c>
      <c r="C167" s="7"/>
      <c r="D167" s="7">
        <v>0.184</v>
      </c>
      <c r="E167" s="7"/>
      <c r="F167" s="7"/>
      <c r="G167" s="7">
        <v>0</v>
      </c>
      <c r="H167" s="7">
        <v>0</v>
      </c>
      <c r="I167" s="7">
        <f>(-44.83)*10</f>
        <v>-448.29999999999995</v>
      </c>
      <c r="J167" s="7">
        <v>-228.7</v>
      </c>
      <c r="K167" s="7">
        <v>-43.8</v>
      </c>
    </row>
    <row r="168" spans="2:11" ht="12" customHeight="1" x14ac:dyDescent="0.25">
      <c r="B168" s="6"/>
      <c r="C168" s="7"/>
      <c r="D168" s="7"/>
      <c r="E168" s="7"/>
      <c r="F168" s="7"/>
      <c r="G168" s="7"/>
      <c r="H168" s="7"/>
      <c r="I168" s="7"/>
      <c r="J168" s="7"/>
      <c r="K168" s="7"/>
    </row>
    <row r="169" spans="2:11" ht="12" customHeight="1" x14ac:dyDescent="0.25">
      <c r="B169" s="9" t="s">
        <v>142</v>
      </c>
      <c r="C169" s="10">
        <f t="shared" ref="C169:J169" si="51">SUM(C156:C167)</f>
        <v>-2945.9859999999999</v>
      </c>
      <c r="D169" s="10">
        <f t="shared" si="51"/>
        <v>-598.94299999999998</v>
      </c>
      <c r="E169" s="10">
        <f t="shared" si="51"/>
        <v>-1146.2539999999999</v>
      </c>
      <c r="F169" s="10">
        <f t="shared" si="51"/>
        <v>-61.92900000000003</v>
      </c>
      <c r="G169" s="10">
        <f t="shared" si="51"/>
        <v>25391.745999999999</v>
      </c>
      <c r="H169" s="10">
        <f t="shared" si="51"/>
        <v>-3521.8990000000003</v>
      </c>
      <c r="I169" s="10">
        <f t="shared" si="51"/>
        <v>25583.200000000001</v>
      </c>
      <c r="J169" s="10">
        <f t="shared" si="51"/>
        <v>-3823.1999999999994</v>
      </c>
      <c r="K169" s="10">
        <f t="shared" ref="K169" si="52">SUM(K156:K167)</f>
        <v>3134.300000000002</v>
      </c>
    </row>
    <row r="170" spans="2:11" ht="12" customHeight="1" x14ac:dyDescent="0.25">
      <c r="B170" s="6"/>
      <c r="C170" s="7"/>
      <c r="D170" s="7"/>
      <c r="E170" s="7"/>
      <c r="F170" s="7"/>
      <c r="G170" s="7"/>
      <c r="H170" s="7"/>
      <c r="I170" s="7"/>
      <c r="J170" s="7"/>
      <c r="K170" s="7"/>
    </row>
    <row r="171" spans="2:11" ht="12" customHeight="1" x14ac:dyDescent="0.25">
      <c r="B171" s="9" t="s">
        <v>143</v>
      </c>
      <c r="C171" s="10"/>
      <c r="D171" s="10"/>
      <c r="E171" s="10"/>
      <c r="F171" s="10"/>
      <c r="G171" s="7"/>
      <c r="H171" s="7"/>
      <c r="I171" s="7"/>
      <c r="J171" s="7"/>
      <c r="K171" s="7"/>
    </row>
    <row r="172" spans="2:11" ht="12" customHeight="1" x14ac:dyDescent="0.25">
      <c r="B172" s="6"/>
      <c r="C172" s="7"/>
      <c r="D172" s="7"/>
      <c r="E172" s="7"/>
      <c r="F172" s="7"/>
      <c r="G172" s="7"/>
      <c r="H172" s="7"/>
      <c r="I172" s="7"/>
      <c r="J172" s="7"/>
      <c r="K172" s="7"/>
    </row>
    <row r="173" spans="2:11" ht="12" customHeight="1" x14ac:dyDescent="0.25">
      <c r="B173" s="9" t="s">
        <v>144</v>
      </c>
      <c r="C173" s="10">
        <f t="shared" ref="C173:J173" si="53">C141+C154+C169+C171</f>
        <v>327.27399999999943</v>
      </c>
      <c r="D173" s="10">
        <f t="shared" si="53"/>
        <v>-205.10499999999968</v>
      </c>
      <c r="E173" s="10">
        <f t="shared" si="53"/>
        <v>328.64400000000001</v>
      </c>
      <c r="F173" s="10">
        <f t="shared" si="53"/>
        <v>-362.34600000000086</v>
      </c>
      <c r="G173" s="10">
        <f t="shared" si="53"/>
        <v>2161.3630000000012</v>
      </c>
      <c r="H173" s="10">
        <f t="shared" si="53"/>
        <v>-997.26399999999921</v>
      </c>
      <c r="I173" s="10">
        <f t="shared" si="53"/>
        <v>1618.3999999999978</v>
      </c>
      <c r="J173" s="10">
        <f t="shared" si="53"/>
        <v>-1696.0999999999972</v>
      </c>
      <c r="K173" s="10">
        <f t="shared" ref="K173" si="54">K141+K154+K169+K171</f>
        <v>384.70000000000346</v>
      </c>
    </row>
    <row r="174" spans="2:11" ht="12" customHeight="1" x14ac:dyDescent="0.25">
      <c r="B174" s="9" t="s">
        <v>145</v>
      </c>
      <c r="C174" s="10">
        <v>38.654000000000003</v>
      </c>
      <c r="D174" s="10">
        <v>365.92899999999997</v>
      </c>
      <c r="E174" s="10">
        <f>4.689+160.642</f>
        <v>165.33099999999999</v>
      </c>
      <c r="F174" s="10">
        <v>493.97399999999999</v>
      </c>
      <c r="G174" s="10">
        <v>131.62799999999999</v>
      </c>
      <c r="H174" s="10">
        <v>2292.989</v>
      </c>
      <c r="I174" s="10">
        <v>1295.7</v>
      </c>
      <c r="J174" s="10">
        <f>I175</f>
        <v>2914.0999999999976</v>
      </c>
      <c r="K174" s="10">
        <f>J175</f>
        <v>1218.0000000000005</v>
      </c>
    </row>
    <row r="175" spans="2:11" ht="12" customHeight="1" x14ac:dyDescent="0.25">
      <c r="B175" s="9" t="s">
        <v>146</v>
      </c>
      <c r="C175" s="10">
        <f t="shared" ref="C175:J175" si="55">C173+C174</f>
        <v>365.92799999999943</v>
      </c>
      <c r="D175" s="10">
        <f t="shared" si="55"/>
        <v>160.8240000000003</v>
      </c>
      <c r="E175" s="10">
        <f t="shared" si="55"/>
        <v>493.97500000000002</v>
      </c>
      <c r="F175" s="10">
        <f t="shared" si="55"/>
        <v>131.62799999999913</v>
      </c>
      <c r="G175" s="10">
        <f t="shared" si="55"/>
        <v>2292.9910000000013</v>
      </c>
      <c r="H175" s="10">
        <f t="shared" si="55"/>
        <v>1295.7250000000008</v>
      </c>
      <c r="I175" s="10">
        <f t="shared" si="55"/>
        <v>2914.0999999999976</v>
      </c>
      <c r="J175" s="10">
        <f t="shared" si="55"/>
        <v>1218.0000000000005</v>
      </c>
      <c r="K175" s="10">
        <f t="shared" ref="K175" si="56">K173+K174</f>
        <v>1602.7000000000039</v>
      </c>
    </row>
    <row r="177" spans="2:11" ht="12" customHeight="1" x14ac:dyDescent="0.25">
      <c r="B177" s="3" t="s">
        <v>147</v>
      </c>
      <c r="C177" s="4" t="str">
        <f t="shared" ref="C177:H177" si="57">C2</f>
        <v>FY18</v>
      </c>
      <c r="D177" s="4" t="str">
        <f t="shared" si="57"/>
        <v>FY19</v>
      </c>
      <c r="E177" s="4" t="str">
        <f t="shared" si="57"/>
        <v>FY20</v>
      </c>
      <c r="F177" s="4" t="str">
        <f t="shared" si="57"/>
        <v>FY21</v>
      </c>
      <c r="G177" s="4" t="str">
        <f t="shared" si="57"/>
        <v>FY22</v>
      </c>
      <c r="H177" s="4" t="str">
        <f t="shared" si="57"/>
        <v>FY23</v>
      </c>
      <c r="I177" s="4" t="str">
        <f>I2</f>
        <v>FY24</v>
      </c>
      <c r="J177" s="4" t="str">
        <f>J2</f>
        <v>FY25</v>
      </c>
      <c r="K177" s="4" t="str">
        <f>K2</f>
        <v>FY26</v>
      </c>
    </row>
    <row r="178" spans="2:11" ht="12" customHeight="1" x14ac:dyDescent="0.25">
      <c r="B178" s="9" t="s">
        <v>148</v>
      </c>
      <c r="C178" s="7"/>
      <c r="D178" s="7"/>
      <c r="E178" s="7"/>
      <c r="F178" s="7"/>
      <c r="G178" s="7"/>
      <c r="H178" s="7"/>
      <c r="I178" s="7"/>
      <c r="J178" s="7"/>
      <c r="K178" s="7"/>
    </row>
    <row r="179" spans="2:11" ht="12" customHeight="1" x14ac:dyDescent="0.2">
      <c r="B179" s="35" t="s">
        <v>149</v>
      </c>
      <c r="C179" s="7">
        <f>C131</f>
        <v>1445.154</v>
      </c>
      <c r="D179" s="7">
        <f t="shared" ref="D179:J179" si="58">D131</f>
        <v>1454.855</v>
      </c>
      <c r="E179" s="7">
        <f t="shared" si="58"/>
        <v>1635.75</v>
      </c>
      <c r="F179" s="7">
        <f t="shared" si="58"/>
        <v>1730.0719999999994</v>
      </c>
      <c r="G179" s="7">
        <f t="shared" si="58"/>
        <v>2206.9540000000006</v>
      </c>
      <c r="H179" s="7">
        <f t="shared" si="58"/>
        <v>3130.9170000000008</v>
      </c>
      <c r="I179" s="7">
        <f t="shared" si="58"/>
        <v>2602.599999999999</v>
      </c>
      <c r="J179" s="7">
        <f t="shared" si="58"/>
        <v>2037.9999999999991</v>
      </c>
      <c r="K179" s="7">
        <f t="shared" ref="K179" si="59">K131</f>
        <v>2364.5000000000009</v>
      </c>
    </row>
    <row r="180" spans="2:11" ht="12" customHeight="1" x14ac:dyDescent="0.25">
      <c r="B180" s="6" t="s">
        <v>150</v>
      </c>
      <c r="C180" s="7">
        <f>C146</f>
        <v>103.40900000000001</v>
      </c>
      <c r="D180" s="7">
        <f t="shared" ref="D180:J180" si="60">D146</f>
        <v>590.21100000000001</v>
      </c>
      <c r="E180" s="7">
        <f t="shared" si="60"/>
        <v>36.023000000000003</v>
      </c>
      <c r="F180" s="7">
        <f t="shared" si="60"/>
        <v>144.87899999999999</v>
      </c>
      <c r="G180" s="7">
        <f t="shared" si="60"/>
        <v>1159.242</v>
      </c>
      <c r="H180" s="7">
        <f t="shared" si="60"/>
        <v>3375.866</v>
      </c>
      <c r="I180" s="7">
        <f t="shared" si="60"/>
        <v>3689.1000000000004</v>
      </c>
      <c r="J180" s="7">
        <f t="shared" si="60"/>
        <v>4647</v>
      </c>
      <c r="K180" s="7">
        <f t="shared" ref="K180" si="61">K146</f>
        <v>3657.4</v>
      </c>
    </row>
    <row r="181" spans="2:11" ht="12" customHeight="1" x14ac:dyDescent="0.25">
      <c r="B181" s="6" t="s">
        <v>151</v>
      </c>
      <c r="C181" s="7">
        <f>SUM(C143)</f>
        <v>-6.2190000000000003</v>
      </c>
      <c r="D181" s="7">
        <f t="shared" ref="D181:J181" si="62">SUM(D143)</f>
        <v>0</v>
      </c>
      <c r="E181" s="7">
        <f t="shared" si="62"/>
        <v>0</v>
      </c>
      <c r="F181" s="7">
        <f t="shared" si="62"/>
        <v>1.0109999999999999</v>
      </c>
      <c r="G181" s="7">
        <f t="shared" si="62"/>
        <v>3.0710000000000002</v>
      </c>
      <c r="H181" s="7">
        <f t="shared" si="62"/>
        <v>0</v>
      </c>
      <c r="I181" s="7">
        <f t="shared" si="62"/>
        <v>0.1</v>
      </c>
      <c r="J181" s="7">
        <f t="shared" si="62"/>
        <v>15.2</v>
      </c>
      <c r="K181" s="7">
        <f t="shared" ref="K181" si="63">SUM(K143)</f>
        <v>81.8</v>
      </c>
    </row>
    <row r="182" spans="2:11" ht="12" customHeight="1" x14ac:dyDescent="0.25">
      <c r="B182" s="6" t="s">
        <v>152</v>
      </c>
      <c r="C182" s="7">
        <f>SUM(C159:C163)</f>
        <v>-2684.3999999999996</v>
      </c>
      <c r="D182" s="7">
        <f t="shared" ref="D182:J182" si="64">SUM(D159:D163)</f>
        <v>-538.07399999999996</v>
      </c>
      <c r="E182" s="7">
        <f t="shared" si="64"/>
        <v>-105.19999999999982</v>
      </c>
      <c r="F182" s="7">
        <f t="shared" si="64"/>
        <v>331.52</v>
      </c>
      <c r="G182" s="7">
        <f t="shared" si="64"/>
        <v>26143.286</v>
      </c>
      <c r="H182" s="7">
        <f t="shared" si="64"/>
        <v>-1585.498</v>
      </c>
      <c r="I182" s="7">
        <f t="shared" si="64"/>
        <v>-1.4000000000000001</v>
      </c>
      <c r="J182" s="7">
        <f t="shared" si="64"/>
        <v>-0.8999999999996362</v>
      </c>
      <c r="K182" s="7">
        <f t="shared" ref="K182" si="65">SUM(K159:K163)</f>
        <v>7370.6000000000022</v>
      </c>
    </row>
    <row r="183" spans="2:11" ht="12" customHeight="1" x14ac:dyDescent="0.25">
      <c r="B183" s="6" t="s">
        <v>430</v>
      </c>
      <c r="C183" s="7">
        <f>C157</f>
        <v>38.624000000000002</v>
      </c>
      <c r="D183" s="7">
        <f t="shared" ref="D183:J184" si="66">D157</f>
        <v>0</v>
      </c>
      <c r="E183" s="7">
        <f t="shared" si="66"/>
        <v>0</v>
      </c>
      <c r="F183" s="7">
        <f t="shared" si="66"/>
        <v>0</v>
      </c>
      <c r="G183" s="7">
        <f t="shared" si="66"/>
        <v>0</v>
      </c>
      <c r="H183" s="7">
        <f t="shared" si="66"/>
        <v>0</v>
      </c>
      <c r="I183" s="7">
        <f t="shared" si="66"/>
        <v>28000</v>
      </c>
      <c r="J183" s="7">
        <f t="shared" si="66"/>
        <v>0</v>
      </c>
      <c r="K183" s="7">
        <f t="shared" ref="K183" si="67">K157</f>
        <v>0</v>
      </c>
    </row>
    <row r="184" spans="2:11" ht="12" customHeight="1" x14ac:dyDescent="0.25">
      <c r="B184" s="6" t="s">
        <v>111</v>
      </c>
      <c r="C184" s="7">
        <f>C158</f>
        <v>0</v>
      </c>
      <c r="D184" s="7">
        <f t="shared" si="66"/>
        <v>0</v>
      </c>
      <c r="E184" s="7">
        <f t="shared" si="66"/>
        <v>0</v>
      </c>
      <c r="F184" s="7">
        <f t="shared" si="66"/>
        <v>0</v>
      </c>
      <c r="G184" s="7" t="str">
        <f t="shared" si="66"/>
        <v>-</v>
      </c>
      <c r="H184" s="7" t="str">
        <f t="shared" si="66"/>
        <v>-</v>
      </c>
      <c r="I184" s="7">
        <f t="shared" si="66"/>
        <v>0</v>
      </c>
      <c r="J184" s="7">
        <f t="shared" si="66"/>
        <v>0</v>
      </c>
      <c r="K184" s="7">
        <f t="shared" ref="K184" si="68">K158</f>
        <v>0</v>
      </c>
    </row>
    <row r="185" spans="2:11" ht="12" customHeight="1" x14ac:dyDescent="0.25">
      <c r="B185" s="6" t="s">
        <v>153</v>
      </c>
      <c r="C185" s="10">
        <f>SUM(C179:C184)</f>
        <v>-1103.4319999999996</v>
      </c>
      <c r="D185" s="10">
        <f t="shared" ref="D185:J185" si="69">SUM(D179:D184)</f>
        <v>1506.9920000000002</v>
      </c>
      <c r="E185" s="10">
        <f t="shared" si="69"/>
        <v>1566.5730000000001</v>
      </c>
      <c r="F185" s="10">
        <f t="shared" si="69"/>
        <v>2207.4819999999991</v>
      </c>
      <c r="G185" s="10">
        <f t="shared" si="69"/>
        <v>29512.553</v>
      </c>
      <c r="H185" s="10">
        <f t="shared" si="69"/>
        <v>4921.2850000000017</v>
      </c>
      <c r="I185" s="10">
        <f t="shared" si="69"/>
        <v>34290.400000000001</v>
      </c>
      <c r="J185" s="10">
        <f t="shared" si="69"/>
        <v>6699.2999999999993</v>
      </c>
      <c r="K185" s="10">
        <f t="shared" ref="K185" si="70">SUM(K179:K184)</f>
        <v>13474.300000000003</v>
      </c>
    </row>
    <row r="186" spans="2:11" ht="12" customHeight="1" x14ac:dyDescent="0.25">
      <c r="B186" s="6"/>
      <c r="C186" s="7"/>
      <c r="D186" s="7"/>
      <c r="E186" s="7"/>
      <c r="F186" s="7"/>
      <c r="G186" s="7"/>
      <c r="H186" s="7"/>
      <c r="I186" s="7"/>
      <c r="J186" s="7"/>
      <c r="K186" s="7"/>
    </row>
    <row r="187" spans="2:11" ht="12" customHeight="1" x14ac:dyDescent="0.25">
      <c r="B187" s="9" t="s">
        <v>154</v>
      </c>
      <c r="C187" s="7"/>
      <c r="D187" s="7"/>
      <c r="E187" s="7"/>
      <c r="F187" s="7"/>
      <c r="G187" s="7"/>
      <c r="H187" s="7"/>
      <c r="I187" s="7"/>
      <c r="J187" s="7"/>
      <c r="K187" s="7"/>
    </row>
    <row r="188" spans="2:11" ht="12" customHeight="1" x14ac:dyDescent="0.25">
      <c r="B188" s="6" t="s">
        <v>156</v>
      </c>
      <c r="C188" s="7">
        <f>-SUM(C132:C137)</f>
        <v>-2223.1119999999996</v>
      </c>
      <c r="D188" s="7">
        <f t="shared" ref="D188:J188" si="71">-SUM(D132:D137)</f>
        <v>-37.79</v>
      </c>
      <c r="E188" s="7">
        <f t="shared" si="71"/>
        <v>284.00699999999995</v>
      </c>
      <c r="F188" s="7">
        <f t="shared" si="71"/>
        <v>-1610.1950000000002</v>
      </c>
      <c r="G188" s="7">
        <f t="shared" si="71"/>
        <v>139.96799999999999</v>
      </c>
      <c r="H188" s="7">
        <f t="shared" si="71"/>
        <v>1107.1740000000002</v>
      </c>
      <c r="I188" s="7">
        <f t="shared" si="71"/>
        <v>-535.99999999999989</v>
      </c>
      <c r="J188" s="7">
        <f t="shared" si="71"/>
        <v>356.39999999999986</v>
      </c>
      <c r="K188" s="7">
        <f t="shared" ref="K188" si="72">-SUM(K132:K137)</f>
        <v>3360.1000000000004</v>
      </c>
    </row>
    <row r="189" spans="2:11" ht="12" customHeight="1" x14ac:dyDescent="0.25">
      <c r="B189" s="6" t="s">
        <v>157</v>
      </c>
      <c r="C189" s="7">
        <f>-C140</f>
        <v>127.5</v>
      </c>
      <c r="D189" s="7">
        <f t="shared" ref="D189:J189" si="73">-D140</f>
        <v>205.10300000000001</v>
      </c>
      <c r="E189" s="7">
        <f t="shared" si="73"/>
        <v>134.37799999999999</v>
      </c>
      <c r="F189" s="7">
        <f t="shared" si="73"/>
        <v>134.5</v>
      </c>
      <c r="G189" s="7">
        <f t="shared" si="73"/>
        <v>371.12099999999998</v>
      </c>
      <c r="H189" s="7">
        <f t="shared" si="73"/>
        <v>403.83</v>
      </c>
      <c r="I189" s="7">
        <f t="shared" si="73"/>
        <v>643.5</v>
      </c>
      <c r="J189" s="7">
        <f t="shared" si="73"/>
        <v>942.8</v>
      </c>
      <c r="K189" s="7">
        <f t="shared" ref="K189" si="74">-K140</f>
        <v>783.7</v>
      </c>
    </row>
    <row r="190" spans="2:11" ht="12" customHeight="1" x14ac:dyDescent="0.25">
      <c r="B190" s="6" t="s">
        <v>158</v>
      </c>
      <c r="C190" s="7">
        <f>-C147</f>
        <v>0</v>
      </c>
      <c r="D190" s="7">
        <f t="shared" ref="D190:J190" si="75">-D147</f>
        <v>3.3370000000000002</v>
      </c>
      <c r="E190" s="7">
        <f t="shared" si="75"/>
        <v>0.60799999999999998</v>
      </c>
      <c r="F190" s="7">
        <f t="shared" si="75"/>
        <v>1.99</v>
      </c>
      <c r="G190" s="7">
        <f t="shared" si="75"/>
        <v>1.1479999999999999</v>
      </c>
      <c r="H190" s="7">
        <f t="shared" si="75"/>
        <v>70.781000000000006</v>
      </c>
      <c r="I190" s="7">
        <f t="shared" si="75"/>
        <v>20.2</v>
      </c>
      <c r="J190" s="7">
        <f t="shared" si="75"/>
        <v>13467.3</v>
      </c>
      <c r="K190" s="7">
        <f t="shared" ref="K190" si="76">-K147</f>
        <v>5551.9</v>
      </c>
    </row>
    <row r="191" spans="2:11" ht="12" customHeight="1" x14ac:dyDescent="0.25">
      <c r="B191" s="6" t="s">
        <v>428</v>
      </c>
      <c r="C191" s="7">
        <f>-(C144+C145+C148+C149+C150+C152)</f>
        <v>364.69600000000014</v>
      </c>
      <c r="D191" s="7">
        <f t="shared" ref="D191:J191" si="77">-(D144+D145+D148+D149+D150+D152)</f>
        <v>1036.1979999999994</v>
      </c>
      <c r="E191" s="7">
        <f t="shared" si="77"/>
        <v>-222.11799999999971</v>
      </c>
      <c r="F191" s="7">
        <f t="shared" si="77"/>
        <v>-299.68400000000003</v>
      </c>
      <c r="G191" s="7">
        <f t="shared" si="77"/>
        <v>24835.040000000001</v>
      </c>
      <c r="H191" s="7">
        <f t="shared" si="77"/>
        <v>2355.3630000000003</v>
      </c>
      <c r="I191" s="7">
        <f t="shared" si="77"/>
        <v>25320.7</v>
      </c>
      <c r="J191" s="7">
        <f t="shared" si="77"/>
        <v>-22434.100000000006</v>
      </c>
      <c r="K191" s="7">
        <f t="shared" ref="K191" si="78">-(K144+K145+K148+K149+K150+K152)</f>
        <v>-1968.8000000000002</v>
      </c>
    </row>
    <row r="192" spans="2:11" ht="12" customHeight="1" x14ac:dyDescent="0.25">
      <c r="B192" s="6" t="s">
        <v>429</v>
      </c>
      <c r="C192" s="7">
        <f>-C156</f>
        <v>0</v>
      </c>
      <c r="D192" s="7">
        <f t="shared" ref="D192:J192" si="79">-D156</f>
        <v>0</v>
      </c>
      <c r="E192" s="7">
        <f t="shared" si="79"/>
        <v>0</v>
      </c>
      <c r="F192" s="7">
        <f t="shared" si="79"/>
        <v>0</v>
      </c>
      <c r="G192" s="7">
        <f t="shared" si="79"/>
        <v>0</v>
      </c>
      <c r="H192" s="7">
        <f t="shared" si="79"/>
        <v>0</v>
      </c>
      <c r="I192" s="7">
        <f t="shared" si="79"/>
        <v>0</v>
      </c>
      <c r="J192" s="7">
        <f t="shared" si="79"/>
        <v>0</v>
      </c>
      <c r="K192" s="7">
        <f t="shared" ref="K192" si="80">-K156</f>
        <v>0</v>
      </c>
    </row>
    <row r="193" spans="2:11" ht="12" customHeight="1" x14ac:dyDescent="0.25">
      <c r="B193" s="6" t="s">
        <v>141</v>
      </c>
      <c r="C193" s="7">
        <f>-C165</f>
        <v>300.20999999999998</v>
      </c>
      <c r="D193" s="7">
        <f t="shared" ref="D193:J194" si="81">-D165</f>
        <v>61.052999999999997</v>
      </c>
      <c r="E193" s="7">
        <f t="shared" si="81"/>
        <v>1041.0540000000001</v>
      </c>
      <c r="F193" s="7">
        <f t="shared" si="81"/>
        <v>393.44900000000001</v>
      </c>
      <c r="G193" s="7">
        <f t="shared" si="81"/>
        <v>751.54</v>
      </c>
      <c r="H193" s="7">
        <f t="shared" si="81"/>
        <v>1936.4010000000001</v>
      </c>
      <c r="I193" s="7">
        <f t="shared" si="81"/>
        <v>1967.1000000000001</v>
      </c>
      <c r="J193" s="7">
        <f t="shared" si="81"/>
        <v>2438.6</v>
      </c>
      <c r="K193" s="7">
        <f t="shared" ref="K193" si="82">-K165</f>
        <v>2512.5</v>
      </c>
    </row>
    <row r="194" spans="2:11" ht="12" customHeight="1" x14ac:dyDescent="0.25">
      <c r="B194" s="6" t="s">
        <v>431</v>
      </c>
      <c r="C194" s="122">
        <f>-C166</f>
        <v>0</v>
      </c>
      <c r="D194" s="122">
        <f t="shared" si="81"/>
        <v>0</v>
      </c>
      <c r="E194" s="122">
        <f t="shared" si="81"/>
        <v>0</v>
      </c>
      <c r="F194" s="122">
        <f t="shared" si="81"/>
        <v>0</v>
      </c>
      <c r="G194" s="122">
        <f t="shared" si="81"/>
        <v>0</v>
      </c>
      <c r="H194" s="122">
        <f t="shared" si="81"/>
        <v>0</v>
      </c>
      <c r="I194" s="122">
        <f t="shared" si="81"/>
        <v>0</v>
      </c>
      <c r="J194" s="122">
        <f t="shared" si="81"/>
        <v>1155</v>
      </c>
      <c r="K194" s="122">
        <f t="shared" ref="K194" si="83">-K166</f>
        <v>1680</v>
      </c>
    </row>
    <row r="195" spans="2:11" ht="12" customHeight="1" x14ac:dyDescent="0.25">
      <c r="B195" s="6" t="s">
        <v>111</v>
      </c>
      <c r="C195" s="7">
        <f>-C167-C164</f>
        <v>0</v>
      </c>
      <c r="D195" s="7">
        <f t="shared" ref="D195:J195" si="84">-D167-D164</f>
        <v>-0.184</v>
      </c>
      <c r="E195" s="122">
        <f t="shared" si="84"/>
        <v>0</v>
      </c>
      <c r="F195" s="122">
        <f t="shared" si="84"/>
        <v>0</v>
      </c>
      <c r="G195" s="7">
        <f t="shared" si="84"/>
        <v>0</v>
      </c>
      <c r="H195" s="7">
        <f t="shared" si="84"/>
        <v>0</v>
      </c>
      <c r="I195" s="7">
        <f t="shared" si="84"/>
        <v>448.29999999999995</v>
      </c>
      <c r="J195" s="7">
        <f t="shared" si="84"/>
        <v>228.7</v>
      </c>
      <c r="K195" s="7">
        <f t="shared" ref="K195" si="85">-K167-K164</f>
        <v>43.8</v>
      </c>
    </row>
    <row r="196" spans="2:11" ht="12" customHeight="1" x14ac:dyDescent="0.25">
      <c r="B196" s="6" t="s">
        <v>159</v>
      </c>
      <c r="C196" s="10">
        <f>SUM(C188:C195)</f>
        <v>-1430.7059999999994</v>
      </c>
      <c r="D196" s="10">
        <f t="shared" ref="D196:J196" si="86">SUM(D188:D195)</f>
        <v>1267.7169999999994</v>
      </c>
      <c r="E196" s="10">
        <f t="shared" si="86"/>
        <v>1237.9290000000003</v>
      </c>
      <c r="F196" s="10">
        <f t="shared" si="86"/>
        <v>-1379.94</v>
      </c>
      <c r="G196" s="10">
        <f t="shared" si="86"/>
        <v>26098.817000000003</v>
      </c>
      <c r="H196" s="10">
        <f t="shared" si="86"/>
        <v>5873.549</v>
      </c>
      <c r="I196" s="10">
        <f t="shared" si="86"/>
        <v>27863.8</v>
      </c>
      <c r="J196" s="10">
        <f t="shared" si="86"/>
        <v>-3845.3000000000056</v>
      </c>
      <c r="K196" s="10">
        <f t="shared" ref="K196" si="87">SUM(K188:K195)</f>
        <v>11963.2</v>
      </c>
    </row>
    <row r="197" spans="2:11" ht="12" customHeight="1" x14ac:dyDescent="0.25">
      <c r="B197" s="6"/>
      <c r="C197" s="7"/>
      <c r="D197" s="7"/>
      <c r="E197" s="7"/>
      <c r="F197" s="7"/>
      <c r="G197" s="7"/>
      <c r="H197" s="7"/>
      <c r="I197" s="7"/>
      <c r="J197" s="7"/>
      <c r="K197" s="7"/>
    </row>
    <row r="198" spans="2:11" ht="12" customHeight="1" x14ac:dyDescent="0.25">
      <c r="B198" s="6" t="s">
        <v>160</v>
      </c>
      <c r="C198" s="7">
        <f>C185-C196</f>
        <v>327.27399999999989</v>
      </c>
      <c r="D198" s="7">
        <f t="shared" ref="D198:J198" si="88">D185-D196</f>
        <v>239.27500000000077</v>
      </c>
      <c r="E198" s="7">
        <f t="shared" si="88"/>
        <v>328.64399999999978</v>
      </c>
      <c r="F198" s="7">
        <f t="shared" si="88"/>
        <v>3587.4219999999991</v>
      </c>
      <c r="G198" s="7">
        <f t="shared" si="88"/>
        <v>3413.7359999999971</v>
      </c>
      <c r="H198" s="7">
        <f t="shared" si="88"/>
        <v>-952.2639999999983</v>
      </c>
      <c r="I198" s="7">
        <f t="shared" si="88"/>
        <v>6426.6000000000022</v>
      </c>
      <c r="J198" s="7">
        <f t="shared" si="88"/>
        <v>10544.600000000006</v>
      </c>
      <c r="K198" s="7">
        <f t="shared" ref="K198" si="89">K185-K196</f>
        <v>1511.1000000000022</v>
      </c>
    </row>
    <row r="199" spans="2:11" ht="12" customHeight="1" x14ac:dyDescent="0.25">
      <c r="B199" s="6" t="s">
        <v>161</v>
      </c>
      <c r="C199" s="7">
        <f>C179-C188-C189</f>
        <v>3540.7659999999996</v>
      </c>
      <c r="D199" s="7">
        <f t="shared" ref="D199:J199" si="90">D179-D188-D189</f>
        <v>1287.5419999999999</v>
      </c>
      <c r="E199" s="7">
        <f t="shared" si="90"/>
        <v>1217.365</v>
      </c>
      <c r="F199" s="7">
        <f t="shared" si="90"/>
        <v>3205.7669999999998</v>
      </c>
      <c r="G199" s="7">
        <f t="shared" si="90"/>
        <v>1695.8650000000007</v>
      </c>
      <c r="H199" s="7">
        <f t="shared" si="90"/>
        <v>1619.9130000000007</v>
      </c>
      <c r="I199" s="7">
        <f t="shared" si="90"/>
        <v>2495.099999999999</v>
      </c>
      <c r="J199" s="7">
        <f t="shared" si="90"/>
        <v>738.79999999999927</v>
      </c>
      <c r="K199" s="7">
        <f t="shared" ref="K199" si="91">K179-K188-K189</f>
        <v>-1779.2999999999995</v>
      </c>
    </row>
    <row r="200" spans="2:11" ht="12" customHeight="1" x14ac:dyDescent="0.25">
      <c r="B200" s="6" t="s">
        <v>162</v>
      </c>
      <c r="C200" s="7">
        <f>C199-C190</f>
        <v>3540.7659999999996</v>
      </c>
      <c r="D200" s="7">
        <f t="shared" ref="D200:J200" si="92">D199-D190</f>
        <v>1284.2049999999999</v>
      </c>
      <c r="E200" s="7">
        <f t="shared" si="92"/>
        <v>1216.7570000000001</v>
      </c>
      <c r="F200" s="7">
        <f t="shared" si="92"/>
        <v>3203.777</v>
      </c>
      <c r="G200" s="7">
        <f t="shared" si="92"/>
        <v>1694.7170000000008</v>
      </c>
      <c r="H200" s="7">
        <f t="shared" si="92"/>
        <v>1549.1320000000007</v>
      </c>
      <c r="I200" s="7">
        <f t="shared" si="92"/>
        <v>2474.8999999999992</v>
      </c>
      <c r="J200" s="7">
        <f t="shared" si="92"/>
        <v>-12728.5</v>
      </c>
      <c r="K200" s="7">
        <f t="shared" ref="K200" si="93">K199-K190</f>
        <v>-7331.1999999999989</v>
      </c>
    </row>
    <row r="201" spans="2:11" ht="12" customHeight="1" x14ac:dyDescent="0.25">
      <c r="B201" s="6" t="s">
        <v>163</v>
      </c>
      <c r="C201" s="7">
        <f>C175</f>
        <v>365.92799999999943</v>
      </c>
      <c r="D201" s="7">
        <f t="shared" ref="D201:J201" si="94">D175</f>
        <v>160.8240000000003</v>
      </c>
      <c r="E201" s="7">
        <f t="shared" si="94"/>
        <v>493.97500000000002</v>
      </c>
      <c r="F201" s="7">
        <f t="shared" si="94"/>
        <v>131.62799999999913</v>
      </c>
      <c r="G201" s="7">
        <f t="shared" si="94"/>
        <v>2292.9910000000013</v>
      </c>
      <c r="H201" s="7">
        <f t="shared" si="94"/>
        <v>1295.7250000000008</v>
      </c>
      <c r="I201" s="7">
        <f t="shared" si="94"/>
        <v>2914.0999999999976</v>
      </c>
      <c r="J201" s="7">
        <f t="shared" si="94"/>
        <v>1218.0000000000005</v>
      </c>
      <c r="K201" s="7">
        <f t="shared" ref="K201" si="95">K175</f>
        <v>1602.7000000000039</v>
      </c>
    </row>
    <row r="203" spans="2:11" ht="12" customHeight="1" x14ac:dyDescent="0.25">
      <c r="G203" s="33"/>
      <c r="H203" s="33"/>
      <c r="I203" s="33"/>
    </row>
  </sheetData>
  <pageMargins left="0.7" right="0.7" top="0.75" bottom="0.75" header="0.3" footer="0.3"/>
  <pageSetup paperSize="9" orientation="portrait" verticalDpi="3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1146C-1EE6-48EE-902B-73754FDC9AEC}">
  <dimension ref="B1:AB178"/>
  <sheetViews>
    <sheetView showGridLines="0" workbookViewId="0">
      <selection activeCell="K24" sqref="K24"/>
    </sheetView>
  </sheetViews>
  <sheetFormatPr defaultColWidth="8.28515625" defaultRowHeight="12" customHeight="1" x14ac:dyDescent="0.25"/>
  <cols>
    <col min="1" max="1" width="3.5703125" style="2" customWidth="1"/>
    <col min="2" max="2" width="35.7109375" style="2" customWidth="1"/>
    <col min="3" max="6" width="8.28515625" style="2" customWidth="1"/>
    <col min="7" max="16" width="8.28515625" style="2"/>
    <col min="17" max="17" width="10" style="2" bestFit="1" customWidth="1"/>
    <col min="18" max="16384" width="8.28515625" style="2"/>
  </cols>
  <sheetData>
    <row r="1" spans="2:28" ht="12" customHeight="1" x14ac:dyDescent="0.25">
      <c r="B1" s="1" t="s">
        <v>375</v>
      </c>
    </row>
    <row r="2" spans="2:28" ht="12" customHeight="1" x14ac:dyDescent="0.25">
      <c r="B2" s="3" t="s">
        <v>17</v>
      </c>
      <c r="C2" s="4" t="s">
        <v>22</v>
      </c>
      <c r="D2" s="4" t="s">
        <v>23</v>
      </c>
      <c r="E2" s="4" t="s">
        <v>24</v>
      </c>
      <c r="F2" s="4" t="s">
        <v>25</v>
      </c>
      <c r="G2" s="4" t="s">
        <v>26</v>
      </c>
      <c r="H2" s="4" t="s">
        <v>27</v>
      </c>
      <c r="I2" s="4" t="s">
        <v>273</v>
      </c>
      <c r="J2" s="4" t="s">
        <v>347</v>
      </c>
      <c r="K2" s="5" t="s">
        <v>177</v>
      </c>
      <c r="L2" s="5" t="s">
        <v>178</v>
      </c>
      <c r="M2" s="5" t="s">
        <v>179</v>
      </c>
      <c r="N2" s="5" t="s">
        <v>231</v>
      </c>
      <c r="O2" s="5" t="s">
        <v>232</v>
      </c>
    </row>
    <row r="3" spans="2:28" ht="12" customHeight="1" x14ac:dyDescent="0.25">
      <c r="B3" s="6"/>
      <c r="C3" s="7"/>
      <c r="D3" s="7"/>
      <c r="E3" s="7"/>
      <c r="F3" s="7"/>
      <c r="G3" s="7"/>
      <c r="H3" s="7"/>
      <c r="I3" s="7"/>
      <c r="J3" s="7"/>
      <c r="K3" s="8"/>
      <c r="L3" s="8"/>
      <c r="M3" s="8"/>
      <c r="N3" s="8"/>
      <c r="O3" s="8"/>
    </row>
    <row r="4" spans="2:28" ht="12" customHeight="1" thickBot="1" x14ac:dyDescent="0.3">
      <c r="B4" s="6" t="s">
        <v>478</v>
      </c>
      <c r="C4" s="7"/>
      <c r="D4" s="7"/>
      <c r="E4" s="123">
        <v>0</v>
      </c>
      <c r="F4" s="123">
        <v>0</v>
      </c>
      <c r="G4" s="123">
        <v>0</v>
      </c>
      <c r="H4" s="123">
        <v>0</v>
      </c>
      <c r="I4" s="123"/>
      <c r="J4" s="123"/>
      <c r="K4" s="8"/>
      <c r="L4" s="8"/>
      <c r="M4" s="8"/>
      <c r="N4" s="8"/>
      <c r="O4" s="8"/>
      <c r="S4" s="970" t="s">
        <v>1704</v>
      </c>
      <c r="T4" s="984" t="s">
        <v>24</v>
      </c>
      <c r="U4" s="984" t="s">
        <v>25</v>
      </c>
      <c r="V4" s="984" t="s">
        <v>26</v>
      </c>
      <c r="W4" s="984" t="s">
        <v>27</v>
      </c>
      <c r="X4" s="984" t="s">
        <v>273</v>
      </c>
      <c r="Y4" s="984" t="s">
        <v>28</v>
      </c>
      <c r="Z4" s="984" t="s">
        <v>177</v>
      </c>
      <c r="AA4" s="971" t="s">
        <v>1735</v>
      </c>
      <c r="AB4" s="971" t="s">
        <v>1736</v>
      </c>
    </row>
    <row r="5" spans="2:28" ht="12" customHeight="1" x14ac:dyDescent="0.25">
      <c r="B5" s="6" t="s">
        <v>479</v>
      </c>
      <c r="C5" s="7"/>
      <c r="D5" s="7"/>
      <c r="E5" s="123">
        <v>0</v>
      </c>
      <c r="F5" s="123">
        <v>0</v>
      </c>
      <c r="G5" s="123">
        <v>0</v>
      </c>
      <c r="H5" s="123">
        <v>0</v>
      </c>
      <c r="I5" s="123"/>
      <c r="J5" s="123"/>
      <c r="K5" s="8"/>
      <c r="L5" s="8"/>
      <c r="M5" s="8"/>
      <c r="N5" s="8"/>
      <c r="O5" s="8"/>
      <c r="S5" s="972" t="s">
        <v>797</v>
      </c>
      <c r="T5" s="973">
        <f>E16</f>
        <v>1997.9390000000003</v>
      </c>
      <c r="U5" s="973">
        <f t="shared" ref="U5:Z5" si="0">F16</f>
        <v>2443.9649999999997</v>
      </c>
      <c r="V5" s="973">
        <f t="shared" si="0"/>
        <v>2582.9879999999998</v>
      </c>
      <c r="W5" s="973">
        <f t="shared" si="0"/>
        <v>2791.9749999999999</v>
      </c>
      <c r="X5" s="973">
        <f t="shared" si="0"/>
        <v>2986.3420000000006</v>
      </c>
      <c r="Y5" s="973">
        <f t="shared" si="0"/>
        <v>2954.3510000000001</v>
      </c>
      <c r="Z5" s="973">
        <f t="shared" ca="1" si="0"/>
        <v>3921.2905642500004</v>
      </c>
      <c r="AA5" s="980">
        <f>(X5/T5)^(1/4)-1</f>
        <v>0.10570514250050356</v>
      </c>
      <c r="AB5" s="980">
        <f ca="1">(Z5/X5)^(1/2)-1</f>
        <v>0.14589478000208578</v>
      </c>
    </row>
    <row r="6" spans="2:28" ht="12" customHeight="1" x14ac:dyDescent="0.25">
      <c r="B6" s="6" t="s">
        <v>480</v>
      </c>
      <c r="C6" s="7"/>
      <c r="D6" s="7"/>
      <c r="E6" s="123">
        <v>606.01599999999996</v>
      </c>
      <c r="F6" s="123">
        <v>687.19799999999998</v>
      </c>
      <c r="G6" s="123">
        <v>725.85900000000004</v>
      </c>
      <c r="H6" s="123">
        <v>836.07100000000003</v>
      </c>
      <c r="I6" s="123">
        <f>851.609</f>
        <v>851.60900000000004</v>
      </c>
      <c r="J6" s="123">
        <v>906.33199999999999</v>
      </c>
      <c r="K6" s="8">
        <f ca="1">J6*(1+Assumptions!L609)</f>
        <v>1209.10353375</v>
      </c>
      <c r="L6" s="8">
        <f ca="1">K6*(1+Assumptions!M609)</f>
        <v>1330.0138871250001</v>
      </c>
      <c r="M6" s="8">
        <f ca="1">L6*(1+Assumptions!N609)</f>
        <v>1529.51597019375</v>
      </c>
      <c r="N6" s="8">
        <f ca="1">M6*(1+Assumptions!O609)</f>
        <v>1596.4846929786563</v>
      </c>
      <c r="O6" s="8">
        <f ca="1">N6*(1+Assumptions!P609)</f>
        <v>1666.4215688738168</v>
      </c>
      <c r="S6" s="972" t="s">
        <v>1580</v>
      </c>
      <c r="T6" s="982"/>
      <c r="U6" s="983">
        <f>+U5/T5-1</f>
        <v>0.22324305196504968</v>
      </c>
      <c r="V6" s="983">
        <f>+V5/U5-1</f>
        <v>5.6884202515175231E-2</v>
      </c>
      <c r="W6" s="983">
        <f t="shared" ref="W6:Z6" si="1">+W5/V5-1</f>
        <v>8.0909009255947018E-2</v>
      </c>
      <c r="X6" s="983">
        <f t="shared" si="1"/>
        <v>6.961631103430399E-2</v>
      </c>
      <c r="Y6" s="983">
        <f t="shared" si="1"/>
        <v>-1.0712436820699223E-2</v>
      </c>
      <c r="Z6" s="983">
        <f t="shared" ca="1" si="1"/>
        <v>0.32729339345595698</v>
      </c>
      <c r="AA6" s="982"/>
      <c r="AB6" s="982"/>
    </row>
    <row r="7" spans="2:28" ht="12" customHeight="1" x14ac:dyDescent="0.25">
      <c r="B7" s="6" t="s">
        <v>481</v>
      </c>
      <c r="C7" s="7"/>
      <c r="D7" s="7"/>
      <c r="E7" s="123">
        <v>1234.913</v>
      </c>
      <c r="F7" s="123">
        <v>1572.6279999999999</v>
      </c>
      <c r="G7" s="123">
        <v>1587.4749999999999</v>
      </c>
      <c r="H7" s="123">
        <v>1712.8679999999999</v>
      </c>
      <c r="I7" s="123">
        <f>1838.796</f>
        <v>1838.796</v>
      </c>
      <c r="J7" s="123">
        <v>1657.248</v>
      </c>
      <c r="K7" s="8">
        <f ca="1">Assumptions!L586</f>
        <v>2321.4160305</v>
      </c>
      <c r="L7" s="8">
        <f ca="1">Assumptions!M586</f>
        <v>2681.2355152275009</v>
      </c>
      <c r="M7" s="8">
        <f ca="1">Assumptions!N586</f>
        <v>3237.5918846372069</v>
      </c>
      <c r="N7" s="8">
        <f ca="1">Assumptions!O586</f>
        <v>3548.3148172323404</v>
      </c>
      <c r="O7" s="8">
        <f ca="1">Assumptions!P586</f>
        <v>3888.9428687450982</v>
      </c>
      <c r="S7" s="972" t="s">
        <v>34</v>
      </c>
      <c r="T7" s="981">
        <f>E23</f>
        <v>432.38600000000019</v>
      </c>
      <c r="U7" s="981">
        <f t="shared" ref="U7:Z7" si="2">F23</f>
        <v>853.38499999999976</v>
      </c>
      <c r="V7" s="981">
        <f t="shared" si="2"/>
        <v>895.52599999999984</v>
      </c>
      <c r="W7" s="981">
        <f t="shared" si="2"/>
        <v>876.88799999999992</v>
      </c>
      <c r="X7" s="981">
        <f t="shared" si="2"/>
        <v>849.45000000000073</v>
      </c>
      <c r="Y7" s="981">
        <f t="shared" si="2"/>
        <v>1121.9090000000001</v>
      </c>
      <c r="Z7" s="981">
        <f t="shared" ca="1" si="2"/>
        <v>1489.1024037587797</v>
      </c>
      <c r="AA7" s="980">
        <f>(X7/T7)^(1/4)-1</f>
        <v>0.18390416723870562</v>
      </c>
      <c r="AB7" s="980">
        <f ca="1">(Z7/X7)^(1/2)-1</f>
        <v>0.32401642271535436</v>
      </c>
    </row>
    <row r="8" spans="2:28" ht="12" customHeight="1" x14ac:dyDescent="0.25">
      <c r="B8" s="6" t="s">
        <v>483</v>
      </c>
      <c r="C8" s="7"/>
      <c r="D8" s="7"/>
      <c r="E8" s="123">
        <v>0</v>
      </c>
      <c r="F8" s="123">
        <v>0</v>
      </c>
      <c r="G8" s="123">
        <v>0</v>
      </c>
      <c r="H8" s="123">
        <v>0</v>
      </c>
      <c r="I8" s="123"/>
      <c r="J8" s="123"/>
      <c r="K8" s="8"/>
      <c r="L8" s="8"/>
      <c r="M8" s="8"/>
      <c r="N8" s="8"/>
      <c r="O8" s="8"/>
      <c r="S8" s="972" t="s">
        <v>1580</v>
      </c>
      <c r="T8" s="982"/>
      <c r="U8" s="983">
        <f>+U7/T7-1</f>
        <v>0.97366473475089244</v>
      </c>
      <c r="V8" s="983">
        <f>+V7/U7-1</f>
        <v>4.9380994510098031E-2</v>
      </c>
      <c r="W8" s="983">
        <f t="shared" ref="W8:Z8" si="3">+W7/V7-1</f>
        <v>-2.0812349390190721E-2</v>
      </c>
      <c r="X8" s="983">
        <f t="shared" si="3"/>
        <v>-3.1290198976379191E-2</v>
      </c>
      <c r="Y8" s="983">
        <f t="shared" si="3"/>
        <v>0.3207475425275168</v>
      </c>
      <c r="Z8" s="983">
        <f t="shared" ca="1" si="3"/>
        <v>0.3272933934559572</v>
      </c>
      <c r="AA8" s="982"/>
      <c r="AB8" s="982"/>
    </row>
    <row r="9" spans="2:28" ht="12" customHeight="1" x14ac:dyDescent="0.25">
      <c r="B9" s="6" t="s">
        <v>482</v>
      </c>
      <c r="C9" s="7"/>
      <c r="D9" s="7"/>
      <c r="E9" s="123">
        <v>153.76400000000001</v>
      </c>
      <c r="F9" s="123">
        <v>182.602</v>
      </c>
      <c r="G9" s="123">
        <v>249.15799999999999</v>
      </c>
      <c r="H9" s="123">
        <v>231.31200000000001</v>
      </c>
      <c r="I9" s="123">
        <f>284.713</f>
        <v>284.71300000000002</v>
      </c>
      <c r="J9" s="123">
        <v>389.05900000000003</v>
      </c>
      <c r="K9" s="8">
        <f t="shared" ref="K9:O9" si="4">J9</f>
        <v>389.05900000000003</v>
      </c>
      <c r="L9" s="8">
        <f t="shared" si="4"/>
        <v>389.05900000000003</v>
      </c>
      <c r="M9" s="8">
        <f t="shared" si="4"/>
        <v>389.05900000000003</v>
      </c>
      <c r="N9" s="8">
        <f t="shared" si="4"/>
        <v>389.05900000000003</v>
      </c>
      <c r="O9" s="8">
        <f t="shared" si="4"/>
        <v>389.05900000000003</v>
      </c>
      <c r="S9" s="972" t="s">
        <v>1734</v>
      </c>
      <c r="T9" s="989">
        <f>+T7/T5</f>
        <v>0.21641601670521479</v>
      </c>
      <c r="U9" s="989">
        <f t="shared" ref="U9:Z9" si="5">+U7/U5</f>
        <v>0.34918053245443365</v>
      </c>
      <c r="V9" s="989">
        <f t="shared" si="5"/>
        <v>0.34670157197787982</v>
      </c>
      <c r="W9" s="989">
        <f t="shared" si="5"/>
        <v>0.31407444550900349</v>
      </c>
      <c r="X9" s="989">
        <f t="shared" si="5"/>
        <v>0.28444498319348571</v>
      </c>
      <c r="Y9" s="989">
        <f t="shared" si="5"/>
        <v>0.37974803941711738</v>
      </c>
      <c r="Z9" s="989">
        <f t="shared" ca="1" si="5"/>
        <v>0.37974803941711738</v>
      </c>
      <c r="AA9" s="982"/>
      <c r="AB9" s="982"/>
    </row>
    <row r="10" spans="2:28" ht="12" customHeight="1" x14ac:dyDescent="0.25">
      <c r="B10" s="6" t="s">
        <v>484</v>
      </c>
      <c r="C10" s="7"/>
      <c r="D10" s="7"/>
      <c r="E10" s="123">
        <v>0</v>
      </c>
      <c r="F10" s="123">
        <v>0</v>
      </c>
      <c r="G10" s="123">
        <v>0</v>
      </c>
      <c r="H10" s="123">
        <v>0</v>
      </c>
      <c r="I10" s="123"/>
      <c r="J10" s="123"/>
      <c r="K10" s="8"/>
      <c r="L10" s="8"/>
      <c r="M10" s="8"/>
      <c r="N10" s="8"/>
      <c r="O10" s="8"/>
      <c r="S10" s="972" t="s">
        <v>798</v>
      </c>
      <c r="T10" s="981">
        <f>E49</f>
        <v>254.64000000000019</v>
      </c>
      <c r="U10" s="981">
        <f t="shared" ref="U10:Z10" si="6">F49</f>
        <v>407.53299999999979</v>
      </c>
      <c r="V10" s="981">
        <f t="shared" si="6"/>
        <v>426.31299999999993</v>
      </c>
      <c r="W10" s="981">
        <f t="shared" si="6"/>
        <v>585.12099999999987</v>
      </c>
      <c r="X10" s="981">
        <f t="shared" si="6"/>
        <v>625.49500000000069</v>
      </c>
      <c r="Y10" s="981">
        <f t="shared" si="6"/>
        <v>1352.4470000000001</v>
      </c>
      <c r="Z10" s="981">
        <f t="shared" si="6"/>
        <v>0</v>
      </c>
      <c r="AA10" s="980">
        <f>(X10/T10)^(1/4)-1</f>
        <v>0.25191344678086369</v>
      </c>
      <c r="AB10" s="980">
        <f>(Z10/X10)^(1/2)-1</f>
        <v>-1</v>
      </c>
    </row>
    <row r="11" spans="2:28" ht="12" customHeight="1" x14ac:dyDescent="0.25">
      <c r="B11" s="6" t="s">
        <v>485</v>
      </c>
      <c r="C11" s="7"/>
      <c r="D11" s="7"/>
      <c r="E11" s="123">
        <v>0</v>
      </c>
      <c r="F11" s="123">
        <v>0</v>
      </c>
      <c r="G11" s="123">
        <v>0</v>
      </c>
      <c r="H11" s="123">
        <v>0</v>
      </c>
      <c r="I11" s="123"/>
      <c r="J11" s="123"/>
      <c r="K11" s="8"/>
      <c r="L11" s="8"/>
      <c r="M11" s="8"/>
      <c r="N11" s="8"/>
      <c r="O11" s="8"/>
      <c r="S11" s="972" t="s">
        <v>1580</v>
      </c>
      <c r="T11" s="990"/>
      <c r="U11" s="983">
        <f>+U10/T10-1</f>
        <v>0.60042805529374599</v>
      </c>
      <c r="V11" s="983">
        <f>+V10/U10-1</f>
        <v>4.6082157763911447E-2</v>
      </c>
      <c r="W11" s="983">
        <f t="shared" ref="W11:X11" si="7">+W10/V10-1</f>
        <v>0.37251503003661623</v>
      </c>
      <c r="X11" s="983">
        <f t="shared" si="7"/>
        <v>6.9001112590388658E-2</v>
      </c>
      <c r="Y11" s="983"/>
      <c r="Z11" s="983"/>
      <c r="AA11" s="982"/>
      <c r="AB11" s="982"/>
    </row>
    <row r="12" spans="2:28" ht="12" customHeight="1" x14ac:dyDescent="0.25">
      <c r="B12" s="6" t="s">
        <v>486</v>
      </c>
      <c r="C12" s="7"/>
      <c r="D12" s="7"/>
      <c r="E12" s="123">
        <v>0</v>
      </c>
      <c r="F12" s="123">
        <v>0</v>
      </c>
      <c r="G12" s="123">
        <v>0</v>
      </c>
      <c r="H12" s="123">
        <v>0</v>
      </c>
      <c r="I12" s="123"/>
      <c r="J12" s="123"/>
      <c r="K12" s="8"/>
      <c r="L12" s="8"/>
      <c r="M12" s="8"/>
      <c r="N12" s="8"/>
      <c r="O12" s="8"/>
    </row>
    <row r="13" spans="2:28" ht="12" customHeight="1" x14ac:dyDescent="0.25">
      <c r="B13" s="6" t="s">
        <v>487</v>
      </c>
      <c r="C13" s="7"/>
      <c r="D13" s="7"/>
      <c r="E13" s="123">
        <v>0</v>
      </c>
      <c r="F13" s="123">
        <v>0</v>
      </c>
      <c r="G13" s="123">
        <v>0</v>
      </c>
      <c r="H13" s="123">
        <v>0</v>
      </c>
      <c r="I13" s="123"/>
      <c r="J13" s="123"/>
      <c r="K13" s="8"/>
      <c r="L13" s="8"/>
      <c r="M13" s="8"/>
      <c r="N13" s="8"/>
      <c r="O13" s="8"/>
    </row>
    <row r="14" spans="2:28" ht="12" customHeight="1" x14ac:dyDescent="0.25">
      <c r="B14" s="6" t="s">
        <v>488</v>
      </c>
      <c r="C14" s="7"/>
      <c r="D14" s="7"/>
      <c r="E14" s="123">
        <v>3.246</v>
      </c>
      <c r="F14" s="123">
        <v>1.5369999999999999</v>
      </c>
      <c r="G14" s="123">
        <v>20.495999999999999</v>
      </c>
      <c r="H14" s="123">
        <v>11.724</v>
      </c>
      <c r="I14" s="123">
        <v>11.224</v>
      </c>
      <c r="J14" s="123">
        <v>1.712</v>
      </c>
      <c r="K14" s="8">
        <f t="shared" ref="K14:O14" si="8">J14</f>
        <v>1.712</v>
      </c>
      <c r="L14" s="8">
        <f t="shared" si="8"/>
        <v>1.712</v>
      </c>
      <c r="M14" s="8">
        <f t="shared" si="8"/>
        <v>1.712</v>
      </c>
      <c r="N14" s="8">
        <f t="shared" si="8"/>
        <v>1.712</v>
      </c>
      <c r="O14" s="8">
        <f t="shared" si="8"/>
        <v>1.712</v>
      </c>
    </row>
    <row r="15" spans="2:28" ht="12" customHeight="1" x14ac:dyDescent="0.25">
      <c r="B15" s="6"/>
      <c r="C15" s="7"/>
      <c r="D15" s="7"/>
      <c r="E15" s="7"/>
      <c r="F15" s="7"/>
      <c r="G15" s="7"/>
      <c r="H15" s="7"/>
      <c r="I15" s="7"/>
      <c r="J15" s="7"/>
      <c r="K15" s="8"/>
      <c r="L15" s="8"/>
      <c r="M15" s="8"/>
      <c r="N15" s="8"/>
      <c r="O15" s="8"/>
    </row>
    <row r="16" spans="2:28" ht="12" customHeight="1" x14ac:dyDescent="0.25">
      <c r="B16" s="9" t="s">
        <v>29</v>
      </c>
      <c r="C16" s="10"/>
      <c r="D16" s="10"/>
      <c r="E16" s="10">
        <f>SUM(E4:E14)</f>
        <v>1997.9390000000003</v>
      </c>
      <c r="F16" s="10">
        <f>SUM(F4:F14)</f>
        <v>2443.9649999999997</v>
      </c>
      <c r="G16" s="10">
        <f>SUM(G4:G14)</f>
        <v>2582.9879999999998</v>
      </c>
      <c r="H16" s="10">
        <f>SUM(H4:H14)</f>
        <v>2791.9749999999999</v>
      </c>
      <c r="I16" s="10">
        <f t="shared" ref="I16:O16" si="9">SUM(I4:I14)</f>
        <v>2986.3420000000006</v>
      </c>
      <c r="J16" s="10">
        <f t="shared" ref="J16" si="10">SUM(J4:J14)</f>
        <v>2954.3510000000001</v>
      </c>
      <c r="K16" s="5">
        <f t="shared" ca="1" si="9"/>
        <v>3921.2905642500004</v>
      </c>
      <c r="L16" s="5">
        <f t="shared" ca="1" si="9"/>
        <v>4402.0204023525012</v>
      </c>
      <c r="M16" s="5">
        <f t="shared" ca="1" si="9"/>
        <v>5157.8788548309576</v>
      </c>
      <c r="N16" s="5">
        <f t="shared" ca="1" si="9"/>
        <v>5535.5705102109969</v>
      </c>
      <c r="O16" s="5">
        <f t="shared" ca="1" si="9"/>
        <v>5946.1354376189156</v>
      </c>
    </row>
    <row r="17" spans="2:15" s="14" customFormat="1" ht="12" customHeight="1" x14ac:dyDescent="0.25">
      <c r="B17" s="11" t="s">
        <v>30</v>
      </c>
      <c r="C17" s="12" t="str">
        <f>IF(ISERROR(C16/#REF!-1)," ",C16/#REF!-1)</f>
        <v xml:space="preserve"> </v>
      </c>
      <c r="D17" s="12" t="str">
        <f>IF(ISERROR(D16/#REF!-1)," ",D16/#REF!-1)</f>
        <v xml:space="preserve"> </v>
      </c>
      <c r="E17" s="12" t="str">
        <f>IF(ISERROR(E16/#REF!-1)," ",E16/#REF!-1)</f>
        <v xml:space="preserve"> </v>
      </c>
      <c r="F17" s="12">
        <f>IF(ISERROR(F16/E16-1)," ",F16/E16-1)</f>
        <v>0.22324305196504968</v>
      </c>
      <c r="G17" s="12">
        <f>IF(ISERROR(G16/F16-1)," ",G16/F16-1)</f>
        <v>5.6884202515175231E-2</v>
      </c>
      <c r="H17" s="12">
        <f>IF(ISERROR(H16/G16-1)," ",H16/G16-1)</f>
        <v>8.0909009255947018E-2</v>
      </c>
      <c r="I17" s="12">
        <f t="shared" ref="I17:O17" si="11">IF(ISERROR(I16/H16-1)," ",I16/H16-1)</f>
        <v>6.961631103430399E-2</v>
      </c>
      <c r="J17" s="12">
        <f t="shared" si="11"/>
        <v>-1.0712436820699223E-2</v>
      </c>
      <c r="K17" s="13">
        <f t="shared" ca="1" si="11"/>
        <v>0.32729339345595698</v>
      </c>
      <c r="L17" s="13">
        <f t="shared" ca="1" si="11"/>
        <v>0.12259480143738011</v>
      </c>
      <c r="M17" s="13">
        <f t="shared" ca="1" si="11"/>
        <v>0.17170716702596733</v>
      </c>
      <c r="N17" s="13">
        <f t="shared" ca="1" si="11"/>
        <v>7.3226158661382046E-2</v>
      </c>
      <c r="O17" s="13">
        <f t="shared" ca="1" si="11"/>
        <v>7.4168493861759055E-2</v>
      </c>
    </row>
    <row r="18" spans="2:15" ht="12" customHeight="1" x14ac:dyDescent="0.25">
      <c r="B18" s="6"/>
      <c r="C18" s="7"/>
      <c r="D18" s="7"/>
      <c r="E18" s="7"/>
      <c r="F18" s="7"/>
      <c r="G18" s="7"/>
      <c r="H18" s="7"/>
      <c r="I18" s="7"/>
      <c r="J18" s="7"/>
      <c r="K18" s="8"/>
      <c r="L18" s="8"/>
      <c r="M18" s="8"/>
      <c r="N18" s="8"/>
      <c r="O18" s="8"/>
    </row>
    <row r="19" spans="2:15" ht="12" customHeight="1" x14ac:dyDescent="0.25">
      <c r="B19" s="6" t="s">
        <v>31</v>
      </c>
      <c r="C19" s="7"/>
      <c r="D19" s="7"/>
      <c r="E19" s="7">
        <v>1354.82</v>
      </c>
      <c r="F19" s="7">
        <v>1301.98</v>
      </c>
      <c r="G19" s="7">
        <v>1346.3420000000001</v>
      </c>
      <c r="H19" s="7">
        <v>1389.15</v>
      </c>
      <c r="I19" s="7">
        <v>1474.077</v>
      </c>
      <c r="J19" s="7">
        <v>1425.2670000000001</v>
      </c>
      <c r="K19" s="8"/>
      <c r="L19" s="8"/>
      <c r="M19" s="8"/>
      <c r="N19" s="8"/>
      <c r="O19" s="8"/>
    </row>
    <row r="20" spans="2:15" ht="12" customHeight="1" x14ac:dyDescent="0.25">
      <c r="B20" s="6" t="s">
        <v>32</v>
      </c>
      <c r="C20" s="7"/>
      <c r="D20" s="7"/>
      <c r="E20" s="7">
        <v>124.56399999999999</v>
      </c>
      <c r="F20" s="7">
        <v>202.34700000000001</v>
      </c>
      <c r="G20" s="7">
        <v>245.291</v>
      </c>
      <c r="H20" s="7">
        <v>433.791</v>
      </c>
      <c r="I20" s="7">
        <v>563.39499999999998</v>
      </c>
      <c r="J20" s="7">
        <v>314.42500000000001</v>
      </c>
      <c r="K20" s="8"/>
      <c r="L20" s="8"/>
      <c r="M20" s="8"/>
      <c r="N20" s="8"/>
      <c r="O20" s="8"/>
    </row>
    <row r="21" spans="2:15" ht="12" customHeight="1" x14ac:dyDescent="0.25">
      <c r="B21" s="6" t="s">
        <v>33</v>
      </c>
      <c r="C21" s="7"/>
      <c r="D21" s="7"/>
      <c r="E21" s="7">
        <v>86.168999999999997</v>
      </c>
      <c r="F21" s="7">
        <v>86.253</v>
      </c>
      <c r="G21" s="7">
        <v>95.828999999999994</v>
      </c>
      <c r="H21" s="7">
        <v>92.146000000000001</v>
      </c>
      <c r="I21" s="7">
        <v>99.42</v>
      </c>
      <c r="J21" s="7">
        <v>92.75</v>
      </c>
      <c r="K21" s="8"/>
      <c r="L21" s="8"/>
      <c r="M21" s="8"/>
      <c r="N21" s="8"/>
      <c r="O21" s="8"/>
    </row>
    <row r="22" spans="2:15" ht="12" customHeight="1" x14ac:dyDescent="0.25">
      <c r="B22" s="6"/>
      <c r="C22" s="7"/>
      <c r="D22" s="7"/>
      <c r="E22" s="7"/>
      <c r="F22" s="7"/>
      <c r="G22" s="7"/>
      <c r="H22" s="7"/>
      <c r="I22" s="7"/>
      <c r="J22" s="7"/>
      <c r="K22" s="8"/>
      <c r="L22" s="8"/>
      <c r="M22" s="8"/>
      <c r="N22" s="8"/>
      <c r="O22" s="8"/>
    </row>
    <row r="23" spans="2:15" ht="12" customHeight="1" x14ac:dyDescent="0.25">
      <c r="B23" s="9" t="s">
        <v>34</v>
      </c>
      <c r="C23" s="10">
        <f t="shared" ref="C23:I23" si="12">C16-SUM(C19:C21)</f>
        <v>0</v>
      </c>
      <c r="D23" s="10">
        <f t="shared" si="12"/>
        <v>0</v>
      </c>
      <c r="E23" s="10">
        <f t="shared" si="12"/>
        <v>432.38600000000019</v>
      </c>
      <c r="F23" s="10">
        <f t="shared" si="12"/>
        <v>853.38499999999976</v>
      </c>
      <c r="G23" s="10">
        <f t="shared" si="12"/>
        <v>895.52599999999984</v>
      </c>
      <c r="H23" s="10">
        <f t="shared" si="12"/>
        <v>876.88799999999992</v>
      </c>
      <c r="I23" s="10">
        <f t="shared" si="12"/>
        <v>849.45000000000073</v>
      </c>
      <c r="J23" s="10">
        <f t="shared" ref="J23" si="13">J16-SUM(J19:J21)</f>
        <v>1121.9090000000001</v>
      </c>
      <c r="K23" s="5">
        <f t="shared" ref="K23:O23" ca="1" si="14">K16*K24</f>
        <v>1489.1024037587797</v>
      </c>
      <c r="L23" s="5">
        <f t="shared" ca="1" si="14"/>
        <v>1671.6586172675125</v>
      </c>
      <c r="M23" s="5">
        <f t="shared" ca="1" si="14"/>
        <v>1958.6943826730628</v>
      </c>
      <c r="N23" s="5">
        <f t="shared" ca="1" si="14"/>
        <v>2102.1220483078382</v>
      </c>
      <c r="O23" s="5">
        <f t="shared" ca="1" si="14"/>
        <v>2258.0332745444266</v>
      </c>
    </row>
    <row r="24" spans="2:15" ht="12" customHeight="1" x14ac:dyDescent="0.25">
      <c r="B24" s="15" t="s">
        <v>35</v>
      </c>
      <c r="C24" s="16" t="str">
        <f t="shared" ref="C24:H24" si="15">IF(ISERROR(C23/C16)," ",C23/C16)</f>
        <v xml:space="preserve"> </v>
      </c>
      <c r="D24" s="16" t="str">
        <f t="shared" si="15"/>
        <v xml:space="preserve"> </v>
      </c>
      <c r="E24" s="16">
        <f t="shared" si="15"/>
        <v>0.21641601670521479</v>
      </c>
      <c r="F24" s="16">
        <f t="shared" si="15"/>
        <v>0.34918053245443365</v>
      </c>
      <c r="G24" s="16">
        <f t="shared" si="15"/>
        <v>0.34670157197787982</v>
      </c>
      <c r="H24" s="16">
        <f t="shared" si="15"/>
        <v>0.31407444550900349</v>
      </c>
      <c r="I24" s="16">
        <f>IF(ISERROR(I23/I16)," ",I23/I16)</f>
        <v>0.28444498319348571</v>
      </c>
      <c r="J24" s="16">
        <f>IF(ISERROR(J23/J16)," ",J23/J16)</f>
        <v>0.37974803941711738</v>
      </c>
      <c r="K24" s="198">
        <f>J24</f>
        <v>0.37974803941711738</v>
      </c>
      <c r="L24" s="198">
        <f>+K24</f>
        <v>0.37974803941711738</v>
      </c>
      <c r="M24" s="198">
        <f>+L24</f>
        <v>0.37974803941711738</v>
      </c>
      <c r="N24" s="198">
        <f>+M24</f>
        <v>0.37974803941711738</v>
      </c>
      <c r="O24" s="198">
        <f>+N24</f>
        <v>0.37974803941711738</v>
      </c>
    </row>
    <row r="25" spans="2:15"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f>IF(ISERROR(F23/E23-1)," ",F23/E23-1)</f>
        <v>0.97366473475089244</v>
      </c>
      <c r="G25" s="12">
        <f>IF(ISERROR(G23/F23-1)," ",G23/F23-1)</f>
        <v>4.9380994510098031E-2</v>
      </c>
      <c r="H25" s="12">
        <f>IF(ISERROR(H23/G23-1)," ",H23/G23-1)</f>
        <v>-2.0812349390190721E-2</v>
      </c>
      <c r="I25" s="12">
        <f>IF(ISERROR(I23/H23-1)," ",I23/H23-1)</f>
        <v>-3.1290198976379191E-2</v>
      </c>
      <c r="J25" s="12">
        <f>IF(ISERROR(J23/I23-1)," ",J23/I23-1)</f>
        <v>0.3207475425275168</v>
      </c>
      <c r="K25" s="13"/>
      <c r="L25" s="13"/>
      <c r="M25" s="13"/>
      <c r="N25" s="13"/>
      <c r="O25" s="13"/>
    </row>
    <row r="26" spans="2:15" ht="12" customHeight="1" x14ac:dyDescent="0.25">
      <c r="B26" s="15"/>
      <c r="C26" s="16"/>
      <c r="D26" s="16"/>
      <c r="E26" s="16"/>
      <c r="F26" s="16"/>
      <c r="G26" s="16"/>
      <c r="H26" s="16"/>
      <c r="I26" s="16"/>
      <c r="J26" s="16"/>
      <c r="K26" s="17"/>
      <c r="L26" s="17"/>
      <c r="M26" s="17"/>
      <c r="N26" s="17"/>
      <c r="O26" s="17"/>
    </row>
    <row r="27" spans="2:15" ht="12" customHeight="1" x14ac:dyDescent="0.25">
      <c r="B27" s="6" t="s">
        <v>36</v>
      </c>
      <c r="C27" s="7"/>
      <c r="D27" s="7"/>
      <c r="E27" s="7">
        <v>293.22699999999998</v>
      </c>
      <c r="F27" s="7">
        <v>383.47199999999998</v>
      </c>
      <c r="G27" s="7">
        <v>732.41200000000003</v>
      </c>
      <c r="H27" s="7">
        <v>763.43899999999996</v>
      </c>
      <c r="I27" s="7">
        <v>831.93399999999997</v>
      </c>
      <c r="J27" s="7">
        <v>662.94100000000003</v>
      </c>
      <c r="K27" s="8"/>
      <c r="L27" s="8"/>
      <c r="M27" s="8"/>
      <c r="N27" s="8"/>
      <c r="O27" s="8"/>
    </row>
    <row r="28" spans="2:15" ht="12" customHeight="1" x14ac:dyDescent="0.25">
      <c r="B28" s="6" t="s">
        <v>37</v>
      </c>
      <c r="C28" s="7"/>
      <c r="D28" s="7"/>
      <c r="E28" s="7">
        <v>433.99099999999999</v>
      </c>
      <c r="F28" s="7">
        <v>428.52100000000002</v>
      </c>
      <c r="G28" s="7">
        <v>432.42399999999998</v>
      </c>
      <c r="H28" s="7">
        <v>415.495</v>
      </c>
      <c r="I28" s="7">
        <v>405.51</v>
      </c>
      <c r="J28" s="7">
        <v>405.84800000000001</v>
      </c>
      <c r="K28" s="8"/>
      <c r="L28" s="8"/>
      <c r="M28" s="8"/>
      <c r="N28" s="8"/>
      <c r="O28" s="8"/>
    </row>
    <row r="29" spans="2:15" ht="12" customHeight="1" x14ac:dyDescent="0.25">
      <c r="B29" s="6"/>
      <c r="C29" s="7"/>
      <c r="D29" s="7"/>
      <c r="E29" s="7"/>
      <c r="F29" s="7"/>
      <c r="G29" s="7"/>
      <c r="H29" s="7"/>
      <c r="I29" s="7"/>
      <c r="J29" s="7"/>
      <c r="K29" s="8"/>
      <c r="L29" s="8"/>
      <c r="M29" s="8"/>
      <c r="N29" s="8"/>
      <c r="O29" s="8"/>
    </row>
    <row r="30" spans="2:15" ht="12" customHeight="1" x14ac:dyDescent="0.25">
      <c r="B30" s="9" t="s">
        <v>38</v>
      </c>
      <c r="C30" s="10">
        <f t="shared" ref="C30:I30" si="16">C23+C27-C28</f>
        <v>0</v>
      </c>
      <c r="D30" s="10">
        <f t="shared" si="16"/>
        <v>0</v>
      </c>
      <c r="E30" s="10">
        <f t="shared" si="16"/>
        <v>291.62200000000018</v>
      </c>
      <c r="F30" s="10">
        <f t="shared" si="16"/>
        <v>808.33599999999979</v>
      </c>
      <c r="G30" s="10">
        <f t="shared" si="16"/>
        <v>1195.5139999999999</v>
      </c>
      <c r="H30" s="10">
        <f t="shared" si="16"/>
        <v>1224.8319999999999</v>
      </c>
      <c r="I30" s="10">
        <f t="shared" si="16"/>
        <v>1275.8740000000007</v>
      </c>
      <c r="J30" s="10">
        <f t="shared" ref="J30" si="17">J23+J27-J28</f>
        <v>1379.0020000000002</v>
      </c>
      <c r="K30" s="5"/>
      <c r="L30" s="5"/>
      <c r="M30" s="5"/>
      <c r="N30" s="5"/>
      <c r="O30" s="5"/>
    </row>
    <row r="31" spans="2:15" ht="12" customHeight="1" x14ac:dyDescent="0.25">
      <c r="B31" s="6"/>
      <c r="C31" s="7"/>
      <c r="D31" s="7"/>
      <c r="E31" s="7"/>
      <c r="F31" s="7"/>
      <c r="G31" s="7"/>
      <c r="H31" s="7"/>
      <c r="I31" s="7"/>
      <c r="J31" s="7"/>
      <c r="K31" s="8"/>
      <c r="L31" s="8"/>
      <c r="M31" s="8"/>
      <c r="N31" s="8"/>
      <c r="O31" s="8"/>
    </row>
    <row r="32" spans="2:15" ht="12" customHeight="1" x14ac:dyDescent="0.25">
      <c r="B32" s="6" t="s">
        <v>39</v>
      </c>
      <c r="C32" s="7"/>
      <c r="D32" s="7"/>
      <c r="E32" s="7">
        <v>1.286</v>
      </c>
      <c r="F32" s="7">
        <v>230.22499999999999</v>
      </c>
      <c r="G32" s="7">
        <v>591.37199999999996</v>
      </c>
      <c r="H32" s="7">
        <v>390.053</v>
      </c>
      <c r="I32" s="7">
        <f>386.053</f>
        <v>386.053</v>
      </c>
      <c r="J32" s="7">
        <v>116.16</v>
      </c>
      <c r="K32" s="8"/>
      <c r="L32" s="8"/>
      <c r="M32" s="8"/>
      <c r="N32" s="8"/>
      <c r="O32" s="8"/>
    </row>
    <row r="33" spans="2:15" ht="12" customHeight="1" x14ac:dyDescent="0.25">
      <c r="B33" s="6" t="s">
        <v>307</v>
      </c>
      <c r="C33" s="7"/>
      <c r="D33" s="7"/>
      <c r="E33" s="7"/>
      <c r="F33" s="7"/>
      <c r="G33" s="7"/>
      <c r="H33" s="7"/>
      <c r="I33" s="7"/>
      <c r="J33" s="7"/>
      <c r="K33" s="8"/>
      <c r="L33" s="8"/>
      <c r="M33" s="8"/>
      <c r="N33" s="8"/>
      <c r="O33" s="8"/>
    </row>
    <row r="34" spans="2:15" ht="12" customHeight="1" x14ac:dyDescent="0.25">
      <c r="B34" s="6"/>
      <c r="C34" s="7"/>
      <c r="D34" s="7"/>
      <c r="E34" s="7"/>
      <c r="F34" s="7"/>
      <c r="G34" s="7"/>
      <c r="H34" s="7"/>
      <c r="I34" s="7"/>
      <c r="J34" s="7"/>
      <c r="K34" s="8"/>
      <c r="L34" s="8"/>
      <c r="M34" s="8"/>
      <c r="N34" s="8"/>
      <c r="O34" s="8"/>
    </row>
    <row r="35" spans="2:15" ht="12" customHeight="1" x14ac:dyDescent="0.25">
      <c r="B35" s="9" t="s">
        <v>40</v>
      </c>
      <c r="C35" s="10">
        <f t="shared" ref="C35:I35" si="18">C30-C32-C33</f>
        <v>0</v>
      </c>
      <c r="D35" s="10">
        <f t="shared" si="18"/>
        <v>0</v>
      </c>
      <c r="E35" s="10">
        <f t="shared" si="18"/>
        <v>290.33600000000018</v>
      </c>
      <c r="F35" s="10">
        <f t="shared" si="18"/>
        <v>578.11099999999976</v>
      </c>
      <c r="G35" s="10">
        <f t="shared" si="18"/>
        <v>604.14199999999994</v>
      </c>
      <c r="H35" s="10">
        <f t="shared" si="18"/>
        <v>834.77899999999988</v>
      </c>
      <c r="I35" s="10">
        <f t="shared" si="18"/>
        <v>889.82100000000071</v>
      </c>
      <c r="J35" s="10">
        <f t="shared" ref="J35" si="19">J30-J32-J33</f>
        <v>1262.8420000000001</v>
      </c>
      <c r="K35" s="5"/>
      <c r="L35" s="5"/>
      <c r="M35" s="5"/>
      <c r="N35" s="5"/>
      <c r="O35" s="5"/>
    </row>
    <row r="36" spans="2:15" ht="12" customHeight="1" x14ac:dyDescent="0.25">
      <c r="B36" s="6"/>
      <c r="C36" s="7"/>
      <c r="D36" s="7"/>
      <c r="E36" s="7"/>
      <c r="F36" s="7"/>
      <c r="G36" s="7"/>
      <c r="H36" s="7"/>
      <c r="I36" s="7"/>
      <c r="J36" s="7"/>
      <c r="K36" s="8"/>
      <c r="L36" s="8"/>
      <c r="M36" s="8"/>
      <c r="N36" s="8"/>
      <c r="O36" s="8"/>
    </row>
    <row r="37" spans="2:15" ht="12" customHeight="1" x14ac:dyDescent="0.25">
      <c r="B37" s="6" t="s">
        <v>41</v>
      </c>
      <c r="C37" s="7"/>
      <c r="D37" s="7"/>
      <c r="E37" s="7"/>
      <c r="F37" s="7"/>
      <c r="G37" s="7"/>
      <c r="H37" s="7"/>
      <c r="I37" s="7"/>
      <c r="J37" s="7"/>
      <c r="K37" s="8"/>
      <c r="L37" s="8"/>
      <c r="M37" s="8"/>
      <c r="N37" s="8"/>
      <c r="O37" s="8"/>
    </row>
    <row r="38" spans="2:15" ht="12" customHeight="1" x14ac:dyDescent="0.25">
      <c r="B38" s="6" t="s">
        <v>42</v>
      </c>
      <c r="C38" s="7"/>
      <c r="D38" s="7"/>
      <c r="E38" s="7">
        <v>98.811000000000007</v>
      </c>
      <c r="F38" s="7">
        <v>173.994</v>
      </c>
      <c r="G38" s="7">
        <v>254.077</v>
      </c>
      <c r="H38" s="7">
        <v>148.83099999999999</v>
      </c>
      <c r="I38" s="7">
        <v>158.18199999999999</v>
      </c>
      <c r="J38" s="7">
        <v>220.072</v>
      </c>
      <c r="K38" s="8"/>
      <c r="L38" s="8"/>
      <c r="M38" s="8"/>
      <c r="N38" s="8"/>
      <c r="O38" s="8"/>
    </row>
    <row r="39" spans="2:15" ht="12" customHeight="1" x14ac:dyDescent="0.25">
      <c r="B39" s="6" t="s">
        <v>43</v>
      </c>
      <c r="C39" s="7"/>
      <c r="D39" s="7"/>
      <c r="E39" s="7">
        <v>-63.115000000000002</v>
      </c>
      <c r="F39" s="7">
        <v>-3.4159999999999999</v>
      </c>
      <c r="G39" s="7">
        <v>-76.248000000000005</v>
      </c>
      <c r="H39" s="7">
        <v>100.827</v>
      </c>
      <c r="I39" s="7">
        <v>106.474</v>
      </c>
      <c r="J39" s="7">
        <v>-304.25299999999999</v>
      </c>
      <c r="K39" s="8"/>
      <c r="L39" s="8"/>
      <c r="M39" s="8"/>
      <c r="N39" s="8"/>
      <c r="O39" s="8"/>
    </row>
    <row r="40" spans="2:15" ht="12" customHeight="1" x14ac:dyDescent="0.25">
      <c r="B40" s="6" t="s">
        <v>44</v>
      </c>
      <c r="C40" s="7"/>
      <c r="D40" s="7"/>
      <c r="E40" s="7"/>
      <c r="F40" s="7"/>
      <c r="G40" s="7"/>
      <c r="H40" s="7"/>
      <c r="I40" s="7">
        <v>-0.33</v>
      </c>
      <c r="J40" s="7">
        <v>-5.4240000000000004</v>
      </c>
      <c r="K40" s="8"/>
      <c r="L40" s="8"/>
      <c r="M40" s="8"/>
      <c r="N40" s="8"/>
      <c r="O40" s="8"/>
    </row>
    <row r="41" spans="2:15" s="18" customFormat="1" ht="12" customHeight="1" x14ac:dyDescent="0.25">
      <c r="B41" s="9" t="s">
        <v>45</v>
      </c>
      <c r="C41" s="10">
        <f t="shared" ref="C41:H41" si="20">SUM(C38:C40)</f>
        <v>0</v>
      </c>
      <c r="D41" s="10">
        <f t="shared" si="20"/>
        <v>0</v>
      </c>
      <c r="E41" s="10">
        <f t="shared" si="20"/>
        <v>35.696000000000005</v>
      </c>
      <c r="F41" s="10">
        <f t="shared" si="20"/>
        <v>170.578</v>
      </c>
      <c r="G41" s="10">
        <f t="shared" si="20"/>
        <v>177.82900000000001</v>
      </c>
      <c r="H41" s="10">
        <f t="shared" si="20"/>
        <v>249.65799999999999</v>
      </c>
      <c r="I41" s="10">
        <f>SUM(I38:I40)</f>
        <v>264.32600000000002</v>
      </c>
      <c r="J41" s="10">
        <f>SUM(J38:J40)</f>
        <v>-89.60499999999999</v>
      </c>
      <c r="K41" s="5"/>
      <c r="L41" s="5"/>
      <c r="M41" s="5"/>
      <c r="N41" s="5"/>
      <c r="O41" s="5"/>
    </row>
    <row r="42" spans="2:15" ht="12" customHeight="1" x14ac:dyDescent="0.25">
      <c r="B42" s="19" t="s">
        <v>46</v>
      </c>
      <c r="C42" s="12" t="str">
        <f t="shared" ref="C42:H42" si="21">IF(ISERROR(C41/C35)," ",C41/C35)</f>
        <v xml:space="preserve"> </v>
      </c>
      <c r="D42" s="12" t="str">
        <f t="shared" si="21"/>
        <v xml:space="preserve"> </v>
      </c>
      <c r="E42" s="12">
        <f t="shared" si="21"/>
        <v>0.12294720599581169</v>
      </c>
      <c r="F42" s="12">
        <f t="shared" si="21"/>
        <v>0.29506098309840162</v>
      </c>
      <c r="G42" s="12">
        <f t="shared" si="21"/>
        <v>0.29434967275905338</v>
      </c>
      <c r="H42" s="12">
        <f t="shared" si="21"/>
        <v>0.29907077202469157</v>
      </c>
      <c r="I42" s="12">
        <f>IF(ISERROR(I41/I35)," ",I41/I35)</f>
        <v>0.29705525043800923</v>
      </c>
      <c r="J42" s="12">
        <f>IF(ISERROR(J41/J35)," ",J41/J35)</f>
        <v>-7.0955036338671021E-2</v>
      </c>
      <c r="K42" s="13"/>
      <c r="L42" s="13"/>
      <c r="M42" s="13"/>
      <c r="N42" s="13"/>
      <c r="O42" s="13"/>
    </row>
    <row r="43" spans="2:15" ht="12" customHeight="1" x14ac:dyDescent="0.25">
      <c r="B43" s="19"/>
      <c r="C43" s="12"/>
      <c r="D43" s="12"/>
      <c r="E43" s="12"/>
      <c r="F43" s="12"/>
      <c r="G43" s="12"/>
      <c r="H43" s="12"/>
      <c r="I43" s="12"/>
      <c r="J43" s="12"/>
      <c r="K43" s="13"/>
      <c r="L43" s="13"/>
      <c r="M43" s="13"/>
      <c r="N43" s="13"/>
      <c r="O43" s="13"/>
    </row>
    <row r="44" spans="2:15" ht="12" customHeight="1" x14ac:dyDescent="0.25">
      <c r="B44" s="9" t="s">
        <v>47</v>
      </c>
      <c r="C44" s="10">
        <f t="shared" ref="C44:I44" si="22">C35-C36-C41</f>
        <v>0</v>
      </c>
      <c r="D44" s="10">
        <f t="shared" si="22"/>
        <v>0</v>
      </c>
      <c r="E44" s="10">
        <f t="shared" si="22"/>
        <v>254.64000000000019</v>
      </c>
      <c r="F44" s="10">
        <f t="shared" si="22"/>
        <v>407.53299999999979</v>
      </c>
      <c r="G44" s="10">
        <f t="shared" si="22"/>
        <v>426.31299999999993</v>
      </c>
      <c r="H44" s="10">
        <f t="shared" si="22"/>
        <v>585.12099999999987</v>
      </c>
      <c r="I44" s="10">
        <f t="shared" si="22"/>
        <v>625.49500000000069</v>
      </c>
      <c r="J44" s="10">
        <f t="shared" ref="J44" si="23">J35-J36-J41</f>
        <v>1352.4470000000001</v>
      </c>
      <c r="K44" s="5"/>
      <c r="L44" s="5"/>
      <c r="M44" s="5"/>
      <c r="N44" s="5"/>
      <c r="O44" s="5"/>
    </row>
    <row r="45" spans="2:15" ht="12" customHeight="1" x14ac:dyDescent="0.25">
      <c r="B45" s="6"/>
      <c r="C45" s="7"/>
      <c r="D45" s="7"/>
      <c r="E45" s="7"/>
      <c r="F45" s="7"/>
      <c r="G45" s="7"/>
      <c r="H45" s="7"/>
      <c r="I45" s="7"/>
      <c r="J45" s="7"/>
      <c r="K45" s="8"/>
      <c r="L45" s="8"/>
      <c r="M45" s="8"/>
      <c r="N45" s="8"/>
      <c r="O45" s="8"/>
    </row>
    <row r="46" spans="2:15" ht="12" customHeight="1" x14ac:dyDescent="0.25">
      <c r="B46" s="6" t="s">
        <v>48</v>
      </c>
      <c r="C46" s="7"/>
      <c r="D46" s="7"/>
      <c r="E46" s="7"/>
      <c r="F46" s="7"/>
      <c r="G46" s="7"/>
      <c r="H46" s="7"/>
      <c r="I46" s="7"/>
      <c r="J46" s="7"/>
      <c r="K46" s="8"/>
      <c r="L46" s="8"/>
      <c r="M46" s="8"/>
      <c r="N46" s="8"/>
      <c r="O46" s="8"/>
    </row>
    <row r="47" spans="2:15" ht="12" customHeight="1" x14ac:dyDescent="0.25">
      <c r="B47" s="6" t="s">
        <v>49</v>
      </c>
      <c r="C47" s="7"/>
      <c r="D47" s="7"/>
      <c r="E47" s="7"/>
      <c r="F47" s="7"/>
      <c r="G47" s="7"/>
      <c r="H47" s="7"/>
      <c r="I47" s="7"/>
      <c r="J47" s="7"/>
      <c r="K47" s="8"/>
      <c r="L47" s="8"/>
      <c r="M47" s="8"/>
      <c r="N47" s="8"/>
      <c r="O47" s="8"/>
    </row>
    <row r="48" spans="2:15" ht="12" customHeight="1" x14ac:dyDescent="0.25">
      <c r="B48" s="6"/>
      <c r="C48" s="7"/>
      <c r="D48" s="7"/>
      <c r="E48" s="7"/>
      <c r="F48" s="7"/>
      <c r="G48" s="7"/>
      <c r="H48" s="7"/>
      <c r="I48" s="7"/>
      <c r="J48" s="7"/>
      <c r="K48" s="8"/>
      <c r="L48" s="8"/>
      <c r="M48" s="8"/>
      <c r="N48" s="8"/>
      <c r="O48" s="8"/>
    </row>
    <row r="49" spans="2:15" ht="12" customHeight="1" x14ac:dyDescent="0.25">
      <c r="B49" s="9" t="s">
        <v>50</v>
      </c>
      <c r="C49" s="10">
        <f t="shared" ref="C49:H49" si="24">C44-C46+C47</f>
        <v>0</v>
      </c>
      <c r="D49" s="10">
        <f t="shared" si="24"/>
        <v>0</v>
      </c>
      <c r="E49" s="10">
        <f t="shared" si="24"/>
        <v>254.64000000000019</v>
      </c>
      <c r="F49" s="10">
        <f t="shared" si="24"/>
        <v>407.53299999999979</v>
      </c>
      <c r="G49" s="10">
        <f t="shared" si="24"/>
        <v>426.31299999999993</v>
      </c>
      <c r="H49" s="10">
        <f t="shared" si="24"/>
        <v>585.12099999999987</v>
      </c>
      <c r="I49" s="10">
        <f>I44-I46+I47</f>
        <v>625.49500000000069</v>
      </c>
      <c r="J49" s="10">
        <f>J44-J46+J47</f>
        <v>1352.4470000000001</v>
      </c>
      <c r="K49" s="5"/>
      <c r="L49" s="5"/>
      <c r="M49" s="5"/>
      <c r="N49" s="5"/>
      <c r="O49" s="5"/>
    </row>
    <row r="50" spans="2:15" ht="12" customHeight="1" x14ac:dyDescent="0.25">
      <c r="B50" s="15" t="s">
        <v>35</v>
      </c>
      <c r="C50" s="16" t="str">
        <f t="shared" ref="C50:H50" si="25">IF(ISERROR(C49/C16)," ",C49/C16)</f>
        <v xml:space="preserve"> </v>
      </c>
      <c r="D50" s="16" t="str">
        <f t="shared" si="25"/>
        <v xml:space="preserve"> </v>
      </c>
      <c r="E50" s="16">
        <f t="shared" si="25"/>
        <v>0.12745133860443195</v>
      </c>
      <c r="F50" s="16">
        <f t="shared" si="25"/>
        <v>0.16675075134054695</v>
      </c>
      <c r="G50" s="16">
        <f t="shared" si="25"/>
        <v>0.16504645008029459</v>
      </c>
      <c r="H50" s="16">
        <f t="shared" si="25"/>
        <v>0.20957243528326719</v>
      </c>
      <c r="I50" s="16">
        <f>IF(ISERROR(I49/I16)," ",I49/I16)</f>
        <v>0.20945189800766309</v>
      </c>
      <c r="J50" s="16">
        <f>IF(ISERROR(J49/J16)," ",J49/J16)</f>
        <v>0.45778142136800942</v>
      </c>
      <c r="K50" s="17"/>
      <c r="L50" s="17"/>
      <c r="M50" s="17"/>
      <c r="N50" s="17"/>
      <c r="O50" s="17"/>
    </row>
    <row r="51" spans="2:15" s="14" customFormat="1" ht="12" customHeight="1" x14ac:dyDescent="0.25">
      <c r="B51" s="11" t="s">
        <v>30</v>
      </c>
      <c r="C51" s="12" t="str">
        <f>IF(ISERROR(C49/#REF!-1)," ",C49/#REF!-1)</f>
        <v xml:space="preserve"> </v>
      </c>
      <c r="D51" s="12" t="str">
        <f t="shared" ref="D51:J51" si="26">IF(ISERROR(D49/C49-1)," ",D49/C49-1)</f>
        <v xml:space="preserve"> </v>
      </c>
      <c r="E51" s="12" t="str">
        <f t="shared" si="26"/>
        <v xml:space="preserve"> </v>
      </c>
      <c r="F51" s="12">
        <f t="shared" si="26"/>
        <v>0.60042805529374599</v>
      </c>
      <c r="G51" s="12">
        <f t="shared" si="26"/>
        <v>4.6082157763911447E-2</v>
      </c>
      <c r="H51" s="12">
        <f t="shared" si="26"/>
        <v>0.37251503003661623</v>
      </c>
      <c r="I51" s="12">
        <f t="shared" si="26"/>
        <v>6.9001112590388658E-2</v>
      </c>
      <c r="J51" s="12">
        <f t="shared" si="26"/>
        <v>1.1622027354335343</v>
      </c>
      <c r="K51" s="13"/>
      <c r="L51" s="13"/>
      <c r="M51" s="13"/>
      <c r="N51" s="13"/>
      <c r="O51" s="13"/>
    </row>
    <row r="52" spans="2:15" ht="12" customHeight="1" x14ac:dyDescent="0.25">
      <c r="B52" s="15"/>
      <c r="C52" s="16"/>
      <c r="D52" s="16"/>
      <c r="E52" s="16"/>
      <c r="F52" s="16"/>
      <c r="G52" s="16"/>
      <c r="H52" s="16"/>
      <c r="I52" s="16"/>
      <c r="J52" s="16"/>
      <c r="K52" s="17"/>
      <c r="L52" s="17"/>
      <c r="M52" s="17"/>
      <c r="N52" s="17"/>
      <c r="O52" s="17"/>
    </row>
    <row r="53" spans="2:15" ht="12" customHeight="1" x14ac:dyDescent="0.25">
      <c r="B53" s="9" t="s">
        <v>51</v>
      </c>
      <c r="C53" s="10"/>
      <c r="D53" s="10"/>
      <c r="E53" s="10"/>
      <c r="F53" s="10"/>
      <c r="G53" s="10"/>
      <c r="H53" s="10"/>
      <c r="I53" s="10"/>
      <c r="J53" s="10"/>
      <c r="K53" s="5"/>
      <c r="L53" s="5"/>
      <c r="M53" s="5"/>
      <c r="N53" s="5"/>
      <c r="O53" s="5"/>
    </row>
    <row r="54" spans="2:15" ht="12" customHeight="1" x14ac:dyDescent="0.25">
      <c r="B54" s="9" t="s">
        <v>52</v>
      </c>
      <c r="C54" s="20"/>
      <c r="D54" s="20"/>
      <c r="E54" s="20"/>
      <c r="F54" s="20"/>
      <c r="G54" s="20"/>
      <c r="H54" s="20"/>
      <c r="I54" s="20"/>
      <c r="J54" s="20"/>
      <c r="K54" s="21"/>
      <c r="L54" s="21"/>
      <c r="M54" s="21"/>
      <c r="N54" s="21"/>
      <c r="O54" s="21"/>
    </row>
    <row r="55" spans="2:15" ht="12" customHeight="1" x14ac:dyDescent="0.25">
      <c r="B55" s="9" t="s">
        <v>53</v>
      </c>
      <c r="C55" s="20"/>
      <c r="D55" s="20"/>
      <c r="E55" s="20"/>
      <c r="F55" s="20"/>
      <c r="G55" s="20"/>
      <c r="H55" s="20"/>
      <c r="I55" s="20"/>
      <c r="J55" s="20"/>
      <c r="K55" s="21"/>
      <c r="L55" s="21"/>
      <c r="M55" s="21"/>
      <c r="N55" s="21"/>
      <c r="O55" s="21"/>
    </row>
    <row r="56" spans="2:15" ht="12" customHeight="1" x14ac:dyDescent="0.25">
      <c r="B56" s="9" t="s">
        <v>54</v>
      </c>
      <c r="C56" s="20"/>
      <c r="D56" s="20"/>
      <c r="E56" s="20"/>
      <c r="F56" s="20"/>
      <c r="G56" s="20"/>
      <c r="H56" s="20"/>
      <c r="I56" s="20"/>
      <c r="J56" s="20"/>
      <c r="K56" s="21"/>
      <c r="L56" s="21"/>
      <c r="M56" s="21"/>
      <c r="N56" s="21"/>
      <c r="O56" s="21"/>
    </row>
    <row r="57" spans="2:15" ht="12" customHeight="1" x14ac:dyDescent="0.25">
      <c r="B57" s="9" t="s">
        <v>55</v>
      </c>
      <c r="C57" s="20"/>
      <c r="D57" s="20"/>
      <c r="E57" s="20"/>
      <c r="F57" s="20"/>
      <c r="G57" s="20"/>
      <c r="H57" s="20"/>
      <c r="I57" s="20"/>
      <c r="J57" s="20"/>
      <c r="K57" s="21"/>
      <c r="L57" s="21"/>
      <c r="M57" s="21"/>
      <c r="N57" s="21"/>
      <c r="O57" s="21"/>
    </row>
    <row r="58" spans="2:15" ht="12" customHeight="1" x14ac:dyDescent="0.25">
      <c r="B58" s="9" t="s">
        <v>56</v>
      </c>
      <c r="C58" s="20"/>
      <c r="D58" s="20"/>
      <c r="E58" s="20"/>
      <c r="F58" s="20"/>
      <c r="G58" s="20"/>
      <c r="H58" s="20"/>
      <c r="I58" s="20"/>
      <c r="J58" s="20"/>
      <c r="K58" s="21"/>
      <c r="L58" s="21"/>
      <c r="M58" s="21"/>
      <c r="N58" s="21"/>
      <c r="O58" s="21"/>
    </row>
    <row r="59" spans="2:15" ht="12" customHeight="1" x14ac:dyDescent="0.25">
      <c r="B59" s="9" t="s">
        <v>57</v>
      </c>
      <c r="C59" s="22"/>
      <c r="D59" s="22"/>
      <c r="E59" s="22"/>
      <c r="F59" s="22"/>
      <c r="G59" s="22"/>
      <c r="H59" s="22"/>
      <c r="I59" s="22"/>
      <c r="J59" s="22"/>
      <c r="K59" s="23"/>
      <c r="L59" s="23"/>
      <c r="M59" s="23"/>
      <c r="N59" s="23"/>
      <c r="O59" s="23"/>
    </row>
    <row r="60" spans="2:15" ht="12" customHeight="1" x14ac:dyDescent="0.25">
      <c r="B60" s="9" t="s">
        <v>58</v>
      </c>
      <c r="C60" s="10"/>
      <c r="D60" s="10"/>
      <c r="E60" s="10"/>
      <c r="F60" s="10"/>
      <c r="G60" s="10"/>
      <c r="H60" s="10"/>
      <c r="I60" s="10"/>
      <c r="J60" s="10"/>
      <c r="K60" s="5"/>
      <c r="L60" s="5"/>
      <c r="M60" s="5"/>
      <c r="N60" s="5"/>
      <c r="O60" s="5"/>
    </row>
    <row r="61" spans="2:15" ht="12" customHeight="1" x14ac:dyDescent="0.25">
      <c r="B61" s="9"/>
      <c r="C61" s="10"/>
      <c r="D61" s="10"/>
      <c r="E61" s="10"/>
      <c r="F61" s="10"/>
      <c r="G61" s="10"/>
      <c r="H61" s="10"/>
      <c r="I61" s="10"/>
      <c r="J61" s="10"/>
      <c r="K61" s="5"/>
      <c r="L61" s="5"/>
      <c r="M61" s="5"/>
      <c r="N61" s="5"/>
      <c r="O61" s="5"/>
    </row>
    <row r="62" spans="2:15" s="26" customFormat="1" ht="12" customHeight="1" x14ac:dyDescent="0.25">
      <c r="B62" s="24"/>
      <c r="C62" s="25"/>
      <c r="D62" s="25"/>
      <c r="E62" s="25"/>
      <c r="F62" s="25"/>
      <c r="G62" s="25"/>
      <c r="H62" s="25"/>
      <c r="I62" s="25"/>
      <c r="J62" s="25"/>
      <c r="K62" s="25"/>
      <c r="L62" s="25"/>
      <c r="M62" s="25"/>
      <c r="N62" s="25"/>
      <c r="O62" s="25"/>
    </row>
    <row r="63" spans="2:15" ht="12" customHeight="1" x14ac:dyDescent="0.25">
      <c r="B63" s="3" t="s">
        <v>59</v>
      </c>
      <c r="C63" s="4" t="s">
        <v>22</v>
      </c>
      <c r="D63" s="4" t="s">
        <v>23</v>
      </c>
      <c r="E63" s="4" t="s">
        <v>24</v>
      </c>
      <c r="F63" s="4" t="s">
        <v>25</v>
      </c>
      <c r="G63" s="4" t="s">
        <v>26</v>
      </c>
      <c r="H63" s="4" t="s">
        <v>27</v>
      </c>
      <c r="I63" s="4" t="s">
        <v>273</v>
      </c>
    </row>
    <row r="64" spans="2:15" ht="12" customHeight="1" x14ac:dyDescent="0.25">
      <c r="B64" s="6" t="s">
        <v>376</v>
      </c>
      <c r="C64" s="7"/>
      <c r="D64" s="7"/>
      <c r="E64" s="7"/>
      <c r="F64" s="7"/>
      <c r="G64" s="7"/>
      <c r="H64" s="7"/>
      <c r="I64" s="7"/>
    </row>
    <row r="65" spans="2:9" ht="12" customHeight="1" x14ac:dyDescent="0.25">
      <c r="B65" s="6" t="s">
        <v>60</v>
      </c>
      <c r="C65" s="7">
        <v>601.798</v>
      </c>
      <c r="D65" s="7">
        <v>601.798</v>
      </c>
      <c r="E65" s="7">
        <v>462</v>
      </c>
      <c r="F65" s="7">
        <v>462</v>
      </c>
      <c r="G65" s="7">
        <v>462</v>
      </c>
      <c r="H65" s="7">
        <v>462</v>
      </c>
      <c r="I65" s="7"/>
    </row>
    <row r="66" spans="2:9" ht="12" customHeight="1" x14ac:dyDescent="0.25">
      <c r="B66" s="6" t="s">
        <v>61</v>
      </c>
      <c r="C66" s="7">
        <v>12357.512000000001</v>
      </c>
      <c r="D66" s="7">
        <v>13547.057000000001</v>
      </c>
      <c r="E66" s="7">
        <v>5969.7759999999998</v>
      </c>
      <c r="F66" s="7">
        <v>6532.6589999999997</v>
      </c>
      <c r="G66" s="7">
        <v>7064.8789999999999</v>
      </c>
      <c r="H66" s="7">
        <v>7911.0320000000002</v>
      </c>
      <c r="I66" s="7"/>
    </row>
    <row r="67" spans="2:9" ht="12" customHeight="1" x14ac:dyDescent="0.25">
      <c r="B67" s="6" t="s">
        <v>62</v>
      </c>
      <c r="C67" s="7"/>
      <c r="D67" s="7"/>
      <c r="E67" s="7"/>
      <c r="F67" s="7"/>
      <c r="G67" s="7"/>
      <c r="H67" s="7"/>
      <c r="I67" s="7"/>
    </row>
    <row r="68" spans="2:9" ht="12" customHeight="1" x14ac:dyDescent="0.25">
      <c r="B68" s="6"/>
      <c r="C68" s="7"/>
      <c r="D68" s="7"/>
      <c r="E68" s="7"/>
      <c r="F68" s="7"/>
      <c r="G68" s="7"/>
      <c r="H68" s="7"/>
      <c r="I68" s="7"/>
    </row>
    <row r="69" spans="2:9" ht="12" customHeight="1" x14ac:dyDescent="0.25">
      <c r="B69" s="6" t="s">
        <v>63</v>
      </c>
      <c r="C69" s="7"/>
      <c r="D69" s="7"/>
      <c r="E69" s="7"/>
      <c r="F69" s="7"/>
      <c r="G69" s="7"/>
      <c r="H69" s="7"/>
      <c r="I69" s="7"/>
    </row>
    <row r="70" spans="2:9" ht="12" customHeight="1" x14ac:dyDescent="0.25">
      <c r="B70" s="6"/>
      <c r="C70" s="7"/>
      <c r="D70" s="7"/>
      <c r="E70" s="7"/>
      <c r="F70" s="7"/>
      <c r="G70" s="7"/>
      <c r="H70" s="7"/>
      <c r="I70" s="7"/>
    </row>
    <row r="71" spans="2:9" ht="12" customHeight="1" x14ac:dyDescent="0.25">
      <c r="B71" s="6" t="s">
        <v>64</v>
      </c>
      <c r="C71" s="7"/>
      <c r="D71" s="7"/>
      <c r="E71" s="7"/>
      <c r="F71" s="7">
        <v>3391.7460000000001</v>
      </c>
      <c r="G71" s="7">
        <v>3556.683</v>
      </c>
      <c r="H71" s="7">
        <v>3564.5079999999998</v>
      </c>
      <c r="I71" s="7"/>
    </row>
    <row r="72" spans="2:9" ht="12" customHeight="1" x14ac:dyDescent="0.25">
      <c r="B72" s="6" t="s">
        <v>65</v>
      </c>
      <c r="C72" s="7">
        <v>538.07399999999996</v>
      </c>
      <c r="D72" s="122"/>
      <c r="E72" s="7"/>
      <c r="F72" s="7"/>
      <c r="G72" s="7"/>
      <c r="H72" s="7"/>
      <c r="I72" s="7"/>
    </row>
    <row r="73" spans="2:9" ht="12" customHeight="1" x14ac:dyDescent="0.25">
      <c r="B73" s="6" t="s">
        <v>66</v>
      </c>
      <c r="C73" s="7"/>
      <c r="D73" s="122"/>
      <c r="E73" s="122"/>
      <c r="F73" s="122"/>
      <c r="G73" s="7"/>
      <c r="H73" s="7"/>
      <c r="I73" s="7"/>
    </row>
    <row r="74" spans="2:9" ht="12" customHeight="1" x14ac:dyDescent="0.25">
      <c r="B74" s="27" t="s">
        <v>67</v>
      </c>
      <c r="C74" s="28">
        <f t="shared" ref="C74:H74" si="27">C71+C72+C73</f>
        <v>538.07399999999996</v>
      </c>
      <c r="D74" s="28">
        <f t="shared" si="27"/>
        <v>0</v>
      </c>
      <c r="E74" s="28">
        <f t="shared" si="27"/>
        <v>0</v>
      </c>
      <c r="F74" s="28">
        <f t="shared" si="27"/>
        <v>3391.7460000000001</v>
      </c>
      <c r="G74" s="28">
        <f t="shared" si="27"/>
        <v>3556.683</v>
      </c>
      <c r="H74" s="28">
        <f t="shared" si="27"/>
        <v>3564.5079999999998</v>
      </c>
      <c r="I74" s="28"/>
    </row>
    <row r="75" spans="2:9" ht="12" customHeight="1" x14ac:dyDescent="0.25">
      <c r="B75" s="6" t="s">
        <v>68</v>
      </c>
      <c r="C75" s="7"/>
      <c r="D75" s="7"/>
      <c r="E75" s="7"/>
      <c r="F75" s="7"/>
      <c r="G75" s="7"/>
      <c r="H75" s="7"/>
      <c r="I75" s="7"/>
    </row>
    <row r="76" spans="2:9" ht="12" customHeight="1" x14ac:dyDescent="0.25">
      <c r="B76" s="6" t="s">
        <v>69</v>
      </c>
      <c r="C76" s="7"/>
      <c r="D76" s="7"/>
      <c r="E76" s="7"/>
      <c r="F76" s="7"/>
      <c r="G76" s="7"/>
      <c r="H76" s="7"/>
      <c r="I76" s="7"/>
    </row>
    <row r="77" spans="2:9" ht="12" customHeight="1" x14ac:dyDescent="0.25">
      <c r="B77" s="29" t="s">
        <v>70</v>
      </c>
      <c r="C77" s="30">
        <f t="shared" ref="C77:H77" si="28">C74+C75-C76</f>
        <v>538.07399999999996</v>
      </c>
      <c r="D77" s="30">
        <f t="shared" si="28"/>
        <v>0</v>
      </c>
      <c r="E77" s="30">
        <f t="shared" si="28"/>
        <v>0</v>
      </c>
      <c r="F77" s="30">
        <f t="shared" si="28"/>
        <v>3391.7460000000001</v>
      </c>
      <c r="G77" s="30">
        <f t="shared" si="28"/>
        <v>3556.683</v>
      </c>
      <c r="H77" s="30">
        <f t="shared" si="28"/>
        <v>3564.5079999999998</v>
      </c>
      <c r="I77" s="30"/>
    </row>
    <row r="78" spans="2:9" ht="12" customHeight="1" x14ac:dyDescent="0.25">
      <c r="B78" s="6" t="s">
        <v>71</v>
      </c>
      <c r="C78" s="7">
        <f t="shared" ref="C78:H78" si="29">C77</f>
        <v>538.07399999999996</v>
      </c>
      <c r="D78" s="7">
        <f t="shared" si="29"/>
        <v>0</v>
      </c>
      <c r="E78" s="7">
        <f t="shared" si="29"/>
        <v>0</v>
      </c>
      <c r="F78" s="7">
        <f t="shared" si="29"/>
        <v>3391.7460000000001</v>
      </c>
      <c r="G78" s="7">
        <f t="shared" si="29"/>
        <v>3556.683</v>
      </c>
      <c r="H78" s="7">
        <f t="shared" si="29"/>
        <v>3564.5079999999998</v>
      </c>
      <c r="I78" s="7"/>
    </row>
    <row r="79" spans="2:9" ht="12" customHeight="1" x14ac:dyDescent="0.25">
      <c r="B79" s="6" t="s">
        <v>72</v>
      </c>
      <c r="C79" s="7"/>
      <c r="D79" s="7"/>
      <c r="E79" s="7"/>
      <c r="F79" s="7"/>
      <c r="G79" s="7">
        <v>0</v>
      </c>
      <c r="H79" s="7">
        <v>0</v>
      </c>
      <c r="I79" s="7"/>
    </row>
    <row r="80" spans="2:9" ht="12" customHeight="1" x14ac:dyDescent="0.25">
      <c r="B80" s="6" t="s">
        <v>73</v>
      </c>
      <c r="C80" s="7">
        <v>82.703000000000003</v>
      </c>
      <c r="D80" s="7">
        <v>114.81399999999999</v>
      </c>
      <c r="E80" s="7">
        <f>540.892+232.265</f>
        <v>773.15700000000004</v>
      </c>
      <c r="F80" s="7">
        <f>507.981+204.976</f>
        <v>712.95699999999999</v>
      </c>
      <c r="G80" s="7">
        <f>472.52+157.453</f>
        <v>629.97299999999996</v>
      </c>
      <c r="H80" s="7">
        <f>418.629+133.566</f>
        <v>552.19500000000005</v>
      </c>
      <c r="I80" s="7"/>
    </row>
    <row r="81" spans="2:9" ht="12" customHeight="1" x14ac:dyDescent="0.25">
      <c r="B81" s="6" t="s">
        <v>74</v>
      </c>
      <c r="C81" s="7">
        <v>9.4380000000000006</v>
      </c>
      <c r="D81" s="7">
        <v>9.67</v>
      </c>
      <c r="E81" s="7">
        <v>11.539</v>
      </c>
      <c r="F81" s="7">
        <v>13.79</v>
      </c>
      <c r="G81" s="7">
        <v>17.452999999999999</v>
      </c>
      <c r="H81" s="7">
        <v>14.646000000000001</v>
      </c>
      <c r="I81" s="7"/>
    </row>
    <row r="82" spans="2:9" ht="12" customHeight="1" x14ac:dyDescent="0.25">
      <c r="B82" s="6"/>
      <c r="C82" s="7"/>
      <c r="D82" s="7"/>
      <c r="E82" s="7"/>
      <c r="F82" s="7"/>
      <c r="G82" s="7"/>
      <c r="H82" s="7"/>
      <c r="I82" s="7"/>
    </row>
    <row r="83" spans="2:9" ht="12" customHeight="1" x14ac:dyDescent="0.25">
      <c r="B83" s="9" t="s">
        <v>75</v>
      </c>
      <c r="C83" s="10">
        <f t="shared" ref="C83:H83" si="30">SUM(C65:C66)+C69+SUM(C78:C81)</f>
        <v>13589.525000000001</v>
      </c>
      <c r="D83" s="10">
        <f t="shared" si="30"/>
        <v>14273.339000000002</v>
      </c>
      <c r="E83" s="10">
        <f t="shared" si="30"/>
        <v>7216.4719999999998</v>
      </c>
      <c r="F83" s="10">
        <f t="shared" si="30"/>
        <v>11113.152</v>
      </c>
      <c r="G83" s="10">
        <f t="shared" si="30"/>
        <v>11730.988000000001</v>
      </c>
      <c r="H83" s="10">
        <f t="shared" si="30"/>
        <v>12504.380999999998</v>
      </c>
      <c r="I83" s="10"/>
    </row>
    <row r="84" spans="2:9" ht="12" customHeight="1" x14ac:dyDescent="0.25">
      <c r="B84" s="6"/>
      <c r="C84" s="7"/>
      <c r="D84" s="7"/>
      <c r="E84" s="7"/>
      <c r="F84" s="7"/>
      <c r="G84" s="7"/>
      <c r="H84" s="7"/>
      <c r="I84" s="7"/>
    </row>
    <row r="85" spans="2:9" ht="12" customHeight="1" x14ac:dyDescent="0.25">
      <c r="B85" s="6" t="s">
        <v>76</v>
      </c>
      <c r="C85" s="7"/>
      <c r="D85" s="7"/>
      <c r="E85" s="7"/>
      <c r="F85" s="7"/>
      <c r="G85" s="7"/>
      <c r="H85" s="7"/>
      <c r="I85" s="7"/>
    </row>
    <row r="86" spans="2:9" ht="12" customHeight="1" x14ac:dyDescent="0.25">
      <c r="B86" s="6" t="s">
        <v>77</v>
      </c>
      <c r="C86" s="7"/>
      <c r="D86" s="7"/>
      <c r="E86" s="7"/>
      <c r="F86" s="7"/>
      <c r="G86" s="7"/>
      <c r="H86" s="7"/>
      <c r="I86" s="7"/>
    </row>
    <row r="87" spans="2:9" ht="12" customHeight="1" x14ac:dyDescent="0.25">
      <c r="B87" s="6" t="s">
        <v>78</v>
      </c>
      <c r="C87" s="7"/>
      <c r="D87" s="7"/>
      <c r="E87" s="7"/>
      <c r="F87" s="7"/>
      <c r="G87" s="7"/>
      <c r="H87" s="7"/>
      <c r="I87" s="7"/>
    </row>
    <row r="88" spans="2:9" ht="12" customHeight="1" x14ac:dyDescent="0.25">
      <c r="B88" s="6" t="s">
        <v>79</v>
      </c>
      <c r="C88" s="7"/>
      <c r="D88" s="7"/>
      <c r="E88" s="7"/>
      <c r="F88" s="7"/>
      <c r="G88" s="7"/>
      <c r="H88" s="7"/>
      <c r="I88" s="7"/>
    </row>
    <row r="89" spans="2:9" ht="12" customHeight="1" x14ac:dyDescent="0.25">
      <c r="B89" s="6" t="s">
        <v>80</v>
      </c>
      <c r="C89" s="7">
        <f>925.564</f>
        <v>925.56399999999996</v>
      </c>
      <c r="D89" s="7">
        <v>912.46799999999996</v>
      </c>
      <c r="E89" s="7">
        <f>581.692+10.562</f>
        <v>592.25400000000002</v>
      </c>
      <c r="F89" s="7">
        <f>9.334+516.299</f>
        <v>525.63299999999992</v>
      </c>
      <c r="G89" s="7">
        <f>8.161+460.884</f>
        <v>469.04500000000002</v>
      </c>
      <c r="H89" s="7">
        <f>7.71+394.277</f>
        <v>401.98699999999997</v>
      </c>
      <c r="I89" s="7"/>
    </row>
    <row r="90" spans="2:9" ht="12" customHeight="1" x14ac:dyDescent="0.25">
      <c r="B90" s="6" t="s">
        <v>81</v>
      </c>
      <c r="C90" s="7"/>
      <c r="D90" s="7"/>
      <c r="E90" s="7"/>
      <c r="F90" s="7"/>
      <c r="G90" s="7"/>
      <c r="H90" s="7"/>
      <c r="I90" s="7"/>
    </row>
    <row r="91" spans="2:9" ht="12" customHeight="1" x14ac:dyDescent="0.25">
      <c r="B91" s="6"/>
      <c r="C91" s="7"/>
      <c r="D91" s="7"/>
      <c r="E91" s="7"/>
      <c r="F91" s="7"/>
      <c r="G91" s="7"/>
      <c r="H91" s="7"/>
      <c r="I91" s="7"/>
    </row>
    <row r="92" spans="2:9" ht="12" customHeight="1" x14ac:dyDescent="0.25">
      <c r="B92" s="6" t="s">
        <v>82</v>
      </c>
      <c r="C92" s="7"/>
      <c r="D92" s="7"/>
      <c r="E92" s="7"/>
      <c r="F92" s="7"/>
      <c r="G92" s="7"/>
      <c r="H92" s="7"/>
      <c r="I92" s="7"/>
    </row>
    <row r="93" spans="2:9" ht="12" customHeight="1" x14ac:dyDescent="0.25">
      <c r="B93" s="6" t="s">
        <v>83</v>
      </c>
      <c r="C93" s="7">
        <f>819.067+2.596</f>
        <v>821.66300000000001</v>
      </c>
      <c r="D93" s="7">
        <v>2.6890000000000001</v>
      </c>
      <c r="E93" s="7">
        <v>3036.3049999999998</v>
      </c>
      <c r="F93" s="7">
        <v>2714.788</v>
      </c>
      <c r="G93" s="7">
        <v>2383.395</v>
      </c>
      <c r="H93" s="7">
        <v>2030.184</v>
      </c>
      <c r="I93" s="7"/>
    </row>
    <row r="94" spans="2:9" ht="12" customHeight="1" x14ac:dyDescent="0.25">
      <c r="B94" s="6" t="s">
        <v>84</v>
      </c>
      <c r="C94" s="7"/>
      <c r="D94" s="7"/>
      <c r="E94" s="7">
        <v>7.8449999999999998</v>
      </c>
      <c r="F94" s="7">
        <v>6.4489999999999998</v>
      </c>
      <c r="G94" s="7">
        <v>42.454000000000001</v>
      </c>
      <c r="H94" s="7">
        <v>4.3319999999999999</v>
      </c>
      <c r="I94" s="7"/>
    </row>
    <row r="95" spans="2:9" ht="12" customHeight="1" x14ac:dyDescent="0.25">
      <c r="B95" s="6"/>
      <c r="C95" s="7"/>
      <c r="D95" s="7"/>
      <c r="E95" s="7"/>
      <c r="F95" s="7"/>
      <c r="G95" s="7"/>
      <c r="H95" s="7"/>
      <c r="I95" s="7"/>
    </row>
    <row r="96" spans="2:9" ht="12" customHeight="1" x14ac:dyDescent="0.25">
      <c r="B96" s="6" t="s">
        <v>85</v>
      </c>
      <c r="C96" s="7">
        <f>5096.566+214.203</f>
        <v>5310.7690000000002</v>
      </c>
      <c r="D96" s="7">
        <f>5466.548+288.6</f>
        <v>5755.1480000000001</v>
      </c>
      <c r="E96" s="7">
        <f>681.2</f>
        <v>681.2</v>
      </c>
      <c r="F96" s="7">
        <f>878.8+4500</f>
        <v>5378.8</v>
      </c>
      <c r="G96" s="7">
        <f>1208.007+4500</f>
        <v>5708.0069999999996</v>
      </c>
      <c r="H96" s="7">
        <f>1208.007+4500</f>
        <v>5708.0069999999996</v>
      </c>
      <c r="I96" s="7"/>
    </row>
    <row r="97" spans="2:9" ht="12" customHeight="1" x14ac:dyDescent="0.25">
      <c r="B97" s="6" t="s">
        <v>86</v>
      </c>
      <c r="C97" s="7">
        <v>421.142</v>
      </c>
      <c r="D97" s="7">
        <v>552.73299999999995</v>
      </c>
      <c r="E97" s="7">
        <v>347.68</v>
      </c>
      <c r="F97" s="7">
        <v>274.52800000000002</v>
      </c>
      <c r="G97" s="7">
        <v>202.24700000000001</v>
      </c>
      <c r="H97" s="7">
        <v>101.736</v>
      </c>
      <c r="I97" s="7"/>
    </row>
    <row r="98" spans="2:9" ht="12" customHeight="1" x14ac:dyDescent="0.25">
      <c r="B98" s="6" t="s">
        <v>87</v>
      </c>
      <c r="C98" s="7">
        <v>19</v>
      </c>
      <c r="D98" s="7">
        <v>15.2</v>
      </c>
      <c r="E98" s="7">
        <v>297.90800000000002</v>
      </c>
      <c r="F98" s="7">
        <v>288.40800000000002</v>
      </c>
      <c r="G98" s="7">
        <v>145</v>
      </c>
      <c r="H98" s="7"/>
      <c r="I98" s="7"/>
    </row>
    <row r="99" spans="2:9" ht="12" customHeight="1" x14ac:dyDescent="0.25">
      <c r="B99" s="6" t="s">
        <v>88</v>
      </c>
      <c r="C99" s="7">
        <f>344.536+32.981</f>
        <v>377.517</v>
      </c>
      <c r="D99" s="7">
        <f>18.297+33.874</f>
        <v>52.171000000000006</v>
      </c>
      <c r="E99" s="7">
        <f>0.861+31.995</f>
        <v>32.856000000000002</v>
      </c>
      <c r="F99" s="7">
        <f>0.882+131.662</f>
        <v>132.54400000000001</v>
      </c>
      <c r="G99" s="7">
        <f>12.33+119.013+14.946</f>
        <v>146.28900000000002</v>
      </c>
      <c r="H99" s="7">
        <f>13.337+55.895+11.656</f>
        <v>80.888000000000005</v>
      </c>
      <c r="I99" s="7"/>
    </row>
    <row r="100" spans="2:9" ht="12" customHeight="1" x14ac:dyDescent="0.25">
      <c r="B100" s="6"/>
      <c r="C100" s="7"/>
      <c r="D100" s="7"/>
      <c r="E100" s="7"/>
      <c r="F100" s="7"/>
      <c r="G100" s="7"/>
      <c r="H100" s="7"/>
      <c r="I100" s="7"/>
    </row>
    <row r="101" spans="2:9" ht="12" customHeight="1" x14ac:dyDescent="0.25">
      <c r="B101" s="9" t="s">
        <v>377</v>
      </c>
      <c r="C101" s="10"/>
      <c r="D101" s="10"/>
      <c r="E101" s="10"/>
      <c r="F101" s="10"/>
      <c r="G101" s="10"/>
      <c r="H101" s="10"/>
      <c r="I101" s="10"/>
    </row>
    <row r="102" spans="2:9" ht="12" customHeight="1" x14ac:dyDescent="0.25">
      <c r="B102" s="6" t="s">
        <v>89</v>
      </c>
      <c r="C102" s="7">
        <v>57.850999999999999</v>
      </c>
      <c r="D102" s="7">
        <v>1167.5360000000001</v>
      </c>
      <c r="E102" s="7">
        <f>293.535</f>
        <v>293.53500000000003</v>
      </c>
      <c r="F102" s="7"/>
      <c r="G102" s="7"/>
      <c r="H102" s="7">
        <v>924.27599999999995</v>
      </c>
      <c r="I102" s="7"/>
    </row>
    <row r="103" spans="2:9" ht="12" customHeight="1" x14ac:dyDescent="0.25">
      <c r="B103" s="6" t="s">
        <v>90</v>
      </c>
      <c r="C103" s="7">
        <v>5.08</v>
      </c>
      <c r="D103" s="7">
        <v>5.5810000000000004</v>
      </c>
      <c r="E103" s="7">
        <v>87.947999999999993</v>
      </c>
      <c r="F103" s="7">
        <v>93.340999999999994</v>
      </c>
      <c r="G103" s="7">
        <v>87.495000000000005</v>
      </c>
      <c r="H103" s="7">
        <v>92.765000000000001</v>
      </c>
      <c r="I103" s="7"/>
    </row>
    <row r="104" spans="2:9" ht="12" customHeight="1" x14ac:dyDescent="0.25">
      <c r="B104" s="6" t="s">
        <v>91</v>
      </c>
      <c r="C104" s="7">
        <v>1436.75</v>
      </c>
      <c r="D104" s="7">
        <v>1106.9110000000001</v>
      </c>
      <c r="E104" s="7">
        <v>757.995</v>
      </c>
      <c r="F104" s="7">
        <v>620.61800000000005</v>
      </c>
      <c r="G104" s="7">
        <v>487.29199999999997</v>
      </c>
      <c r="H104" s="7">
        <v>308.44200000000001</v>
      </c>
      <c r="I104" s="7"/>
    </row>
    <row r="105" spans="2:9" ht="12" customHeight="1" x14ac:dyDescent="0.25">
      <c r="B105" s="6" t="s">
        <v>92</v>
      </c>
      <c r="C105" s="7">
        <f>365.929+2074.121</f>
        <v>2440.0500000000002</v>
      </c>
      <c r="D105" s="7">
        <f>160.641+212.397</f>
        <v>373.03800000000001</v>
      </c>
      <c r="E105" s="7">
        <v>12.879</v>
      </c>
      <c r="F105" s="7">
        <f>219.267+100.317</f>
        <v>319.584</v>
      </c>
      <c r="G105" s="7">
        <f>1224.289+656.383</f>
        <v>1880.672</v>
      </c>
      <c r="H105" s="7">
        <f>684.662+2353.691</f>
        <v>3038.3530000000001</v>
      </c>
      <c r="I105" s="7"/>
    </row>
    <row r="106" spans="2:9" ht="12" customHeight="1" x14ac:dyDescent="0.25">
      <c r="B106" s="6" t="s">
        <v>93</v>
      </c>
      <c r="C106" s="7">
        <v>1588.848</v>
      </c>
      <c r="D106" s="7">
        <v>3986.4740000000002</v>
      </c>
      <c r="E106" s="7">
        <v>1262.5730000000001</v>
      </c>
      <c r="F106" s="7">
        <v>1129.9929999999999</v>
      </c>
      <c r="G106" s="7">
        <v>482.07100000000003</v>
      </c>
      <c r="H106" s="7">
        <v>75.34</v>
      </c>
      <c r="I106" s="7"/>
    </row>
    <row r="107" spans="2:9" ht="12" customHeight="1" x14ac:dyDescent="0.25">
      <c r="B107" s="6" t="s">
        <v>94</v>
      </c>
      <c r="C107" s="7">
        <f>220.695+23.729+181.307</f>
        <v>425.73099999999999</v>
      </c>
      <c r="D107" s="7">
        <f>385.684+181.71</f>
        <v>567.39400000000001</v>
      </c>
      <c r="E107" s="7">
        <f>287.501+28.82+130.5</f>
        <v>446.82099999999997</v>
      </c>
      <c r="F107" s="7">
        <f>403.847+12.861+81.402</f>
        <v>498.10999999999996</v>
      </c>
      <c r="G107" s="7">
        <f>36.681+57.006</f>
        <v>93.686999999999998</v>
      </c>
      <c r="H107" s="7">
        <f>169.577+38.999</f>
        <v>208.57599999999999</v>
      </c>
      <c r="I107" s="7"/>
    </row>
    <row r="108" spans="2:9" ht="12" customHeight="1" x14ac:dyDescent="0.25">
      <c r="B108" s="9" t="s">
        <v>95</v>
      </c>
      <c r="C108" s="10">
        <f t="shared" ref="C108:H108" si="31">SUM(C102:C107)</f>
        <v>5954.3099999999995</v>
      </c>
      <c r="D108" s="10">
        <f t="shared" si="31"/>
        <v>7206.9340000000011</v>
      </c>
      <c r="E108" s="10">
        <f t="shared" si="31"/>
        <v>2861.7510000000002</v>
      </c>
      <c r="F108" s="10">
        <f t="shared" si="31"/>
        <v>2661.6460000000002</v>
      </c>
      <c r="G108" s="10">
        <f t="shared" si="31"/>
        <v>3031.2169999999996</v>
      </c>
      <c r="H108" s="10">
        <f t="shared" si="31"/>
        <v>4647.7520000000004</v>
      </c>
      <c r="I108" s="10"/>
    </row>
    <row r="109" spans="2:9" ht="12" customHeight="1" x14ac:dyDescent="0.25">
      <c r="B109" s="6"/>
      <c r="C109" s="7"/>
      <c r="D109" s="7"/>
      <c r="E109" s="7"/>
      <c r="F109" s="7"/>
      <c r="G109" s="7"/>
      <c r="H109" s="7"/>
      <c r="I109" s="7"/>
    </row>
    <row r="110" spans="2:9" ht="12" customHeight="1" x14ac:dyDescent="0.25">
      <c r="B110" s="6" t="s">
        <v>96</v>
      </c>
      <c r="C110" s="7">
        <f>170.605</f>
        <v>170.60499999999999</v>
      </c>
      <c r="D110" s="7">
        <v>74.683999999999997</v>
      </c>
      <c r="E110" s="7">
        <f>367.003+1.44</f>
        <v>368.44299999999998</v>
      </c>
      <c r="F110" s="7">
        <f>3.148+110.719</f>
        <v>113.86699999999999</v>
      </c>
      <c r="G110" s="7">
        <f>4.558+253.607</f>
        <v>258.16500000000002</v>
      </c>
      <c r="H110" s="7">
        <f>0.946+330.943</f>
        <v>331.88900000000001</v>
      </c>
      <c r="I110" s="7"/>
    </row>
    <row r="111" spans="2:9" ht="12" customHeight="1" x14ac:dyDescent="0.25">
      <c r="B111" s="6" t="s">
        <v>97</v>
      </c>
      <c r="C111" s="7">
        <f>45.41+23.748</f>
        <v>69.158000000000001</v>
      </c>
      <c r="D111" s="7">
        <f>102.28+24.997+21.162</f>
        <v>148.43899999999999</v>
      </c>
      <c r="E111" s="7">
        <f>233.234+36.436</f>
        <v>269.67</v>
      </c>
      <c r="F111" s="7">
        <f>692.777+58.65</f>
        <v>751.42700000000002</v>
      </c>
      <c r="G111" s="7">
        <f>41.989+46.833+45.07</f>
        <v>133.892</v>
      </c>
      <c r="H111" s="7">
        <f>52.193+38.471+39.257</f>
        <v>129.92099999999999</v>
      </c>
      <c r="I111" s="7"/>
    </row>
    <row r="112" spans="2:9" ht="12" customHeight="1" x14ac:dyDescent="0.25">
      <c r="B112" s="6" t="s">
        <v>98</v>
      </c>
      <c r="C112" s="7">
        <v>0.67700000000000005</v>
      </c>
      <c r="D112" s="7">
        <v>0.88100000000000001</v>
      </c>
      <c r="E112" s="7">
        <v>3.214</v>
      </c>
      <c r="F112" s="7">
        <v>4.3499999999999996</v>
      </c>
      <c r="G112" s="7">
        <v>4.5990000000000002</v>
      </c>
      <c r="H112" s="7">
        <v>8.6950000000000003</v>
      </c>
      <c r="I112" s="7"/>
    </row>
    <row r="113" spans="2:9" ht="12" customHeight="1" x14ac:dyDescent="0.25">
      <c r="B113" s="9" t="s">
        <v>99</v>
      </c>
      <c r="C113" s="10">
        <f t="shared" ref="C113:H113" si="32">SUM(C110:C112)</f>
        <v>240.43999999999997</v>
      </c>
      <c r="D113" s="10">
        <f t="shared" si="32"/>
        <v>224.00399999999999</v>
      </c>
      <c r="E113" s="10">
        <f t="shared" si="32"/>
        <v>641.32700000000011</v>
      </c>
      <c r="F113" s="10">
        <f t="shared" si="32"/>
        <v>869.64400000000001</v>
      </c>
      <c r="G113" s="10">
        <f t="shared" si="32"/>
        <v>396.65600000000001</v>
      </c>
      <c r="H113" s="10">
        <f t="shared" si="32"/>
        <v>470.505</v>
      </c>
      <c r="I113" s="10"/>
    </row>
    <row r="114" spans="2:9" ht="12" customHeight="1" x14ac:dyDescent="0.25">
      <c r="B114" s="6"/>
      <c r="C114" s="7"/>
      <c r="D114" s="7"/>
      <c r="E114" s="7"/>
      <c r="F114" s="7"/>
      <c r="G114" s="7"/>
      <c r="H114" s="7"/>
      <c r="I114" s="7"/>
    </row>
    <row r="115" spans="2:9" ht="12" customHeight="1" x14ac:dyDescent="0.25">
      <c r="B115" s="6" t="s">
        <v>100</v>
      </c>
      <c r="C115" s="7">
        <f t="shared" ref="C115:H115" si="33">C108-C113</f>
        <v>5713.87</v>
      </c>
      <c r="D115" s="7">
        <f t="shared" si="33"/>
        <v>6982.9300000000012</v>
      </c>
      <c r="E115" s="7">
        <f t="shared" si="33"/>
        <v>2220.424</v>
      </c>
      <c r="F115" s="7">
        <f t="shared" si="33"/>
        <v>1792.0020000000002</v>
      </c>
      <c r="G115" s="7">
        <f t="shared" si="33"/>
        <v>2634.5609999999997</v>
      </c>
      <c r="H115" s="7">
        <f t="shared" si="33"/>
        <v>4177.2470000000003</v>
      </c>
      <c r="I115" s="7"/>
    </row>
    <row r="116" spans="2:9" ht="12" customHeight="1" x14ac:dyDescent="0.25">
      <c r="B116" s="6"/>
      <c r="C116" s="7"/>
      <c r="D116" s="7"/>
      <c r="E116" s="7"/>
      <c r="F116" s="7"/>
      <c r="G116" s="7"/>
      <c r="H116" s="7"/>
      <c r="I116" s="7"/>
    </row>
    <row r="117" spans="2:9" ht="12" customHeight="1" x14ac:dyDescent="0.25">
      <c r="B117" s="9" t="s">
        <v>101</v>
      </c>
      <c r="C117" s="10">
        <f t="shared" ref="C117:H117" si="34">SUM(C89:C94)+SUM(C96:C99)+C115</f>
        <v>13589.525</v>
      </c>
      <c r="D117" s="10">
        <f t="shared" si="34"/>
        <v>14273.339000000002</v>
      </c>
      <c r="E117" s="10">
        <f t="shared" si="34"/>
        <v>7216.4719999999998</v>
      </c>
      <c r="F117" s="10">
        <f t="shared" si="34"/>
        <v>11113.152000000002</v>
      </c>
      <c r="G117" s="10">
        <f t="shared" si="34"/>
        <v>11730.998</v>
      </c>
      <c r="H117" s="10">
        <f t="shared" si="34"/>
        <v>12504.380999999998</v>
      </c>
      <c r="I117" s="10"/>
    </row>
    <row r="118" spans="2:9" ht="12" customHeight="1" x14ac:dyDescent="0.25">
      <c r="B118" s="31"/>
      <c r="C118" s="162">
        <f t="shared" ref="C118:H118" si="35">C83-C117</f>
        <v>0</v>
      </c>
      <c r="D118" s="162">
        <f t="shared" si="35"/>
        <v>0</v>
      </c>
      <c r="E118" s="162">
        <f t="shared" si="35"/>
        <v>0</v>
      </c>
      <c r="F118" s="162">
        <f t="shared" si="35"/>
        <v>0</v>
      </c>
      <c r="G118" s="162">
        <f t="shared" si="35"/>
        <v>-9.9999999983992893E-3</v>
      </c>
      <c r="H118" s="162">
        <f t="shared" si="35"/>
        <v>0</v>
      </c>
      <c r="I118" s="162"/>
    </row>
    <row r="119" spans="2:9" ht="12" customHeight="1" x14ac:dyDescent="0.25">
      <c r="B119" s="33"/>
      <c r="C119" s="34"/>
      <c r="D119" s="34"/>
      <c r="E119" s="34"/>
      <c r="F119" s="34"/>
      <c r="G119" s="34"/>
      <c r="H119" s="34"/>
      <c r="I119" s="34"/>
    </row>
    <row r="120" spans="2:9" ht="12" customHeight="1" x14ac:dyDescent="0.25">
      <c r="B120" s="3" t="s">
        <v>102</v>
      </c>
      <c r="C120" s="4" t="s">
        <v>22</v>
      </c>
      <c r="D120" s="4" t="s">
        <v>23</v>
      </c>
      <c r="E120" s="4" t="s">
        <v>24</v>
      </c>
      <c r="F120" s="4" t="s">
        <v>25</v>
      </c>
      <c r="G120" s="4" t="s">
        <v>26</v>
      </c>
      <c r="H120" s="4" t="s">
        <v>27</v>
      </c>
      <c r="I120" s="4"/>
    </row>
    <row r="121" spans="2:9" ht="12" customHeight="1" x14ac:dyDescent="0.25">
      <c r="B121" s="6" t="s">
        <v>40</v>
      </c>
      <c r="C121" s="7">
        <v>981.10799999999995</v>
      </c>
      <c r="D121" s="7">
        <v>1204.2670000000001</v>
      </c>
      <c r="E121" s="7">
        <v>290.33600000000001</v>
      </c>
      <c r="F121" s="7">
        <v>578.11099999999999</v>
      </c>
      <c r="G121" s="7">
        <v>604.14200000000005</v>
      </c>
      <c r="H121" s="7">
        <v>834.779</v>
      </c>
      <c r="I121" s="7"/>
    </row>
    <row r="122" spans="2:9" ht="12" customHeight="1" x14ac:dyDescent="0.25">
      <c r="B122" s="6"/>
      <c r="C122" s="7"/>
      <c r="D122" s="7"/>
      <c r="E122" s="7"/>
      <c r="F122" s="7"/>
      <c r="G122" s="7"/>
      <c r="H122" s="7"/>
      <c r="I122" s="7"/>
    </row>
    <row r="123" spans="2:9" ht="12" customHeight="1" x14ac:dyDescent="0.25">
      <c r="B123" s="6" t="s">
        <v>103</v>
      </c>
      <c r="C123" s="7">
        <v>17.875999999999998</v>
      </c>
      <c r="D123" s="7">
        <v>16.244</v>
      </c>
      <c r="E123" s="7">
        <v>433.99099999999999</v>
      </c>
      <c r="F123" s="7">
        <v>428.52100000000002</v>
      </c>
      <c r="G123" s="7">
        <v>432.42399999999998</v>
      </c>
      <c r="H123" s="7">
        <v>415.495</v>
      </c>
      <c r="I123" s="7"/>
    </row>
    <row r="124" spans="2:9" ht="12" customHeight="1" x14ac:dyDescent="0.25">
      <c r="B124" s="6" t="s">
        <v>104</v>
      </c>
      <c r="C124" s="7">
        <v>288.221</v>
      </c>
      <c r="D124" s="7">
        <v>61.052999999999997</v>
      </c>
      <c r="E124" s="7">
        <v>1.286</v>
      </c>
      <c r="F124" s="7">
        <v>230.22499999999999</v>
      </c>
      <c r="G124" s="7">
        <v>591.37199999999996</v>
      </c>
      <c r="H124" s="7">
        <v>390.053</v>
      </c>
      <c r="I124" s="7"/>
    </row>
    <row r="125" spans="2:9" ht="12" customHeight="1" x14ac:dyDescent="0.25">
      <c r="B125" s="6" t="s">
        <v>105</v>
      </c>
      <c r="C125" s="7">
        <v>0</v>
      </c>
      <c r="D125" s="7"/>
      <c r="E125" s="7">
        <v>11.128</v>
      </c>
      <c r="F125" s="7">
        <v>102.937</v>
      </c>
      <c r="G125" s="7">
        <v>105.889</v>
      </c>
      <c r="H125" s="7">
        <v>261.80099999999999</v>
      </c>
      <c r="I125" s="7"/>
    </row>
    <row r="126" spans="2:9" ht="12" customHeight="1" x14ac:dyDescent="0.25">
      <c r="B126" s="6" t="s">
        <v>106</v>
      </c>
      <c r="C126" s="7">
        <v>-559.51599999999996</v>
      </c>
      <c r="D126" s="7">
        <v>-589.30499999999995</v>
      </c>
      <c r="E126" s="7">
        <v>-169.797</v>
      </c>
      <c r="F126" s="7">
        <v>-338.51400000000001</v>
      </c>
      <c r="G126" s="7">
        <v>-621.18700000000001</v>
      </c>
      <c r="H126" s="7">
        <v>-650.90800000000002</v>
      </c>
      <c r="I126" s="7"/>
    </row>
    <row r="127" spans="2:9" ht="12" customHeight="1" x14ac:dyDescent="0.25">
      <c r="B127" s="6" t="s">
        <v>107</v>
      </c>
      <c r="C127" s="7">
        <v>0</v>
      </c>
      <c r="D127" s="7"/>
      <c r="E127" s="7"/>
      <c r="F127" s="7"/>
      <c r="G127" s="7"/>
      <c r="H127" s="7">
        <v>-0.94099999999999995</v>
      </c>
      <c r="I127" s="7"/>
    </row>
    <row r="128" spans="2:9" ht="12" customHeight="1" x14ac:dyDescent="0.25">
      <c r="B128" s="6" t="s">
        <v>109</v>
      </c>
      <c r="C128" s="7">
        <v>0</v>
      </c>
      <c r="D128" s="122"/>
      <c r="E128" s="122"/>
      <c r="F128" s="7"/>
      <c r="G128" s="7"/>
      <c r="H128" s="7">
        <v>-11.821</v>
      </c>
      <c r="I128" s="7"/>
    </row>
    <row r="129" spans="2:9" ht="12" customHeight="1" x14ac:dyDescent="0.25">
      <c r="B129" s="6" t="s">
        <v>110</v>
      </c>
      <c r="C129" s="7">
        <v>0</v>
      </c>
      <c r="D129" s="7">
        <v>9.7000000000000003E-2</v>
      </c>
      <c r="E129" s="7"/>
      <c r="F129" s="7">
        <v>2.306</v>
      </c>
      <c r="G129" s="7">
        <v>-0.39100000000000001</v>
      </c>
      <c r="H129" s="7"/>
      <c r="I129" s="7"/>
    </row>
    <row r="130" spans="2:9" ht="12" customHeight="1" x14ac:dyDescent="0.25">
      <c r="B130" s="6" t="s">
        <v>111</v>
      </c>
      <c r="C130" s="7">
        <f>(722.865-5.4)</f>
        <v>717.46500000000003</v>
      </c>
      <c r="D130" s="122">
        <f>819.067-0.184-56.384</f>
        <v>762.49900000000002</v>
      </c>
      <c r="E130" s="122">
        <f>-3.865-34.394-23.952-15.175-5.9</f>
        <v>-83.286000000000001</v>
      </c>
      <c r="F130" s="122">
        <f>-3.403+28.597-23.886-4.421</f>
        <v>-3.1129999999999969</v>
      </c>
      <c r="G130" s="122">
        <f>-23.637-23.886+11.596</f>
        <v>-35.926999999999992</v>
      </c>
      <c r="H130" s="122">
        <f>-23.886</f>
        <v>-23.885999999999999</v>
      </c>
      <c r="I130" s="122"/>
    </row>
    <row r="131" spans="2:9" ht="12" customHeight="1" x14ac:dyDescent="0.25">
      <c r="B131" s="9" t="s">
        <v>112</v>
      </c>
      <c r="C131" s="10">
        <f t="shared" ref="C131:H131" si="36">SUM(C121:C130)</f>
        <v>1445.154</v>
      </c>
      <c r="D131" s="10">
        <f t="shared" si="36"/>
        <v>1454.855</v>
      </c>
      <c r="E131" s="10">
        <f t="shared" si="36"/>
        <v>483.65799999999996</v>
      </c>
      <c r="F131" s="10">
        <f t="shared" si="36"/>
        <v>1000.473</v>
      </c>
      <c r="G131" s="10">
        <f t="shared" si="36"/>
        <v>1076.3219999999999</v>
      </c>
      <c r="H131" s="10">
        <f t="shared" si="36"/>
        <v>1214.5719999999999</v>
      </c>
      <c r="I131" s="10"/>
    </row>
    <row r="132" spans="2:9" ht="12" customHeight="1" x14ac:dyDescent="0.25">
      <c r="B132" s="6" t="s">
        <v>113</v>
      </c>
      <c r="C132" s="7">
        <v>-2770.326</v>
      </c>
      <c r="D132" s="7">
        <v>-42.308999999999997</v>
      </c>
      <c r="E132" s="7">
        <v>-303.822</v>
      </c>
      <c r="F132" s="7">
        <v>137.37700000000001</v>
      </c>
      <c r="G132" s="7">
        <v>133.5</v>
      </c>
      <c r="H132" s="7">
        <v>178.85</v>
      </c>
      <c r="I132" s="7"/>
    </row>
    <row r="133" spans="2:9" ht="12" customHeight="1" x14ac:dyDescent="0.25">
      <c r="B133" s="6" t="s">
        <v>114</v>
      </c>
      <c r="C133" s="7"/>
      <c r="D133" s="7"/>
      <c r="E133" s="7">
        <v>-10.676</v>
      </c>
      <c r="F133" s="7">
        <v>62.594999999999999</v>
      </c>
      <c r="G133" s="7">
        <v>83.542000000000002</v>
      </c>
      <c r="H133" s="7">
        <v>66.41</v>
      </c>
      <c r="I133" s="7"/>
    </row>
    <row r="134" spans="2:9" ht="12" customHeight="1" x14ac:dyDescent="0.25">
      <c r="B134" s="6" t="s">
        <v>115</v>
      </c>
      <c r="C134" s="7">
        <v>-0.63400000000000001</v>
      </c>
      <c r="D134" s="7">
        <v>-0.501</v>
      </c>
      <c r="E134" s="7">
        <v>-5.9829999999999997</v>
      </c>
      <c r="F134" s="7">
        <v>-5.3929999999999998</v>
      </c>
      <c r="G134" s="7">
        <v>5.8460000000000001</v>
      </c>
      <c r="H134" s="7">
        <v>-5.27</v>
      </c>
      <c r="I134" s="7"/>
    </row>
    <row r="135" spans="2:9" ht="12" customHeight="1" x14ac:dyDescent="0.25">
      <c r="B135" s="6" t="s">
        <v>116</v>
      </c>
      <c r="C135" s="7">
        <v>4991.9269999999997</v>
      </c>
      <c r="D135" s="7">
        <v>82.040999999999997</v>
      </c>
      <c r="E135" s="7">
        <v>97.05</v>
      </c>
      <c r="F135" s="7">
        <v>-254.57599999999999</v>
      </c>
      <c r="G135" s="7">
        <v>-28.573</v>
      </c>
      <c r="H135" s="7">
        <v>73.724000000000004</v>
      </c>
      <c r="I135" s="7"/>
    </row>
    <row r="136" spans="2:9" ht="12" customHeight="1" x14ac:dyDescent="0.25">
      <c r="B136" s="6" t="s">
        <v>117</v>
      </c>
      <c r="C136" s="7"/>
      <c r="D136" s="7"/>
      <c r="E136" s="7">
        <v>2.6909999999999998</v>
      </c>
      <c r="F136" s="7">
        <v>-117.629</v>
      </c>
      <c r="G136" s="7">
        <v>-132.53</v>
      </c>
      <c r="H136" s="7">
        <v>-15.276999999999999</v>
      </c>
      <c r="I136" s="7"/>
    </row>
    <row r="137" spans="2:9" ht="12" customHeight="1" x14ac:dyDescent="0.25">
      <c r="B137" s="6" t="s">
        <v>118</v>
      </c>
      <c r="C137" s="7">
        <v>2.145</v>
      </c>
      <c r="D137" s="7">
        <v>-1.4410000000000001</v>
      </c>
      <c r="E137" s="7">
        <v>4.9000000000000002E-2</v>
      </c>
      <c r="F137" s="7">
        <v>1.135</v>
      </c>
      <c r="G137" s="7">
        <v>3.9129999999999998</v>
      </c>
      <c r="H137" s="7">
        <v>1.2889999999999999</v>
      </c>
      <c r="I137" s="7"/>
    </row>
    <row r="138" spans="2:9" ht="12" customHeight="1" x14ac:dyDescent="0.25">
      <c r="B138" s="9" t="s">
        <v>119</v>
      </c>
      <c r="C138" s="10">
        <f t="shared" ref="C138:H138" si="37">SUM(C131:C137)</f>
        <v>3668.2659999999996</v>
      </c>
      <c r="D138" s="10">
        <f t="shared" si="37"/>
        <v>1492.645</v>
      </c>
      <c r="E138" s="10">
        <f t="shared" si="37"/>
        <v>262.96699999999993</v>
      </c>
      <c r="F138" s="10">
        <f t="shared" si="37"/>
        <v>823.98199999999986</v>
      </c>
      <c r="G138" s="10">
        <f t="shared" si="37"/>
        <v>1142.0199999999998</v>
      </c>
      <c r="H138" s="10">
        <f t="shared" si="37"/>
        <v>1514.2979999999998</v>
      </c>
      <c r="I138" s="10"/>
    </row>
    <row r="139" spans="2:9" ht="12" customHeight="1" x14ac:dyDescent="0.25">
      <c r="B139" s="6" t="s">
        <v>120</v>
      </c>
      <c r="C139" s="7"/>
      <c r="D139" s="7"/>
      <c r="E139" s="7"/>
      <c r="F139" s="7"/>
      <c r="G139" s="7"/>
      <c r="H139" s="7"/>
      <c r="I139" s="7"/>
    </row>
    <row r="140" spans="2:9" ht="12" customHeight="1" x14ac:dyDescent="0.25">
      <c r="B140" s="6" t="s">
        <v>121</v>
      </c>
      <c r="C140" s="7">
        <v>-127.5</v>
      </c>
      <c r="D140" s="7">
        <v>-205.10300000000001</v>
      </c>
      <c r="E140" s="7">
        <v>-99.533000000000001</v>
      </c>
      <c r="F140" s="7">
        <v>-120.33</v>
      </c>
      <c r="G140" s="7">
        <v>-131.95099999999999</v>
      </c>
      <c r="H140" s="7">
        <v>-114.339</v>
      </c>
      <c r="I140" s="7"/>
    </row>
    <row r="141" spans="2:9" ht="12" customHeight="1" x14ac:dyDescent="0.25">
      <c r="B141" s="9" t="s">
        <v>122</v>
      </c>
      <c r="C141" s="10">
        <f t="shared" ref="C141:H141" si="38">C138+C139+C140</f>
        <v>3540.7659999999996</v>
      </c>
      <c r="D141" s="10">
        <f t="shared" si="38"/>
        <v>1287.5419999999999</v>
      </c>
      <c r="E141" s="10">
        <f t="shared" si="38"/>
        <v>163.43399999999991</v>
      </c>
      <c r="F141" s="10">
        <f t="shared" si="38"/>
        <v>703.65199999999982</v>
      </c>
      <c r="G141" s="10">
        <f t="shared" si="38"/>
        <v>1010.0689999999997</v>
      </c>
      <c r="H141" s="10">
        <f t="shared" si="38"/>
        <v>1399.9589999999998</v>
      </c>
      <c r="I141" s="10"/>
    </row>
    <row r="142" spans="2:9" ht="12" customHeight="1" x14ac:dyDescent="0.25">
      <c r="B142" s="6"/>
      <c r="C142" s="7"/>
      <c r="D142" s="7"/>
      <c r="E142" s="7"/>
      <c r="F142" s="7"/>
      <c r="G142" s="7"/>
      <c r="H142" s="7"/>
      <c r="I142" s="7"/>
    </row>
    <row r="143" spans="2:9" ht="12" customHeight="1" x14ac:dyDescent="0.25">
      <c r="B143" s="6" t="s">
        <v>123</v>
      </c>
      <c r="C143" s="7">
        <v>-6.2190000000000003</v>
      </c>
      <c r="D143" s="7"/>
      <c r="E143" s="7"/>
      <c r="F143" s="7"/>
      <c r="G143" s="7">
        <v>0.39100000000000001</v>
      </c>
      <c r="H143" s="7">
        <v>88.2</v>
      </c>
      <c r="I143" s="7"/>
    </row>
    <row r="144" spans="2:9" ht="12" customHeight="1" x14ac:dyDescent="0.25">
      <c r="B144" s="6" t="s">
        <v>124</v>
      </c>
      <c r="C144" s="7">
        <v>1758.32</v>
      </c>
      <c r="D144" s="7">
        <v>6467.6940000000004</v>
      </c>
      <c r="E144" s="7">
        <v>1876.44</v>
      </c>
      <c r="F144" s="7">
        <v>297.95499999999998</v>
      </c>
      <c r="G144" s="7"/>
      <c r="H144" s="7">
        <v>85.936999999999998</v>
      </c>
      <c r="I144" s="7"/>
    </row>
    <row r="145" spans="2:9" ht="12" customHeight="1" x14ac:dyDescent="0.25">
      <c r="B145" s="6" t="s">
        <v>125</v>
      </c>
      <c r="C145" s="7"/>
      <c r="D145" s="7"/>
      <c r="E145" s="7">
        <v>34.933999999999997</v>
      </c>
      <c r="F145" s="7"/>
      <c r="G145" s="7"/>
      <c r="H145" s="7"/>
      <c r="I145" s="7"/>
    </row>
    <row r="146" spans="2:9" ht="12" customHeight="1" x14ac:dyDescent="0.25">
      <c r="B146" s="6" t="s">
        <v>126</v>
      </c>
      <c r="C146" s="7">
        <v>103.40900000000001</v>
      </c>
      <c r="D146" s="7">
        <v>590.21100000000001</v>
      </c>
      <c r="E146" s="7">
        <v>77.789000000000001</v>
      </c>
      <c r="F146" s="7">
        <v>165.565</v>
      </c>
      <c r="G146" s="7"/>
      <c r="H146" s="7">
        <v>497.56099999999998</v>
      </c>
      <c r="I146" s="7"/>
    </row>
    <row r="147" spans="2:9" ht="12" customHeight="1" x14ac:dyDescent="0.25">
      <c r="B147" s="6" t="s">
        <v>127</v>
      </c>
      <c r="C147" s="7"/>
      <c r="D147" s="7">
        <v>-3.3370000000000002</v>
      </c>
      <c r="E147" s="7">
        <v>-19.52</v>
      </c>
      <c r="F147" s="7">
        <v>-41.293999999999997</v>
      </c>
      <c r="G147" s="7">
        <v>-83.409000000000006</v>
      </c>
      <c r="H147" s="7">
        <v>-42.344999999999999</v>
      </c>
      <c r="I147" s="7"/>
    </row>
    <row r="148" spans="2:9" ht="12" customHeight="1" x14ac:dyDescent="0.25">
      <c r="B148" s="6" t="s">
        <v>128</v>
      </c>
      <c r="C148" s="7">
        <v>-1563.7</v>
      </c>
      <c r="D148" s="7">
        <v>-7503.8919999999998</v>
      </c>
      <c r="E148" s="7"/>
      <c r="F148" s="7"/>
      <c r="G148" s="7"/>
      <c r="H148" s="7">
        <v>-997.45100000000002</v>
      </c>
      <c r="I148" s="7"/>
    </row>
    <row r="149" spans="2:9" ht="12" customHeight="1" x14ac:dyDescent="0.25">
      <c r="B149" s="6" t="s">
        <v>129</v>
      </c>
      <c r="C149" s="7"/>
      <c r="D149" s="122"/>
      <c r="E149" s="122"/>
      <c r="F149" s="7"/>
      <c r="G149" s="7"/>
      <c r="H149" s="7"/>
      <c r="I149" s="7"/>
    </row>
    <row r="150" spans="2:9" ht="12" customHeight="1" x14ac:dyDescent="0.25">
      <c r="B150" s="6" t="s">
        <v>130</v>
      </c>
      <c r="C150" s="7"/>
      <c r="D150" s="122"/>
      <c r="E150" s="122">
        <v>-1830.3</v>
      </c>
      <c r="F150" s="7">
        <v>-100.31699999999999</v>
      </c>
      <c r="G150" s="7">
        <v>-1123.972</v>
      </c>
      <c r="H150" s="7">
        <v>-1129.402</v>
      </c>
      <c r="I150" s="7"/>
    </row>
    <row r="151" spans="2:9" ht="12" customHeight="1" x14ac:dyDescent="0.25">
      <c r="B151" s="6" t="s">
        <v>496</v>
      </c>
      <c r="C151" s="7"/>
      <c r="D151" s="122">
        <v>-444.38</v>
      </c>
      <c r="E151" s="122"/>
      <c r="F151" s="122"/>
      <c r="G151" s="122"/>
      <c r="H151" s="122"/>
      <c r="I151" s="122"/>
    </row>
    <row r="152" spans="2:9" ht="12" customHeight="1" x14ac:dyDescent="0.25">
      <c r="B152" s="6" t="s">
        <v>111</v>
      </c>
      <c r="C152" s="7">
        <v>-559.31600000000003</v>
      </c>
      <c r="D152" s="122"/>
      <c r="E152" s="122">
        <f>205.273-78-349.856</f>
        <v>-222.583</v>
      </c>
      <c r="F152" s="122">
        <f>151.58-197.6-4500</f>
        <v>-4546.0200000000004</v>
      </c>
      <c r="G152" s="122">
        <f>-329.207+791.28+969.597</f>
        <v>1431.67</v>
      </c>
      <c r="H152" s="122">
        <f>-370+921.731</f>
        <v>551.73099999999999</v>
      </c>
      <c r="I152" s="122"/>
    </row>
    <row r="153" spans="2:9" ht="12" customHeight="1" x14ac:dyDescent="0.25">
      <c r="B153" s="6"/>
      <c r="C153" s="7"/>
      <c r="D153" s="7"/>
      <c r="E153" s="7"/>
      <c r="F153" s="7"/>
      <c r="G153" s="7"/>
      <c r="H153" s="7"/>
      <c r="I153" s="7"/>
    </row>
    <row r="154" spans="2:9" ht="12" customHeight="1" x14ac:dyDescent="0.25">
      <c r="B154" s="9" t="s">
        <v>131</v>
      </c>
      <c r="C154" s="10">
        <f t="shared" ref="C154:H154" si="39">SUM(C143:C152)</f>
        <v>-267.50600000000009</v>
      </c>
      <c r="D154" s="10">
        <f t="shared" si="39"/>
        <v>-893.70399999999961</v>
      </c>
      <c r="E154" s="10">
        <f t="shared" si="39"/>
        <v>-83.239999999999924</v>
      </c>
      <c r="F154" s="10">
        <f t="shared" si="39"/>
        <v>-4224.1110000000008</v>
      </c>
      <c r="G154" s="10">
        <f t="shared" si="39"/>
        <v>224.68000000000006</v>
      </c>
      <c r="H154" s="10">
        <f t="shared" si="39"/>
        <v>-945.76900000000001</v>
      </c>
      <c r="I154" s="10"/>
    </row>
    <row r="155" spans="2:9" ht="12" customHeight="1" x14ac:dyDescent="0.25">
      <c r="B155" s="6"/>
      <c r="C155" s="7"/>
      <c r="D155" s="7"/>
      <c r="E155" s="7"/>
      <c r="F155" s="7"/>
      <c r="G155" s="7"/>
      <c r="H155" s="7"/>
      <c r="I155" s="7"/>
    </row>
    <row r="156" spans="2:9" ht="12" customHeight="1" x14ac:dyDescent="0.25">
      <c r="B156" s="6" t="s">
        <v>132</v>
      </c>
      <c r="C156" s="7"/>
      <c r="D156" s="122"/>
      <c r="E156" s="122"/>
      <c r="F156" s="122"/>
      <c r="G156" s="122"/>
      <c r="H156" s="7"/>
      <c r="I156" s="7"/>
    </row>
    <row r="157" spans="2:9" ht="12" customHeight="1" x14ac:dyDescent="0.25">
      <c r="B157" s="6" t="s">
        <v>133</v>
      </c>
      <c r="C157" s="7">
        <v>38.624000000000002</v>
      </c>
      <c r="D157" s="123"/>
      <c r="E157" s="123"/>
      <c r="F157" s="7"/>
      <c r="G157" s="7"/>
      <c r="H157" s="7"/>
      <c r="I157" s="7"/>
    </row>
    <row r="158" spans="2:9" ht="12" customHeight="1" x14ac:dyDescent="0.25">
      <c r="B158" s="6" t="s">
        <v>134</v>
      </c>
      <c r="C158" s="7"/>
      <c r="D158" s="123"/>
      <c r="E158" s="123"/>
      <c r="F158" s="7"/>
      <c r="G158" s="7"/>
      <c r="H158" s="7"/>
      <c r="I158" s="7"/>
    </row>
    <row r="159" spans="2:9" ht="12" customHeight="1" x14ac:dyDescent="0.25">
      <c r="B159" s="6" t="s">
        <v>135</v>
      </c>
      <c r="C159" s="7">
        <v>932.7</v>
      </c>
      <c r="D159" s="123"/>
      <c r="E159" s="123"/>
      <c r="F159" s="7">
        <v>4000</v>
      </c>
      <c r="G159" s="7">
        <v>3610</v>
      </c>
      <c r="H159" s="7"/>
      <c r="I159" s="7"/>
    </row>
    <row r="160" spans="2:9" ht="12" customHeight="1" x14ac:dyDescent="0.25">
      <c r="B160" s="6" t="s">
        <v>136</v>
      </c>
      <c r="C160" s="7"/>
      <c r="D160" s="123"/>
      <c r="E160" s="123">
        <v>150</v>
      </c>
      <c r="F160" s="7">
        <v>250</v>
      </c>
      <c r="G160" s="7"/>
      <c r="H160" s="7"/>
      <c r="I160" s="7"/>
    </row>
    <row r="161" spans="2:9" ht="12" customHeight="1" x14ac:dyDescent="0.25">
      <c r="B161" s="6" t="s">
        <v>137</v>
      </c>
      <c r="C161" s="7"/>
      <c r="D161" s="123"/>
      <c r="E161" s="123">
        <v>-77.573999999999998</v>
      </c>
      <c r="F161" s="7">
        <v>-79.007000000000005</v>
      </c>
      <c r="G161" s="7">
        <v>-89.637</v>
      </c>
      <c r="H161" s="7">
        <v>-91.123999999999995</v>
      </c>
      <c r="I161" s="7"/>
    </row>
    <row r="162" spans="2:9" ht="12" customHeight="1" x14ac:dyDescent="0.25">
      <c r="B162" s="6" t="s">
        <v>138</v>
      </c>
      <c r="C162" s="7"/>
      <c r="D162" s="123"/>
      <c r="E162" s="123"/>
      <c r="F162" s="7">
        <v>-40</v>
      </c>
      <c r="G162" s="7">
        <v>-3480</v>
      </c>
      <c r="H162" s="7"/>
      <c r="I162" s="7"/>
    </row>
    <row r="163" spans="2:9" ht="12" customHeight="1" x14ac:dyDescent="0.25">
      <c r="B163" s="6" t="s">
        <v>139</v>
      </c>
      <c r="C163" s="7">
        <v>-3617.1</v>
      </c>
      <c r="D163" s="123">
        <v>-538.07399999999996</v>
      </c>
      <c r="E163" s="123">
        <v>-150</v>
      </c>
      <c r="F163" s="7">
        <v>-250</v>
      </c>
      <c r="G163" s="7">
        <v>-480</v>
      </c>
      <c r="H163" s="7"/>
      <c r="I163" s="7"/>
    </row>
    <row r="164" spans="2:9" ht="12" customHeight="1" x14ac:dyDescent="0.25">
      <c r="B164" s="6" t="s">
        <v>140</v>
      </c>
      <c r="C164" s="7"/>
      <c r="D164" s="123"/>
      <c r="E164" s="123"/>
      <c r="F164" s="7"/>
      <c r="G164" s="7"/>
      <c r="H164" s="7"/>
      <c r="I164" s="7"/>
    </row>
    <row r="165" spans="2:9" ht="12" customHeight="1" x14ac:dyDescent="0.25">
      <c r="B165" s="6" t="s">
        <v>141</v>
      </c>
      <c r="C165" s="7">
        <v>-300.20999999999998</v>
      </c>
      <c r="D165" s="123">
        <v>-61.052999999999997</v>
      </c>
      <c r="E165" s="123">
        <v>-0.29899999999999999</v>
      </c>
      <c r="F165" s="7">
        <v>-154.14699999999999</v>
      </c>
      <c r="G165" s="7">
        <v>-357.99700000000001</v>
      </c>
      <c r="H165" s="7">
        <v>-334.78699999999998</v>
      </c>
      <c r="I165" s="7"/>
    </row>
    <row r="166" spans="2:9" ht="12" customHeight="1" x14ac:dyDescent="0.25">
      <c r="B166" s="6" t="s">
        <v>58</v>
      </c>
      <c r="C166" s="7"/>
      <c r="D166" s="123"/>
      <c r="E166" s="123"/>
      <c r="F166" s="7"/>
      <c r="G166" s="7"/>
      <c r="H166" s="7"/>
      <c r="I166" s="7"/>
    </row>
    <row r="167" spans="2:9" ht="12" customHeight="1" x14ac:dyDescent="0.25">
      <c r="B167" s="6" t="s">
        <v>111</v>
      </c>
      <c r="C167" s="7"/>
      <c r="D167" s="7">
        <v>0.184</v>
      </c>
      <c r="E167" s="7"/>
      <c r="F167" s="7"/>
      <c r="G167" s="7"/>
      <c r="H167" s="7"/>
      <c r="I167" s="7"/>
    </row>
    <row r="168" spans="2:9" ht="12" customHeight="1" x14ac:dyDescent="0.25">
      <c r="B168" s="6"/>
      <c r="C168" s="7"/>
      <c r="D168" s="7"/>
      <c r="E168" s="7"/>
      <c r="F168" s="7"/>
      <c r="G168" s="7"/>
      <c r="H168" s="7"/>
      <c r="I168" s="7"/>
    </row>
    <row r="169" spans="2:9" ht="12" customHeight="1" x14ac:dyDescent="0.25">
      <c r="B169" s="9" t="s">
        <v>142</v>
      </c>
      <c r="C169" s="10">
        <f t="shared" ref="C169:H169" si="40">SUM(C156:C167)</f>
        <v>-2945.9859999999999</v>
      </c>
      <c r="D169" s="10">
        <f t="shared" si="40"/>
        <v>-598.94299999999998</v>
      </c>
      <c r="E169" s="10">
        <f t="shared" si="40"/>
        <v>-77.873000000000005</v>
      </c>
      <c r="F169" s="10">
        <f t="shared" si="40"/>
        <v>3726.8460000000005</v>
      </c>
      <c r="G169" s="10">
        <f t="shared" si="40"/>
        <v>-797.63400000000024</v>
      </c>
      <c r="H169" s="10">
        <f t="shared" si="40"/>
        <v>-425.91099999999994</v>
      </c>
      <c r="I169" s="10"/>
    </row>
    <row r="170" spans="2:9" ht="12" customHeight="1" x14ac:dyDescent="0.25">
      <c r="B170" s="6"/>
      <c r="C170" s="7"/>
      <c r="D170" s="7"/>
      <c r="E170" s="7"/>
      <c r="F170" s="7"/>
      <c r="G170" s="7"/>
      <c r="H170" s="7"/>
      <c r="I170" s="7"/>
    </row>
    <row r="171" spans="2:9" ht="12" customHeight="1" x14ac:dyDescent="0.25">
      <c r="B171" s="9" t="s">
        <v>143</v>
      </c>
      <c r="C171" s="10"/>
      <c r="D171" s="10"/>
      <c r="E171" s="10"/>
      <c r="F171" s="10"/>
      <c r="G171" s="7"/>
      <c r="H171" s="7"/>
      <c r="I171" s="7"/>
    </row>
    <row r="172" spans="2:9" ht="12" customHeight="1" x14ac:dyDescent="0.25">
      <c r="B172" s="6"/>
      <c r="C172" s="7"/>
      <c r="D172" s="7"/>
      <c r="E172" s="7"/>
      <c r="F172" s="7"/>
      <c r="G172" s="7"/>
      <c r="H172" s="7"/>
      <c r="I172" s="7"/>
    </row>
    <row r="173" spans="2:9" ht="12" customHeight="1" x14ac:dyDescent="0.25">
      <c r="B173" s="9" t="s">
        <v>144</v>
      </c>
      <c r="C173" s="10">
        <f t="shared" ref="C173:H173" si="41">C141+C154+C169+C171</f>
        <v>327.27399999999943</v>
      </c>
      <c r="D173" s="10">
        <f t="shared" si="41"/>
        <v>-205.10499999999968</v>
      </c>
      <c r="E173" s="10">
        <f t="shared" si="41"/>
        <v>2.3209999999999837</v>
      </c>
      <c r="F173" s="10">
        <f t="shared" si="41"/>
        <v>206.38699999999972</v>
      </c>
      <c r="G173" s="10">
        <f t="shared" si="41"/>
        <v>437.11499999999955</v>
      </c>
      <c r="H173" s="10">
        <f t="shared" si="41"/>
        <v>28.278999999999883</v>
      </c>
      <c r="I173" s="10"/>
    </row>
    <row r="174" spans="2:9" ht="12" customHeight="1" x14ac:dyDescent="0.25">
      <c r="B174" s="9" t="s">
        <v>145</v>
      </c>
      <c r="C174" s="10">
        <v>38.654000000000003</v>
      </c>
      <c r="D174" s="10">
        <v>365.92899999999997</v>
      </c>
      <c r="E174" s="10">
        <v>10.548</v>
      </c>
      <c r="F174" s="10">
        <v>12.879</v>
      </c>
      <c r="G174" s="10">
        <v>219.267</v>
      </c>
      <c r="H174" s="10">
        <v>656.38300000000004</v>
      </c>
      <c r="I174" s="10"/>
    </row>
    <row r="175" spans="2:9" ht="12" customHeight="1" x14ac:dyDescent="0.25">
      <c r="B175" s="9" t="s">
        <v>146</v>
      </c>
      <c r="C175" s="10">
        <f t="shared" ref="C175:H175" si="42">C173+C174</f>
        <v>365.92799999999943</v>
      </c>
      <c r="D175" s="10">
        <f t="shared" si="42"/>
        <v>160.8240000000003</v>
      </c>
      <c r="E175" s="10">
        <f t="shared" si="42"/>
        <v>12.868999999999984</v>
      </c>
      <c r="F175" s="10">
        <f t="shared" si="42"/>
        <v>219.26599999999971</v>
      </c>
      <c r="G175" s="10">
        <f t="shared" si="42"/>
        <v>656.38199999999961</v>
      </c>
      <c r="H175" s="10">
        <f t="shared" si="42"/>
        <v>684.66199999999992</v>
      </c>
      <c r="I175" s="10"/>
    </row>
    <row r="178" spans="5:9" ht="12" customHeight="1" x14ac:dyDescent="0.25">
      <c r="E178" s="244">
        <f>(E30*(1-E42))/E117</f>
        <v>3.5442234085172032E-2</v>
      </c>
      <c r="F178" s="244">
        <f>(F30*(1-F42))/F117</f>
        <v>5.12750644611151E-2</v>
      </c>
      <c r="G178" s="244">
        <f>(G30*(1-G42))/G117</f>
        <v>7.1913305698384153E-2</v>
      </c>
      <c r="H178" s="244">
        <f>(H30*(1-H42))/H117</f>
        <v>6.8657580743857138E-2</v>
      </c>
      <c r="I178" s="244"/>
    </row>
  </sheetData>
  <pageMargins left="0.7" right="0.7" top="0.75" bottom="0.75" header="0.3" footer="0.3"/>
  <pageSetup paperSize="9" orientation="portrait" verticalDpi="300" r:id="rId1"/>
  <ignoredErrors>
    <ignoredError sqref="U7:Z7"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A7F76-06B5-45C3-B1DA-2F5DC703FC4C}">
  <dimension ref="B1:AA178"/>
  <sheetViews>
    <sheetView showGridLines="0" topLeftCell="B1" workbookViewId="0">
      <selection activeCell="J23" sqref="J23"/>
    </sheetView>
  </sheetViews>
  <sheetFormatPr defaultColWidth="8.28515625" defaultRowHeight="12" customHeight="1" x14ac:dyDescent="0.25"/>
  <cols>
    <col min="1" max="1" width="3.5703125" style="2" customWidth="1"/>
    <col min="2" max="2" width="35.7109375" style="2" customWidth="1"/>
    <col min="3" max="6" width="8.28515625" style="2" customWidth="1"/>
    <col min="7" max="16" width="8.28515625" style="2"/>
    <col min="17" max="17" width="10" style="2" bestFit="1" customWidth="1"/>
    <col min="18" max="16384" width="8.28515625" style="2"/>
  </cols>
  <sheetData>
    <row r="1" spans="2:27" ht="12" customHeight="1" x14ac:dyDescent="0.25">
      <c r="B1" s="1" t="s">
        <v>308</v>
      </c>
    </row>
    <row r="2" spans="2:27" ht="12" customHeight="1" x14ac:dyDescent="0.25">
      <c r="B2" s="3" t="s">
        <v>17</v>
      </c>
      <c r="C2" s="4" t="s">
        <v>22</v>
      </c>
      <c r="D2" s="4" t="s">
        <v>23</v>
      </c>
      <c r="E2" s="4" t="s">
        <v>24</v>
      </c>
      <c r="F2" s="4" t="s">
        <v>25</v>
      </c>
      <c r="G2" s="4" t="s">
        <v>26</v>
      </c>
      <c r="H2" s="4" t="s">
        <v>27</v>
      </c>
      <c r="I2" s="4" t="s">
        <v>273</v>
      </c>
      <c r="J2" s="4" t="s">
        <v>347</v>
      </c>
      <c r="K2" s="5" t="s">
        <v>177</v>
      </c>
      <c r="L2" s="5" t="s">
        <v>178</v>
      </c>
      <c r="M2" s="5" t="s">
        <v>179</v>
      </c>
      <c r="N2" s="5" t="s">
        <v>231</v>
      </c>
      <c r="O2" s="5" t="s">
        <v>232</v>
      </c>
    </row>
    <row r="3" spans="2:27" ht="12" customHeight="1" x14ac:dyDescent="0.25">
      <c r="B3" s="6"/>
      <c r="C3" s="7"/>
      <c r="D3" s="7"/>
      <c r="E3" s="7"/>
      <c r="F3" s="7"/>
      <c r="G3" s="7"/>
      <c r="H3" s="7"/>
      <c r="I3" s="7"/>
      <c r="J3" s="7"/>
      <c r="K3" s="8"/>
      <c r="L3" s="8"/>
      <c r="M3" s="8"/>
      <c r="N3" s="8"/>
      <c r="O3" s="8"/>
    </row>
    <row r="4" spans="2:27" ht="12" customHeight="1" x14ac:dyDescent="0.25">
      <c r="B4" s="6" t="s">
        <v>478</v>
      </c>
      <c r="C4" s="7"/>
      <c r="D4" s="7"/>
      <c r="E4" s="123">
        <v>0</v>
      </c>
      <c r="F4" s="123">
        <v>0</v>
      </c>
      <c r="G4" s="123">
        <v>0</v>
      </c>
      <c r="H4" s="123">
        <v>0</v>
      </c>
      <c r="I4" s="123"/>
      <c r="J4" s="123"/>
      <c r="K4" s="8"/>
      <c r="L4" s="8"/>
      <c r="M4" s="8"/>
      <c r="N4" s="8"/>
      <c r="O4" s="8"/>
    </row>
    <row r="5" spans="2:27" ht="12" customHeight="1" thickBot="1" x14ac:dyDescent="0.3">
      <c r="B5" s="6" t="s">
        <v>479</v>
      </c>
      <c r="C5" s="7"/>
      <c r="D5" s="7"/>
      <c r="E5" s="123">
        <v>0</v>
      </c>
      <c r="F5" s="123">
        <v>0</v>
      </c>
      <c r="G5" s="123">
        <v>0</v>
      </c>
      <c r="H5" s="123">
        <v>0</v>
      </c>
      <c r="I5" s="123"/>
      <c r="J5" s="123"/>
      <c r="K5" s="8"/>
      <c r="L5" s="8"/>
      <c r="M5" s="8"/>
      <c r="N5" s="8"/>
      <c r="O5" s="8"/>
      <c r="R5" s="970" t="s">
        <v>1704</v>
      </c>
      <c r="S5" s="984" t="s">
        <v>24</v>
      </c>
      <c r="T5" s="984" t="s">
        <v>25</v>
      </c>
      <c r="U5" s="984" t="s">
        <v>26</v>
      </c>
      <c r="V5" s="984" t="s">
        <v>27</v>
      </c>
      <c r="W5" s="984" t="s">
        <v>273</v>
      </c>
      <c r="X5" s="984" t="s">
        <v>28</v>
      </c>
      <c r="Y5" s="984" t="s">
        <v>177</v>
      </c>
      <c r="Z5" s="971" t="s">
        <v>1735</v>
      </c>
      <c r="AA5" s="971" t="s">
        <v>1736</v>
      </c>
    </row>
    <row r="6" spans="2:27" ht="12" customHeight="1" x14ac:dyDescent="0.25">
      <c r="B6" s="6" t="s">
        <v>480</v>
      </c>
      <c r="C6" s="7"/>
      <c r="D6" s="7"/>
      <c r="E6" s="123">
        <v>0</v>
      </c>
      <c r="F6" s="123">
        <v>0</v>
      </c>
      <c r="G6" s="123">
        <v>0</v>
      </c>
      <c r="H6" s="123">
        <v>0</v>
      </c>
      <c r="I6" s="123"/>
      <c r="J6" s="123"/>
      <c r="K6" s="8"/>
      <c r="L6" s="8"/>
      <c r="M6" s="8"/>
      <c r="N6" s="8"/>
      <c r="O6" s="8"/>
      <c r="R6" s="972" t="s">
        <v>797</v>
      </c>
      <c r="S6" s="973">
        <f t="shared" ref="S6:Y6" si="0">E16</f>
        <v>1614.0709999999999</v>
      </c>
      <c r="T6" s="973">
        <f t="shared" si="0"/>
        <v>1662.3020000000001</v>
      </c>
      <c r="U6" s="973">
        <f t="shared" si="0"/>
        <v>2920.71</v>
      </c>
      <c r="V6" s="973">
        <f t="shared" si="0"/>
        <v>4393.2499999999991</v>
      </c>
      <c r="W6" s="973">
        <f t="shared" si="0"/>
        <v>4485.4960000000001</v>
      </c>
      <c r="X6" s="973">
        <f t="shared" si="0"/>
        <v>4212.2350000000006</v>
      </c>
      <c r="Y6" s="973">
        <f t="shared" si="0"/>
        <v>4472.8826055844156</v>
      </c>
      <c r="Z6" s="980">
        <f>(W6/S6)^(1/4)-1</f>
        <v>0.29113590873178863</v>
      </c>
      <c r="AA6" s="980">
        <f>(Y6/W6)^(1/2)-1</f>
        <v>-1.4070098655512009E-3</v>
      </c>
    </row>
    <row r="7" spans="2:27" ht="12" customHeight="1" x14ac:dyDescent="0.25">
      <c r="B7" s="6" t="s">
        <v>481</v>
      </c>
      <c r="C7" s="7">
        <v>1446.902</v>
      </c>
      <c r="D7" s="7">
        <v>1573.518</v>
      </c>
      <c r="E7" s="123">
        <v>1602.0940000000001</v>
      </c>
      <c r="F7" s="123">
        <v>1653.106</v>
      </c>
      <c r="G7" s="123">
        <v>2894.172</v>
      </c>
      <c r="H7" s="123">
        <v>4348.0829999999996</v>
      </c>
      <c r="I7" s="123">
        <v>4479.0330000000004</v>
      </c>
      <c r="J7" s="123">
        <v>4207.5190000000002</v>
      </c>
      <c r="K7" s="8">
        <f>Assumptions!L537</f>
        <v>4468.1666055844153</v>
      </c>
      <c r="L7" s="8">
        <f>Assumptions!M537</f>
        <v>4780.2440819834283</v>
      </c>
      <c r="M7" s="8">
        <f>Assumptions!N537</f>
        <v>6115.5788462026931</v>
      </c>
      <c r="N7" s="8">
        <f>Assumptions!O537</f>
        <v>6912.8888440950532</v>
      </c>
      <c r="O7" s="8">
        <f>Assumptions!P537</f>
        <v>7328.920620206788</v>
      </c>
      <c r="R7" s="972" t="s">
        <v>1580</v>
      </c>
      <c r="S7" s="982"/>
      <c r="T7" s="983">
        <f>+T6/S6-1</f>
        <v>2.9881585134730937E-2</v>
      </c>
      <c r="U7" s="983">
        <f>+U6/T6-1</f>
        <v>0.75702730310136168</v>
      </c>
      <c r="V7" s="983">
        <f t="shared" ref="V7:Y7" si="1">+V6/U6-1</f>
        <v>0.50417193079764822</v>
      </c>
      <c r="W7" s="983">
        <f t="shared" si="1"/>
        <v>2.0997211631480273E-2</v>
      </c>
      <c r="X7" s="983">
        <f t="shared" si="1"/>
        <v>-6.0921021889217886E-2</v>
      </c>
      <c r="Y7" s="983">
        <f t="shared" si="1"/>
        <v>6.187869517831146E-2</v>
      </c>
      <c r="Z7" s="982"/>
      <c r="AA7" s="982"/>
    </row>
    <row r="8" spans="2:27" ht="12" customHeight="1" x14ac:dyDescent="0.25">
      <c r="B8" s="6" t="s">
        <v>483</v>
      </c>
      <c r="C8" s="7">
        <v>8.8919999999999995</v>
      </c>
      <c r="D8" s="7">
        <v>13.273</v>
      </c>
      <c r="E8" s="123">
        <v>9.4920000000000009</v>
      </c>
      <c r="F8" s="123">
        <v>6.5170000000000003</v>
      </c>
      <c r="G8" s="123">
        <v>15.872999999999999</v>
      </c>
      <c r="H8" s="123">
        <v>36.805999999999997</v>
      </c>
      <c r="I8" s="123"/>
      <c r="J8" s="123"/>
      <c r="K8" s="8">
        <f t="shared" ref="K8:O8" si="2">J8</f>
        <v>0</v>
      </c>
      <c r="L8" s="8">
        <f t="shared" si="2"/>
        <v>0</v>
      </c>
      <c r="M8" s="8">
        <f t="shared" si="2"/>
        <v>0</v>
      </c>
      <c r="N8" s="8">
        <f t="shared" si="2"/>
        <v>0</v>
      </c>
      <c r="O8" s="8">
        <f t="shared" si="2"/>
        <v>0</v>
      </c>
      <c r="R8" s="972" t="s">
        <v>34</v>
      </c>
      <c r="S8" s="981">
        <f t="shared" ref="S8:Y8" si="3">E23</f>
        <v>899.5139999999999</v>
      </c>
      <c r="T8" s="981">
        <f t="shared" si="3"/>
        <v>846.48500000000013</v>
      </c>
      <c r="U8" s="981">
        <f t="shared" si="3"/>
        <v>1599.9520000000002</v>
      </c>
      <c r="V8" s="981">
        <f t="shared" si="3"/>
        <v>2670.9699999999993</v>
      </c>
      <c r="W8" s="981">
        <f t="shared" si="3"/>
        <v>2788.0110000000004</v>
      </c>
      <c r="X8" s="981">
        <f t="shared" si="3"/>
        <v>2589.9910000000009</v>
      </c>
      <c r="Y8" s="981">
        <f t="shared" si="3"/>
        <v>2817.3495026873375</v>
      </c>
      <c r="Z8" s="980">
        <f>(W8/S8)^(1/4)-1</f>
        <v>0.32684942008022611</v>
      </c>
      <c r="AA8" s="980">
        <f>(Y8/W8)^(1/2)-1</f>
        <v>5.2477775697545859E-3</v>
      </c>
    </row>
    <row r="9" spans="2:27" ht="12" customHeight="1" x14ac:dyDescent="0.25">
      <c r="B9" s="6" t="s">
        <v>482</v>
      </c>
      <c r="C9" s="7">
        <v>0.25700000000000001</v>
      </c>
      <c r="D9" s="7">
        <v>11.106</v>
      </c>
      <c r="E9" s="123">
        <v>0</v>
      </c>
      <c r="F9" s="123">
        <v>0.749</v>
      </c>
      <c r="G9" s="123">
        <v>0</v>
      </c>
      <c r="H9" s="123">
        <v>0</v>
      </c>
      <c r="I9" s="123"/>
      <c r="J9" s="123"/>
      <c r="K9" s="8"/>
      <c r="L9" s="8"/>
      <c r="M9" s="8"/>
      <c r="N9" s="8"/>
      <c r="O9" s="8"/>
      <c r="R9" s="972" t="s">
        <v>1580</v>
      </c>
      <c r="S9" s="982"/>
      <c r="T9" s="983">
        <f>+T8/S8-1</f>
        <v>-5.8952945701789883E-2</v>
      </c>
      <c r="U9" s="983">
        <f>+U8/T8-1</f>
        <v>0.89011264227954423</v>
      </c>
      <c r="V9" s="983">
        <f t="shared" ref="V9" si="4">+V8/U8-1</f>
        <v>0.66940633218996504</v>
      </c>
      <c r="W9" s="983">
        <f t="shared" ref="W9" si="5">+W8/V8-1</f>
        <v>4.3819661022026057E-2</v>
      </c>
      <c r="X9" s="983">
        <f t="shared" ref="X9" si="6">+X8/W8-1</f>
        <v>-7.1025544734220736E-2</v>
      </c>
      <c r="Y9" s="983">
        <f t="shared" ref="Y9" si="7">+Y8/X8-1</f>
        <v>8.7783510710012669E-2</v>
      </c>
      <c r="Z9" s="982"/>
      <c r="AA9" s="982"/>
    </row>
    <row r="10" spans="2:27" ht="12" customHeight="1" x14ac:dyDescent="0.25">
      <c r="B10" s="6" t="s">
        <v>484</v>
      </c>
      <c r="C10" s="7"/>
      <c r="D10" s="7"/>
      <c r="E10" s="123">
        <v>0</v>
      </c>
      <c r="F10" s="123">
        <v>0</v>
      </c>
      <c r="G10" s="123">
        <v>0</v>
      </c>
      <c r="H10" s="123">
        <v>0</v>
      </c>
      <c r="I10" s="123"/>
      <c r="J10" s="123"/>
      <c r="K10" s="8"/>
      <c r="L10" s="8"/>
      <c r="M10" s="8"/>
      <c r="N10" s="8"/>
      <c r="O10" s="8"/>
      <c r="R10" s="972" t="s">
        <v>1734</v>
      </c>
      <c r="S10" s="989">
        <f>+S8/S6</f>
        <v>0.55729518713860782</v>
      </c>
      <c r="T10" s="989">
        <f t="shared" ref="T10:Y10" si="8">+T8/T6</f>
        <v>0.50922455727058025</v>
      </c>
      <c r="U10" s="989">
        <f t="shared" si="8"/>
        <v>0.54779557025517778</v>
      </c>
      <c r="V10" s="989">
        <f t="shared" si="8"/>
        <v>0.60797131963808115</v>
      </c>
      <c r="W10" s="989">
        <f t="shared" si="8"/>
        <v>0.62156136132994</v>
      </c>
      <c r="X10" s="989">
        <f t="shared" si="8"/>
        <v>0.61487333921303078</v>
      </c>
      <c r="Y10" s="989">
        <f t="shared" si="8"/>
        <v>0.62987333921303079</v>
      </c>
      <c r="Z10" s="982"/>
      <c r="AA10" s="982"/>
    </row>
    <row r="11" spans="2:27" ht="12" customHeight="1" x14ac:dyDescent="0.25">
      <c r="B11" s="6" t="s">
        <v>485</v>
      </c>
      <c r="C11" s="7">
        <v>3.4630000000000001</v>
      </c>
      <c r="D11" s="7">
        <v>4.0810000000000004</v>
      </c>
      <c r="E11" s="123">
        <v>2.4849999999999999</v>
      </c>
      <c r="F11" s="123">
        <v>1.93</v>
      </c>
      <c r="G11" s="123">
        <v>0</v>
      </c>
      <c r="H11" s="123">
        <v>0</v>
      </c>
      <c r="I11" s="123"/>
      <c r="J11" s="123"/>
      <c r="K11" s="8"/>
      <c r="L11" s="8"/>
      <c r="M11" s="8"/>
      <c r="N11" s="8"/>
      <c r="O11" s="8"/>
      <c r="R11" s="972" t="s">
        <v>798</v>
      </c>
      <c r="S11" s="981">
        <f t="shared" ref="S11:Y11" si="9">E49</f>
        <v>497.61899999999986</v>
      </c>
      <c r="T11" s="981">
        <f t="shared" si="9"/>
        <v>668.08400000000017</v>
      </c>
      <c r="U11" s="981">
        <f t="shared" si="9"/>
        <v>1196.4470000000001</v>
      </c>
      <c r="V11" s="981">
        <f t="shared" si="9"/>
        <v>2302.4119999999994</v>
      </c>
      <c r="W11" s="981">
        <f t="shared" si="9"/>
        <v>2685.8940000000007</v>
      </c>
      <c r="X11" s="981">
        <f t="shared" si="9"/>
        <v>2247.9950000000013</v>
      </c>
      <c r="Y11" s="981">
        <f t="shared" si="9"/>
        <v>0</v>
      </c>
      <c r="Z11" s="980">
        <f>(W11/S11)^(1/4)-1</f>
        <v>0.52422113296701878</v>
      </c>
      <c r="AA11" s="980">
        <f>(Y11/W11)^(1/2)-1</f>
        <v>-1</v>
      </c>
    </row>
    <row r="12" spans="2:27" ht="12" customHeight="1" x14ac:dyDescent="0.25">
      <c r="B12" s="6" t="s">
        <v>486</v>
      </c>
      <c r="C12" s="7"/>
      <c r="D12" s="7"/>
      <c r="E12" s="123">
        <v>0</v>
      </c>
      <c r="F12" s="123">
        <v>0</v>
      </c>
      <c r="G12" s="123">
        <v>0</v>
      </c>
      <c r="H12" s="123">
        <v>0</v>
      </c>
      <c r="I12" s="123"/>
      <c r="J12" s="123"/>
      <c r="K12" s="8"/>
      <c r="L12" s="8"/>
      <c r="M12" s="8"/>
      <c r="N12" s="8"/>
      <c r="O12" s="8"/>
      <c r="R12" s="972" t="s">
        <v>1580</v>
      </c>
      <c r="S12" s="990"/>
      <c r="T12" s="983">
        <f>+T11/S11-1</f>
        <v>0.34256127680012294</v>
      </c>
      <c r="U12" s="983">
        <f>+U11/T11-1</f>
        <v>0.79086312499625766</v>
      </c>
      <c r="V12" s="983">
        <f t="shared" ref="V12" si="10">+V11/U11-1</f>
        <v>0.9243744185910443</v>
      </c>
      <c r="W12" s="983">
        <f t="shared" ref="W12" si="11">+W11/V11-1</f>
        <v>0.16655663712663138</v>
      </c>
      <c r="X12" s="983"/>
      <c r="Y12" s="983"/>
      <c r="Z12" s="982"/>
      <c r="AA12" s="982"/>
    </row>
    <row r="13" spans="2:27" ht="12" customHeight="1" x14ac:dyDescent="0.25">
      <c r="B13" s="6" t="s">
        <v>487</v>
      </c>
      <c r="C13" s="7"/>
      <c r="D13" s="7"/>
      <c r="E13" s="123">
        <v>0</v>
      </c>
      <c r="F13" s="123">
        <v>0</v>
      </c>
      <c r="G13" s="123">
        <v>0</v>
      </c>
      <c r="H13" s="123">
        <v>0</v>
      </c>
      <c r="I13" s="123"/>
      <c r="J13" s="123"/>
      <c r="K13" s="8"/>
      <c r="L13" s="8"/>
      <c r="M13" s="8"/>
      <c r="N13" s="8"/>
      <c r="O13" s="8"/>
    </row>
    <row r="14" spans="2:27" ht="12" customHeight="1" x14ac:dyDescent="0.25">
      <c r="B14" s="6" t="s">
        <v>488</v>
      </c>
      <c r="C14" s="7"/>
      <c r="D14" s="7">
        <v>33.417000000000002</v>
      </c>
      <c r="E14" s="123">
        <v>0</v>
      </c>
      <c r="F14" s="123">
        <v>0</v>
      </c>
      <c r="G14" s="123">
        <v>10.664999999999999</v>
      </c>
      <c r="H14" s="123">
        <v>8.3610000000000007</v>
      </c>
      <c r="I14" s="123">
        <v>6.4630000000000001</v>
      </c>
      <c r="J14" s="123">
        <v>4.7160000000000002</v>
      </c>
      <c r="K14" s="8">
        <f t="shared" ref="K14:O14" si="12">J14</f>
        <v>4.7160000000000002</v>
      </c>
      <c r="L14" s="8">
        <f t="shared" si="12"/>
        <v>4.7160000000000002</v>
      </c>
      <c r="M14" s="8">
        <f t="shared" si="12"/>
        <v>4.7160000000000002</v>
      </c>
      <c r="N14" s="8">
        <f t="shared" si="12"/>
        <v>4.7160000000000002</v>
      </c>
      <c r="O14" s="8">
        <f t="shared" si="12"/>
        <v>4.7160000000000002</v>
      </c>
    </row>
    <row r="15" spans="2:27" ht="12" customHeight="1" x14ac:dyDescent="0.25">
      <c r="B15" s="6"/>
      <c r="C15" s="7"/>
      <c r="D15" s="7"/>
      <c r="E15" s="7"/>
      <c r="F15" s="7"/>
      <c r="G15" s="7"/>
      <c r="H15" s="7"/>
      <c r="I15" s="7"/>
      <c r="J15" s="7"/>
      <c r="K15" s="8"/>
      <c r="L15" s="8"/>
      <c r="M15" s="8"/>
      <c r="N15" s="8"/>
      <c r="O15" s="8"/>
    </row>
    <row r="16" spans="2:27" ht="12" customHeight="1" x14ac:dyDescent="0.25">
      <c r="B16" s="9" t="s">
        <v>29</v>
      </c>
      <c r="C16" s="10">
        <f t="shared" ref="C16:H16" si="13">SUM(C4:C14)</f>
        <v>1459.5140000000001</v>
      </c>
      <c r="D16" s="10">
        <f t="shared" si="13"/>
        <v>1635.3949999999998</v>
      </c>
      <c r="E16" s="10">
        <f t="shared" si="13"/>
        <v>1614.0709999999999</v>
      </c>
      <c r="F16" s="10">
        <f t="shared" si="13"/>
        <v>1662.3020000000001</v>
      </c>
      <c r="G16" s="10">
        <f t="shared" si="13"/>
        <v>2920.71</v>
      </c>
      <c r="H16" s="10">
        <f t="shared" si="13"/>
        <v>4393.2499999999991</v>
      </c>
      <c r="I16" s="10">
        <f t="shared" ref="I16:O16" si="14">SUM(I4:I14)</f>
        <v>4485.4960000000001</v>
      </c>
      <c r="J16" s="10">
        <f t="shared" ref="J16" si="15">SUM(J4:J14)</f>
        <v>4212.2350000000006</v>
      </c>
      <c r="K16" s="5">
        <f t="shared" si="14"/>
        <v>4472.8826055844156</v>
      </c>
      <c r="L16" s="5">
        <f t="shared" si="14"/>
        <v>4784.9600819834286</v>
      </c>
      <c r="M16" s="5">
        <f t="shared" si="14"/>
        <v>6120.2948462026934</v>
      </c>
      <c r="N16" s="5">
        <f t="shared" si="14"/>
        <v>6917.6048440950535</v>
      </c>
      <c r="O16" s="5">
        <f t="shared" si="14"/>
        <v>7333.6366202067884</v>
      </c>
    </row>
    <row r="17" spans="2:16" s="14" customFormat="1" ht="12" customHeight="1" x14ac:dyDescent="0.25">
      <c r="B17" s="11" t="s">
        <v>30</v>
      </c>
      <c r="C17" s="12" t="str">
        <f t="shared" ref="C17:O17" si="16">IF(ISERROR(C16/B16-1)," ",C16/B16-1)</f>
        <v xml:space="preserve"> </v>
      </c>
      <c r="D17" s="12">
        <f t="shared" si="16"/>
        <v>0.1205065521810682</v>
      </c>
      <c r="E17" s="12">
        <f t="shared" si="16"/>
        <v>-1.3039051727564144E-2</v>
      </c>
      <c r="F17" s="12">
        <f t="shared" si="16"/>
        <v>2.9881585134730937E-2</v>
      </c>
      <c r="G17" s="12">
        <f t="shared" si="16"/>
        <v>0.75702730310136168</v>
      </c>
      <c r="H17" s="12">
        <f t="shared" si="16"/>
        <v>0.50417193079764822</v>
      </c>
      <c r="I17" s="12">
        <f t="shared" si="16"/>
        <v>2.0997211631480273E-2</v>
      </c>
      <c r="J17" s="12">
        <f t="shared" si="16"/>
        <v>-6.0921021889217886E-2</v>
      </c>
      <c r="K17" s="13">
        <f t="shared" si="16"/>
        <v>6.187869517831146E-2</v>
      </c>
      <c r="L17" s="13">
        <f t="shared" si="16"/>
        <v>6.9770996450785994E-2</v>
      </c>
      <c r="M17" s="13">
        <f t="shared" si="16"/>
        <v>0.27906915446319691</v>
      </c>
      <c r="N17" s="13">
        <f t="shared" si="16"/>
        <v>0.13027313518842099</v>
      </c>
      <c r="O17" s="13">
        <f t="shared" si="16"/>
        <v>6.0141014916002877E-2</v>
      </c>
    </row>
    <row r="18" spans="2:16" ht="12" customHeight="1" x14ac:dyDescent="0.25">
      <c r="B18" s="6"/>
      <c r="C18" s="7"/>
      <c r="D18" s="7"/>
      <c r="E18" s="7"/>
      <c r="F18" s="7"/>
      <c r="G18" s="7"/>
      <c r="H18" s="7"/>
      <c r="I18" s="7"/>
      <c r="J18" s="7"/>
      <c r="K18" s="8"/>
      <c r="L18" s="8"/>
      <c r="M18" s="8"/>
      <c r="N18" s="8"/>
      <c r="O18" s="8"/>
    </row>
    <row r="19" spans="2:16" ht="12" customHeight="1" x14ac:dyDescent="0.25">
      <c r="B19" s="6" t="s">
        <v>31</v>
      </c>
      <c r="C19" s="7">
        <v>436.339</v>
      </c>
      <c r="D19" s="7">
        <v>551.06899999999996</v>
      </c>
      <c r="E19" s="7">
        <v>540.48099999999999</v>
      </c>
      <c r="F19" s="7">
        <v>577.64599999999996</v>
      </c>
      <c r="G19" s="7">
        <v>937.27599999999995</v>
      </c>
      <c r="H19" s="7">
        <v>1386.971</v>
      </c>
      <c r="I19" s="7">
        <v>1330.069</v>
      </c>
      <c r="J19" s="7">
        <v>1302.4690000000001</v>
      </c>
      <c r="K19" s="8"/>
      <c r="L19" s="8"/>
      <c r="M19" s="8"/>
      <c r="N19" s="8"/>
      <c r="O19" s="8"/>
    </row>
    <row r="20" spans="2:16" ht="12" customHeight="1" x14ac:dyDescent="0.25">
      <c r="B20" s="6" t="s">
        <v>32</v>
      </c>
      <c r="C20" s="7">
        <v>64.613</v>
      </c>
      <c r="D20" s="7">
        <v>94.736000000000004</v>
      </c>
      <c r="E20" s="7">
        <v>112.419</v>
      </c>
      <c r="F20" s="7">
        <v>164.08099999999999</v>
      </c>
      <c r="G20" s="7">
        <v>174.43100000000001</v>
      </c>
      <c r="H20" s="7">
        <v>242.94</v>
      </c>
      <c r="I20" s="7">
        <v>251.43100000000001</v>
      </c>
      <c r="J20" s="7">
        <v>186.26499999999999</v>
      </c>
      <c r="K20" s="8"/>
      <c r="L20" s="8"/>
      <c r="M20" s="8"/>
      <c r="N20" s="8"/>
      <c r="O20" s="8"/>
    </row>
    <row r="21" spans="2:16" ht="12.75" customHeight="1" x14ac:dyDescent="0.25">
      <c r="B21" s="6" t="s">
        <v>33</v>
      </c>
      <c r="C21" s="7">
        <v>48.926000000000002</v>
      </c>
      <c r="D21" s="7">
        <v>64.111999999999995</v>
      </c>
      <c r="E21" s="7">
        <v>61.656999999999996</v>
      </c>
      <c r="F21" s="7">
        <v>74.09</v>
      </c>
      <c r="G21" s="7">
        <v>209.05099999999999</v>
      </c>
      <c r="H21" s="7">
        <v>92.369</v>
      </c>
      <c r="I21" s="7">
        <v>115.985</v>
      </c>
      <c r="J21" s="7">
        <v>133.51</v>
      </c>
      <c r="K21" s="8"/>
      <c r="L21" s="8"/>
      <c r="M21" s="8"/>
      <c r="N21" s="8"/>
      <c r="O21" s="8"/>
    </row>
    <row r="22" spans="2:16" ht="12" customHeight="1" x14ac:dyDescent="0.25">
      <c r="B22" s="6"/>
      <c r="C22" s="7"/>
      <c r="D22" s="7"/>
      <c r="E22" s="7"/>
      <c r="F22" s="7"/>
      <c r="G22" s="7"/>
      <c r="H22" s="7"/>
      <c r="I22" s="7"/>
      <c r="J22" s="7"/>
      <c r="K22" s="8"/>
      <c r="L22" s="8"/>
      <c r="M22" s="8"/>
      <c r="N22" s="8"/>
      <c r="O22" s="8"/>
    </row>
    <row r="23" spans="2:16" ht="12" customHeight="1" x14ac:dyDescent="0.25">
      <c r="B23" s="9" t="s">
        <v>34</v>
      </c>
      <c r="C23" s="10">
        <f t="shared" ref="C23:I23" si="17">C16-SUM(C19:C21)</f>
        <v>909.63600000000008</v>
      </c>
      <c r="D23" s="10">
        <f t="shared" si="17"/>
        <v>925.47799999999984</v>
      </c>
      <c r="E23" s="10">
        <f t="shared" si="17"/>
        <v>899.5139999999999</v>
      </c>
      <c r="F23" s="10">
        <f t="shared" si="17"/>
        <v>846.48500000000013</v>
      </c>
      <c r="G23" s="10">
        <f t="shared" si="17"/>
        <v>1599.9520000000002</v>
      </c>
      <c r="H23" s="10">
        <f t="shared" si="17"/>
        <v>2670.9699999999993</v>
      </c>
      <c r="I23" s="10">
        <f t="shared" si="17"/>
        <v>2788.0110000000004</v>
      </c>
      <c r="J23" s="10">
        <f t="shared" ref="J23" si="18">J16-SUM(J19:J21)</f>
        <v>2589.9910000000009</v>
      </c>
      <c r="K23" s="5">
        <f t="shared" ref="K23:O23" si="19">K16*K24</f>
        <v>2817.3495026873375</v>
      </c>
      <c r="L23" s="5">
        <f t="shared" si="19"/>
        <v>3013.9187848399597</v>
      </c>
      <c r="M23" s="5">
        <f t="shared" si="19"/>
        <v>3793.8076032839663</v>
      </c>
      <c r="N23" s="5">
        <f t="shared" si="19"/>
        <v>4288.0388140654377</v>
      </c>
      <c r="O23" s="5">
        <f t="shared" si="19"/>
        <v>4545.925820342547</v>
      </c>
    </row>
    <row r="24" spans="2:16" ht="12" customHeight="1" x14ac:dyDescent="0.25">
      <c r="B24" s="15" t="s">
        <v>35</v>
      </c>
      <c r="C24" s="16">
        <f t="shared" ref="C24:I24" si="20">IF(ISERROR(C23/C16)," ",C23/C16)</f>
        <v>0.623245820183979</v>
      </c>
      <c r="D24" s="16">
        <f t="shared" si="20"/>
        <v>0.56590487313462501</v>
      </c>
      <c r="E24" s="16">
        <f t="shared" si="20"/>
        <v>0.55729518713860782</v>
      </c>
      <c r="F24" s="16">
        <f t="shared" si="20"/>
        <v>0.50922455727058025</v>
      </c>
      <c r="G24" s="16">
        <f t="shared" si="20"/>
        <v>0.54779557025517778</v>
      </c>
      <c r="H24" s="16">
        <f t="shared" si="20"/>
        <v>0.60797131963808115</v>
      </c>
      <c r="I24" s="16">
        <f t="shared" si="20"/>
        <v>0.62156136132994</v>
      </c>
      <c r="J24" s="16">
        <f t="shared" ref="J24" si="21">IF(ISERROR(J23/J16)," ",J23/J16)</f>
        <v>0.61487333921303078</v>
      </c>
      <c r="K24" s="200">
        <f>J24+1.5%</f>
        <v>0.62987333921303079</v>
      </c>
      <c r="L24" s="200">
        <f>K24</f>
        <v>0.62987333921303079</v>
      </c>
      <c r="M24" s="200">
        <f>L24-1%</f>
        <v>0.61987333921303078</v>
      </c>
      <c r="N24" s="200">
        <f>M24</f>
        <v>0.61987333921303078</v>
      </c>
      <c r="O24" s="200">
        <f>N24</f>
        <v>0.61987333921303078</v>
      </c>
      <c r="P24" s="242">
        <v>0.02</v>
      </c>
    </row>
    <row r="25" spans="2:16" s="14" customFormat="1" ht="12" customHeight="1" x14ac:dyDescent="0.25">
      <c r="B25" s="11" t="s">
        <v>30</v>
      </c>
      <c r="C25" s="12" t="str">
        <f t="shared" ref="C25:J25" si="22">IF(ISERROR(C23/B23-1)," ",C23/B23-1)</f>
        <v xml:space="preserve"> </v>
      </c>
      <c r="D25" s="12">
        <f t="shared" si="22"/>
        <v>1.7415757511795693E-2</v>
      </c>
      <c r="E25" s="12">
        <f t="shared" si="22"/>
        <v>-2.8054691737674942E-2</v>
      </c>
      <c r="F25" s="12">
        <f t="shared" si="22"/>
        <v>-5.8952945701789883E-2</v>
      </c>
      <c r="G25" s="12">
        <f t="shared" si="22"/>
        <v>0.89011264227954423</v>
      </c>
      <c r="H25" s="12">
        <f t="shared" si="22"/>
        <v>0.66940633218996504</v>
      </c>
      <c r="I25" s="12">
        <f t="shared" si="22"/>
        <v>4.3819661022026057E-2</v>
      </c>
      <c r="J25" s="12">
        <f t="shared" si="22"/>
        <v>-7.1025544734220736E-2</v>
      </c>
      <c r="K25" s="13"/>
      <c r="L25" s="13"/>
      <c r="M25" s="13"/>
      <c r="N25" s="13"/>
      <c r="O25" s="13"/>
    </row>
    <row r="26" spans="2:16" ht="12" customHeight="1" x14ac:dyDescent="0.25">
      <c r="B26" s="15"/>
      <c r="C26" s="16"/>
      <c r="D26" s="16"/>
      <c r="E26" s="16"/>
      <c r="F26" s="16"/>
      <c r="G26" s="16"/>
      <c r="H26" s="16"/>
      <c r="I26" s="16"/>
      <c r="J26" s="16"/>
      <c r="K26" s="17"/>
      <c r="L26" s="17"/>
      <c r="M26" s="17"/>
      <c r="N26" s="17"/>
      <c r="O26" s="17"/>
    </row>
    <row r="27" spans="2:16" ht="12" customHeight="1" x14ac:dyDescent="0.25">
      <c r="B27" s="6" t="s">
        <v>36</v>
      </c>
      <c r="C27" s="7">
        <v>22.253</v>
      </c>
      <c r="D27" s="7">
        <v>42.917000000000002</v>
      </c>
      <c r="E27" s="7">
        <v>152.64699999999999</v>
      </c>
      <c r="F27" s="7">
        <v>273.95299999999997</v>
      </c>
      <c r="G27" s="7">
        <v>308.41500000000002</v>
      </c>
      <c r="H27" s="7">
        <v>404.10899999999998</v>
      </c>
      <c r="I27" s="7">
        <v>570.91800000000001</v>
      </c>
      <c r="J27" s="7">
        <v>298.13600000000002</v>
      </c>
      <c r="K27" s="8"/>
      <c r="L27" s="8"/>
      <c r="M27" s="8"/>
      <c r="N27" s="8"/>
      <c r="O27" s="8"/>
    </row>
    <row r="28" spans="2:16" ht="12" customHeight="1" x14ac:dyDescent="0.25">
      <c r="B28" s="6" t="s">
        <v>37</v>
      </c>
      <c r="C28" s="7">
        <v>154.81899999999999</v>
      </c>
      <c r="D28" s="7">
        <v>168.47</v>
      </c>
      <c r="E28" s="7">
        <v>191.63200000000001</v>
      </c>
      <c r="F28" s="7">
        <v>189.29300000000001</v>
      </c>
      <c r="G28" s="7">
        <v>408.93299999999999</v>
      </c>
      <c r="H28" s="7">
        <v>376.738</v>
      </c>
      <c r="I28" s="7">
        <v>330.017</v>
      </c>
      <c r="J28" s="7">
        <v>346.65100000000001</v>
      </c>
      <c r="K28" s="8"/>
      <c r="L28" s="8"/>
      <c r="M28" s="8"/>
      <c r="N28" s="8"/>
      <c r="O28" s="8"/>
    </row>
    <row r="29" spans="2:16" ht="12" customHeight="1" x14ac:dyDescent="0.25">
      <c r="B29" s="6"/>
      <c r="C29" s="7"/>
      <c r="D29" s="7"/>
      <c r="E29" s="7"/>
      <c r="F29" s="7"/>
      <c r="G29" s="7"/>
      <c r="H29" s="7"/>
      <c r="I29" s="7"/>
      <c r="J29" s="7"/>
      <c r="K29" s="8"/>
      <c r="L29" s="8"/>
      <c r="M29" s="8"/>
      <c r="N29" s="8"/>
      <c r="O29" s="8"/>
    </row>
    <row r="30" spans="2:16" ht="12" customHeight="1" x14ac:dyDescent="0.25">
      <c r="B30" s="9" t="s">
        <v>38</v>
      </c>
      <c r="C30" s="10">
        <f t="shared" ref="C30:I30" si="23">C23+C27-C28</f>
        <v>777.07000000000016</v>
      </c>
      <c r="D30" s="10">
        <f t="shared" si="23"/>
        <v>799.92499999999984</v>
      </c>
      <c r="E30" s="10">
        <f t="shared" si="23"/>
        <v>860.52899999999977</v>
      </c>
      <c r="F30" s="10">
        <f t="shared" si="23"/>
        <v>931.1450000000001</v>
      </c>
      <c r="G30" s="10">
        <f t="shared" si="23"/>
        <v>1499.4340000000002</v>
      </c>
      <c r="H30" s="10">
        <f t="shared" si="23"/>
        <v>2698.3409999999994</v>
      </c>
      <c r="I30" s="10">
        <f t="shared" si="23"/>
        <v>3028.9120000000007</v>
      </c>
      <c r="J30" s="10">
        <f t="shared" ref="J30" si="24">J23+J27-J28</f>
        <v>2541.476000000001</v>
      </c>
      <c r="K30" s="5"/>
      <c r="L30" s="5"/>
      <c r="M30" s="5"/>
      <c r="N30" s="5"/>
      <c r="O30" s="5"/>
    </row>
    <row r="31" spans="2:16" ht="12" customHeight="1" x14ac:dyDescent="0.25">
      <c r="B31" s="6"/>
      <c r="C31" s="7"/>
      <c r="D31" s="7"/>
      <c r="E31" s="7"/>
      <c r="F31" s="7"/>
      <c r="G31" s="7"/>
      <c r="H31" s="7"/>
      <c r="I31" s="7"/>
      <c r="J31" s="7"/>
      <c r="K31" s="8"/>
      <c r="L31" s="8"/>
      <c r="M31" s="8"/>
      <c r="N31" s="8"/>
      <c r="O31" s="8"/>
    </row>
    <row r="32" spans="2:16" ht="12" customHeight="1" x14ac:dyDescent="0.25">
      <c r="B32" s="6" t="s">
        <v>39</v>
      </c>
      <c r="C32" s="7">
        <v>184.18199999999999</v>
      </c>
      <c r="D32" s="7">
        <v>280.75799999999998</v>
      </c>
      <c r="E32" s="7">
        <v>303.30099999999999</v>
      </c>
      <c r="F32" s="7">
        <v>186.37299999999999</v>
      </c>
      <c r="G32" s="7">
        <v>233.16</v>
      </c>
      <c r="H32" s="7">
        <v>271.08199999999999</v>
      </c>
      <c r="I32" s="7">
        <f>230.819+10.01</f>
        <v>240.82899999999998</v>
      </c>
      <c r="J32" s="7">
        <v>169.196</v>
      </c>
      <c r="K32" s="8"/>
      <c r="L32" s="8"/>
      <c r="M32" s="8"/>
      <c r="N32" s="8"/>
      <c r="O32" s="8"/>
    </row>
    <row r="33" spans="2:15" ht="12" customHeight="1" x14ac:dyDescent="0.25">
      <c r="B33" s="6" t="s">
        <v>307</v>
      </c>
      <c r="C33" s="7"/>
      <c r="D33" s="7"/>
      <c r="E33" s="7"/>
      <c r="F33" s="7"/>
      <c r="G33" s="7"/>
      <c r="H33" s="7"/>
      <c r="I33" s="7"/>
      <c r="J33" s="7"/>
      <c r="K33" s="8"/>
      <c r="L33" s="8"/>
      <c r="M33" s="8"/>
      <c r="N33" s="8"/>
      <c r="O33" s="8"/>
    </row>
    <row r="34" spans="2:15" ht="12" customHeight="1" x14ac:dyDescent="0.25">
      <c r="B34" s="6"/>
      <c r="C34" s="7"/>
      <c r="D34" s="7"/>
      <c r="E34" s="7"/>
      <c r="F34" s="7"/>
      <c r="G34" s="7"/>
      <c r="H34" s="7"/>
      <c r="I34" s="7"/>
      <c r="J34" s="7"/>
      <c r="K34" s="8"/>
      <c r="L34" s="8"/>
      <c r="M34" s="8"/>
      <c r="N34" s="8"/>
      <c r="O34" s="8"/>
    </row>
    <row r="35" spans="2:15" ht="12" customHeight="1" x14ac:dyDescent="0.25">
      <c r="B35" s="9" t="s">
        <v>40</v>
      </c>
      <c r="C35" s="10">
        <f t="shared" ref="C35:I35" si="25">C30-C32-C33</f>
        <v>592.88800000000015</v>
      </c>
      <c r="D35" s="10">
        <f t="shared" si="25"/>
        <v>519.16699999999992</v>
      </c>
      <c r="E35" s="10">
        <f t="shared" si="25"/>
        <v>557.22799999999984</v>
      </c>
      <c r="F35" s="10">
        <f t="shared" si="25"/>
        <v>744.77200000000016</v>
      </c>
      <c r="G35" s="10">
        <f t="shared" si="25"/>
        <v>1266.2740000000001</v>
      </c>
      <c r="H35" s="10">
        <f t="shared" si="25"/>
        <v>2427.2589999999996</v>
      </c>
      <c r="I35" s="10">
        <f t="shared" si="25"/>
        <v>2788.0830000000005</v>
      </c>
      <c r="J35" s="10">
        <f t="shared" ref="J35" si="26">J30-J32-J33</f>
        <v>2372.2800000000011</v>
      </c>
      <c r="K35" s="5"/>
      <c r="L35" s="5"/>
      <c r="M35" s="5"/>
      <c r="N35" s="5"/>
      <c r="O35" s="5"/>
    </row>
    <row r="36" spans="2:15" ht="12" customHeight="1" x14ac:dyDescent="0.25">
      <c r="B36" s="6"/>
      <c r="C36" s="7"/>
      <c r="D36" s="7"/>
      <c r="E36" s="7"/>
      <c r="F36" s="7"/>
      <c r="G36" s="7"/>
      <c r="H36" s="7"/>
      <c r="I36" s="7"/>
      <c r="J36" s="7"/>
      <c r="K36" s="8"/>
      <c r="L36" s="8"/>
      <c r="M36" s="8"/>
      <c r="N36" s="8"/>
      <c r="O36" s="8"/>
    </row>
    <row r="37" spans="2:15" ht="12" customHeight="1" x14ac:dyDescent="0.25">
      <c r="B37" s="6" t="s">
        <v>41</v>
      </c>
      <c r="C37" s="7"/>
      <c r="D37" s="7"/>
      <c r="E37" s="7"/>
      <c r="F37" s="7"/>
      <c r="G37" s="7"/>
      <c r="H37" s="7"/>
      <c r="I37" s="7"/>
      <c r="J37" s="7"/>
      <c r="K37" s="8"/>
      <c r="L37" s="8"/>
      <c r="M37" s="8"/>
      <c r="N37" s="8"/>
      <c r="O37" s="8"/>
    </row>
    <row r="38" spans="2:15" ht="12" customHeight="1" x14ac:dyDescent="0.25">
      <c r="B38" s="6" t="s">
        <v>42</v>
      </c>
      <c r="C38" s="7">
        <v>4.1859999999999999</v>
      </c>
      <c r="D38" s="7">
        <v>7.8280000000000003</v>
      </c>
      <c r="E38" s="7">
        <v>30.449000000000002</v>
      </c>
      <c r="F38" s="7">
        <v>65.400999999999996</v>
      </c>
      <c r="G38" s="7">
        <v>221.24299999999999</v>
      </c>
      <c r="H38" s="7">
        <v>433.50099999999998</v>
      </c>
      <c r="I38" s="7">
        <v>487.95299999999997</v>
      </c>
      <c r="J38" s="7">
        <v>414.48500000000001</v>
      </c>
      <c r="K38" s="8"/>
      <c r="L38" s="8"/>
      <c r="M38" s="8"/>
      <c r="N38" s="8"/>
      <c r="O38" s="8"/>
    </row>
    <row r="39" spans="2:15" ht="12" customHeight="1" x14ac:dyDescent="0.25">
      <c r="B39" s="6" t="s">
        <v>43</v>
      </c>
      <c r="C39" s="7">
        <v>10.601000000000001</v>
      </c>
      <c r="D39" s="7">
        <v>4.7889999999999997</v>
      </c>
      <c r="E39" s="7">
        <v>29.16</v>
      </c>
      <c r="F39" s="7">
        <v>11.287000000000001</v>
      </c>
      <c r="G39" s="7">
        <v>-151.416</v>
      </c>
      <c r="H39" s="7">
        <v>-308.654</v>
      </c>
      <c r="I39" s="7">
        <v>-385.76400000000001</v>
      </c>
      <c r="J39" s="7">
        <f>-289.915-0.285</f>
        <v>-290.20000000000005</v>
      </c>
      <c r="K39" s="8"/>
      <c r="L39" s="8"/>
      <c r="M39" s="8"/>
      <c r="N39" s="8"/>
      <c r="O39" s="8"/>
    </row>
    <row r="40" spans="2:15" ht="12" customHeight="1" x14ac:dyDescent="0.25">
      <c r="B40" s="6" t="s">
        <v>44</v>
      </c>
      <c r="C40" s="7"/>
      <c r="D40" s="7"/>
      <c r="E40" s="7"/>
      <c r="F40" s="7"/>
      <c r="G40" s="7"/>
      <c r="H40" s="7"/>
      <c r="I40" s="7"/>
      <c r="J40" s="7"/>
      <c r="K40" s="8"/>
      <c r="L40" s="8"/>
      <c r="M40" s="8"/>
      <c r="N40" s="8"/>
      <c r="O40" s="8"/>
    </row>
    <row r="41" spans="2:15" s="18" customFormat="1" ht="12" customHeight="1" x14ac:dyDescent="0.25">
      <c r="B41" s="9" t="s">
        <v>45</v>
      </c>
      <c r="C41" s="10">
        <f t="shared" ref="C41:I41" si="27">SUM(C38:C40)</f>
        <v>14.787000000000001</v>
      </c>
      <c r="D41" s="10">
        <f t="shared" si="27"/>
        <v>12.617000000000001</v>
      </c>
      <c r="E41" s="10">
        <f t="shared" si="27"/>
        <v>59.609000000000002</v>
      </c>
      <c r="F41" s="10">
        <f t="shared" si="27"/>
        <v>76.688000000000002</v>
      </c>
      <c r="G41" s="10">
        <f t="shared" si="27"/>
        <v>69.826999999999998</v>
      </c>
      <c r="H41" s="10">
        <f t="shared" si="27"/>
        <v>124.84699999999998</v>
      </c>
      <c r="I41" s="10">
        <f t="shared" si="27"/>
        <v>102.18899999999996</v>
      </c>
      <c r="J41" s="10">
        <f t="shared" ref="J41" si="28">SUM(J38:J40)</f>
        <v>124.28499999999997</v>
      </c>
      <c r="K41" s="5"/>
      <c r="L41" s="5"/>
      <c r="M41" s="5"/>
      <c r="N41" s="5"/>
      <c r="O41" s="5"/>
    </row>
    <row r="42" spans="2:15" ht="12" customHeight="1" x14ac:dyDescent="0.25">
      <c r="B42" s="19" t="s">
        <v>46</v>
      </c>
      <c r="C42" s="12">
        <f t="shared" ref="C42:I42" si="29">IF(ISERROR(C41/C35)," ",C41/C35)</f>
        <v>2.4940629596146315E-2</v>
      </c>
      <c r="D42" s="12">
        <f t="shared" si="29"/>
        <v>2.430239210119288E-2</v>
      </c>
      <c r="E42" s="12">
        <f t="shared" si="29"/>
        <v>0.10697416497376301</v>
      </c>
      <c r="F42" s="12">
        <f t="shared" si="29"/>
        <v>0.10296842523617965</v>
      </c>
      <c r="G42" s="12">
        <f t="shared" si="29"/>
        <v>5.5143673486149118E-2</v>
      </c>
      <c r="H42" s="12">
        <f t="shared" si="29"/>
        <v>5.1435384522212094E-2</v>
      </c>
      <c r="I42" s="12">
        <f t="shared" si="29"/>
        <v>3.6652065236221429E-2</v>
      </c>
      <c r="J42" s="12">
        <f t="shared" ref="J42" si="30">IF(ISERROR(J41/J35)," ",J41/J35)</f>
        <v>5.2390527256478962E-2</v>
      </c>
      <c r="K42" s="198">
        <v>0.25</v>
      </c>
      <c r="L42" s="198">
        <v>0.25</v>
      </c>
      <c r="M42" s="198">
        <v>0.25</v>
      </c>
      <c r="N42" s="198">
        <v>0.25</v>
      </c>
      <c r="O42" s="198">
        <v>0.25</v>
      </c>
    </row>
    <row r="43" spans="2:15" ht="12" customHeight="1" x14ac:dyDescent="0.25">
      <c r="B43" s="19"/>
      <c r="C43" s="12"/>
      <c r="D43" s="12"/>
      <c r="E43" s="12"/>
      <c r="F43" s="12"/>
      <c r="G43" s="12"/>
      <c r="H43" s="12"/>
      <c r="I43" s="12"/>
      <c r="J43" s="12"/>
      <c r="K43" s="13"/>
      <c r="L43" s="13"/>
      <c r="M43" s="13"/>
      <c r="N43" s="13"/>
      <c r="O43" s="13"/>
    </row>
    <row r="44" spans="2:15" ht="12" customHeight="1" x14ac:dyDescent="0.25">
      <c r="B44" s="9" t="s">
        <v>47</v>
      </c>
      <c r="C44" s="10">
        <f t="shared" ref="C44:I44" si="31">C35-C36-C41</f>
        <v>578.10100000000011</v>
      </c>
      <c r="D44" s="10">
        <f t="shared" si="31"/>
        <v>506.5499999999999</v>
      </c>
      <c r="E44" s="10">
        <f t="shared" si="31"/>
        <v>497.61899999999986</v>
      </c>
      <c r="F44" s="10">
        <f t="shared" si="31"/>
        <v>668.08400000000017</v>
      </c>
      <c r="G44" s="10">
        <f t="shared" si="31"/>
        <v>1196.4470000000001</v>
      </c>
      <c r="H44" s="10">
        <f t="shared" si="31"/>
        <v>2302.4119999999994</v>
      </c>
      <c r="I44" s="10">
        <f t="shared" si="31"/>
        <v>2685.8940000000007</v>
      </c>
      <c r="J44" s="10">
        <f t="shared" ref="J44" si="32">J35-J36-J41</f>
        <v>2247.9950000000013</v>
      </c>
      <c r="K44" s="5"/>
      <c r="L44" s="5"/>
      <c r="M44" s="5"/>
      <c r="N44" s="5"/>
      <c r="O44" s="5"/>
    </row>
    <row r="45" spans="2:15" ht="12" customHeight="1" x14ac:dyDescent="0.25">
      <c r="B45" s="6"/>
      <c r="C45" s="7"/>
      <c r="D45" s="7"/>
      <c r="E45" s="7"/>
      <c r="F45" s="7"/>
      <c r="G45" s="7"/>
      <c r="H45" s="7"/>
      <c r="I45" s="7"/>
      <c r="J45" s="7"/>
      <c r="K45" s="8"/>
      <c r="L45" s="8"/>
      <c r="M45" s="8"/>
      <c r="N45" s="8"/>
      <c r="O45" s="8"/>
    </row>
    <row r="46" spans="2:15" ht="12" customHeight="1" x14ac:dyDescent="0.25">
      <c r="B46" s="6" t="s">
        <v>48</v>
      </c>
      <c r="C46" s="7"/>
      <c r="D46" s="7"/>
      <c r="E46" s="7"/>
      <c r="F46" s="7"/>
      <c r="G46" s="7"/>
      <c r="H46" s="7"/>
      <c r="I46" s="7"/>
      <c r="J46" s="7"/>
      <c r="K46" s="8"/>
      <c r="L46" s="8"/>
      <c r="M46" s="8"/>
      <c r="N46" s="8"/>
      <c r="O46" s="8"/>
    </row>
    <row r="47" spans="2:15" ht="12" customHeight="1" x14ac:dyDescent="0.25">
      <c r="B47" s="6" t="s">
        <v>49</v>
      </c>
      <c r="C47" s="7"/>
      <c r="D47" s="7"/>
      <c r="E47" s="7"/>
      <c r="F47" s="7"/>
      <c r="G47" s="7"/>
      <c r="H47" s="7"/>
      <c r="I47" s="7"/>
      <c r="J47" s="7"/>
      <c r="K47" s="8"/>
      <c r="L47" s="8"/>
      <c r="M47" s="8"/>
      <c r="N47" s="8"/>
      <c r="O47" s="8"/>
    </row>
    <row r="48" spans="2:15" ht="12" customHeight="1" x14ac:dyDescent="0.25">
      <c r="B48" s="6"/>
      <c r="C48" s="7"/>
      <c r="D48" s="7"/>
      <c r="E48" s="7"/>
      <c r="F48" s="7"/>
      <c r="G48" s="7"/>
      <c r="H48" s="7"/>
      <c r="I48" s="7"/>
      <c r="J48" s="7"/>
      <c r="K48" s="8"/>
      <c r="L48" s="8"/>
      <c r="M48" s="8"/>
      <c r="N48" s="8"/>
      <c r="O48" s="8"/>
    </row>
    <row r="49" spans="2:15" ht="12" customHeight="1" x14ac:dyDescent="0.25">
      <c r="B49" s="9" t="s">
        <v>50</v>
      </c>
      <c r="C49" s="10">
        <f t="shared" ref="C49:I49" si="33">C44-C46+C47</f>
        <v>578.10100000000011</v>
      </c>
      <c r="D49" s="10">
        <f t="shared" si="33"/>
        <v>506.5499999999999</v>
      </c>
      <c r="E49" s="10">
        <f t="shared" si="33"/>
        <v>497.61899999999986</v>
      </c>
      <c r="F49" s="10">
        <f t="shared" si="33"/>
        <v>668.08400000000017</v>
      </c>
      <c r="G49" s="10">
        <f t="shared" si="33"/>
        <v>1196.4470000000001</v>
      </c>
      <c r="H49" s="10">
        <f t="shared" si="33"/>
        <v>2302.4119999999994</v>
      </c>
      <c r="I49" s="10">
        <f t="shared" si="33"/>
        <v>2685.8940000000007</v>
      </c>
      <c r="J49" s="10">
        <f t="shared" ref="J49" si="34">J44-J46+J47</f>
        <v>2247.9950000000013</v>
      </c>
      <c r="K49" s="5"/>
      <c r="L49" s="5"/>
      <c r="M49" s="5"/>
      <c r="N49" s="5"/>
      <c r="O49" s="5"/>
    </row>
    <row r="50" spans="2:15" ht="12" customHeight="1" x14ac:dyDescent="0.25">
      <c r="B50" s="15" t="s">
        <v>35</v>
      </c>
      <c r="C50" s="16">
        <f t="shared" ref="C50:I50" si="35">IF(ISERROR(C49/C16)," ",C49/C16)</f>
        <v>0.39609143865697766</v>
      </c>
      <c r="D50" s="16">
        <f t="shared" si="35"/>
        <v>0.30974168320191758</v>
      </c>
      <c r="E50" s="16">
        <f t="shared" si="35"/>
        <v>0.3083005642254894</v>
      </c>
      <c r="F50" s="16">
        <f t="shared" si="35"/>
        <v>0.40190290332322293</v>
      </c>
      <c r="G50" s="16">
        <f t="shared" si="35"/>
        <v>0.40964251842873828</v>
      </c>
      <c r="H50" s="16">
        <f t="shared" si="35"/>
        <v>0.52407944005007678</v>
      </c>
      <c r="I50" s="16">
        <f t="shared" si="35"/>
        <v>0.5987953171733964</v>
      </c>
      <c r="J50" s="16">
        <f t="shared" ref="J50" si="36">IF(ISERROR(J49/J16)," ",J49/J16)</f>
        <v>0.53368223757696354</v>
      </c>
      <c r="K50" s="17"/>
      <c r="L50" s="17"/>
      <c r="M50" s="17"/>
      <c r="N50" s="17"/>
      <c r="O50" s="17"/>
    </row>
    <row r="51" spans="2:15" s="14" customFormat="1" ht="12" customHeight="1" x14ac:dyDescent="0.25">
      <c r="B51" s="11" t="s">
        <v>30</v>
      </c>
      <c r="C51" s="12" t="str">
        <f t="shared" ref="C51:J51" si="37">IF(ISERROR(C49/B49-1)," ",C49/B49-1)</f>
        <v xml:space="preserve"> </v>
      </c>
      <c r="D51" s="12">
        <f t="shared" si="37"/>
        <v>-0.12376902997919081</v>
      </c>
      <c r="E51" s="12">
        <f t="shared" si="37"/>
        <v>-1.7631033461652401E-2</v>
      </c>
      <c r="F51" s="12">
        <f t="shared" si="37"/>
        <v>0.34256127680012294</v>
      </c>
      <c r="G51" s="12">
        <f t="shared" si="37"/>
        <v>0.79086312499625766</v>
      </c>
      <c r="H51" s="12">
        <f t="shared" si="37"/>
        <v>0.9243744185910443</v>
      </c>
      <c r="I51" s="12">
        <f t="shared" si="37"/>
        <v>0.16655663712663138</v>
      </c>
      <c r="J51" s="12">
        <f t="shared" si="37"/>
        <v>-0.16303659042389584</v>
      </c>
      <c r="K51" s="13"/>
      <c r="L51" s="13"/>
      <c r="M51" s="13"/>
      <c r="N51" s="13"/>
      <c r="O51" s="13"/>
    </row>
    <row r="52" spans="2:15" ht="12" customHeight="1" x14ac:dyDescent="0.25">
      <c r="B52" s="15"/>
      <c r="C52" s="16"/>
      <c r="D52" s="16"/>
      <c r="E52" s="16"/>
      <c r="F52" s="16"/>
      <c r="G52" s="16"/>
      <c r="H52" s="16"/>
      <c r="I52" s="16"/>
      <c r="J52" s="16"/>
      <c r="K52" s="17"/>
      <c r="L52" s="17"/>
      <c r="M52" s="17"/>
      <c r="N52" s="17"/>
      <c r="O52" s="17"/>
    </row>
    <row r="53" spans="2:15" ht="12" customHeight="1" x14ac:dyDescent="0.25">
      <c r="B53" s="9" t="s">
        <v>51</v>
      </c>
      <c r="C53" s="10"/>
      <c r="D53" s="10"/>
      <c r="E53" s="10"/>
      <c r="F53" s="10"/>
      <c r="G53" s="10"/>
      <c r="H53" s="10"/>
      <c r="I53" s="10"/>
      <c r="J53" s="10"/>
      <c r="K53" s="5"/>
      <c r="L53" s="5"/>
      <c r="M53" s="5"/>
      <c r="N53" s="5"/>
      <c r="O53" s="5"/>
    </row>
    <row r="54" spans="2:15" ht="12" customHeight="1" x14ac:dyDescent="0.25">
      <c r="B54" s="9" t="s">
        <v>52</v>
      </c>
      <c r="C54" s="20"/>
      <c r="D54" s="20"/>
      <c r="E54" s="20"/>
      <c r="F54" s="20"/>
      <c r="G54" s="20"/>
      <c r="H54" s="20"/>
      <c r="I54" s="20"/>
      <c r="J54" s="20"/>
      <c r="K54" s="21"/>
      <c r="L54" s="21"/>
      <c r="M54" s="21"/>
      <c r="N54" s="21"/>
      <c r="O54" s="21"/>
    </row>
    <row r="55" spans="2:15" ht="12" customHeight="1" x14ac:dyDescent="0.25">
      <c r="B55" s="9" t="s">
        <v>53</v>
      </c>
      <c r="C55" s="20"/>
      <c r="D55" s="20"/>
      <c r="E55" s="20"/>
      <c r="F55" s="20"/>
      <c r="G55" s="20"/>
      <c r="H55" s="20"/>
      <c r="I55" s="20"/>
      <c r="J55" s="20"/>
      <c r="K55" s="21"/>
      <c r="L55" s="21"/>
      <c r="M55" s="21"/>
      <c r="N55" s="21"/>
      <c r="O55" s="21"/>
    </row>
    <row r="56" spans="2:15" ht="12" customHeight="1" x14ac:dyDescent="0.25">
      <c r="B56" s="9" t="s">
        <v>54</v>
      </c>
      <c r="C56" s="20"/>
      <c r="D56" s="20"/>
      <c r="E56" s="20"/>
      <c r="F56" s="20"/>
      <c r="G56" s="20"/>
      <c r="H56" s="20"/>
      <c r="I56" s="20"/>
      <c r="J56" s="20"/>
      <c r="K56" s="21"/>
      <c r="L56" s="21"/>
      <c r="M56" s="21"/>
      <c r="N56" s="21"/>
      <c r="O56" s="21"/>
    </row>
    <row r="57" spans="2:15" ht="12" customHeight="1" x14ac:dyDescent="0.25">
      <c r="B57" s="9" t="s">
        <v>55</v>
      </c>
      <c r="C57" s="20"/>
      <c r="D57" s="20"/>
      <c r="E57" s="20"/>
      <c r="F57" s="20"/>
      <c r="G57" s="20"/>
      <c r="H57" s="20"/>
      <c r="I57" s="20"/>
      <c r="J57" s="20"/>
      <c r="K57" s="21"/>
      <c r="L57" s="21"/>
      <c r="M57" s="21"/>
      <c r="N57" s="21"/>
      <c r="O57" s="21"/>
    </row>
    <row r="58" spans="2:15" ht="12" customHeight="1" x14ac:dyDescent="0.25">
      <c r="B58" s="9" t="s">
        <v>56</v>
      </c>
      <c r="C58" s="20"/>
      <c r="D58" s="20"/>
      <c r="E58" s="20"/>
      <c r="F58" s="20"/>
      <c r="G58" s="20"/>
      <c r="H58" s="20"/>
      <c r="I58" s="20"/>
      <c r="J58" s="20"/>
      <c r="K58" s="21"/>
      <c r="L58" s="21"/>
      <c r="M58" s="21"/>
      <c r="N58" s="21"/>
      <c r="O58" s="21"/>
    </row>
    <row r="59" spans="2:15" ht="12" customHeight="1" x14ac:dyDescent="0.25">
      <c r="B59" s="9" t="s">
        <v>57</v>
      </c>
      <c r="C59" s="22"/>
      <c r="D59" s="22"/>
      <c r="E59" s="22"/>
      <c r="F59" s="22"/>
      <c r="G59" s="22"/>
      <c r="H59" s="22"/>
      <c r="I59" s="22"/>
      <c r="J59" s="22"/>
      <c r="K59" s="23"/>
      <c r="L59" s="23"/>
      <c r="M59" s="23"/>
      <c r="N59" s="23"/>
      <c r="O59" s="23"/>
    </row>
    <row r="60" spans="2:15" ht="12" customHeight="1" x14ac:dyDescent="0.25">
      <c r="B60" s="9" t="s">
        <v>58</v>
      </c>
      <c r="C60" s="10"/>
      <c r="D60" s="10"/>
      <c r="E60" s="10"/>
      <c r="F60" s="10"/>
      <c r="G60" s="10"/>
      <c r="H60" s="10"/>
      <c r="I60" s="10"/>
      <c r="J60" s="10"/>
      <c r="K60" s="5"/>
      <c r="L60" s="5"/>
      <c r="M60" s="5"/>
      <c r="N60" s="5"/>
      <c r="O60" s="5"/>
    </row>
    <row r="61" spans="2:15" ht="12" customHeight="1" x14ac:dyDescent="0.25">
      <c r="B61" s="9"/>
      <c r="C61" s="10"/>
      <c r="D61" s="10"/>
      <c r="E61" s="10"/>
      <c r="F61" s="10"/>
      <c r="G61" s="10"/>
      <c r="H61" s="10"/>
      <c r="I61" s="10"/>
      <c r="J61" s="10"/>
      <c r="K61" s="5"/>
      <c r="L61" s="5"/>
      <c r="M61" s="5"/>
      <c r="N61" s="5"/>
      <c r="O61" s="5"/>
    </row>
    <row r="62" spans="2:15" s="26" customFormat="1" ht="12" customHeight="1" x14ac:dyDescent="0.25">
      <c r="B62" s="24"/>
      <c r="C62" s="25"/>
      <c r="D62" s="25"/>
      <c r="E62" s="25"/>
      <c r="F62" s="25"/>
      <c r="G62" s="25"/>
      <c r="H62" s="25"/>
      <c r="I62" s="25"/>
      <c r="J62" s="25"/>
      <c r="K62" s="25"/>
      <c r="L62" s="25"/>
      <c r="M62" s="25"/>
      <c r="N62" s="25"/>
      <c r="O62" s="25"/>
    </row>
    <row r="63" spans="2:15" ht="12" customHeight="1" x14ac:dyDescent="0.25">
      <c r="B63" s="3" t="s">
        <v>59</v>
      </c>
      <c r="C63" s="4" t="s">
        <v>22</v>
      </c>
      <c r="D63" s="4" t="s">
        <v>23</v>
      </c>
      <c r="E63" s="4" t="s">
        <v>24</v>
      </c>
      <c r="F63" s="4" t="s">
        <v>25</v>
      </c>
      <c r="G63" s="4" t="s">
        <v>26</v>
      </c>
      <c r="H63" s="4" t="s">
        <v>27</v>
      </c>
      <c r="I63" s="4" t="s">
        <v>273</v>
      </c>
    </row>
    <row r="64" spans="2:15" ht="12" customHeight="1" x14ac:dyDescent="0.25">
      <c r="B64" s="6" t="s">
        <v>376</v>
      </c>
      <c r="C64" s="7"/>
      <c r="D64" s="7"/>
      <c r="E64" s="7"/>
      <c r="F64" s="7"/>
      <c r="G64" s="7"/>
      <c r="H64" s="7"/>
      <c r="I64" s="7"/>
    </row>
    <row r="65" spans="2:9" ht="12" customHeight="1" x14ac:dyDescent="0.25">
      <c r="B65" s="6" t="s">
        <v>60</v>
      </c>
      <c r="C65" s="7">
        <v>150.1</v>
      </c>
      <c r="D65" s="7">
        <v>150.1</v>
      </c>
      <c r="E65" s="7">
        <v>150.1</v>
      </c>
      <c r="F65" s="7">
        <v>150.1</v>
      </c>
      <c r="G65" s="7">
        <v>150.1</v>
      </c>
      <c r="H65" s="7">
        <v>150.1</v>
      </c>
      <c r="I65" s="7"/>
    </row>
    <row r="66" spans="2:9" ht="12" customHeight="1" x14ac:dyDescent="0.25">
      <c r="B66" s="6" t="s">
        <v>61</v>
      </c>
      <c r="C66" s="7">
        <v>1160.7909999999999</v>
      </c>
      <c r="D66" s="7">
        <v>1678.548</v>
      </c>
      <c r="E66" s="7">
        <v>2202.61</v>
      </c>
      <c r="F66" s="7">
        <v>2943.5030000000002</v>
      </c>
      <c r="G66" s="7">
        <v>4208.0680000000002</v>
      </c>
      <c r="H66" s="7">
        <v>6614.4780000000001</v>
      </c>
      <c r="I66" s="7"/>
    </row>
    <row r="67" spans="2:9" ht="12" customHeight="1" x14ac:dyDescent="0.25">
      <c r="B67" s="6" t="s">
        <v>62</v>
      </c>
      <c r="C67" s="7"/>
      <c r="D67" s="7"/>
      <c r="E67" s="7"/>
      <c r="F67" s="7"/>
      <c r="G67" s="7"/>
      <c r="H67" s="7"/>
      <c r="I67" s="7"/>
    </row>
    <row r="68" spans="2:9" ht="12" customHeight="1" x14ac:dyDescent="0.25">
      <c r="B68" s="6"/>
      <c r="C68" s="7"/>
      <c r="D68" s="7"/>
      <c r="E68" s="7"/>
      <c r="F68" s="7"/>
      <c r="G68" s="7"/>
      <c r="H68" s="7"/>
      <c r="I68" s="7"/>
    </row>
    <row r="69" spans="2:9" ht="12" customHeight="1" x14ac:dyDescent="0.25">
      <c r="B69" s="6" t="s">
        <v>63</v>
      </c>
      <c r="C69" s="7"/>
      <c r="D69" s="7"/>
      <c r="E69" s="7"/>
      <c r="F69" s="7"/>
      <c r="G69" s="7"/>
      <c r="H69" s="7"/>
      <c r="I69" s="7"/>
    </row>
    <row r="70" spans="2:9" ht="12" customHeight="1" x14ac:dyDescent="0.25">
      <c r="B70" s="6"/>
      <c r="C70" s="7"/>
      <c r="D70" s="7"/>
      <c r="E70" s="7"/>
      <c r="F70" s="7"/>
      <c r="G70" s="7"/>
      <c r="H70" s="7"/>
      <c r="I70" s="7"/>
    </row>
    <row r="71" spans="2:9" ht="12" customHeight="1" x14ac:dyDescent="0.25">
      <c r="B71" s="6" t="s">
        <v>64</v>
      </c>
      <c r="C71" s="7">
        <v>2128.9899999999998</v>
      </c>
      <c r="D71" s="7">
        <v>2007.643</v>
      </c>
      <c r="E71" s="7">
        <v>963.22799999999995</v>
      </c>
      <c r="F71" s="7">
        <v>1898.405</v>
      </c>
      <c r="G71" s="7">
        <v>1814.8630000000001</v>
      </c>
      <c r="H71" s="7">
        <v>1713.57</v>
      </c>
      <c r="I71" s="7"/>
    </row>
    <row r="72" spans="2:9" ht="12" customHeight="1" x14ac:dyDescent="0.25">
      <c r="B72" s="6" t="s">
        <v>65</v>
      </c>
      <c r="C72" s="122"/>
      <c r="D72" s="122"/>
      <c r="E72" s="7">
        <v>50.252000000000002</v>
      </c>
      <c r="F72" s="7"/>
      <c r="G72" s="7">
        <v>131.58600000000001</v>
      </c>
      <c r="H72" s="7">
        <v>167.79400000000001</v>
      </c>
      <c r="I72" s="7"/>
    </row>
    <row r="73" spans="2:9" ht="12" customHeight="1" x14ac:dyDescent="0.25">
      <c r="B73" s="6" t="s">
        <v>66</v>
      </c>
      <c r="C73" s="122"/>
      <c r="D73" s="122"/>
      <c r="E73" s="122"/>
      <c r="F73" s="122"/>
      <c r="G73" s="7"/>
      <c r="H73" s="7"/>
      <c r="I73" s="7"/>
    </row>
    <row r="74" spans="2:9" ht="12" customHeight="1" x14ac:dyDescent="0.25">
      <c r="B74" s="27" t="s">
        <v>67</v>
      </c>
      <c r="C74" s="28">
        <f t="shared" ref="C74:H74" si="38">C71+C72+C73</f>
        <v>2128.9899999999998</v>
      </c>
      <c r="D74" s="28">
        <f t="shared" si="38"/>
        <v>2007.643</v>
      </c>
      <c r="E74" s="28">
        <f t="shared" si="38"/>
        <v>1013.4799999999999</v>
      </c>
      <c r="F74" s="28">
        <f t="shared" si="38"/>
        <v>1898.405</v>
      </c>
      <c r="G74" s="28">
        <f t="shared" si="38"/>
        <v>1946.4490000000001</v>
      </c>
      <c r="H74" s="28">
        <f t="shared" si="38"/>
        <v>1881.364</v>
      </c>
      <c r="I74" s="28"/>
    </row>
    <row r="75" spans="2:9" ht="12" customHeight="1" x14ac:dyDescent="0.25">
      <c r="B75" s="6" t="s">
        <v>68</v>
      </c>
      <c r="C75" s="7"/>
      <c r="D75" s="7"/>
      <c r="E75" s="7"/>
      <c r="F75" s="7"/>
      <c r="G75" s="7"/>
      <c r="H75" s="7"/>
      <c r="I75" s="7"/>
    </row>
    <row r="76" spans="2:9" ht="12" customHeight="1" x14ac:dyDescent="0.25">
      <c r="B76" s="6" t="s">
        <v>69</v>
      </c>
      <c r="C76" s="7"/>
      <c r="D76" s="7"/>
      <c r="E76" s="7"/>
      <c r="F76" s="7"/>
      <c r="G76" s="7"/>
      <c r="H76" s="7"/>
      <c r="I76" s="7"/>
    </row>
    <row r="77" spans="2:9" ht="12" customHeight="1" x14ac:dyDescent="0.25">
      <c r="B77" s="29" t="s">
        <v>70</v>
      </c>
      <c r="C77" s="30">
        <f t="shared" ref="C77:H77" si="39">C74+C75-C76</f>
        <v>2128.9899999999998</v>
      </c>
      <c r="D77" s="30">
        <f t="shared" si="39"/>
        <v>2007.643</v>
      </c>
      <c r="E77" s="30">
        <f t="shared" si="39"/>
        <v>1013.4799999999999</v>
      </c>
      <c r="F77" s="30">
        <f t="shared" si="39"/>
        <v>1898.405</v>
      </c>
      <c r="G77" s="30">
        <f t="shared" si="39"/>
        <v>1946.4490000000001</v>
      </c>
      <c r="H77" s="30">
        <f t="shared" si="39"/>
        <v>1881.364</v>
      </c>
      <c r="I77" s="30"/>
    </row>
    <row r="78" spans="2:9" ht="12" customHeight="1" x14ac:dyDescent="0.25">
      <c r="B78" s="6" t="s">
        <v>71</v>
      </c>
      <c r="C78" s="7">
        <f t="shared" ref="C78:H78" si="40">C77</f>
        <v>2128.9899999999998</v>
      </c>
      <c r="D78" s="7">
        <f t="shared" si="40"/>
        <v>2007.643</v>
      </c>
      <c r="E78" s="7">
        <f t="shared" si="40"/>
        <v>1013.4799999999999</v>
      </c>
      <c r="F78" s="7">
        <f t="shared" si="40"/>
        <v>1898.405</v>
      </c>
      <c r="G78" s="7">
        <f t="shared" si="40"/>
        <v>1946.4490000000001</v>
      </c>
      <c r="H78" s="7">
        <f t="shared" si="40"/>
        <v>1881.364</v>
      </c>
      <c r="I78" s="7"/>
    </row>
    <row r="79" spans="2:9" ht="12" customHeight="1" x14ac:dyDescent="0.25">
      <c r="B79" s="6" t="s">
        <v>72</v>
      </c>
      <c r="C79" s="7"/>
      <c r="D79" s="7"/>
      <c r="E79" s="7"/>
      <c r="F79" s="7"/>
      <c r="G79" s="7"/>
      <c r="H79" s="7"/>
      <c r="I79" s="7"/>
    </row>
    <row r="80" spans="2:9" ht="12" customHeight="1" x14ac:dyDescent="0.25">
      <c r="B80" s="6" t="s">
        <v>73</v>
      </c>
      <c r="C80" s="7">
        <f>1420.671</f>
        <v>1420.671</v>
      </c>
      <c r="D80" s="7">
        <v>1362.586</v>
      </c>
      <c r="E80" s="7">
        <v>3293.3339999999998</v>
      </c>
      <c r="F80" s="7">
        <v>3221.1170000000002</v>
      </c>
      <c r="G80" s="7">
        <f>1011.871+1999.2</f>
        <v>3011.0709999999999</v>
      </c>
      <c r="H80" s="7">
        <f>929.734</f>
        <v>929.73400000000004</v>
      </c>
      <c r="I80" s="7"/>
    </row>
    <row r="81" spans="2:9" ht="12" customHeight="1" x14ac:dyDescent="0.25">
      <c r="B81" s="6" t="s">
        <v>74</v>
      </c>
      <c r="C81" s="7">
        <v>3.14</v>
      </c>
      <c r="D81" s="7">
        <v>5.3049999999999997</v>
      </c>
      <c r="E81" s="7">
        <v>5.9809999999999999</v>
      </c>
      <c r="F81" s="7">
        <v>7.4119999999999999</v>
      </c>
      <c r="G81" s="7">
        <v>7.585</v>
      </c>
      <c r="H81" s="7">
        <v>1.3879999999999999</v>
      </c>
      <c r="I81" s="7"/>
    </row>
    <row r="82" spans="2:9" ht="12" customHeight="1" x14ac:dyDescent="0.25">
      <c r="B82" s="6"/>
      <c r="C82" s="7"/>
      <c r="D82" s="7"/>
      <c r="E82" s="7"/>
      <c r="F82" s="7"/>
      <c r="G82" s="7"/>
      <c r="H82" s="7"/>
      <c r="I82" s="7"/>
    </row>
    <row r="83" spans="2:9" ht="12" customHeight="1" x14ac:dyDescent="0.25">
      <c r="B83" s="9" t="s">
        <v>75</v>
      </c>
      <c r="C83" s="10">
        <f t="shared" ref="C83:H83" si="41">SUM(C65:C66)+C69+SUM(C78:C81)</f>
        <v>4863.692</v>
      </c>
      <c r="D83" s="10">
        <f t="shared" si="41"/>
        <v>5204.1819999999998</v>
      </c>
      <c r="E83" s="10">
        <f t="shared" si="41"/>
        <v>6665.5049999999992</v>
      </c>
      <c r="F83" s="10">
        <f t="shared" si="41"/>
        <v>8220.5370000000003</v>
      </c>
      <c r="G83" s="10">
        <f t="shared" si="41"/>
        <v>9323.273000000001</v>
      </c>
      <c r="H83" s="10">
        <f t="shared" si="41"/>
        <v>9577.0640000000003</v>
      </c>
      <c r="I83" s="10"/>
    </row>
    <row r="84" spans="2:9" ht="12" customHeight="1" x14ac:dyDescent="0.25">
      <c r="B84" s="6"/>
      <c r="C84" s="7"/>
      <c r="D84" s="7"/>
      <c r="E84" s="7"/>
      <c r="F84" s="7"/>
      <c r="G84" s="7"/>
      <c r="H84" s="7"/>
      <c r="I84" s="7"/>
    </row>
    <row r="85" spans="2:9" ht="12" customHeight="1" x14ac:dyDescent="0.25">
      <c r="B85" s="6" t="s">
        <v>76</v>
      </c>
      <c r="C85" s="7"/>
      <c r="D85" s="7"/>
      <c r="E85" s="7"/>
      <c r="F85" s="7"/>
      <c r="G85" s="7"/>
      <c r="H85" s="7"/>
      <c r="I85" s="7"/>
    </row>
    <row r="86" spans="2:9" ht="12" customHeight="1" x14ac:dyDescent="0.25">
      <c r="B86" s="6" t="s">
        <v>77</v>
      </c>
      <c r="C86" s="7"/>
      <c r="D86" s="7"/>
      <c r="E86" s="7"/>
      <c r="F86" s="7"/>
      <c r="G86" s="7"/>
      <c r="H86" s="7"/>
      <c r="I86" s="7"/>
    </row>
    <row r="87" spans="2:9" ht="12" customHeight="1" x14ac:dyDescent="0.25">
      <c r="B87" s="6" t="s">
        <v>78</v>
      </c>
      <c r="C87" s="7"/>
      <c r="D87" s="7"/>
      <c r="E87" s="7"/>
      <c r="F87" s="7"/>
      <c r="G87" s="7"/>
      <c r="H87" s="7"/>
      <c r="I87" s="7"/>
    </row>
    <row r="88" spans="2:9" ht="12" customHeight="1" x14ac:dyDescent="0.25">
      <c r="B88" s="6" t="s">
        <v>79</v>
      </c>
      <c r="C88" s="7"/>
      <c r="D88" s="7"/>
      <c r="E88" s="7"/>
      <c r="F88" s="7"/>
      <c r="G88" s="7"/>
      <c r="H88" s="7"/>
      <c r="I88" s="7"/>
    </row>
    <row r="89" spans="2:9" ht="12" customHeight="1" x14ac:dyDescent="0.25">
      <c r="B89" s="6" t="s">
        <v>80</v>
      </c>
      <c r="C89" s="7">
        <f>2384.012</f>
        <v>2384.0120000000002</v>
      </c>
      <c r="D89" s="7">
        <v>2932.8910000000001</v>
      </c>
      <c r="E89" s="7">
        <f>1681.713+1216.809</f>
        <v>2898.5219999999999</v>
      </c>
      <c r="F89" s="7">
        <f>1593.737+1121.98</f>
        <v>2715.7170000000001</v>
      </c>
      <c r="G89" s="7">
        <f>2207.163+1121.547</f>
        <v>3328.71</v>
      </c>
      <c r="H89" s="7">
        <f>3381.9+933.022</f>
        <v>4314.9220000000005</v>
      </c>
      <c r="I89" s="7"/>
    </row>
    <row r="90" spans="2:9" ht="12" customHeight="1" x14ac:dyDescent="0.25">
      <c r="B90" s="6" t="s">
        <v>81</v>
      </c>
      <c r="C90" s="7">
        <v>762.08199999999999</v>
      </c>
      <c r="D90" s="7">
        <v>222.62100000000001</v>
      </c>
      <c r="E90" s="7">
        <v>398.48399999999998</v>
      </c>
      <c r="F90" s="7">
        <v>796.14400000000001</v>
      </c>
      <c r="G90" s="7">
        <v>274.62200000000001</v>
      </c>
      <c r="H90" s="7">
        <v>192.78899999999999</v>
      </c>
      <c r="I90" s="7"/>
    </row>
    <row r="91" spans="2:9" ht="12" customHeight="1" x14ac:dyDescent="0.25">
      <c r="B91" s="6"/>
      <c r="C91" s="7"/>
      <c r="D91" s="7"/>
      <c r="E91" s="7"/>
      <c r="F91" s="7"/>
      <c r="G91" s="7"/>
      <c r="H91" s="7"/>
      <c r="I91" s="7"/>
    </row>
    <row r="92" spans="2:9" ht="12" customHeight="1" x14ac:dyDescent="0.25">
      <c r="B92" s="6" t="s">
        <v>82</v>
      </c>
      <c r="C92" s="7"/>
      <c r="D92" s="7"/>
      <c r="E92" s="7"/>
      <c r="F92" s="7"/>
      <c r="G92" s="7"/>
      <c r="H92" s="7"/>
      <c r="I92" s="7"/>
    </row>
    <row r="93" spans="2:9" ht="12" customHeight="1" x14ac:dyDescent="0.25">
      <c r="B93" s="6" t="s">
        <v>83</v>
      </c>
      <c r="C93" s="7">
        <v>0.78800000000000003</v>
      </c>
      <c r="D93" s="7">
        <v>0.59499999999999997</v>
      </c>
      <c r="E93" s="7">
        <v>0.26600000000000001</v>
      </c>
      <c r="F93" s="7">
        <v>0.184</v>
      </c>
      <c r="G93" s="7">
        <v>8.6999999999999994E-2</v>
      </c>
      <c r="H93" s="7"/>
      <c r="I93" s="7"/>
    </row>
    <row r="94" spans="2:9" ht="12" customHeight="1" x14ac:dyDescent="0.25">
      <c r="B94" s="6" t="s">
        <v>84</v>
      </c>
      <c r="C94" s="7"/>
      <c r="D94" s="7"/>
      <c r="E94" s="7"/>
      <c r="F94" s="7"/>
      <c r="G94" s="7"/>
      <c r="H94" s="7"/>
      <c r="I94" s="7"/>
    </row>
    <row r="95" spans="2:9" ht="12" customHeight="1" x14ac:dyDescent="0.25">
      <c r="B95" s="6"/>
      <c r="C95" s="7"/>
      <c r="D95" s="7"/>
      <c r="E95" s="7"/>
      <c r="F95" s="7"/>
      <c r="G95" s="7"/>
      <c r="H95" s="7"/>
      <c r="I95" s="7"/>
    </row>
    <row r="96" spans="2:9" ht="12" customHeight="1" x14ac:dyDescent="0.25">
      <c r="B96" s="6" t="s">
        <v>85</v>
      </c>
      <c r="C96" s="7">
        <v>0.1</v>
      </c>
      <c r="D96" s="7">
        <v>0.1</v>
      </c>
      <c r="E96" s="7">
        <v>0.1</v>
      </c>
      <c r="F96" s="7">
        <v>0.1</v>
      </c>
      <c r="G96" s="7">
        <v>0.1</v>
      </c>
      <c r="H96" s="7">
        <f>0.1+1000.571</f>
        <v>1000.671</v>
      </c>
      <c r="I96" s="7"/>
    </row>
    <row r="97" spans="2:9" ht="12" customHeight="1" x14ac:dyDescent="0.25">
      <c r="B97" s="6" t="s">
        <v>86</v>
      </c>
      <c r="C97" s="7">
        <v>94.671999999999997</v>
      </c>
      <c r="D97" s="7">
        <v>194.87899999999999</v>
      </c>
      <c r="E97" s="7">
        <v>232.94399999999999</v>
      </c>
      <c r="F97" s="7">
        <v>286.48500000000001</v>
      </c>
      <c r="G97" s="7">
        <v>437.88299999999998</v>
      </c>
      <c r="H97" s="7">
        <v>746.68499999999995</v>
      </c>
      <c r="I97" s="7"/>
    </row>
    <row r="98" spans="2:9" ht="12" customHeight="1" x14ac:dyDescent="0.25">
      <c r="B98" s="6" t="s">
        <v>87</v>
      </c>
      <c r="C98" s="7"/>
      <c r="D98" s="7"/>
      <c r="E98" s="7"/>
      <c r="F98" s="7"/>
      <c r="G98" s="7"/>
      <c r="H98" s="7"/>
      <c r="I98" s="7"/>
    </row>
    <row r="99" spans="2:9" ht="12" customHeight="1" x14ac:dyDescent="0.25">
      <c r="B99" s="6" t="s">
        <v>88</v>
      </c>
      <c r="C99" s="7">
        <f>1377.517+35.401</f>
        <v>1412.9180000000001</v>
      </c>
      <c r="D99" s="7">
        <f>1256.683+20.787</f>
        <v>1277.47</v>
      </c>
      <c r="E99" s="7">
        <f>1160.016+22.532</f>
        <v>1182.548</v>
      </c>
      <c r="F99" s="7">
        <f>2077.971+24.459</f>
        <v>2102.4299999999998</v>
      </c>
      <c r="G99" s="7">
        <f>660.387+59.029+966.502</f>
        <v>1685.9179999999999</v>
      </c>
      <c r="H99" s="7">
        <f>616.46+39.161+858.037</f>
        <v>1513.6580000000001</v>
      </c>
      <c r="I99" s="7"/>
    </row>
    <row r="100" spans="2:9" ht="12" customHeight="1" x14ac:dyDescent="0.25">
      <c r="B100" s="6"/>
      <c r="C100" s="7"/>
      <c r="D100" s="7"/>
      <c r="E100" s="7"/>
      <c r="F100" s="7"/>
      <c r="G100" s="7"/>
      <c r="H100" s="7"/>
      <c r="I100" s="7"/>
    </row>
    <row r="101" spans="2:9" ht="12" customHeight="1" x14ac:dyDescent="0.25">
      <c r="B101" s="9" t="s">
        <v>377</v>
      </c>
      <c r="C101" s="10"/>
      <c r="D101" s="10"/>
      <c r="E101" s="10"/>
      <c r="F101" s="10"/>
      <c r="G101" s="10"/>
      <c r="H101" s="10"/>
      <c r="I101" s="10"/>
    </row>
    <row r="102" spans="2:9" ht="12" customHeight="1" x14ac:dyDescent="0.25">
      <c r="B102" s="6" t="s">
        <v>89</v>
      </c>
      <c r="C102" s="7">
        <v>148.113</v>
      </c>
      <c r="D102" s="7">
        <v>329.50700000000001</v>
      </c>
      <c r="E102" s="7">
        <v>50.256999999999998</v>
      </c>
      <c r="F102" s="7"/>
      <c r="G102" s="7"/>
      <c r="H102" s="7">
        <v>1083.027</v>
      </c>
      <c r="I102" s="7"/>
    </row>
    <row r="103" spans="2:9" ht="12" customHeight="1" x14ac:dyDescent="0.25">
      <c r="B103" s="6" t="s">
        <v>90</v>
      </c>
      <c r="C103" s="7">
        <v>70.507000000000005</v>
      </c>
      <c r="D103" s="7">
        <v>322.38799999999998</v>
      </c>
      <c r="E103" s="7">
        <v>226.18100000000001</v>
      </c>
      <c r="F103" s="7">
        <v>112.45699999999999</v>
      </c>
      <c r="G103" s="7">
        <v>85.251000000000005</v>
      </c>
      <c r="H103" s="7">
        <v>127.54</v>
      </c>
      <c r="I103" s="7"/>
    </row>
    <row r="104" spans="2:9" ht="12" customHeight="1" x14ac:dyDescent="0.25">
      <c r="B104" s="6" t="s">
        <v>91</v>
      </c>
      <c r="C104" s="7">
        <v>457.62900000000002</v>
      </c>
      <c r="D104" s="7">
        <v>343.93</v>
      </c>
      <c r="E104" s="7">
        <v>830.78499999999997</v>
      </c>
      <c r="F104" s="7">
        <v>417.89600000000002</v>
      </c>
      <c r="G104" s="7">
        <v>556.29100000000005</v>
      </c>
      <c r="H104" s="7">
        <v>445.65699999999998</v>
      </c>
      <c r="I104" s="7"/>
    </row>
    <row r="105" spans="2:9" ht="12" customHeight="1" x14ac:dyDescent="0.25">
      <c r="B105" s="6" t="s">
        <v>92</v>
      </c>
      <c r="C105" s="7">
        <f>8.088+1.293</f>
        <v>9.3809999999999985</v>
      </c>
      <c r="D105" s="7">
        <f>13.354+30.926</f>
        <v>44.28</v>
      </c>
      <c r="E105" s="7">
        <f>132.949+33.277</f>
        <v>166.226</v>
      </c>
      <c r="F105" s="7">
        <f>152.392+48.085</f>
        <v>200.477</v>
      </c>
      <c r="G105" s="7">
        <f>329.943+904.095</f>
        <v>1234.038</v>
      </c>
      <c r="H105" s="7">
        <f>250+326.632</f>
        <v>576.63200000000006</v>
      </c>
      <c r="I105" s="7"/>
    </row>
    <row r="106" spans="2:9" ht="12" customHeight="1" x14ac:dyDescent="0.25">
      <c r="B106" s="6" t="s">
        <v>93</v>
      </c>
      <c r="C106" s="7"/>
      <c r="D106" s="7"/>
      <c r="E106" s="7">
        <v>2000</v>
      </c>
      <c r="F106" s="7">
        <v>2000</v>
      </c>
      <c r="G106" s="7">
        <v>2000</v>
      </c>
      <c r="H106" s="7">
        <v>90</v>
      </c>
      <c r="I106" s="7"/>
    </row>
    <row r="107" spans="2:9" ht="12" customHeight="1" x14ac:dyDescent="0.25">
      <c r="B107" s="6" t="s">
        <v>94</v>
      </c>
      <c r="C107" s="7">
        <f>0.295+20.169+41.112</f>
        <v>61.576000000000008</v>
      </c>
      <c r="D107" s="7">
        <f>0.295+129.607+7.989</f>
        <v>137.89099999999999</v>
      </c>
      <c r="E107" s="7">
        <f>94.679+129.739+28.924</f>
        <v>253.34200000000001</v>
      </c>
      <c r="F107" s="7">
        <f>188.745+3.232+106.493</f>
        <v>298.47000000000003</v>
      </c>
      <c r="G107" s="7">
        <f>384.442+111.378</f>
        <v>495.82</v>
      </c>
      <c r="H107" s="7">
        <f>96.809+105.44</f>
        <v>202.249</v>
      </c>
      <c r="I107" s="7"/>
    </row>
    <row r="108" spans="2:9" ht="12" customHeight="1" x14ac:dyDescent="0.25">
      <c r="B108" s="9" t="s">
        <v>95</v>
      </c>
      <c r="C108" s="10">
        <f t="shared" ref="C108:H108" si="42">SUM(C102:C107)</f>
        <v>747.20600000000002</v>
      </c>
      <c r="D108" s="10">
        <f t="shared" si="42"/>
        <v>1177.9960000000001</v>
      </c>
      <c r="E108" s="10">
        <f t="shared" si="42"/>
        <v>3526.7910000000002</v>
      </c>
      <c r="F108" s="10">
        <f t="shared" si="42"/>
        <v>3029.3</v>
      </c>
      <c r="G108" s="10">
        <f t="shared" si="42"/>
        <v>4371.3999999999996</v>
      </c>
      <c r="H108" s="10">
        <f t="shared" si="42"/>
        <v>2525.1049999999996</v>
      </c>
      <c r="I108" s="10"/>
    </row>
    <row r="109" spans="2:9" ht="12" customHeight="1" x14ac:dyDescent="0.25">
      <c r="B109" s="6"/>
      <c r="C109" s="7"/>
      <c r="D109" s="7"/>
      <c r="E109" s="7"/>
      <c r="F109" s="7"/>
      <c r="G109" s="7"/>
      <c r="H109" s="7"/>
      <c r="I109" s="7"/>
    </row>
    <row r="110" spans="2:9" ht="12" customHeight="1" x14ac:dyDescent="0.25">
      <c r="B110" s="6" t="s">
        <v>96</v>
      </c>
      <c r="C110" s="7">
        <f>2.298+269.811</f>
        <v>272.10899999999998</v>
      </c>
      <c r="D110" s="7">
        <f>1.012+211.892</f>
        <v>212.904</v>
      </c>
      <c r="E110" s="7">
        <f>1.673+151.646</f>
        <v>153.31899999999999</v>
      </c>
      <c r="F110" s="7">
        <f>3.789+205.486</f>
        <v>209.27499999999998</v>
      </c>
      <c r="G110" s="7">
        <f>6.671+476.246</f>
        <v>482.91699999999997</v>
      </c>
      <c r="H110" s="7">
        <f>14.26+466.683</f>
        <v>480.94299999999998</v>
      </c>
      <c r="I110" s="7"/>
    </row>
    <row r="111" spans="2:9" ht="12" customHeight="1" x14ac:dyDescent="0.25">
      <c r="B111" s="6" t="s">
        <v>97</v>
      </c>
      <c r="C111" s="7">
        <f>248.49+17.192</f>
        <v>265.68200000000002</v>
      </c>
      <c r="D111" s="7">
        <f>383.965+5.006</f>
        <v>388.971</v>
      </c>
      <c r="E111" s="7">
        <f>1419.714</f>
        <v>1419.7139999999999</v>
      </c>
      <c r="F111" s="7">
        <f>485.531+12.254</f>
        <v>497.78500000000003</v>
      </c>
      <c r="G111" s="7">
        <f>191.339+75.739+24.062</f>
        <v>291.14</v>
      </c>
      <c r="H111" s="7">
        <f>98.702+87.643+45.558</f>
        <v>231.90299999999999</v>
      </c>
      <c r="I111" s="7"/>
    </row>
    <row r="112" spans="2:9" ht="12" customHeight="1" x14ac:dyDescent="0.25">
      <c r="B112" s="6" t="s">
        <v>98</v>
      </c>
      <c r="C112" s="7">
        <v>0.29499999999999998</v>
      </c>
      <c r="D112" s="7">
        <v>0.495</v>
      </c>
      <c r="E112" s="7">
        <v>1.117</v>
      </c>
      <c r="F112" s="7">
        <v>2.7629999999999999</v>
      </c>
      <c r="G112" s="7">
        <v>1.389</v>
      </c>
      <c r="H112" s="7">
        <v>3.92</v>
      </c>
      <c r="I112" s="7"/>
    </row>
    <row r="113" spans="2:9" ht="12" customHeight="1" x14ac:dyDescent="0.25">
      <c r="B113" s="9" t="s">
        <v>99</v>
      </c>
      <c r="C113" s="10">
        <f t="shared" ref="C113:H113" si="43">SUM(C110:C112)</f>
        <v>538.0859999999999</v>
      </c>
      <c r="D113" s="10">
        <f t="shared" si="43"/>
        <v>602.37</v>
      </c>
      <c r="E113" s="10">
        <f t="shared" si="43"/>
        <v>1574.1499999999999</v>
      </c>
      <c r="F113" s="10">
        <f t="shared" si="43"/>
        <v>709.82299999999998</v>
      </c>
      <c r="G113" s="10">
        <f t="shared" si="43"/>
        <v>775.44600000000003</v>
      </c>
      <c r="H113" s="10">
        <f t="shared" si="43"/>
        <v>716.76599999999996</v>
      </c>
      <c r="I113" s="10"/>
    </row>
    <row r="114" spans="2:9" ht="12" customHeight="1" x14ac:dyDescent="0.25">
      <c r="B114" s="6"/>
      <c r="C114" s="7"/>
      <c r="D114" s="7"/>
      <c r="E114" s="7"/>
      <c r="F114" s="7"/>
      <c r="G114" s="7"/>
      <c r="H114" s="7"/>
      <c r="I114" s="7"/>
    </row>
    <row r="115" spans="2:9" ht="12" customHeight="1" x14ac:dyDescent="0.25">
      <c r="B115" s="6" t="s">
        <v>100</v>
      </c>
      <c r="C115" s="7">
        <f t="shared" ref="C115:H115" si="44">C108-C113</f>
        <v>209.12000000000012</v>
      </c>
      <c r="D115" s="7">
        <f t="shared" si="44"/>
        <v>575.62600000000009</v>
      </c>
      <c r="E115" s="7">
        <f t="shared" si="44"/>
        <v>1952.6410000000003</v>
      </c>
      <c r="F115" s="7">
        <f t="shared" si="44"/>
        <v>2319.4770000000003</v>
      </c>
      <c r="G115" s="7">
        <f t="shared" si="44"/>
        <v>3595.9539999999997</v>
      </c>
      <c r="H115" s="7">
        <f t="shared" si="44"/>
        <v>1808.3389999999995</v>
      </c>
      <c r="I115" s="7"/>
    </row>
    <row r="116" spans="2:9" ht="12" customHeight="1" x14ac:dyDescent="0.25">
      <c r="B116" s="6"/>
      <c r="C116" s="7"/>
      <c r="D116" s="7"/>
      <c r="E116" s="7"/>
      <c r="F116" s="7"/>
      <c r="G116" s="7"/>
      <c r="H116" s="7"/>
      <c r="I116" s="7"/>
    </row>
    <row r="117" spans="2:9" ht="12" customHeight="1" x14ac:dyDescent="0.25">
      <c r="B117" s="9" t="s">
        <v>101</v>
      </c>
      <c r="C117" s="10">
        <f t="shared" ref="C117:H117" si="45">SUM(C89:C94)+SUM(C96:C99)+C115</f>
        <v>4863.692</v>
      </c>
      <c r="D117" s="10">
        <f t="shared" si="45"/>
        <v>5204.1820000000007</v>
      </c>
      <c r="E117" s="10">
        <f t="shared" si="45"/>
        <v>6665.5050000000001</v>
      </c>
      <c r="F117" s="10">
        <f t="shared" si="45"/>
        <v>8220.5370000000003</v>
      </c>
      <c r="G117" s="10">
        <f t="shared" si="45"/>
        <v>9323.2739999999994</v>
      </c>
      <c r="H117" s="10">
        <f t="shared" si="45"/>
        <v>9577.0640000000003</v>
      </c>
      <c r="I117" s="10"/>
    </row>
    <row r="118" spans="2:9" ht="12" customHeight="1" x14ac:dyDescent="0.25">
      <c r="B118" s="31"/>
      <c r="C118" s="162">
        <f t="shared" ref="C118:H118" si="46">C83-C117</f>
        <v>0</v>
      </c>
      <c r="D118" s="162">
        <f t="shared" si="46"/>
        <v>0</v>
      </c>
      <c r="E118" s="162">
        <f t="shared" si="46"/>
        <v>0</v>
      </c>
      <c r="F118" s="162">
        <f t="shared" si="46"/>
        <v>0</v>
      </c>
      <c r="G118" s="162">
        <f t="shared" si="46"/>
        <v>-9.9999999838473741E-4</v>
      </c>
      <c r="H118" s="162">
        <f t="shared" si="46"/>
        <v>0</v>
      </c>
      <c r="I118" s="162"/>
    </row>
    <row r="119" spans="2:9" ht="12" customHeight="1" x14ac:dyDescent="0.25">
      <c r="B119" s="33"/>
      <c r="C119" s="34"/>
      <c r="D119" s="34"/>
      <c r="E119" s="34"/>
      <c r="F119" s="34"/>
      <c r="G119" s="34"/>
      <c r="H119" s="34"/>
      <c r="I119" s="34"/>
    </row>
    <row r="120" spans="2:9" ht="12" customHeight="1" x14ac:dyDescent="0.25">
      <c r="B120" s="3" t="s">
        <v>102</v>
      </c>
      <c r="C120" s="4" t="s">
        <v>22</v>
      </c>
      <c r="D120" s="4" t="s">
        <v>23</v>
      </c>
      <c r="E120" s="4" t="s">
        <v>24</v>
      </c>
      <c r="F120" s="4" t="s">
        <v>25</v>
      </c>
      <c r="G120" s="4" t="s">
        <v>26</v>
      </c>
      <c r="H120" s="4" t="s">
        <v>27</v>
      </c>
      <c r="I120" s="4"/>
    </row>
    <row r="121" spans="2:9" ht="12" customHeight="1" x14ac:dyDescent="0.25">
      <c r="B121" s="6" t="s">
        <v>40</v>
      </c>
      <c r="C121" s="7">
        <v>592.88800000000003</v>
      </c>
      <c r="D121" s="7">
        <v>512.61500000000001</v>
      </c>
      <c r="E121" s="7">
        <v>557.22799999999995</v>
      </c>
      <c r="F121" s="7">
        <v>744.77200000000005</v>
      </c>
      <c r="G121" s="7">
        <v>1266.2739999999999</v>
      </c>
      <c r="H121" s="7">
        <v>2427.259</v>
      </c>
      <c r="I121" s="7"/>
    </row>
    <row r="122" spans="2:9" ht="12" customHeight="1" x14ac:dyDescent="0.25">
      <c r="B122" s="6"/>
      <c r="C122" s="7"/>
      <c r="D122" s="7"/>
      <c r="E122" s="7"/>
      <c r="F122" s="7"/>
      <c r="G122" s="7"/>
      <c r="H122" s="7"/>
      <c r="I122" s="7"/>
    </row>
    <row r="123" spans="2:9" ht="12" customHeight="1" x14ac:dyDescent="0.25">
      <c r="B123" s="6" t="s">
        <v>103</v>
      </c>
      <c r="C123" s="7">
        <v>154.81899999999999</v>
      </c>
      <c r="D123" s="7">
        <v>168.47</v>
      </c>
      <c r="E123" s="7">
        <v>191.63200000000001</v>
      </c>
      <c r="F123" s="7">
        <v>189.29300000000001</v>
      </c>
      <c r="G123" s="7">
        <v>408.93299999999999</v>
      </c>
      <c r="H123" s="7">
        <v>376.738</v>
      </c>
      <c r="I123" s="7"/>
    </row>
    <row r="124" spans="2:9" ht="12" customHeight="1" x14ac:dyDescent="0.25">
      <c r="B124" s="6" t="s">
        <v>104</v>
      </c>
      <c r="C124" s="7">
        <v>184.18199999999999</v>
      </c>
      <c r="D124" s="7">
        <v>280.75799999999998</v>
      </c>
      <c r="E124" s="7">
        <v>209.458</v>
      </c>
      <c r="F124" s="7">
        <v>211.422</v>
      </c>
      <c r="G124" s="7">
        <v>205.05699999999999</v>
      </c>
      <c r="H124" s="7">
        <v>196.68199999999999</v>
      </c>
      <c r="I124" s="7"/>
    </row>
    <row r="125" spans="2:9" ht="12" customHeight="1" x14ac:dyDescent="0.25">
      <c r="B125" s="6" t="s">
        <v>105</v>
      </c>
      <c r="C125" s="7"/>
      <c r="D125" s="7">
        <v>12.97</v>
      </c>
      <c r="E125" s="7">
        <v>27.257000000000001</v>
      </c>
      <c r="F125" s="7">
        <v>73.058999999999997</v>
      </c>
      <c r="G125" s="7">
        <v>70.164000000000001</v>
      </c>
      <c r="H125" s="7">
        <v>104.358</v>
      </c>
      <c r="I125" s="7"/>
    </row>
    <row r="126" spans="2:9" ht="12" customHeight="1" x14ac:dyDescent="0.25">
      <c r="B126" s="6" t="s">
        <v>106</v>
      </c>
      <c r="C126" s="7">
        <v>-5.718</v>
      </c>
      <c r="D126" s="7">
        <v>-15.25</v>
      </c>
      <c r="E126" s="7">
        <v>-98.757000000000005</v>
      </c>
      <c r="F126" s="7">
        <v>-265.27300000000002</v>
      </c>
      <c r="G126" s="7">
        <v>-301.00799999999998</v>
      </c>
      <c r="H126" s="7">
        <v>-350.16800000000001</v>
      </c>
      <c r="I126" s="7"/>
    </row>
    <row r="127" spans="2:9" ht="12" customHeight="1" x14ac:dyDescent="0.25">
      <c r="B127" s="6" t="s">
        <v>107</v>
      </c>
      <c r="C127" s="7"/>
      <c r="D127" s="7"/>
      <c r="E127" s="7"/>
      <c r="F127" s="7"/>
      <c r="G127" s="7"/>
      <c r="H127" s="7">
        <v>-0.627</v>
      </c>
      <c r="I127" s="7"/>
    </row>
    <row r="128" spans="2:9" ht="12" customHeight="1" x14ac:dyDescent="0.25">
      <c r="B128" s="6" t="s">
        <v>109</v>
      </c>
      <c r="C128" s="122"/>
      <c r="D128" s="122"/>
      <c r="E128" s="122"/>
      <c r="F128" s="7"/>
      <c r="G128" s="7"/>
      <c r="H128" s="7">
        <v>-13.08</v>
      </c>
      <c r="I128" s="7"/>
    </row>
    <row r="129" spans="2:9" ht="12" customHeight="1" x14ac:dyDescent="0.25">
      <c r="B129" s="6" t="s">
        <v>110</v>
      </c>
      <c r="C129" s="7">
        <v>3.0000000000000001E-3</v>
      </c>
      <c r="D129" s="7"/>
      <c r="E129" s="7"/>
      <c r="F129" s="7"/>
      <c r="G129" s="7"/>
      <c r="H129" s="7">
        <v>0.12</v>
      </c>
      <c r="I129" s="7"/>
    </row>
    <row r="130" spans="2:9" ht="12" customHeight="1" x14ac:dyDescent="0.25">
      <c r="B130" s="6" t="s">
        <v>111</v>
      </c>
      <c r="C130" s="122">
        <f>-1.43-3.017-12.088</f>
        <v>-16.535</v>
      </c>
      <c r="D130" s="122">
        <f>0.002-3.254-17.874</f>
        <v>-21.125999999999998</v>
      </c>
      <c r="E130" s="122">
        <f>2.997-24.412+91.616</f>
        <v>70.200999999999993</v>
      </c>
      <c r="F130" s="122">
        <f>0.452+0.257+2.57-25.049</f>
        <v>-21.77</v>
      </c>
      <c r="G130" s="122">
        <f>51.921+0.7+28.103</f>
        <v>80.724000000000004</v>
      </c>
      <c r="H130" s="122">
        <v>74.400000000000006</v>
      </c>
      <c r="I130" s="122"/>
    </row>
    <row r="131" spans="2:9" ht="12" customHeight="1" x14ac:dyDescent="0.25">
      <c r="B131" s="9" t="s">
        <v>112</v>
      </c>
      <c r="C131" s="10">
        <f t="shared" ref="C131:H131" si="47">SUM(C121:C130)</f>
        <v>909.63900000000012</v>
      </c>
      <c r="D131" s="10">
        <f t="shared" si="47"/>
        <v>938.43700000000013</v>
      </c>
      <c r="E131" s="10">
        <f t="shared" si="47"/>
        <v>957.01899999999978</v>
      </c>
      <c r="F131" s="10">
        <f t="shared" si="47"/>
        <v>931.50300000000004</v>
      </c>
      <c r="G131" s="10">
        <f t="shared" si="47"/>
        <v>1730.1439999999998</v>
      </c>
      <c r="H131" s="10">
        <f t="shared" si="47"/>
        <v>2815.6819999999998</v>
      </c>
      <c r="I131" s="10"/>
    </row>
    <row r="132" spans="2:9" ht="12" customHeight="1" x14ac:dyDescent="0.25">
      <c r="B132" s="6" t="s">
        <v>113</v>
      </c>
      <c r="C132" s="7">
        <v>-322.99400000000003</v>
      </c>
      <c r="D132" s="7">
        <v>113.699</v>
      </c>
      <c r="E132" s="7">
        <v>-486.85599999999999</v>
      </c>
      <c r="F132" s="7">
        <v>410.32</v>
      </c>
      <c r="G132" s="7">
        <v>-109.181</v>
      </c>
      <c r="H132" s="7">
        <v>110.634</v>
      </c>
      <c r="I132" s="7"/>
    </row>
    <row r="133" spans="2:9" ht="12" customHeight="1" x14ac:dyDescent="0.25">
      <c r="B133" s="6" t="s">
        <v>114</v>
      </c>
      <c r="C133" s="7">
        <v>-47.356000000000002</v>
      </c>
      <c r="D133" s="7">
        <v>70.960999999999999</v>
      </c>
      <c r="E133" s="7">
        <v>-41.372999999999998</v>
      </c>
      <c r="F133" s="7">
        <v>-891.10500000000002</v>
      </c>
      <c r="G133" s="7">
        <v>201.03800000000001</v>
      </c>
      <c r="H133" s="7">
        <v>822.68399999999997</v>
      </c>
      <c r="I133" s="7"/>
    </row>
    <row r="134" spans="2:9" ht="12" customHeight="1" x14ac:dyDescent="0.25">
      <c r="B134" s="6" t="s">
        <v>115</v>
      </c>
      <c r="C134" s="7">
        <v>-70.507000000000005</v>
      </c>
      <c r="D134" s="7">
        <v>-251.87799999999999</v>
      </c>
      <c r="E134" s="7">
        <v>96.206000000000003</v>
      </c>
      <c r="F134" s="7">
        <v>113.724</v>
      </c>
      <c r="G134" s="7">
        <v>27.206</v>
      </c>
      <c r="H134" s="7">
        <v>-42.289000000000001</v>
      </c>
      <c r="I134" s="7"/>
    </row>
    <row r="135" spans="2:9" ht="12" customHeight="1" x14ac:dyDescent="0.25">
      <c r="B135" s="6" t="s">
        <v>116</v>
      </c>
      <c r="C135" s="7">
        <v>-179.381</v>
      </c>
      <c r="D135" s="7">
        <v>64.082999999999998</v>
      </c>
      <c r="E135" s="7">
        <v>-59.585999999999999</v>
      </c>
      <c r="F135" s="7">
        <v>55.957000000000001</v>
      </c>
      <c r="G135" s="7">
        <v>293.97399999999999</v>
      </c>
      <c r="H135" s="7">
        <v>-1.974</v>
      </c>
      <c r="I135" s="7"/>
    </row>
    <row r="136" spans="2:9" ht="12" customHeight="1" x14ac:dyDescent="0.25">
      <c r="B136" s="6" t="s">
        <v>117</v>
      </c>
      <c r="C136" s="7"/>
      <c r="D136" s="7"/>
      <c r="E136" s="7">
        <v>2052.7260000000001</v>
      </c>
      <c r="F136" s="7">
        <v>26.347999999999999</v>
      </c>
      <c r="G136" s="7">
        <v>34.701000000000001</v>
      </c>
      <c r="H136" s="7">
        <v>-2499.9340000000002</v>
      </c>
      <c r="I136" s="7"/>
    </row>
    <row r="137" spans="2:9" ht="12" customHeight="1" x14ac:dyDescent="0.25">
      <c r="B137" s="6" t="s">
        <v>118</v>
      </c>
      <c r="C137" s="7">
        <v>-66.778999999999996</v>
      </c>
      <c r="D137" s="7">
        <v>2.3660000000000001</v>
      </c>
      <c r="E137" s="7">
        <v>1.2989999999999999</v>
      </c>
      <c r="F137" s="7">
        <v>2.7240000000000002</v>
      </c>
      <c r="G137" s="7">
        <v>-1.2010000000000001</v>
      </c>
      <c r="H137" s="7">
        <v>-3.6659999999999999</v>
      </c>
      <c r="I137" s="7"/>
    </row>
    <row r="138" spans="2:9" ht="12" customHeight="1" x14ac:dyDescent="0.25">
      <c r="B138" s="9" t="s">
        <v>119</v>
      </c>
      <c r="C138" s="10">
        <f t="shared" ref="C138:H138" si="48">SUM(C131:C137)</f>
        <v>222.62200000000007</v>
      </c>
      <c r="D138" s="10">
        <f t="shared" si="48"/>
        <v>937.66800000000023</v>
      </c>
      <c r="E138" s="10">
        <f t="shared" si="48"/>
        <v>2519.4349999999999</v>
      </c>
      <c r="F138" s="10">
        <f t="shared" si="48"/>
        <v>649.47100000000012</v>
      </c>
      <c r="G138" s="10">
        <f t="shared" si="48"/>
        <v>2176.6809999999996</v>
      </c>
      <c r="H138" s="10">
        <f t="shared" si="48"/>
        <v>1201.1369999999995</v>
      </c>
      <c r="I138" s="10"/>
    </row>
    <row r="139" spans="2:9" ht="12" customHeight="1" x14ac:dyDescent="0.25">
      <c r="B139" s="6" t="s">
        <v>120</v>
      </c>
      <c r="C139" s="7"/>
      <c r="D139" s="7"/>
      <c r="E139" s="7"/>
      <c r="F139" s="7"/>
      <c r="G139" s="7"/>
      <c r="H139" s="7"/>
      <c r="I139" s="7"/>
    </row>
    <row r="140" spans="2:9" ht="12" customHeight="1" x14ac:dyDescent="0.25">
      <c r="B140" s="6" t="s">
        <v>121</v>
      </c>
      <c r="C140" s="7">
        <v>-146.876</v>
      </c>
      <c r="D140" s="7">
        <v>-119.866</v>
      </c>
      <c r="E140" s="7">
        <v>-126.28100000000001</v>
      </c>
      <c r="F140" s="7">
        <v>-55.783000000000001</v>
      </c>
      <c r="G140" s="7">
        <v>-251.23500000000001</v>
      </c>
      <c r="H140" s="7">
        <v>403.798</v>
      </c>
      <c r="I140" s="7"/>
    </row>
    <row r="141" spans="2:9" ht="12" customHeight="1" x14ac:dyDescent="0.25">
      <c r="B141" s="9" t="s">
        <v>122</v>
      </c>
      <c r="C141" s="10">
        <f t="shared" ref="C141:H141" si="49">C138+C139+C140</f>
        <v>75.746000000000066</v>
      </c>
      <c r="D141" s="10">
        <f t="shared" si="49"/>
        <v>817.80200000000025</v>
      </c>
      <c r="E141" s="10">
        <f t="shared" si="49"/>
        <v>2393.154</v>
      </c>
      <c r="F141" s="10">
        <f t="shared" si="49"/>
        <v>593.6880000000001</v>
      </c>
      <c r="G141" s="10">
        <f t="shared" si="49"/>
        <v>1925.4459999999995</v>
      </c>
      <c r="H141" s="10">
        <f t="shared" si="49"/>
        <v>1604.9349999999995</v>
      </c>
      <c r="I141" s="10"/>
    </row>
    <row r="142" spans="2:9" ht="12" customHeight="1" x14ac:dyDescent="0.25">
      <c r="B142" s="6"/>
      <c r="C142" s="7"/>
      <c r="D142" s="7"/>
      <c r="E142" s="7"/>
      <c r="F142" s="7"/>
      <c r="G142" s="7"/>
      <c r="H142" s="7"/>
      <c r="I142" s="7"/>
    </row>
    <row r="143" spans="2:9" ht="12" customHeight="1" x14ac:dyDescent="0.25">
      <c r="B143" s="6" t="s">
        <v>123</v>
      </c>
      <c r="C143" s="7"/>
      <c r="D143" s="7"/>
      <c r="E143" s="7"/>
      <c r="F143" s="7"/>
      <c r="G143" s="7"/>
      <c r="H143" s="7"/>
      <c r="I143" s="7"/>
    </row>
    <row r="144" spans="2:9" ht="12" customHeight="1" x14ac:dyDescent="0.25">
      <c r="B144" s="6" t="s">
        <v>124</v>
      </c>
      <c r="C144" s="7">
        <v>-4.4470000000000001</v>
      </c>
      <c r="D144" s="7">
        <v>21.128</v>
      </c>
      <c r="E144" s="7">
        <v>300.66500000000002</v>
      </c>
      <c r="F144" s="7">
        <v>50</v>
      </c>
      <c r="G144" s="7"/>
      <c r="H144" s="7">
        <v>90.622</v>
      </c>
      <c r="I144" s="7"/>
    </row>
    <row r="145" spans="2:9" ht="12" customHeight="1" x14ac:dyDescent="0.25">
      <c r="B145" s="6" t="s">
        <v>125</v>
      </c>
      <c r="C145" s="7"/>
      <c r="D145" s="7"/>
      <c r="E145" s="7"/>
      <c r="F145" s="7"/>
      <c r="G145" s="7"/>
      <c r="H145" s="7"/>
      <c r="I145" s="7"/>
    </row>
    <row r="146" spans="2:9" ht="12" customHeight="1" x14ac:dyDescent="0.25">
      <c r="B146" s="6" t="s">
        <v>126</v>
      </c>
      <c r="C146" s="7">
        <v>-5.7169999999999996</v>
      </c>
      <c r="D146" s="7">
        <v>15.25</v>
      </c>
      <c r="E146" s="7">
        <v>4.7080000000000002</v>
      </c>
      <c r="F146" s="7">
        <v>80.036000000000001</v>
      </c>
      <c r="G146" s="7">
        <v>289.02600000000001</v>
      </c>
      <c r="H146" s="7">
        <v>338.608</v>
      </c>
      <c r="I146" s="7"/>
    </row>
    <row r="147" spans="2:9" ht="12" customHeight="1" x14ac:dyDescent="0.25">
      <c r="B147" s="6" t="s">
        <v>127</v>
      </c>
      <c r="C147" s="7">
        <v>-237.93</v>
      </c>
      <c r="D147" s="7">
        <v>-177.696</v>
      </c>
      <c r="E147" s="7">
        <v>-332.79700000000003</v>
      </c>
      <c r="F147" s="7">
        <v>-404.67899999999997</v>
      </c>
      <c r="G147" s="7">
        <v>-494.762</v>
      </c>
      <c r="H147" s="7">
        <v>-1281.1489999999999</v>
      </c>
      <c r="I147" s="7"/>
    </row>
    <row r="148" spans="2:9" ht="12" customHeight="1" x14ac:dyDescent="0.25">
      <c r="B148" s="6" t="s">
        <v>128</v>
      </c>
      <c r="C148" s="7">
        <v>-104.571</v>
      </c>
      <c r="D148" s="7">
        <v>-211.02699999999999</v>
      </c>
      <c r="E148" s="7"/>
      <c r="F148" s="7"/>
      <c r="G148" s="7">
        <v>-883</v>
      </c>
      <c r="H148" s="7">
        <v>-1159.942</v>
      </c>
      <c r="I148" s="7"/>
    </row>
    <row r="149" spans="2:9" ht="12" customHeight="1" x14ac:dyDescent="0.25">
      <c r="B149" s="6" t="s">
        <v>129</v>
      </c>
      <c r="C149" s="122">
        <v>88.087000000000003</v>
      </c>
      <c r="D149" s="122"/>
      <c r="E149" s="122"/>
      <c r="F149" s="7"/>
      <c r="G149" s="7"/>
      <c r="H149" s="7"/>
      <c r="I149" s="7"/>
    </row>
    <row r="150" spans="2:9" ht="12" customHeight="1" x14ac:dyDescent="0.25">
      <c r="B150" s="6" t="s">
        <v>130</v>
      </c>
      <c r="C150" s="122"/>
      <c r="D150" s="122"/>
      <c r="E150" s="122"/>
      <c r="F150" s="7"/>
      <c r="G150" s="7"/>
      <c r="H150" s="7"/>
      <c r="I150" s="7"/>
    </row>
    <row r="151" spans="2:9" ht="12" customHeight="1" x14ac:dyDescent="0.25">
      <c r="B151" s="6" t="s">
        <v>496</v>
      </c>
      <c r="C151" s="122"/>
      <c r="D151" s="122"/>
      <c r="E151" s="122"/>
      <c r="F151" s="122"/>
      <c r="G151" s="122"/>
      <c r="H151" s="122"/>
      <c r="I151" s="122"/>
    </row>
    <row r="152" spans="2:9" ht="12" customHeight="1" x14ac:dyDescent="0.25">
      <c r="B152" s="6" t="s">
        <v>111</v>
      </c>
      <c r="C152" s="122"/>
      <c r="D152" s="122"/>
      <c r="E152" s="122">
        <v>-1999.201</v>
      </c>
      <c r="F152" s="122">
        <v>-32.222000000000001</v>
      </c>
      <c r="G152" s="122"/>
      <c r="H152" s="122">
        <f>-1000.571-90+2000</f>
        <v>909.42900000000009</v>
      </c>
      <c r="I152" s="122"/>
    </row>
    <row r="153" spans="2:9" ht="12" customHeight="1" x14ac:dyDescent="0.25">
      <c r="B153" s="6"/>
      <c r="C153" s="7"/>
      <c r="D153" s="7"/>
      <c r="E153" s="7"/>
      <c r="F153" s="7"/>
      <c r="G153" s="7"/>
      <c r="H153" s="7"/>
      <c r="I153" s="7"/>
    </row>
    <row r="154" spans="2:9" ht="12" customHeight="1" x14ac:dyDescent="0.25">
      <c r="B154" s="9" t="s">
        <v>131</v>
      </c>
      <c r="C154" s="10">
        <f t="shared" ref="C154:H154" si="50">SUM(C143:C152)</f>
        <v>-264.57799999999997</v>
      </c>
      <c r="D154" s="10">
        <f t="shared" si="50"/>
        <v>-352.34499999999997</v>
      </c>
      <c r="E154" s="10">
        <f t="shared" si="50"/>
        <v>-2026.625</v>
      </c>
      <c r="F154" s="10">
        <f t="shared" si="50"/>
        <v>-306.86499999999995</v>
      </c>
      <c r="G154" s="10">
        <f t="shared" si="50"/>
        <v>-1088.7359999999999</v>
      </c>
      <c r="H154" s="10">
        <f t="shared" si="50"/>
        <v>-1102.4319999999998</v>
      </c>
      <c r="I154" s="10"/>
    </row>
    <row r="155" spans="2:9" ht="12" customHeight="1" x14ac:dyDescent="0.25">
      <c r="B155" s="6"/>
      <c r="C155" s="7"/>
      <c r="D155" s="7"/>
      <c r="E155" s="7"/>
      <c r="F155" s="7"/>
      <c r="G155" s="7"/>
      <c r="H155" s="7"/>
      <c r="I155" s="7"/>
    </row>
    <row r="156" spans="2:9" ht="12" customHeight="1" x14ac:dyDescent="0.25">
      <c r="B156" s="6" t="s">
        <v>132</v>
      </c>
      <c r="C156" s="122"/>
      <c r="D156" s="122"/>
      <c r="E156" s="122"/>
      <c r="F156" s="122"/>
      <c r="G156" s="122"/>
      <c r="H156" s="7"/>
      <c r="I156" s="7"/>
    </row>
    <row r="157" spans="2:9" ht="12" customHeight="1" x14ac:dyDescent="0.25">
      <c r="B157" s="6" t="s">
        <v>133</v>
      </c>
      <c r="C157" s="123"/>
      <c r="D157" s="123"/>
      <c r="E157" s="123"/>
      <c r="F157" s="7"/>
      <c r="G157" s="7"/>
      <c r="H157" s="7"/>
      <c r="I157" s="7"/>
    </row>
    <row r="158" spans="2:9" ht="12" customHeight="1" x14ac:dyDescent="0.25">
      <c r="B158" s="6" t="s">
        <v>134</v>
      </c>
      <c r="C158" s="123"/>
      <c r="D158" s="123"/>
      <c r="E158" s="123"/>
      <c r="F158" s="7"/>
      <c r="G158" s="7"/>
      <c r="H158" s="7"/>
      <c r="I158" s="7"/>
    </row>
    <row r="159" spans="2:9" ht="12" customHeight="1" x14ac:dyDescent="0.25">
      <c r="B159" s="6" t="s">
        <v>135</v>
      </c>
      <c r="C159" s="123">
        <v>97.230999999999995</v>
      </c>
      <c r="D159" s="123"/>
      <c r="E159" s="123"/>
      <c r="F159" s="7"/>
      <c r="G159" s="7">
        <v>1071.6020000000001</v>
      </c>
      <c r="H159" s="7"/>
      <c r="I159" s="7"/>
    </row>
    <row r="160" spans="2:9" ht="12" customHeight="1" x14ac:dyDescent="0.25">
      <c r="B160" s="6" t="s">
        <v>136</v>
      </c>
      <c r="C160" s="123">
        <v>148.32499999999999</v>
      </c>
      <c r="D160" s="123"/>
      <c r="E160" s="123">
        <v>50.252000000000002</v>
      </c>
      <c r="F160" s="7"/>
      <c r="G160" s="7"/>
      <c r="H160" s="7"/>
      <c r="I160" s="7"/>
    </row>
    <row r="161" spans="2:9" ht="12" customHeight="1" x14ac:dyDescent="0.25">
      <c r="B161" s="6" t="s">
        <v>137</v>
      </c>
      <c r="C161" s="123"/>
      <c r="D161" s="123"/>
      <c r="E161" s="123">
        <v>-100.928</v>
      </c>
      <c r="F161" s="7">
        <v>-100.928</v>
      </c>
      <c r="G161" s="7">
        <v>-301.60300000000001</v>
      </c>
      <c r="H161" s="7">
        <v>-200.47300000000001</v>
      </c>
      <c r="I161" s="7"/>
    </row>
    <row r="162" spans="2:9" ht="12" customHeight="1" x14ac:dyDescent="0.25">
      <c r="B162" s="6" t="s">
        <v>138</v>
      </c>
      <c r="C162" s="123"/>
      <c r="D162" s="123"/>
      <c r="E162" s="123">
        <v>-111.42</v>
      </c>
      <c r="F162" s="7">
        <v>-32.177999999999997</v>
      </c>
      <c r="G162" s="7">
        <v>-1282.3130000000001</v>
      </c>
      <c r="H162" s="7">
        <v>-144.453</v>
      </c>
      <c r="I162" s="7"/>
    </row>
    <row r="163" spans="2:9" ht="12" customHeight="1" x14ac:dyDescent="0.25">
      <c r="B163" s="6" t="s">
        <v>139</v>
      </c>
      <c r="C163" s="123">
        <v>87.078000000000003</v>
      </c>
      <c r="D163" s="123">
        <v>-179.434</v>
      </c>
      <c r="E163" s="123"/>
      <c r="F163" s="7"/>
      <c r="G163" s="7"/>
      <c r="H163" s="7"/>
      <c r="I163" s="7"/>
    </row>
    <row r="164" spans="2:9" ht="12" customHeight="1" x14ac:dyDescent="0.25">
      <c r="B164" s="6" t="s">
        <v>140</v>
      </c>
      <c r="C164" s="123"/>
      <c r="D164" s="123"/>
      <c r="E164" s="123"/>
      <c r="F164" s="7"/>
      <c r="G164" s="7"/>
      <c r="H164" s="7"/>
      <c r="I164" s="7"/>
    </row>
    <row r="165" spans="2:9" ht="12" customHeight="1" x14ac:dyDescent="0.25">
      <c r="B165" s="6" t="s">
        <v>141</v>
      </c>
      <c r="C165" s="123">
        <v>-185.90299999999999</v>
      </c>
      <c r="D165" s="123">
        <v>-280.75799999999998</v>
      </c>
      <c r="E165" s="123">
        <v>-84.837999999999994</v>
      </c>
      <c r="F165" s="7">
        <v>-134.27500000000001</v>
      </c>
      <c r="G165" s="7">
        <v>-146.845</v>
      </c>
      <c r="H165" s="7">
        <v>-160.887</v>
      </c>
      <c r="I165" s="7"/>
    </row>
    <row r="166" spans="2:9" ht="12" customHeight="1" x14ac:dyDescent="0.25">
      <c r="B166" s="6" t="s">
        <v>58</v>
      </c>
      <c r="C166" s="123"/>
      <c r="D166" s="123"/>
      <c r="E166" s="123"/>
      <c r="F166" s="7"/>
      <c r="G166" s="7"/>
      <c r="H166" s="7"/>
      <c r="I166" s="7"/>
    </row>
    <row r="167" spans="2:9" ht="12" customHeight="1" x14ac:dyDescent="0.25">
      <c r="B167" s="6" t="s">
        <v>111</v>
      </c>
      <c r="C167" s="7">
        <v>9.7000000000000003E-2</v>
      </c>
      <c r="D167" s="7"/>
      <c r="E167" s="7"/>
      <c r="F167" s="7"/>
      <c r="G167" s="7"/>
      <c r="H167" s="7"/>
      <c r="I167" s="7"/>
    </row>
    <row r="168" spans="2:9" ht="12" customHeight="1" x14ac:dyDescent="0.25">
      <c r="B168" s="6"/>
      <c r="C168" s="7"/>
      <c r="D168" s="7"/>
      <c r="E168" s="7"/>
      <c r="F168" s="7"/>
      <c r="G168" s="7"/>
      <c r="H168" s="7"/>
      <c r="I168" s="7"/>
    </row>
    <row r="169" spans="2:9" ht="12" customHeight="1" x14ac:dyDescent="0.25">
      <c r="B169" s="9" t="s">
        <v>142</v>
      </c>
      <c r="C169" s="10">
        <f t="shared" ref="C169:H169" si="51">SUM(C156:C167)</f>
        <v>146.82800000000003</v>
      </c>
      <c r="D169" s="10">
        <f t="shared" si="51"/>
        <v>-460.19200000000001</v>
      </c>
      <c r="E169" s="10">
        <f t="shared" si="51"/>
        <v>-246.934</v>
      </c>
      <c r="F169" s="10">
        <f t="shared" si="51"/>
        <v>-267.38099999999997</v>
      </c>
      <c r="G169" s="10">
        <f t="shared" si="51"/>
        <v>-659.15900000000011</v>
      </c>
      <c r="H169" s="10">
        <f t="shared" si="51"/>
        <v>-505.81300000000005</v>
      </c>
      <c r="I169" s="10"/>
    </row>
    <row r="170" spans="2:9" ht="12" customHeight="1" x14ac:dyDescent="0.25">
      <c r="B170" s="6"/>
      <c r="C170" s="7"/>
      <c r="D170" s="7"/>
      <c r="E170" s="7"/>
      <c r="F170" s="7"/>
      <c r="G170" s="7"/>
      <c r="H170" s="7"/>
      <c r="I170" s="7"/>
    </row>
    <row r="171" spans="2:9" ht="12" customHeight="1" x14ac:dyDescent="0.25">
      <c r="B171" s="9" t="s">
        <v>143</v>
      </c>
      <c r="C171" s="10"/>
      <c r="D171" s="10"/>
      <c r="E171" s="10"/>
      <c r="F171" s="10"/>
      <c r="G171" s="7"/>
      <c r="H171" s="7"/>
      <c r="I171" s="7"/>
    </row>
    <row r="172" spans="2:9" ht="12" customHeight="1" x14ac:dyDescent="0.25">
      <c r="B172" s="6"/>
      <c r="C172" s="7"/>
      <c r="D172" s="7"/>
      <c r="E172" s="7"/>
      <c r="F172" s="7"/>
      <c r="G172" s="7"/>
      <c r="H172" s="7"/>
      <c r="I172" s="7"/>
    </row>
    <row r="173" spans="2:9" ht="12" customHeight="1" x14ac:dyDescent="0.25">
      <c r="B173" s="9" t="s">
        <v>144</v>
      </c>
      <c r="C173" s="10">
        <f t="shared" ref="C173:H173" si="52">C141+C154+C169+C171</f>
        <v>-42.003999999999877</v>
      </c>
      <c r="D173" s="10">
        <f t="shared" si="52"/>
        <v>5.2650000000002706</v>
      </c>
      <c r="E173" s="10">
        <f t="shared" si="52"/>
        <v>119.595</v>
      </c>
      <c r="F173" s="10">
        <f t="shared" si="52"/>
        <v>19.442000000000178</v>
      </c>
      <c r="G173" s="10">
        <f t="shared" si="52"/>
        <v>177.55099999999948</v>
      </c>
      <c r="H173" s="10">
        <f t="shared" si="52"/>
        <v>-3.3100000000003433</v>
      </c>
      <c r="I173" s="10"/>
    </row>
    <row r="174" spans="2:9" ht="12" customHeight="1" x14ac:dyDescent="0.25">
      <c r="B174" s="9" t="s">
        <v>145</v>
      </c>
      <c r="C174" s="10">
        <v>50.284999999999997</v>
      </c>
      <c r="D174" s="10">
        <v>8.0879999999999992</v>
      </c>
      <c r="E174" s="10">
        <v>13.353999999999999</v>
      </c>
      <c r="F174" s="10">
        <v>132.94900000000001</v>
      </c>
      <c r="G174" s="10">
        <v>152.392</v>
      </c>
      <c r="H174" s="10">
        <v>329.94299999999998</v>
      </c>
      <c r="I174" s="10"/>
    </row>
    <row r="175" spans="2:9" ht="12" customHeight="1" x14ac:dyDescent="0.25">
      <c r="B175" s="9" t="s">
        <v>146</v>
      </c>
      <c r="C175" s="10">
        <f t="shared" ref="C175:H175" si="53">C173+C174</f>
        <v>8.2810000000001196</v>
      </c>
      <c r="D175" s="10">
        <f t="shared" si="53"/>
        <v>13.35300000000027</v>
      </c>
      <c r="E175" s="10">
        <f t="shared" si="53"/>
        <v>132.94900000000001</v>
      </c>
      <c r="F175" s="10">
        <f t="shared" si="53"/>
        <v>152.39100000000019</v>
      </c>
      <c r="G175" s="10">
        <f t="shared" si="53"/>
        <v>329.94299999999947</v>
      </c>
      <c r="H175" s="10">
        <f t="shared" si="53"/>
        <v>326.63299999999964</v>
      </c>
      <c r="I175" s="10"/>
    </row>
    <row r="178" spans="3:9" ht="12" customHeight="1" x14ac:dyDescent="0.25">
      <c r="C178" s="244">
        <f t="shared" ref="C178:H178" si="54">(C30*(1-C42))/C117</f>
        <v>0.15578482045321185</v>
      </c>
      <c r="D178" s="244">
        <f t="shared" si="54"/>
        <v>0.14997263911954906</v>
      </c>
      <c r="E178" s="244">
        <f t="shared" si="54"/>
        <v>0.11529128382460031</v>
      </c>
      <c r="F178" s="244">
        <f t="shared" si="54"/>
        <v>0.10160728741728886</v>
      </c>
      <c r="G178" s="244">
        <f t="shared" si="54"/>
        <v>0.15195838941234269</v>
      </c>
      <c r="H178" s="244">
        <f t="shared" si="54"/>
        <v>0.26725839913912541</v>
      </c>
      <c r="I178" s="244"/>
    </row>
  </sheetData>
  <pageMargins left="0.7" right="0.7" top="0.75" bottom="0.75" header="0.3" footer="0.3"/>
  <pageSetup paperSize="9" orientation="portrait"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6411-EC7B-4F01-9D31-7D91CF607459}">
  <dimension ref="B1:AE62"/>
  <sheetViews>
    <sheetView showGridLines="0" workbookViewId="0">
      <selection activeCell="O24" sqref="O24"/>
    </sheetView>
  </sheetViews>
  <sheetFormatPr defaultColWidth="8.28515625" defaultRowHeight="12" customHeight="1" x14ac:dyDescent="0.25"/>
  <cols>
    <col min="1" max="1" width="3.5703125" style="2" customWidth="1"/>
    <col min="2" max="2" width="35.7109375" style="2" customWidth="1"/>
    <col min="3" max="8" width="8.28515625" style="2" hidden="1" customWidth="1"/>
    <col min="9" max="10" width="8.28515625" style="2" customWidth="1"/>
    <col min="11" max="20" width="8.28515625" style="2"/>
    <col min="21" max="21" width="10" style="2" bestFit="1" customWidth="1"/>
    <col min="22" max="16384" width="8.28515625" style="2"/>
  </cols>
  <sheetData>
    <row r="1" spans="2:31" ht="12" customHeight="1" x14ac:dyDescent="0.25">
      <c r="B1" s="1" t="s">
        <v>220</v>
      </c>
    </row>
    <row r="2" spans="2:31" ht="12" customHeight="1" x14ac:dyDescent="0.25">
      <c r="B2" s="3" t="s">
        <v>17</v>
      </c>
      <c r="C2" s="4" t="s">
        <v>18</v>
      </c>
      <c r="D2" s="4" t="s">
        <v>19</v>
      </c>
      <c r="E2" s="4" t="s">
        <v>20</v>
      </c>
      <c r="F2" s="4" t="s">
        <v>21</v>
      </c>
      <c r="G2" s="4" t="s">
        <v>22</v>
      </c>
      <c r="H2" s="4" t="s">
        <v>23</v>
      </c>
      <c r="I2" s="4" t="s">
        <v>24</v>
      </c>
      <c r="J2" s="4" t="s">
        <v>25</v>
      </c>
      <c r="K2" s="4" t="s">
        <v>26</v>
      </c>
      <c r="L2" s="4" t="s">
        <v>27</v>
      </c>
      <c r="M2" s="4" t="s">
        <v>273</v>
      </c>
      <c r="N2" s="4" t="s">
        <v>347</v>
      </c>
      <c r="O2" s="227" t="s">
        <v>177</v>
      </c>
      <c r="P2" s="227" t="s">
        <v>178</v>
      </c>
      <c r="Q2" s="227" t="s">
        <v>179</v>
      </c>
      <c r="R2" s="227" t="s">
        <v>231</v>
      </c>
      <c r="S2" s="227" t="s">
        <v>232</v>
      </c>
    </row>
    <row r="3" spans="2:31" ht="12" customHeight="1" thickBot="1" x14ac:dyDescent="0.3">
      <c r="B3" s="6"/>
      <c r="C3" s="7"/>
      <c r="D3" s="7"/>
      <c r="E3" s="7"/>
      <c r="F3" s="7"/>
      <c r="G3" s="7"/>
      <c r="H3" s="7"/>
      <c r="I3" s="7"/>
      <c r="J3" s="7"/>
      <c r="K3" s="7"/>
      <c r="L3" s="7"/>
      <c r="M3" s="7"/>
      <c r="N3" s="7"/>
      <c r="O3" s="8"/>
      <c r="P3" s="8"/>
      <c r="Q3" s="8"/>
      <c r="R3" s="8"/>
      <c r="S3" s="8"/>
      <c r="V3" s="970" t="s">
        <v>1704</v>
      </c>
      <c r="W3" s="984" t="s">
        <v>24</v>
      </c>
      <c r="X3" s="984" t="s">
        <v>25</v>
      </c>
      <c r="Y3" s="984" t="s">
        <v>26</v>
      </c>
      <c r="Z3" s="984" t="s">
        <v>27</v>
      </c>
      <c r="AA3" s="984" t="s">
        <v>273</v>
      </c>
      <c r="AB3" s="984" t="s">
        <v>28</v>
      </c>
      <c r="AC3" s="984" t="s">
        <v>177</v>
      </c>
      <c r="AD3" s="971" t="s">
        <v>1735</v>
      </c>
      <c r="AE3" s="971" t="s">
        <v>1736</v>
      </c>
    </row>
    <row r="4" spans="2:31" ht="12" customHeight="1" x14ac:dyDescent="0.25">
      <c r="B4" s="6" t="s">
        <v>478</v>
      </c>
      <c r="C4" s="7"/>
      <c r="D4" s="7"/>
      <c r="E4" s="7"/>
      <c r="F4" s="7"/>
      <c r="G4" s="7"/>
      <c r="H4" s="7"/>
      <c r="I4" s="123">
        <v>0</v>
      </c>
      <c r="J4" s="123">
        <v>0</v>
      </c>
      <c r="K4" s="123">
        <v>0</v>
      </c>
      <c r="L4" s="123">
        <v>0</v>
      </c>
      <c r="M4" s="123"/>
      <c r="N4" s="123"/>
      <c r="O4" s="8"/>
      <c r="P4" s="8"/>
      <c r="Q4" s="8"/>
      <c r="R4" s="8"/>
      <c r="S4" s="8"/>
      <c r="V4" s="972" t="s">
        <v>797</v>
      </c>
      <c r="W4" s="973">
        <f>I16</f>
        <v>561.65</v>
      </c>
      <c r="X4" s="973">
        <f t="shared" ref="X4:AC4" si="0">J16</f>
        <v>2570.1790000000001</v>
      </c>
      <c r="Y4" s="973">
        <f t="shared" si="0"/>
        <v>2557.683</v>
      </c>
      <c r="Z4" s="973">
        <f t="shared" si="0"/>
        <v>3016.7220000000002</v>
      </c>
      <c r="AA4" s="973">
        <f t="shared" si="0"/>
        <v>3961.2119999999995</v>
      </c>
      <c r="AB4" s="973">
        <f t="shared" si="0"/>
        <v>3673.8460000000005</v>
      </c>
      <c r="AC4" s="973">
        <f t="shared" ca="1" si="0"/>
        <v>2571.1367094736847</v>
      </c>
      <c r="AD4" s="980">
        <f>(AA4/W4)^(1/4)-1</f>
        <v>0.62963588997969722</v>
      </c>
      <c r="AE4" s="980">
        <f ca="1">(AC4/AA4)^(1/2)-1</f>
        <v>-0.19434604851579662</v>
      </c>
    </row>
    <row r="5" spans="2:31" ht="12" customHeight="1" x14ac:dyDescent="0.25">
      <c r="B5" s="6" t="s">
        <v>479</v>
      </c>
      <c r="C5" s="7"/>
      <c r="D5" s="7"/>
      <c r="E5" s="7"/>
      <c r="F5" s="7"/>
      <c r="G5" s="7"/>
      <c r="H5" s="7"/>
      <c r="I5" s="123">
        <v>0</v>
      </c>
      <c r="J5" s="123">
        <v>0</v>
      </c>
      <c r="K5" s="123">
        <v>0</v>
      </c>
      <c r="L5" s="123">
        <v>0</v>
      </c>
      <c r="M5" s="123"/>
      <c r="N5" s="123"/>
      <c r="O5" s="8"/>
      <c r="P5" s="8"/>
      <c r="Q5" s="8"/>
      <c r="R5" s="8"/>
      <c r="S5" s="8"/>
      <c r="V5" s="972" t="s">
        <v>1580</v>
      </c>
      <c r="W5" s="982"/>
      <c r="X5" s="983">
        <f>+X4/W4-1</f>
        <v>3.5761221401228527</v>
      </c>
      <c r="Y5" s="983">
        <f>+Y4/X4-1</f>
        <v>-4.8619181776833331E-3</v>
      </c>
      <c r="Z5" s="983">
        <f t="shared" ref="Z5:AC5" si="1">+Z4/Y4-1</f>
        <v>0.17947454786226458</v>
      </c>
      <c r="AA5" s="983">
        <f t="shared" si="1"/>
        <v>0.31308486496269761</v>
      </c>
      <c r="AB5" s="983">
        <f t="shared" si="1"/>
        <v>-7.2544968560127376E-2</v>
      </c>
      <c r="AC5" s="983">
        <f t="shared" ca="1" si="1"/>
        <v>-0.3001512013639972</v>
      </c>
      <c r="AD5" s="982"/>
      <c r="AE5" s="982"/>
    </row>
    <row r="6" spans="2:31" ht="12" customHeight="1" x14ac:dyDescent="0.25">
      <c r="B6" s="6" t="s">
        <v>480</v>
      </c>
      <c r="C6" s="7"/>
      <c r="D6" s="7"/>
      <c r="E6" s="7"/>
      <c r="F6" s="7"/>
      <c r="G6" s="7"/>
      <c r="H6" s="7"/>
      <c r="I6" s="123">
        <v>29.457000000000001</v>
      </c>
      <c r="J6" s="123">
        <v>261.62799999999999</v>
      </c>
      <c r="K6" s="123">
        <v>201.54900000000001</v>
      </c>
      <c r="L6" s="123">
        <v>286.19400000000002</v>
      </c>
      <c r="M6" s="123">
        <v>333.596</v>
      </c>
      <c r="N6" s="123">
        <v>298.23399999999998</v>
      </c>
      <c r="O6" s="8">
        <f ca="1">N6*(1+Assumptions!L658)</f>
        <v>189.92796842105261</v>
      </c>
      <c r="P6" s="8">
        <f ca="1">O6*(1+Assumptions!M658)</f>
        <v>246.9063589473684</v>
      </c>
      <c r="Q6" s="8">
        <f ca="1">P6*(1+Assumptions!N658)</f>
        <v>249.37542253684208</v>
      </c>
      <c r="R6" s="8">
        <f ca="1">Q6*(1+Assumptions!O658)</f>
        <v>251.86917676221051</v>
      </c>
      <c r="S6" s="8">
        <f ca="1">R6*(1+Assumptions!P658)</f>
        <v>254.38786852983262</v>
      </c>
      <c r="V6" s="972" t="s">
        <v>34</v>
      </c>
      <c r="W6" s="981">
        <f>I23</f>
        <v>-4.5639999999999645</v>
      </c>
      <c r="X6" s="981">
        <f t="shared" ref="X6:AC6" si="2">J23</f>
        <v>1040.9459999999999</v>
      </c>
      <c r="Y6" s="981">
        <f t="shared" si="2"/>
        <v>820.68700000000013</v>
      </c>
      <c r="Z6" s="981">
        <f t="shared" si="2"/>
        <v>1016.8030000000001</v>
      </c>
      <c r="AA6" s="981">
        <f t="shared" si="2"/>
        <v>1649.9246999999996</v>
      </c>
      <c r="AB6" s="981">
        <f t="shared" si="2"/>
        <v>1439.0230000000006</v>
      </c>
      <c r="AC6" s="981">
        <f t="shared" ca="1" si="2"/>
        <v>1032.8098848543141</v>
      </c>
      <c r="AD6" s="980" t="s">
        <v>1597</v>
      </c>
      <c r="AE6" s="980">
        <f ca="1">(AC6/AA6)^(1/2)-1</f>
        <v>-0.20881484345629442</v>
      </c>
    </row>
    <row r="7" spans="2:31" ht="12" customHeight="1" x14ac:dyDescent="0.25">
      <c r="B7" s="6" t="s">
        <v>481</v>
      </c>
      <c r="C7" s="7"/>
      <c r="D7" s="7"/>
      <c r="E7" s="7"/>
      <c r="F7" s="7"/>
      <c r="G7" s="7"/>
      <c r="H7" s="7"/>
      <c r="I7" s="123">
        <v>230.041</v>
      </c>
      <c r="J7" s="123">
        <v>1938.0070000000001</v>
      </c>
      <c r="K7" s="123">
        <v>1732.088</v>
      </c>
      <c r="L7" s="123">
        <v>2336.7759999999998</v>
      </c>
      <c r="M7" s="123">
        <v>3256.83</v>
      </c>
      <c r="N7" s="123">
        <v>3001.3760000000002</v>
      </c>
      <c r="O7" s="8">
        <f ca="1">Assumptions!L635</f>
        <v>2006.9727410526318</v>
      </c>
      <c r="P7" s="8">
        <f ca="1">Assumptions!M635</f>
        <v>2739.5177915368427</v>
      </c>
      <c r="Q7" s="8">
        <f ca="1">Assumptions!N635</f>
        <v>2905.2586179248215</v>
      </c>
      <c r="R7" s="8">
        <f ca="1">Assumptions!O635</f>
        <v>3081.0267643092739</v>
      </c>
      <c r="S7" s="8">
        <f ca="1">Assumptions!P635</f>
        <v>3267.4288835499851</v>
      </c>
      <c r="V7" s="972" t="s">
        <v>1580</v>
      </c>
      <c r="W7" s="982"/>
      <c r="X7" s="983">
        <f>+X6/W6-1</f>
        <v>-229.07756354075548</v>
      </c>
      <c r="Y7" s="983">
        <f>+Y6/X6-1</f>
        <v>-0.21159502990548962</v>
      </c>
      <c r="Z7" s="983">
        <f t="shared" ref="Z7:AC7" si="3">+Z6/Y6-1</f>
        <v>0.23896564707373202</v>
      </c>
      <c r="AA7" s="983">
        <f t="shared" si="3"/>
        <v>0.62265915816534712</v>
      </c>
      <c r="AB7" s="983">
        <f t="shared" si="3"/>
        <v>-0.12782504559147401</v>
      </c>
      <c r="AC7" s="983">
        <f t="shared" ca="1" si="3"/>
        <v>-0.28228396290100044</v>
      </c>
      <c r="AD7" s="982"/>
      <c r="AE7" s="982"/>
    </row>
    <row r="8" spans="2:31" ht="12" customHeight="1" x14ac:dyDescent="0.25">
      <c r="B8" s="6" t="s">
        <v>483</v>
      </c>
      <c r="C8" s="7"/>
      <c r="D8" s="7"/>
      <c r="E8" s="7"/>
      <c r="F8" s="7"/>
      <c r="G8" s="7"/>
      <c r="H8" s="7"/>
      <c r="I8" s="123">
        <v>0</v>
      </c>
      <c r="J8" s="123">
        <v>0</v>
      </c>
      <c r="K8" s="123">
        <v>0</v>
      </c>
      <c r="L8" s="123">
        <v>0</v>
      </c>
      <c r="M8" s="123"/>
      <c r="N8" s="123"/>
      <c r="O8" s="8"/>
      <c r="P8" s="8"/>
      <c r="Q8" s="8"/>
      <c r="R8" s="8"/>
      <c r="S8" s="8"/>
      <c r="V8" s="972" t="s">
        <v>1734</v>
      </c>
      <c r="W8" s="989">
        <f>+W6/W4</f>
        <v>-8.126057153031184E-3</v>
      </c>
      <c r="X8" s="989">
        <f t="shared" ref="X8:AC8" si="4">+X6/X4</f>
        <v>0.40500914527743004</v>
      </c>
      <c r="Y8" s="989">
        <f t="shared" si="4"/>
        <v>0.32087127294508355</v>
      </c>
      <c r="Z8" s="989">
        <f t="shared" si="4"/>
        <v>0.33705558549975767</v>
      </c>
      <c r="AA8" s="989">
        <f t="shared" si="4"/>
        <v>0.41652017109914841</v>
      </c>
      <c r="AB8" s="989">
        <f t="shared" si="4"/>
        <v>0.39169388156172047</v>
      </c>
      <c r="AC8" s="989">
        <f t="shared" ca="1" si="4"/>
        <v>0.40169388156172048</v>
      </c>
      <c r="AD8" s="982"/>
      <c r="AE8" s="982"/>
    </row>
    <row r="9" spans="2:31" ht="12" customHeight="1" x14ac:dyDescent="0.25">
      <c r="B9" s="6" t="s">
        <v>482</v>
      </c>
      <c r="C9" s="7"/>
      <c r="D9" s="7"/>
      <c r="E9" s="7"/>
      <c r="F9" s="7"/>
      <c r="G9" s="7"/>
      <c r="H9" s="7"/>
      <c r="I9" s="123">
        <v>0.69699999999999995</v>
      </c>
      <c r="J9" s="123">
        <v>164.07400000000001</v>
      </c>
      <c r="K9" s="123">
        <v>498.64600000000002</v>
      </c>
      <c r="L9" s="123">
        <v>264.29500000000002</v>
      </c>
      <c r="M9" s="123">
        <v>366.2</v>
      </c>
      <c r="N9" s="123">
        <v>369.255</v>
      </c>
      <c r="O9" s="8">
        <f t="shared" ref="O9:S9" si="5">N9</f>
        <v>369.255</v>
      </c>
      <c r="P9" s="8">
        <f t="shared" si="5"/>
        <v>369.255</v>
      </c>
      <c r="Q9" s="8">
        <f t="shared" si="5"/>
        <v>369.255</v>
      </c>
      <c r="R9" s="8">
        <f t="shared" si="5"/>
        <v>369.255</v>
      </c>
      <c r="S9" s="8">
        <f t="shared" si="5"/>
        <v>369.255</v>
      </c>
      <c r="V9" s="972" t="s">
        <v>798</v>
      </c>
      <c r="W9" s="981">
        <f>I49</f>
        <v>-175.42899999999997</v>
      </c>
      <c r="X9" s="981">
        <f t="shared" ref="X9:AC9" si="6">J49</f>
        <v>91.61699999999999</v>
      </c>
      <c r="Y9" s="981">
        <f t="shared" si="6"/>
        <v>-84.357999999999876</v>
      </c>
      <c r="Z9" s="981">
        <f t="shared" si="6"/>
        <v>158.78900000000021</v>
      </c>
      <c r="AA9" s="981">
        <f t="shared" si="6"/>
        <v>673.8906999999997</v>
      </c>
      <c r="AB9" s="981">
        <f t="shared" si="6"/>
        <v>696.90900000000056</v>
      </c>
      <c r="AC9" s="981">
        <f t="shared" si="6"/>
        <v>0</v>
      </c>
      <c r="AD9" s="980" t="s">
        <v>1597</v>
      </c>
      <c r="AE9" s="980">
        <f>(AC9/AA9)^(1/2)-1</f>
        <v>-1</v>
      </c>
    </row>
    <row r="10" spans="2:31" ht="12" customHeight="1" x14ac:dyDescent="0.25">
      <c r="B10" s="6" t="s">
        <v>484</v>
      </c>
      <c r="C10" s="7"/>
      <c r="D10" s="7"/>
      <c r="E10" s="7"/>
      <c r="F10" s="7"/>
      <c r="G10" s="7"/>
      <c r="H10" s="7"/>
      <c r="I10" s="123">
        <v>0</v>
      </c>
      <c r="J10" s="123">
        <v>0</v>
      </c>
      <c r="K10" s="123">
        <v>0</v>
      </c>
      <c r="L10" s="123">
        <v>0</v>
      </c>
      <c r="M10" s="123"/>
      <c r="N10" s="123"/>
      <c r="O10" s="8"/>
      <c r="P10" s="8"/>
      <c r="Q10" s="8"/>
      <c r="R10" s="8"/>
      <c r="S10" s="8"/>
      <c r="V10" s="972" t="s">
        <v>1580</v>
      </c>
      <c r="W10" s="990"/>
      <c r="X10" s="983">
        <f>+X9/W9-1</f>
        <v>-1.5222454668270355</v>
      </c>
      <c r="Y10" s="983">
        <f>+Y9/X9-1</f>
        <v>-1.9207679797417496</v>
      </c>
      <c r="Z10" s="983">
        <f t="shared" ref="Z10:AA10" si="7">+Z9/Y9-1</f>
        <v>-2.8823229569216959</v>
      </c>
      <c r="AA10" s="983">
        <f t="shared" si="7"/>
        <v>3.2439381821158824</v>
      </c>
      <c r="AB10" s="983"/>
      <c r="AC10" s="983"/>
      <c r="AD10" s="982"/>
      <c r="AE10" s="982"/>
    </row>
    <row r="11" spans="2:31" ht="12" customHeight="1" x14ac:dyDescent="0.25">
      <c r="B11" s="6" t="s">
        <v>485</v>
      </c>
      <c r="C11" s="7"/>
      <c r="D11" s="7"/>
      <c r="E11" s="7"/>
      <c r="F11" s="7"/>
      <c r="G11" s="7"/>
      <c r="H11" s="7"/>
      <c r="I11" s="123">
        <v>0</v>
      </c>
      <c r="J11" s="123">
        <v>0</v>
      </c>
      <c r="K11" s="123">
        <v>0</v>
      </c>
      <c r="L11" s="123">
        <v>0</v>
      </c>
      <c r="M11" s="123"/>
      <c r="N11" s="123"/>
      <c r="O11" s="8"/>
      <c r="P11" s="8"/>
      <c r="Q11" s="8"/>
      <c r="R11" s="8"/>
      <c r="S11" s="8"/>
    </row>
    <row r="12" spans="2:31" ht="12" customHeight="1" x14ac:dyDescent="0.25">
      <c r="B12" s="6" t="s">
        <v>486</v>
      </c>
      <c r="C12" s="7"/>
      <c r="D12" s="7"/>
      <c r="E12" s="7"/>
      <c r="F12" s="7"/>
      <c r="G12" s="7"/>
      <c r="H12" s="7"/>
      <c r="I12" s="123">
        <v>0</v>
      </c>
      <c r="J12" s="123">
        <v>0</v>
      </c>
      <c r="K12" s="123">
        <v>0</v>
      </c>
      <c r="L12" s="123">
        <v>0</v>
      </c>
      <c r="M12" s="123"/>
      <c r="N12" s="123"/>
      <c r="O12" s="8"/>
      <c r="P12" s="8"/>
      <c r="Q12" s="8"/>
      <c r="R12" s="8"/>
      <c r="S12" s="8"/>
    </row>
    <row r="13" spans="2:31" ht="12" customHeight="1" x14ac:dyDescent="0.25">
      <c r="B13" s="6" t="s">
        <v>487</v>
      </c>
      <c r="C13" s="7"/>
      <c r="D13" s="7"/>
      <c r="E13" s="7"/>
      <c r="F13" s="7"/>
      <c r="G13" s="7"/>
      <c r="H13" s="7"/>
      <c r="I13" s="123">
        <v>297.262</v>
      </c>
      <c r="J13" s="123">
        <v>206.47</v>
      </c>
      <c r="K13" s="123">
        <v>121.215</v>
      </c>
      <c r="L13" s="123">
        <v>124.956</v>
      </c>
      <c r="M13" s="123"/>
      <c r="N13" s="123"/>
      <c r="O13" s="8">
        <f t="shared" ref="O13:S13" si="8">N13</f>
        <v>0</v>
      </c>
      <c r="P13" s="8">
        <f t="shared" si="8"/>
        <v>0</v>
      </c>
      <c r="Q13" s="8">
        <f t="shared" si="8"/>
        <v>0</v>
      </c>
      <c r="R13" s="8">
        <f t="shared" si="8"/>
        <v>0</v>
      </c>
      <c r="S13" s="8">
        <f t="shared" si="8"/>
        <v>0</v>
      </c>
    </row>
    <row r="14" spans="2:31" ht="12" customHeight="1" x14ac:dyDescent="0.25">
      <c r="B14" s="6" t="s">
        <v>488</v>
      </c>
      <c r="C14" s="7"/>
      <c r="D14" s="7"/>
      <c r="E14" s="7"/>
      <c r="F14" s="7"/>
      <c r="G14" s="7"/>
      <c r="H14" s="7"/>
      <c r="I14" s="123">
        <v>4.1929999999999996</v>
      </c>
      <c r="J14" s="123">
        <v>0</v>
      </c>
      <c r="K14" s="123">
        <v>4.1849999999999996</v>
      </c>
      <c r="L14" s="123">
        <v>4.5010000000000003</v>
      </c>
      <c r="M14" s="123">
        <v>4.5860000000000003</v>
      </c>
      <c r="N14" s="123">
        <v>4.9809999999999999</v>
      </c>
      <c r="O14" s="8">
        <f t="shared" ref="O14:S14" si="9">N14</f>
        <v>4.9809999999999999</v>
      </c>
      <c r="P14" s="8">
        <f t="shared" si="9"/>
        <v>4.9809999999999999</v>
      </c>
      <c r="Q14" s="8">
        <f t="shared" si="9"/>
        <v>4.9809999999999999</v>
      </c>
      <c r="R14" s="8">
        <f t="shared" si="9"/>
        <v>4.9809999999999999</v>
      </c>
      <c r="S14" s="8">
        <f t="shared" si="9"/>
        <v>4.9809999999999999</v>
      </c>
    </row>
    <row r="15" spans="2:31" ht="12" customHeight="1" x14ac:dyDescent="0.25">
      <c r="B15" s="6"/>
      <c r="C15" s="7"/>
      <c r="D15" s="7"/>
      <c r="E15" s="7"/>
      <c r="F15" s="7"/>
      <c r="G15" s="7"/>
      <c r="H15" s="7"/>
      <c r="I15" s="7"/>
      <c r="J15" s="7"/>
      <c r="K15" s="7"/>
      <c r="L15" s="7"/>
      <c r="M15" s="7"/>
      <c r="N15" s="7"/>
      <c r="O15" s="8"/>
      <c r="P15" s="8"/>
      <c r="Q15" s="8"/>
      <c r="R15" s="8"/>
      <c r="S15" s="8"/>
    </row>
    <row r="16" spans="2:31" ht="12" customHeight="1" x14ac:dyDescent="0.25">
      <c r="B16" s="9" t="s">
        <v>29</v>
      </c>
      <c r="C16" s="10"/>
      <c r="D16" s="10"/>
      <c r="E16" s="10"/>
      <c r="F16" s="10"/>
      <c r="G16" s="10"/>
      <c r="H16" s="10"/>
      <c r="I16" s="10">
        <f t="shared" ref="I16:N16" si="10">SUM(I4:I14)</f>
        <v>561.65</v>
      </c>
      <c r="J16" s="10">
        <f t="shared" si="10"/>
        <v>2570.1790000000001</v>
      </c>
      <c r="K16" s="10">
        <f t="shared" si="10"/>
        <v>2557.683</v>
      </c>
      <c r="L16" s="10">
        <f t="shared" si="10"/>
        <v>3016.7220000000002</v>
      </c>
      <c r="M16" s="10">
        <f t="shared" si="10"/>
        <v>3961.2119999999995</v>
      </c>
      <c r="N16" s="10">
        <f t="shared" si="10"/>
        <v>3673.8460000000005</v>
      </c>
      <c r="O16" s="5">
        <f t="shared" ref="O16:S16" ca="1" si="11">SUM(O4:O14)</f>
        <v>2571.1367094736847</v>
      </c>
      <c r="P16" s="5">
        <f t="shared" ca="1" si="11"/>
        <v>3360.6601504842115</v>
      </c>
      <c r="Q16" s="5">
        <f t="shared" ca="1" si="11"/>
        <v>3528.8700404616638</v>
      </c>
      <c r="R16" s="5">
        <f t="shared" ca="1" si="11"/>
        <v>3707.1319410714846</v>
      </c>
      <c r="S16" s="5">
        <f t="shared" ca="1" si="11"/>
        <v>3896.0527520798182</v>
      </c>
    </row>
    <row r="17" spans="2:19" s="14" customFormat="1" ht="12" customHeight="1" x14ac:dyDescent="0.25">
      <c r="B17" s="11" t="s">
        <v>30</v>
      </c>
      <c r="C17" s="12" t="str">
        <f>IF(ISERROR(C16/#REF!-1)," ",C16/#REF!-1)</f>
        <v xml:space="preserve"> </v>
      </c>
      <c r="D17" s="12" t="str">
        <f>IF(ISERROR(D16/#REF!-1)," ",D16/#REF!-1)</f>
        <v xml:space="preserve"> </v>
      </c>
      <c r="E17" s="12" t="str">
        <f>IF(ISERROR(E16/#REF!-1)," ",E16/#REF!-1)</f>
        <v xml:space="preserve"> </v>
      </c>
      <c r="F17" s="12" t="str">
        <f>IF(ISERROR(F16/#REF!-1)," ",F16/#REF!-1)</f>
        <v xml:space="preserve"> </v>
      </c>
      <c r="G17" s="12" t="str">
        <f>IF(ISERROR(G16/#REF!-1)," ",G16/#REF!-1)</f>
        <v xml:space="preserve"> </v>
      </c>
      <c r="H17" s="12" t="str">
        <f>IF(ISERROR(H16/#REF!-1)," ",H16/#REF!-1)</f>
        <v xml:space="preserve"> </v>
      </c>
      <c r="I17" s="12" t="str">
        <f>IF(ISERROR(I16/#REF!-1)," ",I16/#REF!-1)</f>
        <v xml:space="preserve"> </v>
      </c>
      <c r="J17" s="12">
        <f>IF(ISERROR(J16/I16-1)," ",J16/I16-1)</f>
        <v>3.5761221401228527</v>
      </c>
      <c r="K17" s="12">
        <f>IF(ISERROR(K16/J16-1)," ",K16/J16-1)</f>
        <v>-4.8619181776833331E-3</v>
      </c>
      <c r="L17" s="12">
        <f>IF(ISERROR(L16/K16-1)," ",L16/K16-1)</f>
        <v>0.17947454786226458</v>
      </c>
      <c r="M17" s="12">
        <f t="shared" ref="M17:S17" si="12">IF(ISERROR(M16/L16-1)," ",M16/L16-1)</f>
        <v>0.31308486496269761</v>
      </c>
      <c r="N17" s="12">
        <f t="shared" si="12"/>
        <v>-7.2544968560127376E-2</v>
      </c>
      <c r="O17" s="13">
        <f t="shared" ca="1" si="12"/>
        <v>-0.3001512013639972</v>
      </c>
      <c r="P17" s="13">
        <f t="shared" ca="1" si="12"/>
        <v>0.30707174694423123</v>
      </c>
      <c r="Q17" s="13">
        <f t="shared" ca="1" si="12"/>
        <v>5.005263324624365E-2</v>
      </c>
      <c r="R17" s="13">
        <f t="shared" ca="1" si="12"/>
        <v>5.0515292024327252E-2</v>
      </c>
      <c r="S17" s="13">
        <f t="shared" ca="1" si="12"/>
        <v>5.0961447828514306E-2</v>
      </c>
    </row>
    <row r="18" spans="2:19" ht="12" customHeight="1" x14ac:dyDescent="0.25">
      <c r="B18" s="6"/>
      <c r="C18" s="7"/>
      <c r="D18" s="7"/>
      <c r="E18" s="7"/>
      <c r="F18" s="7"/>
      <c r="G18" s="7"/>
      <c r="H18" s="7"/>
      <c r="I18" s="7"/>
      <c r="J18" s="7"/>
      <c r="K18" s="7"/>
      <c r="L18" s="7"/>
      <c r="M18" s="7"/>
      <c r="N18" s="7"/>
      <c r="O18" s="8"/>
      <c r="P18" s="8"/>
      <c r="Q18" s="8"/>
      <c r="R18" s="8"/>
      <c r="S18" s="8"/>
    </row>
    <row r="19" spans="2:19" ht="12" customHeight="1" x14ac:dyDescent="0.25">
      <c r="B19" s="6" t="s">
        <v>31</v>
      </c>
      <c r="C19" s="7"/>
      <c r="D19" s="7"/>
      <c r="E19" s="7"/>
      <c r="F19" s="7"/>
      <c r="G19" s="7"/>
      <c r="H19" s="7"/>
      <c r="I19" s="7">
        <v>178.261</v>
      </c>
      <c r="J19" s="7">
        <v>1123.558</v>
      </c>
      <c r="K19" s="7">
        <v>1358.069</v>
      </c>
      <c r="L19" s="7">
        <v>1582.133</v>
      </c>
      <c r="M19" s="7">
        <v>2009.326</v>
      </c>
      <c r="N19" s="7">
        <v>1938.3989999999999</v>
      </c>
      <c r="O19" s="8"/>
      <c r="P19" s="8"/>
      <c r="Q19" s="8"/>
      <c r="R19" s="8"/>
      <c r="S19" s="8"/>
    </row>
    <row r="20" spans="2:19" ht="12" customHeight="1" x14ac:dyDescent="0.25">
      <c r="B20" s="6" t="s">
        <v>32</v>
      </c>
      <c r="C20" s="7"/>
      <c r="D20" s="7"/>
      <c r="E20" s="7"/>
      <c r="F20" s="7"/>
      <c r="G20" s="7"/>
      <c r="H20" s="7"/>
      <c r="I20" s="7">
        <v>52.497</v>
      </c>
      <c r="J20" s="7">
        <v>106.255</v>
      </c>
      <c r="K20" s="7">
        <v>127.464</v>
      </c>
      <c r="L20" s="7">
        <v>167.88399999999999</v>
      </c>
      <c r="M20" s="7">
        <v>189.07329999999999</v>
      </c>
      <c r="N20" s="7">
        <v>160.86600000000001</v>
      </c>
      <c r="O20" s="8"/>
      <c r="P20" s="8"/>
      <c r="Q20" s="8"/>
      <c r="R20" s="8"/>
      <c r="S20" s="8"/>
    </row>
    <row r="21" spans="2:19" ht="12" customHeight="1" x14ac:dyDescent="0.25">
      <c r="B21" s="6" t="s">
        <v>33</v>
      </c>
      <c r="C21" s="7"/>
      <c r="D21" s="7"/>
      <c r="E21" s="7"/>
      <c r="F21" s="7"/>
      <c r="G21" s="7"/>
      <c r="H21" s="7"/>
      <c r="I21" s="7">
        <v>335.45600000000002</v>
      </c>
      <c r="J21" s="7">
        <v>299.42</v>
      </c>
      <c r="K21" s="7">
        <v>251.46299999999999</v>
      </c>
      <c r="L21" s="7">
        <v>249.90199999999999</v>
      </c>
      <c r="M21" s="7">
        <v>112.88800000000001</v>
      </c>
      <c r="N21" s="7">
        <v>135.55799999999999</v>
      </c>
      <c r="O21" s="8"/>
      <c r="P21" s="8"/>
      <c r="Q21" s="8"/>
      <c r="R21" s="8"/>
      <c r="S21" s="8"/>
    </row>
    <row r="22" spans="2:19" ht="12" customHeight="1" x14ac:dyDescent="0.25">
      <c r="B22" s="6"/>
      <c r="C22" s="7"/>
      <c r="D22" s="7"/>
      <c r="E22" s="7"/>
      <c r="F22" s="7"/>
      <c r="G22" s="7"/>
      <c r="H22" s="7"/>
      <c r="I22" s="7"/>
      <c r="J22" s="7"/>
      <c r="K22" s="7"/>
      <c r="L22" s="7"/>
      <c r="M22" s="7"/>
      <c r="N22" s="7"/>
      <c r="O22" s="8"/>
      <c r="P22" s="8"/>
      <c r="Q22" s="8"/>
      <c r="R22" s="8"/>
      <c r="S22" s="8"/>
    </row>
    <row r="23" spans="2:19" ht="12" customHeight="1" x14ac:dyDescent="0.25">
      <c r="B23" s="9" t="s">
        <v>34</v>
      </c>
      <c r="C23" s="10">
        <f t="shared" ref="C23:J23" si="13">C16-SUM(C19:C21)</f>
        <v>0</v>
      </c>
      <c r="D23" s="10">
        <f t="shared" si="13"/>
        <v>0</v>
      </c>
      <c r="E23" s="10">
        <f t="shared" si="13"/>
        <v>0</v>
      </c>
      <c r="F23" s="10">
        <f t="shared" si="13"/>
        <v>0</v>
      </c>
      <c r="G23" s="10">
        <f t="shared" si="13"/>
        <v>0</v>
      </c>
      <c r="H23" s="10">
        <f t="shared" si="13"/>
        <v>0</v>
      </c>
      <c r="I23" s="10">
        <f t="shared" si="13"/>
        <v>-4.5639999999999645</v>
      </c>
      <c r="J23" s="10">
        <f t="shared" si="13"/>
        <v>1040.9459999999999</v>
      </c>
      <c r="K23" s="10">
        <f>K16-SUM(K19:K21)</f>
        <v>820.68700000000013</v>
      </c>
      <c r="L23" s="10">
        <f>L16-SUM(L19:L21)</f>
        <v>1016.8030000000001</v>
      </c>
      <c r="M23" s="10">
        <f>M16-SUM(M19:M21)</f>
        <v>1649.9246999999996</v>
      </c>
      <c r="N23" s="10">
        <f>N16-SUM(N19:N21)</f>
        <v>1439.0230000000006</v>
      </c>
      <c r="O23" s="5">
        <f t="shared" ref="O23:S23" ca="1" si="14">O16*O24</f>
        <v>1032.8098848543141</v>
      </c>
      <c r="P23" s="5">
        <f t="shared" ca="1" si="14"/>
        <v>1349.9566204577986</v>
      </c>
      <c r="Q23" s="5">
        <f t="shared" ca="1" si="14"/>
        <v>1417.5255040799113</v>
      </c>
      <c r="R23" s="5">
        <f t="shared" ca="1" si="14"/>
        <v>1489.1322188704398</v>
      </c>
      <c r="S23" s="5">
        <f t="shared" ca="1" si="14"/>
        <v>1565.0205527521657</v>
      </c>
    </row>
    <row r="24" spans="2:19" ht="12" customHeight="1" x14ac:dyDescent="0.25">
      <c r="B24" s="15" t="s">
        <v>35</v>
      </c>
      <c r="C24" s="16" t="str">
        <f t="shared" ref="C24:L24" si="15">IF(ISERROR(C23/C16)," ",C23/C16)</f>
        <v xml:space="preserve"> </v>
      </c>
      <c r="D24" s="16" t="str">
        <f t="shared" si="15"/>
        <v xml:space="preserve"> </v>
      </c>
      <c r="E24" s="16" t="str">
        <f t="shared" si="15"/>
        <v xml:space="preserve"> </v>
      </c>
      <c r="F24" s="16" t="str">
        <f t="shared" si="15"/>
        <v xml:space="preserve"> </v>
      </c>
      <c r="G24" s="16" t="str">
        <f t="shared" si="15"/>
        <v xml:space="preserve"> </v>
      </c>
      <c r="H24" s="16" t="str">
        <f t="shared" si="15"/>
        <v xml:space="preserve"> </v>
      </c>
      <c r="I24" s="16">
        <f t="shared" si="15"/>
        <v>-8.126057153031184E-3</v>
      </c>
      <c r="J24" s="16">
        <f t="shared" si="15"/>
        <v>0.40500914527743004</v>
      </c>
      <c r="K24" s="16">
        <f t="shared" si="15"/>
        <v>0.32087127294508355</v>
      </c>
      <c r="L24" s="16">
        <f t="shared" si="15"/>
        <v>0.33705558549975767</v>
      </c>
      <c r="M24" s="16">
        <f>IF(ISERROR(M23/M16)," ",M23/M16)</f>
        <v>0.41652017109914841</v>
      </c>
      <c r="N24" s="16">
        <f>IF(ISERROR(N23/N16)," ",N23/N16)</f>
        <v>0.39169388156172047</v>
      </c>
      <c r="O24" s="198">
        <f>N24+1%</f>
        <v>0.40169388156172048</v>
      </c>
      <c r="P24" s="198">
        <f t="shared" ref="P24:S24" si="16">O24</f>
        <v>0.40169388156172048</v>
      </c>
      <c r="Q24" s="198">
        <f t="shared" si="16"/>
        <v>0.40169388156172048</v>
      </c>
      <c r="R24" s="198">
        <f t="shared" si="16"/>
        <v>0.40169388156172048</v>
      </c>
      <c r="S24" s="198">
        <f t="shared" si="16"/>
        <v>0.40169388156172048</v>
      </c>
    </row>
    <row r="25" spans="2:19"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t="str">
        <f>IF(ISERROR(F23/#REF!-1)," ",F23/#REF!-1)</f>
        <v xml:space="preserve"> </v>
      </c>
      <c r="G25" s="12" t="str">
        <f>IF(ISERROR(G23/#REF!-1)," ",G23/#REF!-1)</f>
        <v xml:space="preserve"> </v>
      </c>
      <c r="H25" s="12" t="str">
        <f>IF(ISERROR(H23/#REF!-1)," ",H23/#REF!-1)</f>
        <v xml:space="preserve"> </v>
      </c>
      <c r="I25" s="12" t="str">
        <f>IF(ISERROR(I23/#REF!-1)," ",I23/#REF!-1)</f>
        <v xml:space="preserve"> </v>
      </c>
      <c r="J25" s="12">
        <f>IF(ISERROR(J23/I23-1)," ",J23/I23-1)</f>
        <v>-229.07756354075548</v>
      </c>
      <c r="K25" s="12">
        <f>IF(ISERROR(K23/J23-1)," ",K23/J23-1)</f>
        <v>-0.21159502990548962</v>
      </c>
      <c r="L25" s="12">
        <f>IF(ISERROR(L23/K23-1)," ",L23/K23-1)</f>
        <v>0.23896564707373202</v>
      </c>
      <c r="M25" s="12">
        <f>IF(ISERROR(M23/L23-1)," ",M23/L23-1)</f>
        <v>0.62265915816534712</v>
      </c>
      <c r="N25" s="12">
        <f>IF(ISERROR(N23/M23-1)," ",N23/M23-1)</f>
        <v>-0.12782504559147401</v>
      </c>
      <c r="O25" s="13"/>
      <c r="P25" s="13"/>
      <c r="Q25" s="13"/>
      <c r="R25" s="13"/>
      <c r="S25" s="13"/>
    </row>
    <row r="26" spans="2:19" ht="12" customHeight="1" x14ac:dyDescent="0.25">
      <c r="B26" s="15"/>
      <c r="C26" s="16"/>
      <c r="D26" s="16"/>
      <c r="E26" s="16"/>
      <c r="F26" s="16"/>
      <c r="G26" s="16"/>
      <c r="H26" s="16"/>
      <c r="I26" s="16"/>
      <c r="J26" s="16"/>
      <c r="K26" s="16"/>
      <c r="L26" s="16"/>
      <c r="M26" s="16"/>
      <c r="N26" s="16"/>
      <c r="O26" s="17"/>
      <c r="P26" s="17"/>
      <c r="Q26" s="17"/>
      <c r="R26" s="17"/>
      <c r="S26" s="17"/>
    </row>
    <row r="27" spans="2:19" ht="12" customHeight="1" x14ac:dyDescent="0.25">
      <c r="B27" s="6" t="s">
        <v>36</v>
      </c>
      <c r="C27" s="7"/>
      <c r="D27" s="7"/>
      <c r="E27" s="7"/>
      <c r="F27" s="7"/>
      <c r="G27" s="7"/>
      <c r="H27" s="7"/>
      <c r="I27" s="7">
        <v>11.115</v>
      </c>
      <c r="J27" s="7">
        <v>41.948</v>
      </c>
      <c r="K27" s="7">
        <v>38.414000000000001</v>
      </c>
      <c r="L27" s="7">
        <v>83.697999999999993</v>
      </c>
      <c r="M27" s="7">
        <v>109.664</v>
      </c>
      <c r="N27" s="7">
        <v>152.41499999999999</v>
      </c>
      <c r="O27" s="8"/>
      <c r="P27" s="8"/>
      <c r="Q27" s="8"/>
      <c r="R27" s="8"/>
      <c r="S27" s="8"/>
    </row>
    <row r="28" spans="2:19" ht="12" customHeight="1" x14ac:dyDescent="0.25">
      <c r="B28" s="6" t="s">
        <v>37</v>
      </c>
      <c r="C28" s="7"/>
      <c r="D28" s="7"/>
      <c r="E28" s="7"/>
      <c r="F28" s="7"/>
      <c r="G28" s="7"/>
      <c r="H28" s="7"/>
      <c r="I28" s="7">
        <v>97.004000000000005</v>
      </c>
      <c r="J28" s="7">
        <v>370.27600000000001</v>
      </c>
      <c r="K28" s="7">
        <v>377.88900000000001</v>
      </c>
      <c r="L28" s="7">
        <v>372.86099999999999</v>
      </c>
      <c r="M28" s="7">
        <v>380.53399999999999</v>
      </c>
      <c r="N28" s="7">
        <v>379.90499999999997</v>
      </c>
      <c r="O28" s="8"/>
      <c r="P28" s="8"/>
      <c r="Q28" s="8"/>
      <c r="R28" s="8"/>
      <c r="S28" s="8"/>
    </row>
    <row r="29" spans="2:19" ht="12" customHeight="1" x14ac:dyDescent="0.25">
      <c r="B29" s="6"/>
      <c r="C29" s="7"/>
      <c r="D29" s="7"/>
      <c r="E29" s="7"/>
      <c r="F29" s="7"/>
      <c r="G29" s="7"/>
      <c r="H29" s="7"/>
      <c r="I29" s="7"/>
      <c r="J29" s="7"/>
      <c r="K29" s="7"/>
      <c r="L29" s="7"/>
      <c r="M29" s="7"/>
      <c r="N29" s="7"/>
      <c r="O29" s="8"/>
      <c r="P29" s="8"/>
      <c r="Q29" s="8"/>
      <c r="R29" s="8"/>
      <c r="S29" s="8"/>
    </row>
    <row r="30" spans="2:19" ht="12" customHeight="1" x14ac:dyDescent="0.25">
      <c r="B30" s="9" t="s">
        <v>38</v>
      </c>
      <c r="C30" s="10">
        <f t="shared" ref="C30:M30" si="17">C23+C27-C28</f>
        <v>0</v>
      </c>
      <c r="D30" s="10">
        <f t="shared" si="17"/>
        <v>0</v>
      </c>
      <c r="E30" s="10">
        <f t="shared" si="17"/>
        <v>0</v>
      </c>
      <c r="F30" s="10">
        <f t="shared" si="17"/>
        <v>0</v>
      </c>
      <c r="G30" s="10">
        <f t="shared" si="17"/>
        <v>0</v>
      </c>
      <c r="H30" s="10">
        <f t="shared" si="17"/>
        <v>0</v>
      </c>
      <c r="I30" s="10">
        <f t="shared" si="17"/>
        <v>-90.452999999999975</v>
      </c>
      <c r="J30" s="10">
        <f t="shared" si="17"/>
        <v>712.61799999999994</v>
      </c>
      <c r="K30" s="10">
        <f t="shared" si="17"/>
        <v>481.2120000000001</v>
      </c>
      <c r="L30" s="10">
        <f t="shared" si="17"/>
        <v>727.64000000000021</v>
      </c>
      <c r="M30" s="10">
        <f t="shared" si="17"/>
        <v>1379.0546999999997</v>
      </c>
      <c r="N30" s="10">
        <f t="shared" ref="N30" si="18">N23+N27-N28</f>
        <v>1211.5330000000006</v>
      </c>
      <c r="O30" s="5"/>
      <c r="P30" s="5"/>
      <c r="Q30" s="5"/>
      <c r="R30" s="5"/>
      <c r="S30" s="5"/>
    </row>
    <row r="31" spans="2:19" ht="12" customHeight="1" x14ac:dyDescent="0.25">
      <c r="B31" s="6"/>
      <c r="C31" s="7"/>
      <c r="D31" s="7"/>
      <c r="E31" s="7"/>
      <c r="F31" s="7"/>
      <c r="G31" s="7"/>
      <c r="H31" s="7"/>
      <c r="I31" s="7"/>
      <c r="J31" s="7"/>
      <c r="K31" s="7"/>
      <c r="L31" s="7"/>
      <c r="M31" s="7"/>
      <c r="N31" s="7"/>
      <c r="O31" s="8"/>
      <c r="P31" s="8"/>
      <c r="Q31" s="8"/>
      <c r="R31" s="8"/>
      <c r="S31" s="8"/>
    </row>
    <row r="32" spans="2:19" ht="12" customHeight="1" x14ac:dyDescent="0.25">
      <c r="B32" s="6" t="s">
        <v>39</v>
      </c>
      <c r="C32" s="7"/>
      <c r="D32" s="7"/>
      <c r="E32" s="7"/>
      <c r="F32" s="7"/>
      <c r="G32" s="7"/>
      <c r="H32" s="7"/>
      <c r="I32" s="7">
        <v>152.37</v>
      </c>
      <c r="J32" s="7">
        <v>581.45899999999995</v>
      </c>
      <c r="K32" s="7">
        <v>625.34199999999998</v>
      </c>
      <c r="L32" s="7">
        <v>490.51</v>
      </c>
      <c r="M32" s="7">
        <v>443.36900000000003</v>
      </c>
      <c r="N32" s="7">
        <v>327.58199999999999</v>
      </c>
      <c r="O32" s="8"/>
      <c r="P32" s="8"/>
      <c r="Q32" s="8"/>
      <c r="R32" s="8"/>
      <c r="S32" s="8"/>
    </row>
    <row r="33" spans="2:19" ht="12" customHeight="1" x14ac:dyDescent="0.25">
      <c r="B33" s="6" t="s">
        <v>307</v>
      </c>
      <c r="C33" s="7"/>
      <c r="D33" s="7"/>
      <c r="E33" s="7"/>
      <c r="F33" s="7"/>
      <c r="G33" s="7"/>
      <c r="H33" s="7"/>
      <c r="I33" s="7"/>
      <c r="J33" s="7"/>
      <c r="K33" s="7"/>
      <c r="L33" s="7"/>
      <c r="M33" s="7"/>
      <c r="N33" s="7"/>
      <c r="O33" s="8"/>
      <c r="P33" s="8"/>
      <c r="Q33" s="8"/>
      <c r="R33" s="8"/>
      <c r="S33" s="8"/>
    </row>
    <row r="34" spans="2:19" ht="12" customHeight="1" x14ac:dyDescent="0.25">
      <c r="B34" s="6"/>
      <c r="C34" s="7"/>
      <c r="D34" s="7"/>
      <c r="E34" s="7"/>
      <c r="F34" s="7"/>
      <c r="G34" s="7"/>
      <c r="H34" s="7"/>
      <c r="I34" s="7"/>
      <c r="J34" s="7"/>
      <c r="K34" s="7"/>
      <c r="L34" s="7"/>
      <c r="M34" s="7"/>
      <c r="N34" s="7"/>
      <c r="O34" s="8"/>
      <c r="P34" s="8"/>
      <c r="Q34" s="8"/>
      <c r="R34" s="8"/>
      <c r="S34" s="8"/>
    </row>
    <row r="35" spans="2:19" ht="12" customHeight="1" x14ac:dyDescent="0.25">
      <c r="B35" s="9" t="s">
        <v>40</v>
      </c>
      <c r="C35" s="10">
        <f t="shared" ref="C35:M35" si="19">C30-C32-C33</f>
        <v>0</v>
      </c>
      <c r="D35" s="10">
        <f t="shared" si="19"/>
        <v>0</v>
      </c>
      <c r="E35" s="10">
        <f t="shared" si="19"/>
        <v>0</v>
      </c>
      <c r="F35" s="10">
        <f t="shared" si="19"/>
        <v>0</v>
      </c>
      <c r="G35" s="10">
        <f t="shared" si="19"/>
        <v>0</v>
      </c>
      <c r="H35" s="10">
        <f t="shared" si="19"/>
        <v>0</v>
      </c>
      <c r="I35" s="10">
        <f t="shared" si="19"/>
        <v>-242.82299999999998</v>
      </c>
      <c r="J35" s="10">
        <f t="shared" si="19"/>
        <v>131.15899999999999</v>
      </c>
      <c r="K35" s="10">
        <f t="shared" si="19"/>
        <v>-144.12999999999988</v>
      </c>
      <c r="L35" s="10">
        <f t="shared" si="19"/>
        <v>237.13000000000022</v>
      </c>
      <c r="M35" s="10">
        <f t="shared" si="19"/>
        <v>935.68569999999966</v>
      </c>
      <c r="N35" s="10">
        <f t="shared" ref="N35" si="20">N30-N32-N33</f>
        <v>883.95100000000059</v>
      </c>
      <c r="O35" s="5"/>
      <c r="P35" s="5"/>
      <c r="Q35" s="5"/>
      <c r="R35" s="5"/>
      <c r="S35" s="5"/>
    </row>
    <row r="36" spans="2:19" ht="12" customHeight="1" x14ac:dyDescent="0.25">
      <c r="B36" s="6"/>
      <c r="C36" s="7"/>
      <c r="D36" s="7"/>
      <c r="E36" s="7"/>
      <c r="F36" s="7"/>
      <c r="G36" s="7"/>
      <c r="H36" s="7"/>
      <c r="I36" s="7"/>
      <c r="J36" s="7"/>
      <c r="K36" s="7"/>
      <c r="L36" s="7"/>
      <c r="M36" s="7"/>
      <c r="N36" s="7"/>
      <c r="O36" s="8"/>
      <c r="P36" s="8"/>
      <c r="Q36" s="8"/>
      <c r="R36" s="8"/>
      <c r="S36" s="8"/>
    </row>
    <row r="37" spans="2:19" ht="12" customHeight="1" x14ac:dyDescent="0.25">
      <c r="B37" s="6" t="s">
        <v>41</v>
      </c>
      <c r="C37" s="7"/>
      <c r="D37" s="7"/>
      <c r="E37" s="7"/>
      <c r="F37" s="7"/>
      <c r="G37" s="7"/>
      <c r="H37" s="7"/>
      <c r="I37" s="7"/>
      <c r="J37" s="7"/>
      <c r="K37" s="7"/>
      <c r="L37" s="7"/>
      <c r="M37" s="7"/>
      <c r="N37" s="7"/>
      <c r="O37" s="8"/>
      <c r="P37" s="8"/>
      <c r="Q37" s="8"/>
      <c r="R37" s="8"/>
      <c r="S37" s="8"/>
    </row>
    <row r="38" spans="2:19" ht="12" customHeight="1" x14ac:dyDescent="0.25">
      <c r="B38" s="6" t="s">
        <v>42</v>
      </c>
      <c r="C38" s="7"/>
      <c r="D38" s="7"/>
      <c r="E38" s="7"/>
      <c r="F38" s="7"/>
      <c r="G38" s="7"/>
      <c r="H38" s="7"/>
      <c r="I38" s="122">
        <v>0</v>
      </c>
      <c r="J38" s="122">
        <v>0</v>
      </c>
      <c r="K38" s="7">
        <v>6.125</v>
      </c>
      <c r="L38" s="7">
        <v>41.430999999999997</v>
      </c>
      <c r="M38" s="7">
        <v>163.815</v>
      </c>
      <c r="N38" s="7">
        <v>154.44399999999999</v>
      </c>
      <c r="O38" s="8"/>
      <c r="P38" s="8"/>
      <c r="Q38" s="8"/>
      <c r="R38" s="8"/>
      <c r="S38" s="8"/>
    </row>
    <row r="39" spans="2:19" ht="12" customHeight="1" x14ac:dyDescent="0.25">
      <c r="B39" s="6" t="s">
        <v>43</v>
      </c>
      <c r="C39" s="7"/>
      <c r="D39" s="7"/>
      <c r="E39" s="7"/>
      <c r="F39" s="7"/>
      <c r="G39" s="7"/>
      <c r="H39" s="7"/>
      <c r="I39" s="7">
        <v>-67.394000000000005</v>
      </c>
      <c r="J39" s="7">
        <v>39.542000000000002</v>
      </c>
      <c r="K39" s="7">
        <v>-65.897000000000006</v>
      </c>
      <c r="L39" s="7">
        <v>33.453000000000003</v>
      </c>
      <c r="M39" s="7">
        <v>108.62</v>
      </c>
      <c r="N39" s="7">
        <v>55.963000000000001</v>
      </c>
      <c r="O39" s="8"/>
      <c r="P39" s="8"/>
      <c r="Q39" s="8"/>
      <c r="R39" s="8"/>
      <c r="S39" s="8"/>
    </row>
    <row r="40" spans="2:19" ht="12" customHeight="1" x14ac:dyDescent="0.25">
      <c r="B40" s="6" t="s">
        <v>44</v>
      </c>
      <c r="C40" s="7"/>
      <c r="D40" s="7"/>
      <c r="E40" s="7"/>
      <c r="F40" s="7"/>
      <c r="G40" s="7"/>
      <c r="H40" s="7"/>
      <c r="I40" s="7"/>
      <c r="J40" s="7"/>
      <c r="K40" s="7"/>
      <c r="L40" s="7">
        <v>3.4569999999999999</v>
      </c>
      <c r="M40" s="7">
        <v>-10.64</v>
      </c>
      <c r="N40" s="7">
        <v>-23.364999999999998</v>
      </c>
      <c r="O40" s="8"/>
      <c r="P40" s="8"/>
      <c r="Q40" s="8"/>
      <c r="R40" s="8"/>
      <c r="S40" s="8"/>
    </row>
    <row r="41" spans="2:19" s="18" customFormat="1" ht="12" customHeight="1" x14ac:dyDescent="0.25">
      <c r="B41" s="9" t="s">
        <v>45</v>
      </c>
      <c r="C41" s="10">
        <f t="shared" ref="C41:L41" si="21">SUM(C38:C40)</f>
        <v>0</v>
      </c>
      <c r="D41" s="10">
        <f t="shared" si="21"/>
        <v>0</v>
      </c>
      <c r="E41" s="10">
        <f t="shared" si="21"/>
        <v>0</v>
      </c>
      <c r="F41" s="10">
        <f t="shared" si="21"/>
        <v>0</v>
      </c>
      <c r="G41" s="10">
        <f t="shared" si="21"/>
        <v>0</v>
      </c>
      <c r="H41" s="10">
        <f t="shared" si="21"/>
        <v>0</v>
      </c>
      <c r="I41" s="10">
        <f t="shared" si="21"/>
        <v>-67.394000000000005</v>
      </c>
      <c r="J41" s="10">
        <f t="shared" si="21"/>
        <v>39.542000000000002</v>
      </c>
      <c r="K41" s="10">
        <f t="shared" si="21"/>
        <v>-59.772000000000006</v>
      </c>
      <c r="L41" s="10">
        <f t="shared" si="21"/>
        <v>78.340999999999994</v>
      </c>
      <c r="M41" s="10">
        <f>SUM(M38:M40)</f>
        <v>261.79500000000002</v>
      </c>
      <c r="N41" s="10">
        <f>SUM(N38:N40)</f>
        <v>187.04199999999997</v>
      </c>
      <c r="O41" s="5"/>
      <c r="P41" s="5"/>
      <c r="Q41" s="5"/>
      <c r="R41" s="5"/>
      <c r="S41" s="5"/>
    </row>
    <row r="42" spans="2:19" ht="12" customHeight="1" x14ac:dyDescent="0.25">
      <c r="B42" s="19" t="s">
        <v>46</v>
      </c>
      <c r="C42" s="12" t="str">
        <f t="shared" ref="C42:L42" si="22">IF(ISERROR(C41/C35)," ",C41/C35)</f>
        <v xml:space="preserve"> </v>
      </c>
      <c r="D42" s="12" t="str">
        <f t="shared" si="22"/>
        <v xml:space="preserve"> </v>
      </c>
      <c r="E42" s="12" t="str">
        <f t="shared" si="22"/>
        <v xml:space="preserve"> </v>
      </c>
      <c r="F42" s="12" t="str">
        <f t="shared" si="22"/>
        <v xml:space="preserve"> </v>
      </c>
      <c r="G42" s="12" t="str">
        <f t="shared" si="22"/>
        <v xml:space="preserve"> </v>
      </c>
      <c r="H42" s="12" t="str">
        <f t="shared" si="22"/>
        <v xml:space="preserve"> </v>
      </c>
      <c r="I42" s="12">
        <f t="shared" si="22"/>
        <v>0.27754372526490495</v>
      </c>
      <c r="J42" s="12">
        <f t="shared" si="22"/>
        <v>0.3014814080619706</v>
      </c>
      <c r="K42" s="12">
        <f t="shared" si="22"/>
        <v>0.41470894331506319</v>
      </c>
      <c r="L42" s="12">
        <f t="shared" si="22"/>
        <v>0.33037152616708099</v>
      </c>
      <c r="M42" s="12">
        <f>IF(ISERROR(M41/M35)," ",M41/M35)</f>
        <v>0.2797894634918543</v>
      </c>
      <c r="N42" s="12">
        <f>IF(ISERROR(N41/N35)," ",N41/N35)</f>
        <v>0.21159770168255915</v>
      </c>
      <c r="O42" s="13"/>
      <c r="P42" s="13"/>
      <c r="Q42" s="13"/>
      <c r="R42" s="13"/>
      <c r="S42" s="13"/>
    </row>
    <row r="43" spans="2:19" ht="12" customHeight="1" x14ac:dyDescent="0.25">
      <c r="B43" s="19"/>
      <c r="C43" s="12"/>
      <c r="D43" s="12"/>
      <c r="E43" s="12"/>
      <c r="F43" s="12"/>
      <c r="G43" s="12"/>
      <c r="H43" s="12"/>
      <c r="I43" s="12"/>
      <c r="J43" s="12"/>
      <c r="K43" s="12"/>
      <c r="L43" s="12"/>
      <c r="M43" s="12"/>
      <c r="N43" s="12"/>
      <c r="O43" s="13"/>
      <c r="P43" s="13"/>
      <c r="Q43" s="13"/>
      <c r="R43" s="13"/>
      <c r="S43" s="13"/>
    </row>
    <row r="44" spans="2:19" ht="12" customHeight="1" x14ac:dyDescent="0.25">
      <c r="B44" s="9" t="s">
        <v>47</v>
      </c>
      <c r="C44" s="10">
        <f t="shared" ref="C44:L44" si="23">C35-C36-C41</f>
        <v>0</v>
      </c>
      <c r="D44" s="10">
        <f t="shared" si="23"/>
        <v>0</v>
      </c>
      <c r="E44" s="10">
        <f t="shared" si="23"/>
        <v>0</v>
      </c>
      <c r="F44" s="10">
        <f t="shared" si="23"/>
        <v>0</v>
      </c>
      <c r="G44" s="10">
        <f t="shared" si="23"/>
        <v>0</v>
      </c>
      <c r="H44" s="10">
        <f t="shared" si="23"/>
        <v>0</v>
      </c>
      <c r="I44" s="10">
        <f t="shared" si="23"/>
        <v>-175.42899999999997</v>
      </c>
      <c r="J44" s="10">
        <f t="shared" si="23"/>
        <v>91.61699999999999</v>
      </c>
      <c r="K44" s="10">
        <f t="shared" si="23"/>
        <v>-84.357999999999876</v>
      </c>
      <c r="L44" s="10">
        <f t="shared" si="23"/>
        <v>158.78900000000021</v>
      </c>
      <c r="M44" s="10">
        <f>M35-M36-M41</f>
        <v>673.8906999999997</v>
      </c>
      <c r="N44" s="10">
        <f>N35-N36-N41</f>
        <v>696.90900000000056</v>
      </c>
      <c r="O44" s="5"/>
      <c r="P44" s="5"/>
      <c r="Q44" s="5"/>
      <c r="R44" s="5"/>
      <c r="S44" s="5"/>
    </row>
    <row r="45" spans="2:19" ht="12" customHeight="1" x14ac:dyDescent="0.25">
      <c r="B45" s="6"/>
      <c r="C45" s="7"/>
      <c r="D45" s="7"/>
      <c r="E45" s="7"/>
      <c r="F45" s="7"/>
      <c r="G45" s="7"/>
      <c r="H45" s="7"/>
      <c r="I45" s="7"/>
      <c r="J45" s="7"/>
      <c r="K45" s="7"/>
      <c r="L45" s="7"/>
      <c r="M45" s="7"/>
      <c r="N45" s="7"/>
      <c r="O45" s="8"/>
      <c r="P45" s="8"/>
      <c r="Q45" s="8"/>
      <c r="R45" s="8"/>
      <c r="S45" s="8"/>
    </row>
    <row r="46" spans="2:19" ht="12" customHeight="1" x14ac:dyDescent="0.25">
      <c r="B46" s="6" t="s">
        <v>48</v>
      </c>
      <c r="C46" s="7"/>
      <c r="D46" s="7"/>
      <c r="E46" s="7"/>
      <c r="F46" s="7"/>
      <c r="G46" s="7"/>
      <c r="H46" s="7"/>
      <c r="I46" s="7"/>
      <c r="J46" s="7"/>
      <c r="K46" s="7"/>
      <c r="L46" s="7"/>
      <c r="M46" s="7"/>
      <c r="N46" s="7"/>
      <c r="O46" s="8"/>
      <c r="P46" s="8"/>
      <c r="Q46" s="8"/>
      <c r="R46" s="8"/>
      <c r="S46" s="8"/>
    </row>
    <row r="47" spans="2:19" ht="12" customHeight="1" x14ac:dyDescent="0.25">
      <c r="B47" s="6" t="s">
        <v>49</v>
      </c>
      <c r="C47" s="7"/>
      <c r="D47" s="7"/>
      <c r="E47" s="7"/>
      <c r="F47" s="7"/>
      <c r="G47" s="7"/>
      <c r="H47" s="7"/>
      <c r="I47" s="7"/>
      <c r="J47" s="7"/>
      <c r="K47" s="7"/>
      <c r="L47" s="7"/>
      <c r="M47" s="7"/>
      <c r="N47" s="7"/>
      <c r="O47" s="8"/>
      <c r="P47" s="8"/>
      <c r="Q47" s="8"/>
      <c r="R47" s="8"/>
      <c r="S47" s="8"/>
    </row>
    <row r="48" spans="2:19" ht="12" customHeight="1" x14ac:dyDescent="0.25">
      <c r="B48" s="6"/>
      <c r="C48" s="7"/>
      <c r="D48" s="7"/>
      <c r="E48" s="7"/>
      <c r="F48" s="7"/>
      <c r="G48" s="7"/>
      <c r="H48" s="7"/>
      <c r="I48" s="7"/>
      <c r="J48" s="7"/>
      <c r="K48" s="7"/>
      <c r="L48" s="7"/>
      <c r="M48" s="7"/>
      <c r="N48" s="7"/>
      <c r="O48" s="8"/>
      <c r="P48" s="8"/>
      <c r="Q48" s="8"/>
      <c r="R48" s="8"/>
      <c r="S48" s="8"/>
    </row>
    <row r="49" spans="2:19" ht="12" customHeight="1" x14ac:dyDescent="0.25">
      <c r="B49" s="9" t="s">
        <v>50</v>
      </c>
      <c r="C49" s="10">
        <f t="shared" ref="C49:L49" si="24">C44-C46+C47</f>
        <v>0</v>
      </c>
      <c r="D49" s="10">
        <f t="shared" si="24"/>
        <v>0</v>
      </c>
      <c r="E49" s="10">
        <f t="shared" si="24"/>
        <v>0</v>
      </c>
      <c r="F49" s="10">
        <f t="shared" si="24"/>
        <v>0</v>
      </c>
      <c r="G49" s="10">
        <f t="shared" si="24"/>
        <v>0</v>
      </c>
      <c r="H49" s="10">
        <f t="shared" si="24"/>
        <v>0</v>
      </c>
      <c r="I49" s="10">
        <f t="shared" si="24"/>
        <v>-175.42899999999997</v>
      </c>
      <c r="J49" s="10">
        <f t="shared" si="24"/>
        <v>91.61699999999999</v>
      </c>
      <c r="K49" s="10">
        <f t="shared" si="24"/>
        <v>-84.357999999999876</v>
      </c>
      <c r="L49" s="10">
        <f t="shared" si="24"/>
        <v>158.78900000000021</v>
      </c>
      <c r="M49" s="10">
        <f>M44-M46+M47</f>
        <v>673.8906999999997</v>
      </c>
      <c r="N49" s="10">
        <f>N44-N46+N47</f>
        <v>696.90900000000056</v>
      </c>
      <c r="O49" s="5"/>
      <c r="P49" s="5"/>
      <c r="Q49" s="5"/>
      <c r="R49" s="5"/>
      <c r="S49" s="5"/>
    </row>
    <row r="50" spans="2:19" ht="12" customHeight="1" x14ac:dyDescent="0.25">
      <c r="B50" s="15" t="s">
        <v>35</v>
      </c>
      <c r="C50" s="16" t="str">
        <f t="shared" ref="C50:L50" si="25">IF(ISERROR(C49/C16)," ",C49/C16)</f>
        <v xml:space="preserve"> </v>
      </c>
      <c r="D50" s="16" t="str">
        <f t="shared" si="25"/>
        <v xml:space="preserve"> </v>
      </c>
      <c r="E50" s="16" t="str">
        <f t="shared" si="25"/>
        <v xml:space="preserve"> </v>
      </c>
      <c r="F50" s="16" t="str">
        <f t="shared" si="25"/>
        <v xml:space="preserve"> </v>
      </c>
      <c r="G50" s="16" t="str">
        <f t="shared" si="25"/>
        <v xml:space="preserve"> </v>
      </c>
      <c r="H50" s="16" t="str">
        <f t="shared" si="25"/>
        <v xml:space="preserve"> </v>
      </c>
      <c r="I50" s="16">
        <f t="shared" si="25"/>
        <v>-0.31234576693670429</v>
      </c>
      <c r="J50" s="16">
        <f t="shared" si="25"/>
        <v>3.5646155384508237E-2</v>
      </c>
      <c r="K50" s="16">
        <f t="shared" si="25"/>
        <v>-3.298219521340208E-2</v>
      </c>
      <c r="L50" s="16">
        <f t="shared" si="25"/>
        <v>5.263627208605904E-2</v>
      </c>
      <c r="M50" s="16">
        <f>IF(ISERROR(M49/M16)," ",M49/M16)</f>
        <v>0.17012235144193236</v>
      </c>
      <c r="N50" s="16">
        <f>IF(ISERROR(N49/N16)," ",N49/N16)</f>
        <v>0.18969466874768307</v>
      </c>
      <c r="O50" s="17"/>
      <c r="P50" s="17"/>
      <c r="Q50" s="17"/>
      <c r="R50" s="17"/>
      <c r="S50" s="17"/>
    </row>
    <row r="51" spans="2:19" s="14" customFormat="1" ht="12" customHeight="1" x14ac:dyDescent="0.25">
      <c r="B51" s="11" t="s">
        <v>30</v>
      </c>
      <c r="C51" s="12" t="str">
        <f t="shared" ref="C51:K51" si="26">IF(ISERROR(C49/B49-1)," ",C49/B49-1)</f>
        <v xml:space="preserve"> </v>
      </c>
      <c r="D51" s="12" t="str">
        <f t="shared" si="26"/>
        <v xml:space="preserve"> </v>
      </c>
      <c r="E51" s="12" t="str">
        <f t="shared" si="26"/>
        <v xml:space="preserve"> </v>
      </c>
      <c r="F51" s="12" t="str">
        <f t="shared" si="26"/>
        <v xml:space="preserve"> </v>
      </c>
      <c r="G51" s="12" t="str">
        <f t="shared" si="26"/>
        <v xml:space="preserve"> </v>
      </c>
      <c r="H51" s="12" t="str">
        <f t="shared" si="26"/>
        <v xml:space="preserve"> </v>
      </c>
      <c r="I51" s="12" t="str">
        <f t="shared" si="26"/>
        <v xml:space="preserve"> </v>
      </c>
      <c r="J51" s="12">
        <f t="shared" si="26"/>
        <v>-1.5222454668270355</v>
      </c>
      <c r="K51" s="12">
        <f t="shared" si="26"/>
        <v>-1.9207679797417496</v>
      </c>
      <c r="L51" s="12">
        <f>IF(ISERROR(L49/K49-1)," ",L49/K49-1)</f>
        <v>-2.8823229569216959</v>
      </c>
      <c r="M51" s="12">
        <f>IF(ISERROR(M49/L49-1)," ",M49/L49-1)</f>
        <v>3.2439381821158824</v>
      </c>
      <c r="N51" s="12">
        <f>IF(ISERROR(N49/M49-1)," ",N49/M49-1)</f>
        <v>3.4157319577196921E-2</v>
      </c>
      <c r="O51" s="13"/>
      <c r="P51" s="13"/>
      <c r="Q51" s="13"/>
      <c r="R51" s="13"/>
      <c r="S51" s="13"/>
    </row>
    <row r="52" spans="2:19" ht="12" customHeight="1" x14ac:dyDescent="0.25">
      <c r="B52" s="15"/>
      <c r="C52" s="16"/>
      <c r="D52" s="16"/>
      <c r="E52" s="16"/>
      <c r="F52" s="16"/>
      <c r="G52" s="16"/>
      <c r="H52" s="16"/>
      <c r="I52" s="16"/>
      <c r="J52" s="16"/>
      <c r="K52" s="16"/>
      <c r="L52" s="16"/>
      <c r="M52" s="16"/>
      <c r="N52" s="16"/>
      <c r="O52" s="17"/>
      <c r="P52" s="17"/>
      <c r="Q52" s="17"/>
      <c r="R52" s="17"/>
      <c r="S52" s="17"/>
    </row>
    <row r="53" spans="2:19" ht="12" customHeight="1" x14ac:dyDescent="0.25">
      <c r="B53" s="9" t="s">
        <v>51</v>
      </c>
      <c r="C53" s="10"/>
      <c r="D53" s="10"/>
      <c r="E53" s="10"/>
      <c r="F53" s="10"/>
      <c r="G53" s="10"/>
      <c r="H53" s="10"/>
      <c r="I53" s="10"/>
      <c r="J53" s="10"/>
      <c r="K53" s="10"/>
      <c r="L53" s="10"/>
      <c r="M53" s="10"/>
      <c r="N53" s="10"/>
      <c r="O53" s="5"/>
      <c r="P53" s="5"/>
      <c r="Q53" s="5"/>
      <c r="R53" s="5"/>
      <c r="S53" s="5"/>
    </row>
    <row r="54" spans="2:19" ht="12" customHeight="1" x14ac:dyDescent="0.25">
      <c r="B54" s="9" t="s">
        <v>52</v>
      </c>
      <c r="C54" s="20"/>
      <c r="D54" s="20"/>
      <c r="E54" s="20"/>
      <c r="F54" s="20"/>
      <c r="G54" s="20"/>
      <c r="H54" s="20"/>
      <c r="I54" s="20"/>
      <c r="J54" s="20"/>
      <c r="K54" s="20"/>
      <c r="L54" s="20"/>
      <c r="M54" s="20"/>
      <c r="N54" s="20"/>
      <c r="O54" s="21"/>
      <c r="P54" s="21"/>
      <c r="Q54" s="21"/>
      <c r="R54" s="21"/>
      <c r="S54" s="21"/>
    </row>
    <row r="55" spans="2:19" ht="12" customHeight="1" x14ac:dyDescent="0.25">
      <c r="B55" s="9" t="s">
        <v>53</v>
      </c>
      <c r="C55" s="20"/>
      <c r="D55" s="20"/>
      <c r="E55" s="20"/>
      <c r="F55" s="20"/>
      <c r="G55" s="20"/>
      <c r="H55" s="20"/>
      <c r="I55" s="20"/>
      <c r="J55" s="20"/>
      <c r="K55" s="20"/>
      <c r="L55" s="20"/>
      <c r="M55" s="20"/>
      <c r="N55" s="20"/>
      <c r="O55" s="21"/>
      <c r="P55" s="21"/>
      <c r="Q55" s="21"/>
      <c r="R55" s="21"/>
      <c r="S55" s="21"/>
    </row>
    <row r="56" spans="2:19" ht="12" customHeight="1" x14ac:dyDescent="0.25">
      <c r="B56" s="9" t="s">
        <v>54</v>
      </c>
      <c r="C56" s="20"/>
      <c r="D56" s="20"/>
      <c r="E56" s="20"/>
      <c r="F56" s="20"/>
      <c r="G56" s="20"/>
      <c r="H56" s="20"/>
      <c r="I56" s="20"/>
      <c r="J56" s="20"/>
      <c r="K56" s="20"/>
      <c r="L56" s="20"/>
      <c r="M56" s="20"/>
      <c r="N56" s="20"/>
      <c r="O56" s="21"/>
      <c r="P56" s="21"/>
      <c r="Q56" s="21"/>
      <c r="R56" s="21"/>
      <c r="S56" s="21"/>
    </row>
    <row r="57" spans="2:19" ht="12" customHeight="1" x14ac:dyDescent="0.25">
      <c r="B57" s="9" t="s">
        <v>55</v>
      </c>
      <c r="C57" s="20"/>
      <c r="D57" s="20"/>
      <c r="E57" s="20"/>
      <c r="F57" s="20"/>
      <c r="G57" s="20"/>
      <c r="H57" s="20"/>
      <c r="I57" s="20"/>
      <c r="J57" s="20"/>
      <c r="K57" s="20"/>
      <c r="L57" s="20"/>
      <c r="M57" s="20"/>
      <c r="N57" s="20"/>
      <c r="O57" s="21"/>
      <c r="P57" s="21"/>
      <c r="Q57" s="21"/>
      <c r="R57" s="21"/>
      <c r="S57" s="21"/>
    </row>
    <row r="58" spans="2:19" ht="12" customHeight="1" x14ac:dyDescent="0.25">
      <c r="B58" s="9" t="s">
        <v>56</v>
      </c>
      <c r="C58" s="20"/>
      <c r="D58" s="20"/>
      <c r="E58" s="20"/>
      <c r="F58" s="20"/>
      <c r="G58" s="20"/>
      <c r="H58" s="20"/>
      <c r="I58" s="20"/>
      <c r="J58" s="20"/>
      <c r="K58" s="20"/>
      <c r="L58" s="20"/>
      <c r="M58" s="20"/>
      <c r="N58" s="20"/>
      <c r="O58" s="21"/>
      <c r="P58" s="21"/>
      <c r="Q58" s="21"/>
      <c r="R58" s="21"/>
      <c r="S58" s="21"/>
    </row>
    <row r="59" spans="2:19" ht="12" customHeight="1" x14ac:dyDescent="0.25">
      <c r="B59" s="9" t="s">
        <v>57</v>
      </c>
      <c r="C59" s="22"/>
      <c r="D59" s="22"/>
      <c r="E59" s="22"/>
      <c r="F59" s="22"/>
      <c r="G59" s="22"/>
      <c r="H59" s="22"/>
      <c r="I59" s="22"/>
      <c r="J59" s="22"/>
      <c r="K59" s="22"/>
      <c r="L59" s="22"/>
      <c r="M59" s="22"/>
      <c r="N59" s="22"/>
      <c r="O59" s="23"/>
      <c r="P59" s="23"/>
      <c r="Q59" s="23"/>
      <c r="R59" s="23"/>
      <c r="S59" s="23"/>
    </row>
    <row r="60" spans="2:19" ht="12" customHeight="1" x14ac:dyDescent="0.25">
      <c r="B60" s="9" t="s">
        <v>58</v>
      </c>
      <c r="C60" s="10"/>
      <c r="D60" s="10"/>
      <c r="E60" s="10"/>
      <c r="F60" s="10"/>
      <c r="G60" s="10"/>
      <c r="H60" s="10"/>
      <c r="I60" s="10"/>
      <c r="J60" s="10"/>
      <c r="K60" s="10"/>
      <c r="L60" s="10"/>
      <c r="M60" s="10"/>
      <c r="N60" s="10"/>
      <c r="O60" s="5"/>
      <c r="P60" s="5"/>
      <c r="Q60" s="5"/>
      <c r="R60" s="5"/>
      <c r="S60" s="5"/>
    </row>
    <row r="61" spans="2:19" ht="12" customHeight="1" x14ac:dyDescent="0.25">
      <c r="B61" s="9"/>
      <c r="C61" s="10"/>
      <c r="D61" s="10"/>
      <c r="E61" s="10"/>
      <c r="F61" s="10"/>
      <c r="G61" s="10"/>
      <c r="H61" s="10"/>
      <c r="I61" s="10"/>
      <c r="J61" s="10"/>
      <c r="K61" s="10"/>
      <c r="L61" s="10"/>
      <c r="M61" s="10"/>
      <c r="N61" s="10"/>
      <c r="O61" s="5"/>
      <c r="P61" s="5"/>
      <c r="Q61" s="5"/>
      <c r="R61" s="5"/>
      <c r="S61" s="5"/>
    </row>
    <row r="62" spans="2:19" s="26" customFormat="1" ht="12" customHeight="1" x14ac:dyDescent="0.25">
      <c r="B62" s="24"/>
      <c r="C62" s="25"/>
      <c r="D62" s="25"/>
      <c r="E62" s="25"/>
      <c r="F62" s="25"/>
      <c r="G62" s="25"/>
      <c r="H62" s="25"/>
      <c r="I62" s="25"/>
      <c r="J62" s="25"/>
      <c r="K62" s="25"/>
      <c r="L62" s="25"/>
      <c r="M62" s="25"/>
      <c r="N62" s="25"/>
      <c r="O62" s="25"/>
      <c r="P62" s="25"/>
      <c r="Q62" s="25"/>
      <c r="R62" s="25"/>
      <c r="S62" s="25"/>
    </row>
  </sheetData>
  <pageMargins left="0.7" right="0.7" top="0.75" bottom="0.75" header="0.3" footer="0.3"/>
  <pageSetup paperSize="9" orientation="portrait" verticalDpi="300" r:id="rId1"/>
  <ignoredErrors>
    <ignoredError sqref="X6:AC6 AE6"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0D7D5-4F25-493D-897F-00FDE95E9748}">
  <dimension ref="B1:AD62"/>
  <sheetViews>
    <sheetView showGridLines="0" workbookViewId="0">
      <selection activeCell="N2" sqref="N2"/>
    </sheetView>
  </sheetViews>
  <sheetFormatPr defaultColWidth="8.28515625" defaultRowHeight="12" customHeight="1" x14ac:dyDescent="0.25"/>
  <cols>
    <col min="1" max="1" width="3.5703125" style="2" customWidth="1"/>
    <col min="2" max="2" width="35.7109375" style="2" customWidth="1"/>
    <col min="3" max="10" width="8.28515625" style="2" hidden="1" customWidth="1"/>
    <col min="11" max="20" width="8.28515625" style="2"/>
    <col min="21" max="21" width="10" style="2" bestFit="1" customWidth="1"/>
    <col min="22" max="16384" width="8.28515625" style="2"/>
  </cols>
  <sheetData>
    <row r="1" spans="2:30" ht="12" customHeight="1" x14ac:dyDescent="0.25">
      <c r="B1" s="1" t="s">
        <v>221</v>
      </c>
    </row>
    <row r="2" spans="2:30" ht="12" customHeight="1" x14ac:dyDescent="0.25">
      <c r="B2" s="3" t="s">
        <v>17</v>
      </c>
      <c r="C2" s="4" t="s">
        <v>18</v>
      </c>
      <c r="D2" s="4" t="s">
        <v>19</v>
      </c>
      <c r="E2" s="4" t="s">
        <v>20</v>
      </c>
      <c r="F2" s="4" t="s">
        <v>21</v>
      </c>
      <c r="G2" s="4" t="s">
        <v>22</v>
      </c>
      <c r="H2" s="4" t="s">
        <v>23</v>
      </c>
      <c r="I2" s="4" t="s">
        <v>24</v>
      </c>
      <c r="J2" s="4" t="s">
        <v>25</v>
      </c>
      <c r="K2" s="4" t="s">
        <v>26</v>
      </c>
      <c r="L2" s="4" t="s">
        <v>27</v>
      </c>
      <c r="M2" s="4" t="s">
        <v>273</v>
      </c>
      <c r="N2" s="4" t="s">
        <v>347</v>
      </c>
      <c r="O2" s="5" t="s">
        <v>177</v>
      </c>
      <c r="P2" s="5" t="s">
        <v>178</v>
      </c>
      <c r="Q2" s="5" t="s">
        <v>179</v>
      </c>
      <c r="R2" s="5" t="s">
        <v>231</v>
      </c>
      <c r="S2" s="5" t="s">
        <v>232</v>
      </c>
    </row>
    <row r="3" spans="2:30" ht="12" customHeight="1" thickBot="1" x14ac:dyDescent="0.3">
      <c r="B3" s="6"/>
      <c r="C3" s="7"/>
      <c r="D3" s="7"/>
      <c r="E3" s="7"/>
      <c r="F3" s="7"/>
      <c r="G3" s="7"/>
      <c r="H3" s="7"/>
      <c r="I3" s="7"/>
      <c r="J3" s="7"/>
      <c r="K3" s="7"/>
      <c r="L3" s="7"/>
      <c r="M3" s="7"/>
      <c r="N3" s="7"/>
      <c r="O3" s="8"/>
      <c r="P3" s="8"/>
      <c r="Q3" s="8"/>
      <c r="R3" s="8"/>
      <c r="S3" s="8"/>
      <c r="W3" s="970" t="s">
        <v>1704</v>
      </c>
      <c r="X3" s="984" t="s">
        <v>26</v>
      </c>
      <c r="Y3" s="984" t="s">
        <v>27</v>
      </c>
      <c r="Z3" s="984" t="s">
        <v>273</v>
      </c>
      <c r="AA3" s="984" t="s">
        <v>28</v>
      </c>
      <c r="AB3" s="984" t="s">
        <v>177</v>
      </c>
      <c r="AC3" s="971" t="s">
        <v>1737</v>
      </c>
      <c r="AD3" s="971" t="s">
        <v>1736</v>
      </c>
    </row>
    <row r="4" spans="2:30" ht="12" customHeight="1" x14ac:dyDescent="0.25">
      <c r="B4" s="6" t="s">
        <v>478</v>
      </c>
      <c r="C4" s="7"/>
      <c r="D4" s="7"/>
      <c r="E4" s="7"/>
      <c r="F4" s="7"/>
      <c r="G4" s="7"/>
      <c r="H4" s="7"/>
      <c r="I4" s="123"/>
      <c r="J4" s="123"/>
      <c r="K4" s="123">
        <v>0</v>
      </c>
      <c r="L4" s="123">
        <v>0</v>
      </c>
      <c r="M4" s="123"/>
      <c r="N4" s="123"/>
      <c r="O4" s="8"/>
      <c r="P4" s="8"/>
      <c r="Q4" s="8"/>
      <c r="R4" s="8"/>
      <c r="S4" s="8"/>
      <c r="W4" s="972" t="s">
        <v>797</v>
      </c>
      <c r="X4" s="973">
        <f>K16</f>
        <v>95.72</v>
      </c>
      <c r="Y4" s="973">
        <f t="shared" ref="Y4:AB4" si="0">L16</f>
        <v>2385.1279999999997</v>
      </c>
      <c r="Z4" s="973">
        <f t="shared" si="0"/>
        <v>3610.5169999999998</v>
      </c>
      <c r="AA4" s="973">
        <f t="shared" si="0"/>
        <v>4156.3430000000008</v>
      </c>
      <c r="AB4" s="973">
        <f t="shared" si="0"/>
        <v>4376.0622720899482</v>
      </c>
      <c r="AC4" s="980">
        <f>(Z4/X4)^(1/2)-1</f>
        <v>5.1416258017326442</v>
      </c>
      <c r="AD4" s="980">
        <f>(AB4/Z4)^(1/2)-1</f>
        <v>0.10092326546135943</v>
      </c>
    </row>
    <row r="5" spans="2:30" ht="12" customHeight="1" x14ac:dyDescent="0.25">
      <c r="B5" s="6" t="s">
        <v>479</v>
      </c>
      <c r="C5" s="7"/>
      <c r="D5" s="7"/>
      <c r="E5" s="7"/>
      <c r="F5" s="7"/>
      <c r="G5" s="7"/>
      <c r="H5" s="7"/>
      <c r="I5" s="123"/>
      <c r="J5" s="123"/>
      <c r="K5" s="123">
        <v>0</v>
      </c>
      <c r="L5" s="123">
        <v>0</v>
      </c>
      <c r="M5" s="123"/>
      <c r="N5" s="123"/>
      <c r="O5" s="8"/>
      <c r="P5" s="8"/>
      <c r="Q5" s="8"/>
      <c r="R5" s="8"/>
      <c r="S5" s="8"/>
      <c r="W5" s="972" t="s">
        <v>1580</v>
      </c>
      <c r="X5" s="983"/>
      <c r="Y5" s="983">
        <f t="shared" ref="Y5:AB5" si="1">+Y4/X4-1</f>
        <v>23.917760133723355</v>
      </c>
      <c r="Z5" s="983">
        <f t="shared" si="1"/>
        <v>0.5137623641163076</v>
      </c>
      <c r="AA5" s="983">
        <f t="shared" si="1"/>
        <v>0.15117668743839197</v>
      </c>
      <c r="AB5" s="983">
        <f t="shared" si="1"/>
        <v>5.2863604396929498E-2</v>
      </c>
      <c r="AC5" s="982"/>
      <c r="AD5" s="982"/>
    </row>
    <row r="6" spans="2:30" ht="12" customHeight="1" x14ac:dyDescent="0.25">
      <c r="B6" s="6" t="s">
        <v>480</v>
      </c>
      <c r="C6" s="7"/>
      <c r="D6" s="7"/>
      <c r="E6" s="7"/>
      <c r="F6" s="7"/>
      <c r="G6" s="7"/>
      <c r="H6" s="7"/>
      <c r="I6" s="123"/>
      <c r="J6" s="123"/>
      <c r="K6" s="123">
        <v>9.0380000000000003</v>
      </c>
      <c r="L6" s="123">
        <v>77.408000000000001</v>
      </c>
      <c r="M6" s="123">
        <v>103.98099999999999</v>
      </c>
      <c r="N6" s="123">
        <v>109.94499999999999</v>
      </c>
      <c r="O6" s="8">
        <f>N6*(1+Assumptions!L707)</f>
        <v>110.58489153439155</v>
      </c>
      <c r="P6" s="8">
        <f>O6*(1+Assumptions!M707)</f>
        <v>112.79658936507938</v>
      </c>
      <c r="Q6" s="8">
        <f>P6*(1+Assumptions!N707)</f>
        <v>119.56438472698416</v>
      </c>
      <c r="R6" s="8">
        <f>Q6*(1+Assumptions!O707)</f>
        <v>126.73824781060321</v>
      </c>
      <c r="S6" s="8">
        <f>R6*(1+Assumptions!P707)</f>
        <v>134.34254267923941</v>
      </c>
      <c r="W6" s="972" t="s">
        <v>34</v>
      </c>
      <c r="X6" s="981">
        <f>K23</f>
        <v>-78.900999999999982</v>
      </c>
      <c r="Y6" s="981">
        <f t="shared" ref="Y6:AB6" si="2">L23</f>
        <v>773.71499999999946</v>
      </c>
      <c r="Z6" s="981">
        <f t="shared" si="2"/>
        <v>1536.6039999999998</v>
      </c>
      <c r="AA6" s="981">
        <f t="shared" si="2"/>
        <v>1716.1260000000007</v>
      </c>
      <c r="AB6" s="981">
        <f t="shared" si="2"/>
        <v>1806.8466059592856</v>
      </c>
      <c r="AC6" s="980" t="s">
        <v>1597</v>
      </c>
      <c r="AD6" s="980">
        <f>(AB6/Z6)^(1/2)-1</f>
        <v>8.4375414401791859E-2</v>
      </c>
    </row>
    <row r="7" spans="2:30" ht="12" customHeight="1" x14ac:dyDescent="0.25">
      <c r="B7" s="6" t="s">
        <v>481</v>
      </c>
      <c r="C7" s="7"/>
      <c r="D7" s="7"/>
      <c r="E7" s="7"/>
      <c r="F7" s="7"/>
      <c r="G7" s="7"/>
      <c r="H7" s="7"/>
      <c r="I7" s="123"/>
      <c r="J7" s="123"/>
      <c r="K7" s="123">
        <v>48.101999999999997</v>
      </c>
      <c r="L7" s="123">
        <v>2242.1089999999999</v>
      </c>
      <c r="M7" s="123">
        <v>3455.6019999999999</v>
      </c>
      <c r="N7" s="123">
        <v>3904.3850000000002</v>
      </c>
      <c r="O7" s="8">
        <f>Assumptions!L684</f>
        <v>4123.464380555557</v>
      </c>
      <c r="P7" s="8">
        <f>Assumptions!M684</f>
        <v>4416.2303515750018</v>
      </c>
      <c r="Q7" s="8">
        <f>Assumptions!N684</f>
        <v>4915.2643813029772</v>
      </c>
      <c r="R7" s="8">
        <f>Assumptions!O684</f>
        <v>5470.6892563902147</v>
      </c>
      <c r="S7" s="8">
        <f>Assumptions!P684</f>
        <v>6088.8771423623102</v>
      </c>
      <c r="W7" s="972" t="s">
        <v>1580</v>
      </c>
      <c r="X7" s="983"/>
      <c r="Y7" s="983" t="s">
        <v>1597</v>
      </c>
      <c r="Z7" s="983">
        <f>+Z6/Y6-1</f>
        <v>0.98600776771808851</v>
      </c>
      <c r="AA7" s="983">
        <f t="shared" ref="AA7:AB7" si="3">+AA6/Z6-1</f>
        <v>0.11683036097784516</v>
      </c>
      <c r="AB7" s="983">
        <f t="shared" si="3"/>
        <v>5.2863604396929498E-2</v>
      </c>
      <c r="AC7" s="982"/>
      <c r="AD7" s="982"/>
    </row>
    <row r="8" spans="2:30" ht="12" customHeight="1" x14ac:dyDescent="0.25">
      <c r="B8" s="6" t="s">
        <v>483</v>
      </c>
      <c r="C8" s="7"/>
      <c r="D8" s="7"/>
      <c r="E8" s="7"/>
      <c r="F8" s="7"/>
      <c r="G8" s="7"/>
      <c r="H8" s="7"/>
      <c r="I8" s="123"/>
      <c r="J8" s="123"/>
      <c r="K8" s="123">
        <v>38.5</v>
      </c>
      <c r="L8" s="123">
        <v>0</v>
      </c>
      <c r="M8" s="123"/>
      <c r="N8" s="123"/>
      <c r="O8" s="8"/>
      <c r="P8" s="8"/>
      <c r="Q8" s="8"/>
      <c r="R8" s="8"/>
      <c r="S8" s="8"/>
      <c r="W8" s="972" t="s">
        <v>1734</v>
      </c>
      <c r="X8" s="980">
        <f>+X6/X4</f>
        <v>-0.82428959465106544</v>
      </c>
      <c r="Y8" s="980">
        <f>+Y6/Y4</f>
        <v>0.32439139534649697</v>
      </c>
      <c r="Z8" s="980">
        <f>+Z6/Z4</f>
        <v>0.42559112725407466</v>
      </c>
      <c r="AA8" s="980">
        <f>+AA6/AA4</f>
        <v>0.41289325736591043</v>
      </c>
      <c r="AB8" s="980">
        <f>+AB6/AB4</f>
        <v>0.41289325736591043</v>
      </c>
      <c r="AC8" s="980" t="s">
        <v>1597</v>
      </c>
      <c r="AD8" s="980">
        <f>(AB8/Z8)^(1/2)-1</f>
        <v>-1.5030885056855348E-2</v>
      </c>
    </row>
    <row r="9" spans="2:30" ht="12" customHeight="1" x14ac:dyDescent="0.25">
      <c r="B9" s="6" t="s">
        <v>482</v>
      </c>
      <c r="C9" s="7"/>
      <c r="D9" s="7"/>
      <c r="E9" s="7"/>
      <c r="F9" s="7"/>
      <c r="G9" s="7"/>
      <c r="H9" s="7"/>
      <c r="I9" s="123"/>
      <c r="J9" s="123"/>
      <c r="K9" s="123">
        <v>0.08</v>
      </c>
      <c r="L9" s="123">
        <v>65.611000000000004</v>
      </c>
      <c r="M9" s="123">
        <v>50.933999999999997</v>
      </c>
      <c r="N9" s="123">
        <v>142.01300000000001</v>
      </c>
      <c r="O9" s="8">
        <f t="shared" ref="O9:S9" si="4">N9</f>
        <v>142.01300000000001</v>
      </c>
      <c r="P9" s="8">
        <f t="shared" si="4"/>
        <v>142.01300000000001</v>
      </c>
      <c r="Q9" s="8">
        <f t="shared" si="4"/>
        <v>142.01300000000001</v>
      </c>
      <c r="R9" s="8">
        <f t="shared" si="4"/>
        <v>142.01300000000001</v>
      </c>
      <c r="S9" s="8">
        <f t="shared" si="4"/>
        <v>142.01300000000001</v>
      </c>
      <c r="W9" s="972" t="s">
        <v>798</v>
      </c>
      <c r="X9" s="981">
        <f>K49</f>
        <v>-661.57400000000007</v>
      </c>
      <c r="Y9" s="981">
        <f t="shared" ref="Y9:AB9" si="5">L49</f>
        <v>-515.83500000000049</v>
      </c>
      <c r="Z9" s="981">
        <f t="shared" si="5"/>
        <v>11.378999999999712</v>
      </c>
      <c r="AA9" s="981">
        <f t="shared" si="5"/>
        <v>267.57600000000093</v>
      </c>
      <c r="AB9" s="981">
        <f t="shared" si="5"/>
        <v>0</v>
      </c>
      <c r="AC9" s="980"/>
      <c r="AD9" s="980"/>
    </row>
    <row r="10" spans="2:30" ht="12" customHeight="1" x14ac:dyDescent="0.25">
      <c r="B10" s="6" t="s">
        <v>484</v>
      </c>
      <c r="C10" s="7"/>
      <c r="D10" s="7"/>
      <c r="E10" s="7"/>
      <c r="F10" s="7"/>
      <c r="G10" s="7"/>
      <c r="H10" s="7"/>
      <c r="I10" s="123"/>
      <c r="J10" s="123"/>
      <c r="K10" s="123">
        <v>0</v>
      </c>
      <c r="L10" s="123">
        <v>0</v>
      </c>
      <c r="M10" s="123"/>
      <c r="N10" s="123"/>
      <c r="O10" s="8"/>
      <c r="P10" s="8"/>
      <c r="Q10" s="8"/>
      <c r="R10" s="8"/>
      <c r="S10" s="8"/>
      <c r="W10" s="972" t="s">
        <v>1580</v>
      </c>
      <c r="X10" s="983"/>
      <c r="Y10" s="983" t="s">
        <v>1597</v>
      </c>
      <c r="Z10" s="983" t="s">
        <v>1597</v>
      </c>
      <c r="AA10" s="983"/>
      <c r="AB10" s="983"/>
      <c r="AC10" s="982"/>
      <c r="AD10" s="982"/>
    </row>
    <row r="11" spans="2:30" ht="12" customHeight="1" x14ac:dyDescent="0.25">
      <c r="B11" s="6" t="s">
        <v>485</v>
      </c>
      <c r="C11" s="7"/>
      <c r="D11" s="7"/>
      <c r="E11" s="7"/>
      <c r="F11" s="7"/>
      <c r="G11" s="7"/>
      <c r="H11" s="7"/>
      <c r="I11" s="123"/>
      <c r="J11" s="123"/>
      <c r="K11" s="123">
        <v>0</v>
      </c>
      <c r="L11" s="123">
        <v>0</v>
      </c>
      <c r="M11" s="123"/>
      <c r="N11" s="123"/>
      <c r="O11" s="8"/>
      <c r="P11" s="8"/>
      <c r="Q11" s="8"/>
      <c r="R11" s="8"/>
      <c r="S11" s="8"/>
    </row>
    <row r="12" spans="2:30" ht="12" customHeight="1" x14ac:dyDescent="0.25">
      <c r="B12" s="6" t="s">
        <v>486</v>
      </c>
      <c r="C12" s="7"/>
      <c r="D12" s="7"/>
      <c r="E12" s="7"/>
      <c r="F12" s="7"/>
      <c r="G12" s="7"/>
      <c r="H12" s="7"/>
      <c r="I12" s="123"/>
      <c r="J12" s="123"/>
      <c r="K12" s="123">
        <v>0</v>
      </c>
      <c r="L12" s="123">
        <v>0</v>
      </c>
      <c r="M12" s="123"/>
      <c r="N12" s="123"/>
      <c r="O12" s="8"/>
      <c r="P12" s="8"/>
      <c r="Q12" s="8"/>
      <c r="R12" s="8"/>
      <c r="S12" s="8"/>
    </row>
    <row r="13" spans="2:30" ht="12" customHeight="1" x14ac:dyDescent="0.25">
      <c r="B13" s="6" t="s">
        <v>487</v>
      </c>
      <c r="C13" s="7"/>
      <c r="D13" s="7"/>
      <c r="E13" s="7"/>
      <c r="F13" s="7"/>
      <c r="G13" s="7"/>
      <c r="H13" s="7"/>
      <c r="I13" s="123"/>
      <c r="J13" s="123"/>
      <c r="K13" s="123">
        <v>0</v>
      </c>
      <c r="L13" s="123">
        <v>0</v>
      </c>
      <c r="M13" s="123"/>
      <c r="N13" s="123"/>
      <c r="O13" s="8"/>
      <c r="P13" s="8"/>
      <c r="Q13" s="8"/>
      <c r="R13" s="8"/>
      <c r="S13" s="8"/>
    </row>
    <row r="14" spans="2:30" ht="12" customHeight="1" x14ac:dyDescent="0.25">
      <c r="B14" s="6" t="s">
        <v>488</v>
      </c>
      <c r="C14" s="7"/>
      <c r="D14" s="7"/>
      <c r="E14" s="7"/>
      <c r="F14" s="7"/>
      <c r="G14" s="7"/>
      <c r="H14" s="7"/>
      <c r="I14" s="123"/>
      <c r="J14" s="123"/>
      <c r="K14" s="123">
        <v>0</v>
      </c>
      <c r="L14" s="123">
        <v>0</v>
      </c>
      <c r="M14" s="123"/>
      <c r="N14" s="123"/>
      <c r="O14" s="8"/>
      <c r="P14" s="8"/>
      <c r="Q14" s="8"/>
      <c r="R14" s="8"/>
      <c r="S14" s="8"/>
    </row>
    <row r="15" spans="2:30" ht="12" customHeight="1" x14ac:dyDescent="0.25">
      <c r="B15" s="6"/>
      <c r="C15" s="7"/>
      <c r="D15" s="7"/>
      <c r="E15" s="7"/>
      <c r="F15" s="7"/>
      <c r="G15" s="7"/>
      <c r="H15" s="7"/>
      <c r="I15" s="7"/>
      <c r="J15" s="7"/>
      <c r="K15" s="7"/>
      <c r="L15" s="7"/>
      <c r="M15" s="7"/>
      <c r="N15" s="7"/>
      <c r="O15" s="8"/>
      <c r="P15" s="8"/>
      <c r="Q15" s="8"/>
      <c r="R15" s="8"/>
      <c r="S15" s="8"/>
    </row>
    <row r="16" spans="2:30" ht="12" customHeight="1" x14ac:dyDescent="0.25">
      <c r="B16" s="9" t="s">
        <v>29</v>
      </c>
      <c r="C16" s="10"/>
      <c r="D16" s="10"/>
      <c r="E16" s="10"/>
      <c r="F16" s="10"/>
      <c r="G16" s="10"/>
      <c r="H16" s="10"/>
      <c r="I16" s="10">
        <f>SUM(I4:I14)</f>
        <v>0</v>
      </c>
      <c r="J16" s="10">
        <f>SUM(J4:J14)</f>
        <v>0</v>
      </c>
      <c r="K16" s="10">
        <f>SUM(K4:K14)</f>
        <v>95.72</v>
      </c>
      <c r="L16" s="10">
        <f>SUM(L4:L14)</f>
        <v>2385.1279999999997</v>
      </c>
      <c r="M16" s="10">
        <f t="shared" ref="M16:S16" si="6">SUM(M4:M14)</f>
        <v>3610.5169999999998</v>
      </c>
      <c r="N16" s="10">
        <f t="shared" ref="N16" si="7">SUM(N4:N14)</f>
        <v>4156.3430000000008</v>
      </c>
      <c r="O16" s="5">
        <f t="shared" si="6"/>
        <v>4376.0622720899482</v>
      </c>
      <c r="P16" s="5">
        <f t="shared" si="6"/>
        <v>4671.0399409400807</v>
      </c>
      <c r="Q16" s="5">
        <f t="shared" si="6"/>
        <v>5176.841766029961</v>
      </c>
      <c r="R16" s="5">
        <f t="shared" si="6"/>
        <v>5739.4405042008175</v>
      </c>
      <c r="S16" s="5">
        <f t="shared" si="6"/>
        <v>6365.2326850415493</v>
      </c>
    </row>
    <row r="17" spans="2:19" s="14" customFormat="1" ht="12" customHeight="1" x14ac:dyDescent="0.25">
      <c r="B17" s="11" t="s">
        <v>30</v>
      </c>
      <c r="C17" s="12" t="str">
        <f>IF(ISERROR(C16/#REF!-1)," ",C16/#REF!-1)</f>
        <v xml:space="preserve"> </v>
      </c>
      <c r="D17" s="12" t="str">
        <f>IF(ISERROR(D16/#REF!-1)," ",D16/#REF!-1)</f>
        <v xml:space="preserve"> </v>
      </c>
      <c r="E17" s="12" t="str">
        <f>IF(ISERROR(E16/#REF!-1)," ",E16/#REF!-1)</f>
        <v xml:space="preserve"> </v>
      </c>
      <c r="F17" s="12" t="str">
        <f>IF(ISERROR(F16/#REF!-1)," ",F16/#REF!-1)</f>
        <v xml:space="preserve"> </v>
      </c>
      <c r="G17" s="12" t="str">
        <f>IF(ISERROR(G16/#REF!-1)," ",G16/#REF!-1)</f>
        <v xml:space="preserve"> </v>
      </c>
      <c r="H17" s="12" t="str">
        <f>IF(ISERROR(H16/#REF!-1)," ",H16/#REF!-1)</f>
        <v xml:space="preserve"> </v>
      </c>
      <c r="I17" s="12" t="str">
        <f>IF(ISERROR(I16/#REF!-1)," ",I16/#REF!-1)</f>
        <v xml:space="preserve"> </v>
      </c>
      <c r="J17" s="12" t="str">
        <f>IF(ISERROR(J16/I16-1)," ",J16/I16-1)</f>
        <v xml:space="preserve"> </v>
      </c>
      <c r="K17" s="12" t="str">
        <f>IF(ISERROR(K16/J16-1)," ",K16/J16-1)</f>
        <v xml:space="preserve"> </v>
      </c>
      <c r="L17" s="12">
        <f>IF(ISERROR(L16/K16-1)," ",L16/K16-1)</f>
        <v>23.917760133723355</v>
      </c>
      <c r="M17" s="12">
        <f t="shared" ref="M17:S17" si="8">IF(ISERROR(M16/L16-1)," ",M16/L16-1)</f>
        <v>0.5137623641163076</v>
      </c>
      <c r="N17" s="12">
        <f t="shared" si="8"/>
        <v>0.15117668743839197</v>
      </c>
      <c r="O17" s="13">
        <f t="shared" si="8"/>
        <v>5.2863604396929498E-2</v>
      </c>
      <c r="P17" s="13">
        <f t="shared" si="8"/>
        <v>6.7407100381424723E-2</v>
      </c>
      <c r="Q17" s="13">
        <f t="shared" si="8"/>
        <v>0.10828462858060761</v>
      </c>
      <c r="R17" s="13">
        <f t="shared" si="8"/>
        <v>0.10867605455175133</v>
      </c>
      <c r="S17" s="13">
        <f t="shared" si="8"/>
        <v>0.10903365587337333</v>
      </c>
    </row>
    <row r="18" spans="2:19" ht="12" customHeight="1" x14ac:dyDescent="0.25">
      <c r="B18" s="6"/>
      <c r="C18" s="7"/>
      <c r="D18" s="7"/>
      <c r="E18" s="7"/>
      <c r="F18" s="7"/>
      <c r="G18" s="7"/>
      <c r="H18" s="7"/>
      <c r="I18" s="7"/>
      <c r="J18" s="7"/>
      <c r="K18" s="7"/>
      <c r="L18" s="7"/>
      <c r="M18" s="7"/>
      <c r="N18" s="7"/>
      <c r="O18" s="8"/>
      <c r="P18" s="8"/>
      <c r="Q18" s="8"/>
      <c r="R18" s="8"/>
      <c r="S18" s="8"/>
    </row>
    <row r="19" spans="2:19" ht="12" customHeight="1" x14ac:dyDescent="0.25">
      <c r="B19" s="6" t="s">
        <v>31</v>
      </c>
      <c r="C19" s="7"/>
      <c r="D19" s="7"/>
      <c r="E19" s="7"/>
      <c r="F19" s="7"/>
      <c r="G19" s="7"/>
      <c r="H19" s="7"/>
      <c r="I19" s="7"/>
      <c r="J19" s="7"/>
      <c r="K19" s="7">
        <v>84.298000000000002</v>
      </c>
      <c r="L19" s="7">
        <v>1444.9570000000001</v>
      </c>
      <c r="M19" s="7">
        <v>1921.827</v>
      </c>
      <c r="N19" s="7">
        <v>2284.1570000000002</v>
      </c>
      <c r="O19" s="8"/>
      <c r="P19" s="8"/>
      <c r="Q19" s="8"/>
      <c r="R19" s="8"/>
      <c r="S19" s="8"/>
    </row>
    <row r="20" spans="2:19" ht="12" customHeight="1" x14ac:dyDescent="0.25">
      <c r="B20" s="6" t="s">
        <v>32</v>
      </c>
      <c r="C20" s="7"/>
      <c r="D20" s="7"/>
      <c r="E20" s="7"/>
      <c r="F20" s="7"/>
      <c r="G20" s="7"/>
      <c r="H20" s="7"/>
      <c r="I20" s="7"/>
      <c r="J20" s="7"/>
      <c r="K20" s="7">
        <v>56.551000000000002</v>
      </c>
      <c r="L20" s="7">
        <v>109.52500000000001</v>
      </c>
      <c r="M20" s="7">
        <v>83.698999999999998</v>
      </c>
      <c r="N20" s="7">
        <v>81.472999999999999</v>
      </c>
      <c r="O20" s="8"/>
      <c r="P20" s="8"/>
      <c r="Q20" s="8"/>
      <c r="R20" s="8"/>
      <c r="S20" s="8"/>
    </row>
    <row r="21" spans="2:19" ht="12" customHeight="1" x14ac:dyDescent="0.25">
      <c r="B21" s="6" t="s">
        <v>33</v>
      </c>
      <c r="C21" s="7"/>
      <c r="D21" s="7"/>
      <c r="E21" s="7"/>
      <c r="F21" s="7"/>
      <c r="G21" s="7"/>
      <c r="H21" s="7"/>
      <c r="I21" s="7"/>
      <c r="J21" s="7"/>
      <c r="K21" s="7">
        <v>33.771999999999998</v>
      </c>
      <c r="L21" s="7">
        <v>56.930999999999997</v>
      </c>
      <c r="M21" s="7">
        <v>68.387</v>
      </c>
      <c r="N21" s="7">
        <v>74.587000000000003</v>
      </c>
      <c r="O21" s="8"/>
      <c r="P21" s="8"/>
      <c r="Q21" s="8"/>
      <c r="R21" s="8"/>
      <c r="S21" s="8"/>
    </row>
    <row r="22" spans="2:19" ht="12" customHeight="1" x14ac:dyDescent="0.25">
      <c r="B22" s="6"/>
      <c r="C22" s="7"/>
      <c r="D22" s="7"/>
      <c r="E22" s="7"/>
      <c r="F22" s="7"/>
      <c r="G22" s="7"/>
      <c r="H22" s="7"/>
      <c r="I22" s="7"/>
      <c r="J22" s="7"/>
      <c r="K22" s="7"/>
      <c r="L22" s="7"/>
      <c r="M22" s="7"/>
      <c r="N22" s="7"/>
      <c r="O22" s="8"/>
      <c r="P22" s="8"/>
      <c r="Q22" s="8"/>
      <c r="R22" s="8"/>
      <c r="S22" s="8"/>
    </row>
    <row r="23" spans="2:19" ht="12" customHeight="1" x14ac:dyDescent="0.25">
      <c r="B23" s="9" t="s">
        <v>34</v>
      </c>
      <c r="C23" s="10">
        <f t="shared" ref="C23:J23" si="9">C16-SUM(C19:C21)</f>
        <v>0</v>
      </c>
      <c r="D23" s="10">
        <f t="shared" si="9"/>
        <v>0</v>
      </c>
      <c r="E23" s="10">
        <f t="shared" si="9"/>
        <v>0</v>
      </c>
      <c r="F23" s="10">
        <f t="shared" si="9"/>
        <v>0</v>
      </c>
      <c r="G23" s="10">
        <f t="shared" si="9"/>
        <v>0</v>
      </c>
      <c r="H23" s="10">
        <f t="shared" si="9"/>
        <v>0</v>
      </c>
      <c r="I23" s="10">
        <f t="shared" si="9"/>
        <v>0</v>
      </c>
      <c r="J23" s="10">
        <f t="shared" si="9"/>
        <v>0</v>
      </c>
      <c r="K23" s="10">
        <f>K16-SUM(K19:K21)</f>
        <v>-78.900999999999982</v>
      </c>
      <c r="L23" s="10">
        <f>L16-SUM(L19:L21)</f>
        <v>773.71499999999946</v>
      </c>
      <c r="M23" s="10">
        <f>M16-SUM(M19:M21)</f>
        <v>1536.6039999999998</v>
      </c>
      <c r="N23" s="10">
        <f>N16-SUM(N19:N21)</f>
        <v>1716.1260000000007</v>
      </c>
      <c r="O23" s="5">
        <f t="shared" ref="O23:S23" si="10">O16*O24</f>
        <v>1806.8466059592856</v>
      </c>
      <c r="P23" s="5">
        <f t="shared" si="10"/>
        <v>1928.6408965010198</v>
      </c>
      <c r="Q23" s="5">
        <f t="shared" si="10"/>
        <v>2137.4830596440029</v>
      </c>
      <c r="R23" s="5">
        <f t="shared" si="10"/>
        <v>2369.7762852373189</v>
      </c>
      <c r="S23" s="5">
        <f t="shared" si="10"/>
        <v>2628.1616572187654</v>
      </c>
    </row>
    <row r="24" spans="2:19" ht="12" customHeight="1" x14ac:dyDescent="0.25">
      <c r="B24" s="15" t="s">
        <v>35</v>
      </c>
      <c r="C24" s="16" t="str">
        <f t="shared" ref="C24:L24" si="11">IF(ISERROR(C23/C16)," ",C23/C16)</f>
        <v xml:space="preserve"> </v>
      </c>
      <c r="D24" s="16" t="str">
        <f t="shared" si="11"/>
        <v xml:space="preserve"> </v>
      </c>
      <c r="E24" s="16" t="str">
        <f t="shared" si="11"/>
        <v xml:space="preserve"> </v>
      </c>
      <c r="F24" s="16" t="str">
        <f t="shared" si="11"/>
        <v xml:space="preserve"> </v>
      </c>
      <c r="G24" s="16" t="str">
        <f t="shared" si="11"/>
        <v xml:space="preserve"> </v>
      </c>
      <c r="H24" s="16" t="str">
        <f t="shared" si="11"/>
        <v xml:space="preserve"> </v>
      </c>
      <c r="I24" s="16" t="str">
        <f t="shared" si="11"/>
        <v xml:space="preserve"> </v>
      </c>
      <c r="J24" s="16" t="str">
        <f t="shared" si="11"/>
        <v xml:space="preserve"> </v>
      </c>
      <c r="K24" s="16">
        <f t="shared" si="11"/>
        <v>-0.82428959465106544</v>
      </c>
      <c r="L24" s="16">
        <f t="shared" si="11"/>
        <v>0.32439139534649697</v>
      </c>
      <c r="M24" s="16">
        <f>IF(ISERROR(M23/M16)," ",M23/M16)</f>
        <v>0.42559112725407466</v>
      </c>
      <c r="N24" s="16">
        <f>IF(ISERROR(N23/N16)," ",N23/N16)</f>
        <v>0.41289325736591043</v>
      </c>
      <c r="O24" s="198">
        <f t="shared" ref="O24:S24" si="12">N24+V24</f>
        <v>0.41289325736591043</v>
      </c>
      <c r="P24" s="198">
        <f t="shared" si="12"/>
        <v>0.41289325736591043</v>
      </c>
      <c r="Q24" s="198">
        <f t="shared" si="12"/>
        <v>0.41289325736591043</v>
      </c>
      <c r="R24" s="198">
        <f t="shared" si="12"/>
        <v>0.41289325736591043</v>
      </c>
      <c r="S24" s="198">
        <f t="shared" si="12"/>
        <v>0.41289325736591043</v>
      </c>
    </row>
    <row r="25" spans="2:19"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t="str">
        <f>IF(ISERROR(F23/#REF!-1)," ",F23/#REF!-1)</f>
        <v xml:space="preserve"> </v>
      </c>
      <c r="G25" s="12" t="str">
        <f>IF(ISERROR(G23/#REF!-1)," ",G23/#REF!-1)</f>
        <v xml:space="preserve"> </v>
      </c>
      <c r="H25" s="12" t="str">
        <f>IF(ISERROR(H23/#REF!-1)," ",H23/#REF!-1)</f>
        <v xml:space="preserve"> </v>
      </c>
      <c r="I25" s="12" t="str">
        <f>IF(ISERROR(I23/#REF!-1)," ",I23/#REF!-1)</f>
        <v xml:space="preserve"> </v>
      </c>
      <c r="J25" s="12" t="str">
        <f>IF(ISERROR(J23/I23-1)," ",J23/I23-1)</f>
        <v xml:space="preserve"> </v>
      </c>
      <c r="K25" s="12" t="str">
        <f>IF(ISERROR(K23/J23-1)," ",K23/J23-1)</f>
        <v xml:space="preserve"> </v>
      </c>
      <c r="L25" s="12">
        <f>IF(ISERROR(L23/K23-1)," ",L23/K23-1)</f>
        <v>-10.806149478460345</v>
      </c>
      <c r="M25" s="12">
        <f>IF(ISERROR(M23/L23-1)," ",M23/L23-1)</f>
        <v>0.98600776771808851</v>
      </c>
      <c r="N25" s="12">
        <f>IF(ISERROR(N23/M23-1)," ",N23/M23-1)</f>
        <v>0.11683036097784516</v>
      </c>
      <c r="O25" s="13"/>
      <c r="P25" s="13"/>
      <c r="Q25" s="13"/>
      <c r="R25" s="13"/>
      <c r="S25" s="13"/>
    </row>
    <row r="26" spans="2:19" ht="12" customHeight="1" x14ac:dyDescent="0.25">
      <c r="B26" s="15"/>
      <c r="C26" s="16"/>
      <c r="D26" s="16"/>
      <c r="E26" s="16"/>
      <c r="F26" s="16"/>
      <c r="G26" s="16"/>
      <c r="H26" s="16"/>
      <c r="I26" s="16"/>
      <c r="J26" s="16"/>
      <c r="K26" s="16"/>
      <c r="L26" s="16"/>
      <c r="M26" s="16"/>
      <c r="N26" s="16"/>
      <c r="O26" s="17"/>
      <c r="P26" s="17"/>
      <c r="Q26" s="17"/>
      <c r="R26" s="17"/>
      <c r="S26" s="17"/>
    </row>
    <row r="27" spans="2:19" ht="12" customHeight="1" x14ac:dyDescent="0.25">
      <c r="B27" s="6" t="s">
        <v>36</v>
      </c>
      <c r="C27" s="7"/>
      <c r="D27" s="7"/>
      <c r="E27" s="7"/>
      <c r="F27" s="7"/>
      <c r="G27" s="7"/>
      <c r="H27" s="7"/>
      <c r="I27" s="7"/>
      <c r="J27" s="7"/>
      <c r="K27" s="7">
        <v>13.823</v>
      </c>
      <c r="L27" s="7">
        <v>86.94</v>
      </c>
      <c r="M27" s="7">
        <v>72.167000000000002</v>
      </c>
      <c r="N27" s="7">
        <v>104.535</v>
      </c>
      <c r="O27" s="8"/>
      <c r="P27" s="8"/>
      <c r="Q27" s="8"/>
      <c r="R27" s="8"/>
      <c r="S27" s="8"/>
    </row>
    <row r="28" spans="2:19" ht="12" customHeight="1" x14ac:dyDescent="0.25">
      <c r="B28" s="6" t="s">
        <v>37</v>
      </c>
      <c r="C28" s="7"/>
      <c r="D28" s="7"/>
      <c r="E28" s="7"/>
      <c r="F28" s="7"/>
      <c r="G28" s="7"/>
      <c r="H28" s="7"/>
      <c r="I28" s="7"/>
      <c r="J28" s="7"/>
      <c r="K28" s="7">
        <v>268.80500000000001</v>
      </c>
      <c r="L28" s="7">
        <v>720.09400000000005</v>
      </c>
      <c r="M28" s="7">
        <v>724.23400000000004</v>
      </c>
      <c r="N28" s="7">
        <v>690.46699999999998</v>
      </c>
      <c r="O28" s="8"/>
      <c r="P28" s="8"/>
      <c r="Q28" s="8"/>
      <c r="R28" s="8"/>
      <c r="S28" s="8"/>
    </row>
    <row r="29" spans="2:19" ht="12" customHeight="1" x14ac:dyDescent="0.25">
      <c r="B29" s="6"/>
      <c r="C29" s="7"/>
      <c r="D29" s="7"/>
      <c r="E29" s="7"/>
      <c r="F29" s="7"/>
      <c r="G29" s="7"/>
      <c r="H29" s="7"/>
      <c r="I29" s="7"/>
      <c r="J29" s="7"/>
      <c r="K29" s="7"/>
      <c r="L29" s="7"/>
      <c r="M29" s="7"/>
      <c r="N29" s="7"/>
      <c r="O29" s="8"/>
      <c r="P29" s="8"/>
      <c r="Q29" s="8"/>
      <c r="R29" s="8"/>
      <c r="S29" s="8"/>
    </row>
    <row r="30" spans="2:19" ht="12" customHeight="1" x14ac:dyDescent="0.25">
      <c r="B30" s="9" t="s">
        <v>38</v>
      </c>
      <c r="C30" s="10">
        <f t="shared" ref="C30:M30" si="13">C23+C27-C28</f>
        <v>0</v>
      </c>
      <c r="D30" s="10">
        <f t="shared" si="13"/>
        <v>0</v>
      </c>
      <c r="E30" s="10">
        <f t="shared" si="13"/>
        <v>0</v>
      </c>
      <c r="F30" s="10">
        <f t="shared" si="13"/>
        <v>0</v>
      </c>
      <c r="G30" s="10">
        <f t="shared" si="13"/>
        <v>0</v>
      </c>
      <c r="H30" s="10">
        <f t="shared" si="13"/>
        <v>0</v>
      </c>
      <c r="I30" s="10">
        <f t="shared" si="13"/>
        <v>0</v>
      </c>
      <c r="J30" s="10">
        <f t="shared" si="13"/>
        <v>0</v>
      </c>
      <c r="K30" s="10">
        <f t="shared" si="13"/>
        <v>-333.88299999999998</v>
      </c>
      <c r="L30" s="10">
        <f t="shared" si="13"/>
        <v>140.56099999999947</v>
      </c>
      <c r="M30" s="10">
        <f t="shared" si="13"/>
        <v>884.53699999999969</v>
      </c>
      <c r="N30" s="10">
        <f t="shared" ref="N30" si="14">N23+N27-N28</f>
        <v>1130.1940000000009</v>
      </c>
      <c r="O30" s="5"/>
      <c r="P30" s="5"/>
      <c r="Q30" s="5"/>
      <c r="R30" s="5"/>
      <c r="S30" s="5"/>
    </row>
    <row r="31" spans="2:19" ht="12" customHeight="1" x14ac:dyDescent="0.25">
      <c r="B31" s="6"/>
      <c r="C31" s="7"/>
      <c r="D31" s="7"/>
      <c r="E31" s="7"/>
      <c r="F31" s="7"/>
      <c r="G31" s="7"/>
      <c r="H31" s="7"/>
      <c r="I31" s="7"/>
      <c r="J31" s="7"/>
      <c r="K31" s="7"/>
      <c r="L31" s="7"/>
      <c r="M31" s="7"/>
      <c r="N31" s="7"/>
      <c r="O31" s="8"/>
      <c r="P31" s="8"/>
      <c r="Q31" s="8"/>
      <c r="R31" s="8"/>
      <c r="S31" s="8"/>
    </row>
    <row r="32" spans="2:19" ht="12" customHeight="1" x14ac:dyDescent="0.25">
      <c r="B32" s="6" t="s">
        <v>39</v>
      </c>
      <c r="C32" s="7"/>
      <c r="D32" s="7"/>
      <c r="E32" s="7"/>
      <c r="F32" s="7"/>
      <c r="G32" s="7"/>
      <c r="H32" s="7"/>
      <c r="I32" s="7"/>
      <c r="J32" s="7"/>
      <c r="K32" s="7">
        <v>588.09699999999998</v>
      </c>
      <c r="L32" s="7">
        <v>875.976</v>
      </c>
      <c r="M32" s="7">
        <v>867.94299999999998</v>
      </c>
      <c r="N32" s="7">
        <v>809.38699999999994</v>
      </c>
      <c r="O32" s="8"/>
      <c r="P32" s="8"/>
      <c r="Q32" s="8"/>
      <c r="R32" s="8"/>
      <c r="S32" s="8"/>
    </row>
    <row r="33" spans="2:19" ht="12" customHeight="1" x14ac:dyDescent="0.25">
      <c r="B33" s="6" t="s">
        <v>307</v>
      </c>
      <c r="C33" s="7"/>
      <c r="D33" s="7"/>
      <c r="E33" s="7"/>
      <c r="F33" s="7"/>
      <c r="G33" s="7"/>
      <c r="H33" s="7"/>
      <c r="I33" s="7"/>
      <c r="J33" s="7"/>
      <c r="K33" s="7"/>
      <c r="L33" s="7"/>
      <c r="M33" s="7"/>
      <c r="N33" s="7"/>
      <c r="O33" s="8"/>
      <c r="P33" s="8"/>
      <c r="Q33" s="8"/>
      <c r="R33" s="8"/>
      <c r="S33" s="8"/>
    </row>
    <row r="34" spans="2:19" ht="12" customHeight="1" x14ac:dyDescent="0.25">
      <c r="B34" s="6"/>
      <c r="C34" s="7"/>
      <c r="D34" s="7"/>
      <c r="E34" s="7"/>
      <c r="F34" s="7"/>
      <c r="G34" s="7"/>
      <c r="H34" s="7"/>
      <c r="I34" s="7"/>
      <c r="J34" s="7"/>
      <c r="K34" s="7"/>
      <c r="L34" s="7"/>
      <c r="M34" s="7"/>
      <c r="N34" s="7"/>
      <c r="O34" s="8"/>
      <c r="P34" s="8"/>
      <c r="Q34" s="8"/>
      <c r="R34" s="8"/>
      <c r="S34" s="8"/>
    </row>
    <row r="35" spans="2:19" ht="12" customHeight="1" x14ac:dyDescent="0.25">
      <c r="B35" s="9" t="s">
        <v>40</v>
      </c>
      <c r="C35" s="10">
        <f t="shared" ref="C35:M35" si="15">C30-C32-C33</f>
        <v>0</v>
      </c>
      <c r="D35" s="10">
        <f t="shared" si="15"/>
        <v>0</v>
      </c>
      <c r="E35" s="10">
        <f t="shared" si="15"/>
        <v>0</v>
      </c>
      <c r="F35" s="10">
        <f t="shared" si="15"/>
        <v>0</v>
      </c>
      <c r="G35" s="10">
        <f t="shared" si="15"/>
        <v>0</v>
      </c>
      <c r="H35" s="10">
        <f t="shared" si="15"/>
        <v>0</v>
      </c>
      <c r="I35" s="10">
        <f t="shared" si="15"/>
        <v>0</v>
      </c>
      <c r="J35" s="10">
        <f t="shared" si="15"/>
        <v>0</v>
      </c>
      <c r="K35" s="10">
        <f t="shared" si="15"/>
        <v>-921.98</v>
      </c>
      <c r="L35" s="10">
        <f t="shared" si="15"/>
        <v>-735.41500000000053</v>
      </c>
      <c r="M35" s="10">
        <f t="shared" si="15"/>
        <v>16.59399999999971</v>
      </c>
      <c r="N35" s="10">
        <f t="shared" ref="N35" si="16">N30-N32-N33</f>
        <v>320.80700000000093</v>
      </c>
      <c r="O35" s="5"/>
      <c r="P35" s="5"/>
      <c r="Q35" s="5"/>
      <c r="R35" s="5"/>
      <c r="S35" s="5"/>
    </row>
    <row r="36" spans="2:19" ht="12" customHeight="1" x14ac:dyDescent="0.25">
      <c r="B36" s="6"/>
      <c r="C36" s="7"/>
      <c r="D36" s="7"/>
      <c r="E36" s="7"/>
      <c r="F36" s="7"/>
      <c r="G36" s="7"/>
      <c r="H36" s="7"/>
      <c r="I36" s="7"/>
      <c r="J36" s="7"/>
      <c r="K36" s="7"/>
      <c r="L36" s="7"/>
      <c r="M36" s="7"/>
      <c r="N36" s="7"/>
      <c r="O36" s="8"/>
      <c r="P36" s="8"/>
      <c r="Q36" s="8"/>
      <c r="R36" s="8"/>
      <c r="S36" s="8"/>
    </row>
    <row r="37" spans="2:19" ht="12" customHeight="1" x14ac:dyDescent="0.25">
      <c r="B37" s="6" t="s">
        <v>41</v>
      </c>
      <c r="C37" s="7"/>
      <c r="D37" s="7"/>
      <c r="E37" s="7"/>
      <c r="F37" s="7"/>
      <c r="G37" s="7"/>
      <c r="H37" s="7"/>
      <c r="I37" s="7"/>
      <c r="J37" s="7"/>
      <c r="K37" s="7"/>
      <c r="L37" s="7"/>
      <c r="M37" s="7"/>
      <c r="N37" s="7"/>
      <c r="O37" s="8"/>
      <c r="P37" s="8"/>
      <c r="Q37" s="8"/>
      <c r="R37" s="8"/>
      <c r="S37" s="8"/>
    </row>
    <row r="38" spans="2:19" ht="12" customHeight="1" x14ac:dyDescent="0.25">
      <c r="B38" s="6" t="s">
        <v>42</v>
      </c>
      <c r="C38" s="7"/>
      <c r="D38" s="7"/>
      <c r="E38" s="7"/>
      <c r="F38" s="7"/>
      <c r="G38" s="7"/>
      <c r="H38" s="7"/>
      <c r="I38" s="7"/>
      <c r="J38" s="7"/>
      <c r="K38" s="7">
        <v>3.3079999999999998</v>
      </c>
      <c r="L38" s="7">
        <v>24.187000000000001</v>
      </c>
      <c r="M38" s="7">
        <v>-10.839</v>
      </c>
      <c r="N38" s="7">
        <v>56.082000000000001</v>
      </c>
      <c r="O38" s="8"/>
      <c r="P38" s="8"/>
      <c r="Q38" s="8"/>
      <c r="R38" s="8"/>
      <c r="S38" s="8"/>
    </row>
    <row r="39" spans="2:19" ht="12" customHeight="1" x14ac:dyDescent="0.25">
      <c r="B39" s="6" t="s">
        <v>43</v>
      </c>
      <c r="C39" s="7"/>
      <c r="D39" s="7"/>
      <c r="E39" s="7"/>
      <c r="F39" s="7"/>
      <c r="G39" s="7"/>
      <c r="H39" s="7"/>
      <c r="I39" s="7"/>
      <c r="J39" s="7"/>
      <c r="K39" s="7">
        <v>-263.714</v>
      </c>
      <c r="L39" s="7">
        <v>-245.167</v>
      </c>
      <c r="M39" s="7">
        <v>16.053999999999998</v>
      </c>
      <c r="N39" s="7">
        <v>3.657</v>
      </c>
      <c r="O39" s="8"/>
      <c r="P39" s="8"/>
      <c r="Q39" s="8"/>
      <c r="R39" s="8"/>
      <c r="S39" s="8"/>
    </row>
    <row r="40" spans="2:19" ht="12" customHeight="1" x14ac:dyDescent="0.25">
      <c r="B40" s="6" t="s">
        <v>44</v>
      </c>
      <c r="C40" s="7"/>
      <c r="D40" s="7"/>
      <c r="E40" s="7"/>
      <c r="F40" s="7"/>
      <c r="G40" s="7"/>
      <c r="H40" s="7"/>
      <c r="I40" s="7"/>
      <c r="J40" s="7"/>
      <c r="K40" s="7">
        <v>0</v>
      </c>
      <c r="L40" s="7">
        <v>1.4</v>
      </c>
      <c r="M40" s="7"/>
      <c r="N40" s="7">
        <v>-6.508</v>
      </c>
      <c r="O40" s="8"/>
      <c r="P40" s="8"/>
      <c r="Q40" s="8"/>
      <c r="R40" s="8"/>
      <c r="S40" s="8"/>
    </row>
    <row r="41" spans="2:19" s="18" customFormat="1" ht="12" customHeight="1" x14ac:dyDescent="0.25">
      <c r="B41" s="9" t="s">
        <v>45</v>
      </c>
      <c r="C41" s="10">
        <f t="shared" ref="C41:L41" si="17">SUM(C38:C40)</f>
        <v>0</v>
      </c>
      <c r="D41" s="10">
        <f t="shared" si="17"/>
        <v>0</v>
      </c>
      <c r="E41" s="10">
        <f t="shared" si="17"/>
        <v>0</v>
      </c>
      <c r="F41" s="10">
        <f t="shared" si="17"/>
        <v>0</v>
      </c>
      <c r="G41" s="10">
        <f t="shared" si="17"/>
        <v>0</v>
      </c>
      <c r="H41" s="10">
        <f t="shared" si="17"/>
        <v>0</v>
      </c>
      <c r="I41" s="10">
        <f t="shared" si="17"/>
        <v>0</v>
      </c>
      <c r="J41" s="10">
        <f t="shared" si="17"/>
        <v>0</v>
      </c>
      <c r="K41" s="10">
        <f t="shared" si="17"/>
        <v>-260.40600000000001</v>
      </c>
      <c r="L41" s="10">
        <f t="shared" si="17"/>
        <v>-219.57999999999998</v>
      </c>
      <c r="M41" s="10">
        <f>SUM(M38:M40)</f>
        <v>5.2149999999999981</v>
      </c>
      <c r="N41" s="10">
        <f>SUM(N38:N40)</f>
        <v>53.231000000000002</v>
      </c>
      <c r="O41" s="5"/>
      <c r="P41" s="5"/>
      <c r="Q41" s="5"/>
      <c r="R41" s="5"/>
      <c r="S41" s="5"/>
    </row>
    <row r="42" spans="2:19" ht="12" customHeight="1" x14ac:dyDescent="0.25">
      <c r="B42" s="19" t="s">
        <v>46</v>
      </c>
      <c r="C42" s="12" t="str">
        <f t="shared" ref="C42:L42" si="18">IF(ISERROR(C41/C35)," ",C41/C35)</f>
        <v xml:space="preserve"> </v>
      </c>
      <c r="D42" s="12" t="str">
        <f t="shared" si="18"/>
        <v xml:space="preserve"> </v>
      </c>
      <c r="E42" s="12" t="str">
        <f t="shared" si="18"/>
        <v xml:space="preserve"> </v>
      </c>
      <c r="F42" s="12" t="str">
        <f t="shared" si="18"/>
        <v xml:space="preserve"> </v>
      </c>
      <c r="G42" s="12" t="str">
        <f t="shared" si="18"/>
        <v xml:space="preserve"> </v>
      </c>
      <c r="H42" s="12" t="str">
        <f t="shared" si="18"/>
        <v xml:space="preserve"> </v>
      </c>
      <c r="I42" s="12" t="str">
        <f t="shared" si="18"/>
        <v xml:space="preserve"> </v>
      </c>
      <c r="J42" s="12" t="str">
        <f t="shared" si="18"/>
        <v xml:space="preserve"> </v>
      </c>
      <c r="K42" s="12">
        <f t="shared" si="18"/>
        <v>0.28244213540423868</v>
      </c>
      <c r="L42" s="12">
        <f t="shared" si="18"/>
        <v>0.29857971349510115</v>
      </c>
      <c r="M42" s="12">
        <f>IF(ISERROR(M41/M35)," ",M41/M35)</f>
        <v>0.31427021815114436</v>
      </c>
      <c r="N42" s="12">
        <f>IF(ISERROR(N41/N35)," ",N41/N35)</f>
        <v>0.16592842425508125</v>
      </c>
      <c r="O42" s="13"/>
      <c r="P42" s="13"/>
      <c r="Q42" s="13"/>
      <c r="R42" s="13"/>
      <c r="S42" s="13"/>
    </row>
    <row r="43" spans="2:19" ht="12" customHeight="1" x14ac:dyDescent="0.25">
      <c r="B43" s="19"/>
      <c r="C43" s="12"/>
      <c r="D43" s="12"/>
      <c r="E43" s="12"/>
      <c r="F43" s="12"/>
      <c r="G43" s="12"/>
      <c r="H43" s="12"/>
      <c r="I43" s="12"/>
      <c r="J43" s="12"/>
      <c r="K43" s="12"/>
      <c r="L43" s="12"/>
      <c r="M43" s="12"/>
      <c r="N43" s="12"/>
      <c r="O43" s="13"/>
      <c r="P43" s="13"/>
      <c r="Q43" s="13"/>
      <c r="R43" s="13"/>
      <c r="S43" s="13"/>
    </row>
    <row r="44" spans="2:19" ht="12" customHeight="1" x14ac:dyDescent="0.25">
      <c r="B44" s="9" t="s">
        <v>47</v>
      </c>
      <c r="C44" s="10">
        <f t="shared" ref="C44:L44" si="19">C35-C36-C41</f>
        <v>0</v>
      </c>
      <c r="D44" s="10">
        <f t="shared" si="19"/>
        <v>0</v>
      </c>
      <c r="E44" s="10">
        <f t="shared" si="19"/>
        <v>0</v>
      </c>
      <c r="F44" s="10">
        <f t="shared" si="19"/>
        <v>0</v>
      </c>
      <c r="G44" s="10">
        <f t="shared" si="19"/>
        <v>0</v>
      </c>
      <c r="H44" s="10">
        <f t="shared" si="19"/>
        <v>0</v>
      </c>
      <c r="I44" s="10">
        <f t="shared" si="19"/>
        <v>0</v>
      </c>
      <c r="J44" s="10">
        <f t="shared" si="19"/>
        <v>0</v>
      </c>
      <c r="K44" s="10">
        <f t="shared" si="19"/>
        <v>-661.57400000000007</v>
      </c>
      <c r="L44" s="10">
        <f t="shared" si="19"/>
        <v>-515.83500000000049</v>
      </c>
      <c r="M44" s="10">
        <f>M35-M36-M41</f>
        <v>11.378999999999712</v>
      </c>
      <c r="N44" s="10">
        <f>N35-N36-N41</f>
        <v>267.57600000000093</v>
      </c>
      <c r="O44" s="5"/>
      <c r="P44" s="5"/>
      <c r="Q44" s="5"/>
      <c r="R44" s="5"/>
      <c r="S44" s="5"/>
    </row>
    <row r="45" spans="2:19" ht="12" customHeight="1" x14ac:dyDescent="0.25">
      <c r="B45" s="6"/>
      <c r="C45" s="7"/>
      <c r="D45" s="7"/>
      <c r="E45" s="7"/>
      <c r="F45" s="7"/>
      <c r="G45" s="7"/>
      <c r="H45" s="7"/>
      <c r="I45" s="7"/>
      <c r="J45" s="7"/>
      <c r="K45" s="7"/>
      <c r="L45" s="7"/>
      <c r="M45" s="7"/>
      <c r="N45" s="7"/>
      <c r="O45" s="8"/>
      <c r="P45" s="8"/>
      <c r="Q45" s="8"/>
      <c r="R45" s="8"/>
      <c r="S45" s="8"/>
    </row>
    <row r="46" spans="2:19" ht="12" customHeight="1" x14ac:dyDescent="0.25">
      <c r="B46" s="6" t="s">
        <v>48</v>
      </c>
      <c r="C46" s="7"/>
      <c r="D46" s="7"/>
      <c r="E46" s="7"/>
      <c r="F46" s="7"/>
      <c r="G46" s="7"/>
      <c r="H46" s="7"/>
      <c r="I46" s="7"/>
      <c r="J46" s="7"/>
      <c r="K46" s="7"/>
      <c r="L46" s="7"/>
      <c r="M46" s="7"/>
      <c r="N46" s="7"/>
      <c r="O46" s="8"/>
      <c r="P46" s="8"/>
      <c r="Q46" s="8"/>
      <c r="R46" s="8"/>
      <c r="S46" s="8"/>
    </row>
    <row r="47" spans="2:19" ht="12" customHeight="1" x14ac:dyDescent="0.25">
      <c r="B47" s="6" t="s">
        <v>49</v>
      </c>
      <c r="C47" s="7"/>
      <c r="D47" s="7"/>
      <c r="E47" s="7"/>
      <c r="F47" s="7"/>
      <c r="G47" s="7"/>
      <c r="H47" s="7"/>
      <c r="I47" s="7"/>
      <c r="J47" s="7"/>
      <c r="K47" s="7"/>
      <c r="L47" s="7"/>
      <c r="M47" s="7"/>
      <c r="N47" s="7"/>
      <c r="O47" s="8"/>
      <c r="P47" s="8"/>
      <c r="Q47" s="8"/>
      <c r="R47" s="8"/>
      <c r="S47" s="8"/>
    </row>
    <row r="48" spans="2:19" ht="12" customHeight="1" x14ac:dyDescent="0.25">
      <c r="B48" s="6"/>
      <c r="C48" s="7"/>
      <c r="D48" s="7"/>
      <c r="E48" s="7"/>
      <c r="F48" s="7"/>
      <c r="G48" s="7"/>
      <c r="H48" s="7"/>
      <c r="I48" s="7"/>
      <c r="J48" s="7"/>
      <c r="K48" s="7"/>
      <c r="L48" s="7"/>
      <c r="M48" s="7"/>
      <c r="N48" s="7"/>
      <c r="O48" s="8"/>
      <c r="P48" s="8"/>
      <c r="Q48" s="8"/>
      <c r="R48" s="8"/>
      <c r="S48" s="8"/>
    </row>
    <row r="49" spans="2:19" ht="12" customHeight="1" x14ac:dyDescent="0.25">
      <c r="B49" s="9" t="s">
        <v>50</v>
      </c>
      <c r="C49" s="10">
        <f t="shared" ref="C49:L49" si="20">C44-C46+C47</f>
        <v>0</v>
      </c>
      <c r="D49" s="10">
        <f t="shared" si="20"/>
        <v>0</v>
      </c>
      <c r="E49" s="10">
        <f t="shared" si="20"/>
        <v>0</v>
      </c>
      <c r="F49" s="10">
        <f t="shared" si="20"/>
        <v>0</v>
      </c>
      <c r="G49" s="10">
        <f t="shared" si="20"/>
        <v>0</v>
      </c>
      <c r="H49" s="10">
        <f t="shared" si="20"/>
        <v>0</v>
      </c>
      <c r="I49" s="10">
        <f t="shared" si="20"/>
        <v>0</v>
      </c>
      <c r="J49" s="10">
        <f t="shared" si="20"/>
        <v>0</v>
      </c>
      <c r="K49" s="10">
        <f t="shared" si="20"/>
        <v>-661.57400000000007</v>
      </c>
      <c r="L49" s="10">
        <f t="shared" si="20"/>
        <v>-515.83500000000049</v>
      </c>
      <c r="M49" s="10">
        <f>M44-M46+M47</f>
        <v>11.378999999999712</v>
      </c>
      <c r="N49" s="10">
        <f>N44-N46+N47</f>
        <v>267.57600000000093</v>
      </c>
      <c r="O49" s="5"/>
      <c r="P49" s="5"/>
      <c r="Q49" s="5"/>
      <c r="R49" s="5"/>
      <c r="S49" s="5"/>
    </row>
    <row r="50" spans="2:19" ht="12" customHeight="1" x14ac:dyDescent="0.25">
      <c r="B50" s="15" t="s">
        <v>35</v>
      </c>
      <c r="C50" s="16" t="str">
        <f t="shared" ref="C50:L50" si="21">IF(ISERROR(C49/C16)," ",C49/C16)</f>
        <v xml:space="preserve"> </v>
      </c>
      <c r="D50" s="16" t="str">
        <f t="shared" si="21"/>
        <v xml:space="preserve"> </v>
      </c>
      <c r="E50" s="16" t="str">
        <f t="shared" si="21"/>
        <v xml:space="preserve"> </v>
      </c>
      <c r="F50" s="16" t="str">
        <f t="shared" si="21"/>
        <v xml:space="preserve"> </v>
      </c>
      <c r="G50" s="16" t="str">
        <f t="shared" si="21"/>
        <v xml:space="preserve"> </v>
      </c>
      <c r="H50" s="16" t="str">
        <f t="shared" si="21"/>
        <v xml:space="preserve"> </v>
      </c>
      <c r="I50" s="16" t="str">
        <f t="shared" si="21"/>
        <v xml:space="preserve"> </v>
      </c>
      <c r="J50" s="16" t="str">
        <f t="shared" si="21"/>
        <v xml:space="preserve"> </v>
      </c>
      <c r="K50" s="16">
        <f t="shared" si="21"/>
        <v>-6.911554534057669</v>
      </c>
      <c r="L50" s="16">
        <f t="shared" si="21"/>
        <v>-0.21627141184875637</v>
      </c>
      <c r="M50" s="16">
        <f>IF(ISERROR(M49/M16)," ",M49/M16)</f>
        <v>3.1516262075485901E-3</v>
      </c>
      <c r="N50" s="16">
        <f>IF(ISERROR(N49/N16)," ",N49/N16)</f>
        <v>6.4377747457320264E-2</v>
      </c>
      <c r="O50" s="17"/>
      <c r="P50" s="17"/>
      <c r="Q50" s="17"/>
      <c r="R50" s="17"/>
      <c r="S50" s="17"/>
    </row>
    <row r="51" spans="2:19" s="14" customFormat="1" ht="12" customHeight="1" x14ac:dyDescent="0.25">
      <c r="B51" s="11" t="s">
        <v>30</v>
      </c>
      <c r="C51" s="12" t="str">
        <f t="shared" ref="C51:K51" si="22">IF(ISERROR(C49/B49-1)," ",C49/B49-1)</f>
        <v xml:space="preserve"> </v>
      </c>
      <c r="D51" s="12" t="str">
        <f t="shared" si="22"/>
        <v xml:space="preserve"> </v>
      </c>
      <c r="E51" s="12" t="str">
        <f t="shared" si="22"/>
        <v xml:space="preserve"> </v>
      </c>
      <c r="F51" s="12" t="str">
        <f t="shared" si="22"/>
        <v xml:space="preserve"> </v>
      </c>
      <c r="G51" s="12" t="str">
        <f t="shared" si="22"/>
        <v xml:space="preserve"> </v>
      </c>
      <c r="H51" s="12" t="str">
        <f t="shared" si="22"/>
        <v xml:space="preserve"> </v>
      </c>
      <c r="I51" s="12" t="str">
        <f t="shared" si="22"/>
        <v xml:space="preserve"> </v>
      </c>
      <c r="J51" s="12" t="str">
        <f t="shared" si="22"/>
        <v xml:space="preserve"> </v>
      </c>
      <c r="K51" s="12" t="str">
        <f t="shared" si="22"/>
        <v xml:space="preserve"> </v>
      </c>
      <c r="L51" s="12">
        <f>IF(ISERROR(L49/K49-1)," ",L49/K49-1)</f>
        <v>-0.22029130528104124</v>
      </c>
      <c r="M51" s="12">
        <f>IF(ISERROR(M49/L49-1)," ",M49/L49-1)</f>
        <v>-1.0220593794527315</v>
      </c>
      <c r="N51" s="12">
        <f>IF(ISERROR(N49/M49-1)," ",N49/M49-1)</f>
        <v>22.51489586079688</v>
      </c>
      <c r="O51" s="13"/>
      <c r="P51" s="13"/>
      <c r="Q51" s="13"/>
      <c r="R51" s="13"/>
      <c r="S51" s="13"/>
    </row>
    <row r="52" spans="2:19" ht="12" customHeight="1" x14ac:dyDescent="0.25">
      <c r="B52" s="15"/>
      <c r="C52" s="16"/>
      <c r="D52" s="16"/>
      <c r="E52" s="16"/>
      <c r="F52" s="16"/>
      <c r="G52" s="16"/>
      <c r="H52" s="16"/>
      <c r="I52" s="16"/>
      <c r="J52" s="16"/>
      <c r="K52" s="16"/>
      <c r="L52" s="16"/>
      <c r="M52" s="16"/>
      <c r="N52" s="16"/>
      <c r="O52" s="17"/>
      <c r="P52" s="17"/>
      <c r="Q52" s="17"/>
      <c r="R52" s="17"/>
      <c r="S52" s="17"/>
    </row>
    <row r="53" spans="2:19" ht="12" customHeight="1" x14ac:dyDescent="0.25">
      <c r="B53" s="9" t="s">
        <v>51</v>
      </c>
      <c r="C53" s="10"/>
      <c r="D53" s="10"/>
      <c r="E53" s="10"/>
      <c r="F53" s="10"/>
      <c r="G53" s="10"/>
      <c r="H53" s="10"/>
      <c r="I53" s="10"/>
      <c r="J53" s="10"/>
      <c r="K53" s="10"/>
      <c r="L53" s="10"/>
      <c r="M53" s="10"/>
      <c r="N53" s="10"/>
      <c r="O53" s="5"/>
      <c r="P53" s="5"/>
      <c r="Q53" s="5"/>
      <c r="R53" s="5"/>
      <c r="S53" s="5"/>
    </row>
    <row r="54" spans="2:19" ht="12" customHeight="1" x14ac:dyDescent="0.25">
      <c r="B54" s="9" t="s">
        <v>52</v>
      </c>
      <c r="C54" s="20"/>
      <c r="D54" s="20"/>
      <c r="E54" s="20"/>
      <c r="F54" s="20"/>
      <c r="G54" s="20"/>
      <c r="H54" s="20"/>
      <c r="I54" s="20"/>
      <c r="J54" s="20"/>
      <c r="K54" s="20"/>
      <c r="L54" s="20"/>
      <c r="M54" s="20"/>
      <c r="N54" s="20"/>
      <c r="O54" s="21"/>
      <c r="P54" s="21"/>
      <c r="Q54" s="21"/>
      <c r="R54" s="21"/>
      <c r="S54" s="21"/>
    </row>
    <row r="55" spans="2:19" ht="12" customHeight="1" x14ac:dyDescent="0.25">
      <c r="B55" s="9" t="s">
        <v>53</v>
      </c>
      <c r="C55" s="20"/>
      <c r="D55" s="20"/>
      <c r="E55" s="20"/>
      <c r="F55" s="20"/>
      <c r="G55" s="20"/>
      <c r="H55" s="20"/>
      <c r="I55" s="20"/>
      <c r="J55" s="20"/>
      <c r="K55" s="20"/>
      <c r="L55" s="20"/>
      <c r="M55" s="20"/>
      <c r="N55" s="20"/>
      <c r="O55" s="21"/>
      <c r="P55" s="21"/>
      <c r="Q55" s="21"/>
      <c r="R55" s="21"/>
      <c r="S55" s="21"/>
    </row>
    <row r="56" spans="2:19" ht="12" customHeight="1" x14ac:dyDescent="0.25">
      <c r="B56" s="9" t="s">
        <v>54</v>
      </c>
      <c r="C56" s="20"/>
      <c r="D56" s="20"/>
      <c r="E56" s="20"/>
      <c r="F56" s="20"/>
      <c r="G56" s="20"/>
      <c r="H56" s="20"/>
      <c r="I56" s="20"/>
      <c r="J56" s="20"/>
      <c r="K56" s="20"/>
      <c r="L56" s="20"/>
      <c r="M56" s="20"/>
      <c r="N56" s="20"/>
      <c r="O56" s="21"/>
      <c r="P56" s="21"/>
      <c r="Q56" s="21"/>
      <c r="R56" s="21"/>
      <c r="S56" s="21"/>
    </row>
    <row r="57" spans="2:19" ht="12" customHeight="1" x14ac:dyDescent="0.25">
      <c r="B57" s="9" t="s">
        <v>55</v>
      </c>
      <c r="C57" s="20"/>
      <c r="D57" s="20"/>
      <c r="E57" s="20"/>
      <c r="F57" s="20"/>
      <c r="G57" s="20"/>
      <c r="H57" s="20"/>
      <c r="I57" s="20"/>
      <c r="J57" s="20"/>
      <c r="K57" s="20"/>
      <c r="L57" s="20"/>
      <c r="M57" s="20"/>
      <c r="N57" s="20"/>
      <c r="O57" s="21"/>
      <c r="P57" s="21"/>
      <c r="Q57" s="21"/>
      <c r="R57" s="21"/>
      <c r="S57" s="21"/>
    </row>
    <row r="58" spans="2:19" ht="12" customHeight="1" x14ac:dyDescent="0.25">
      <c r="B58" s="9" t="s">
        <v>56</v>
      </c>
      <c r="C58" s="20"/>
      <c r="D58" s="20"/>
      <c r="E58" s="20"/>
      <c r="F58" s="20"/>
      <c r="G58" s="20"/>
      <c r="H58" s="20"/>
      <c r="I58" s="20"/>
      <c r="J58" s="20"/>
      <c r="K58" s="20"/>
      <c r="L58" s="20"/>
      <c r="M58" s="20"/>
      <c r="N58" s="20"/>
      <c r="O58" s="21"/>
      <c r="P58" s="21"/>
      <c r="Q58" s="21"/>
      <c r="R58" s="21"/>
      <c r="S58" s="21"/>
    </row>
    <row r="59" spans="2:19" ht="12" customHeight="1" x14ac:dyDescent="0.25">
      <c r="B59" s="9" t="s">
        <v>57</v>
      </c>
      <c r="C59" s="22"/>
      <c r="D59" s="22"/>
      <c r="E59" s="22"/>
      <c r="F59" s="22"/>
      <c r="G59" s="22"/>
      <c r="H59" s="22"/>
      <c r="I59" s="22"/>
      <c r="J59" s="22"/>
      <c r="K59" s="22"/>
      <c r="L59" s="22"/>
      <c r="M59" s="22"/>
      <c r="N59" s="22"/>
      <c r="O59" s="23"/>
      <c r="P59" s="23"/>
      <c r="Q59" s="23"/>
      <c r="R59" s="23"/>
      <c r="S59" s="23"/>
    </row>
    <row r="60" spans="2:19" ht="12" customHeight="1" x14ac:dyDescent="0.25">
      <c r="B60" s="9" t="s">
        <v>58</v>
      </c>
      <c r="C60" s="10"/>
      <c r="D60" s="10"/>
      <c r="E60" s="10"/>
      <c r="F60" s="10"/>
      <c r="G60" s="10"/>
      <c r="H60" s="10"/>
      <c r="I60" s="10"/>
      <c r="J60" s="10"/>
      <c r="K60" s="10"/>
      <c r="L60" s="10"/>
      <c r="M60" s="10"/>
      <c r="N60" s="10"/>
      <c r="O60" s="5"/>
      <c r="P60" s="5"/>
      <c r="Q60" s="5"/>
      <c r="R60" s="5"/>
      <c r="S60" s="5"/>
    </row>
    <row r="61" spans="2:19" ht="12" customHeight="1" x14ac:dyDescent="0.25">
      <c r="B61" s="9"/>
      <c r="C61" s="10"/>
      <c r="D61" s="10"/>
      <c r="E61" s="10"/>
      <c r="F61" s="10"/>
      <c r="G61" s="10"/>
      <c r="H61" s="10"/>
      <c r="I61" s="10"/>
      <c r="J61" s="10"/>
      <c r="K61" s="10"/>
      <c r="L61" s="10"/>
      <c r="M61" s="10"/>
      <c r="N61" s="10"/>
      <c r="O61" s="5"/>
      <c r="P61" s="5"/>
      <c r="Q61" s="5"/>
      <c r="R61" s="5"/>
      <c r="S61" s="5"/>
    </row>
    <row r="62" spans="2:19" s="26" customFormat="1" ht="12" customHeight="1" x14ac:dyDescent="0.25">
      <c r="B62" s="24"/>
      <c r="C62" s="25"/>
      <c r="D62" s="25"/>
      <c r="E62" s="25"/>
      <c r="F62" s="25"/>
      <c r="G62" s="25"/>
      <c r="H62" s="25"/>
      <c r="I62" s="25"/>
      <c r="J62" s="25"/>
      <c r="K62" s="25"/>
      <c r="L62" s="25"/>
      <c r="M62" s="25"/>
      <c r="N62" s="25"/>
      <c r="O62" s="25"/>
      <c r="P62" s="25"/>
      <c r="Q62" s="25"/>
      <c r="R62" s="25"/>
      <c r="S62" s="25"/>
    </row>
  </sheetData>
  <pageMargins left="0.7" right="0.7" top="0.75" bottom="0.75" header="0.3" footer="0.3"/>
  <pageSetup paperSize="9" orientation="portrait" verticalDpi="300" r:id="rId1"/>
  <ignoredErrors>
    <ignoredError sqref="Y6:AB6"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BE824-4320-4CB6-8B4A-8311094620CC}">
  <dimension ref="B1:S62"/>
  <sheetViews>
    <sheetView showGridLines="0" workbookViewId="0">
      <selection activeCell="N3" sqref="N3"/>
    </sheetView>
  </sheetViews>
  <sheetFormatPr defaultColWidth="8.28515625" defaultRowHeight="12" customHeight="1" x14ac:dyDescent="0.25"/>
  <cols>
    <col min="1" max="1" width="3.5703125" style="2" customWidth="1"/>
    <col min="2" max="2" width="35.7109375" style="2" customWidth="1"/>
    <col min="3" max="8" width="8.28515625" style="2" hidden="1" customWidth="1"/>
    <col min="9" max="10" width="8.28515625" style="2" customWidth="1"/>
    <col min="11" max="20" width="8.28515625" style="2"/>
    <col min="21" max="21" width="10" style="2" bestFit="1" customWidth="1"/>
    <col min="22" max="16384" width="8.28515625" style="2"/>
  </cols>
  <sheetData>
    <row r="1" spans="2:19" ht="12" customHeight="1" x14ac:dyDescent="0.25">
      <c r="B1" s="1" t="s">
        <v>222</v>
      </c>
    </row>
    <row r="2" spans="2:19" ht="12" customHeight="1" x14ac:dyDescent="0.25">
      <c r="B2" s="3" t="s">
        <v>17</v>
      </c>
      <c r="C2" s="4" t="s">
        <v>18</v>
      </c>
      <c r="D2" s="4" t="s">
        <v>19</v>
      </c>
      <c r="E2" s="4" t="s">
        <v>20</v>
      </c>
      <c r="F2" s="4" t="s">
        <v>21</v>
      </c>
      <c r="G2" s="4" t="s">
        <v>22</v>
      </c>
      <c r="H2" s="4" t="s">
        <v>23</v>
      </c>
      <c r="I2" s="4" t="s">
        <v>24</v>
      </c>
      <c r="J2" s="4" t="s">
        <v>25</v>
      </c>
      <c r="K2" s="4" t="s">
        <v>26</v>
      </c>
      <c r="L2" s="4" t="s">
        <v>27</v>
      </c>
      <c r="M2" s="4" t="s">
        <v>273</v>
      </c>
      <c r="N2" s="4" t="s">
        <v>347</v>
      </c>
      <c r="O2" s="5" t="s">
        <v>177</v>
      </c>
      <c r="P2" s="5" t="s">
        <v>178</v>
      </c>
      <c r="Q2" s="5" t="s">
        <v>179</v>
      </c>
      <c r="R2" s="5" t="s">
        <v>231</v>
      </c>
      <c r="S2" s="5" t="s">
        <v>232</v>
      </c>
    </row>
    <row r="3" spans="2:19" ht="12" customHeight="1" x14ac:dyDescent="0.25">
      <c r="B3" s="6"/>
      <c r="C3" s="7"/>
      <c r="D3" s="7"/>
      <c r="E3" s="7"/>
      <c r="F3" s="7"/>
      <c r="G3" s="7"/>
      <c r="H3" s="7"/>
      <c r="I3" s="7"/>
      <c r="J3" s="7"/>
      <c r="K3" s="7"/>
      <c r="L3" s="7"/>
      <c r="M3" s="7"/>
      <c r="N3" s="7"/>
      <c r="O3" s="8"/>
      <c r="P3" s="8"/>
      <c r="Q3" s="8"/>
      <c r="R3" s="8"/>
      <c r="S3" s="8"/>
    </row>
    <row r="4" spans="2:19" ht="12" customHeight="1" x14ac:dyDescent="0.25">
      <c r="B4" s="6" t="s">
        <v>478</v>
      </c>
      <c r="C4" s="7"/>
      <c r="D4" s="7"/>
      <c r="E4" s="7"/>
      <c r="F4" s="7"/>
      <c r="G4" s="7"/>
      <c r="H4" s="7"/>
      <c r="I4" s="123">
        <v>0</v>
      </c>
      <c r="J4" s="123">
        <v>0</v>
      </c>
      <c r="K4" s="123">
        <v>0</v>
      </c>
      <c r="L4" s="123">
        <v>0</v>
      </c>
      <c r="M4" s="123"/>
      <c r="N4" s="123"/>
      <c r="O4" s="8"/>
      <c r="P4" s="8"/>
      <c r="Q4" s="8"/>
      <c r="R4" s="8"/>
      <c r="S4" s="8"/>
    </row>
    <row r="5" spans="2:19" ht="12" customHeight="1" x14ac:dyDescent="0.25">
      <c r="B5" s="6" t="s">
        <v>479</v>
      </c>
      <c r="C5" s="7"/>
      <c r="D5" s="7"/>
      <c r="E5" s="7"/>
      <c r="F5" s="7"/>
      <c r="G5" s="7"/>
      <c r="H5" s="7"/>
      <c r="I5" s="123">
        <v>0</v>
      </c>
      <c r="J5" s="123">
        <v>0</v>
      </c>
      <c r="K5" s="123">
        <v>0</v>
      </c>
      <c r="L5" s="123">
        <v>0</v>
      </c>
      <c r="M5" s="123"/>
      <c r="N5" s="123"/>
      <c r="O5" s="8"/>
      <c r="P5" s="8"/>
      <c r="Q5" s="8"/>
      <c r="R5" s="8"/>
      <c r="S5" s="8"/>
    </row>
    <row r="6" spans="2:19" ht="12" customHeight="1" x14ac:dyDescent="0.25">
      <c r="B6" s="6" t="s">
        <v>480</v>
      </c>
      <c r="C6" s="7"/>
      <c r="D6" s="7"/>
      <c r="E6" s="7"/>
      <c r="F6" s="7"/>
      <c r="G6" s="7"/>
      <c r="H6" s="7"/>
      <c r="I6" s="123">
        <v>144</v>
      </c>
      <c r="J6" s="123">
        <v>168.5</v>
      </c>
      <c r="K6" s="123">
        <v>315.351</v>
      </c>
      <c r="L6" s="123">
        <v>516.71</v>
      </c>
      <c r="M6" s="123">
        <v>497.82600000000002</v>
      </c>
      <c r="N6" s="123">
        <v>508.28199999999998</v>
      </c>
      <c r="O6" s="8">
        <f ca="1">N6*(1+Assumptions!L756)</f>
        <v>517.2516823529412</v>
      </c>
      <c r="P6" s="8">
        <f ca="1">O6*(1+Assumptions!M756)</f>
        <v>522.42419917647067</v>
      </c>
      <c r="Q6" s="8">
        <f ca="1">P6*(1+Assumptions!N756)</f>
        <v>527.64844116823542</v>
      </c>
      <c r="R6" s="8">
        <f ca="1">Q6*(1+Assumptions!O756)</f>
        <v>532.92492557991773</v>
      </c>
      <c r="S6" s="8">
        <f ca="1">R6*(1+Assumptions!P756)</f>
        <v>538.25417483571687</v>
      </c>
    </row>
    <row r="7" spans="2:19" ht="12" customHeight="1" x14ac:dyDescent="0.25">
      <c r="B7" s="6" t="s">
        <v>481</v>
      </c>
      <c r="C7" s="7"/>
      <c r="D7" s="7"/>
      <c r="E7" s="7"/>
      <c r="F7" s="7"/>
      <c r="G7" s="7"/>
      <c r="H7" s="7"/>
      <c r="I7" s="123">
        <v>1572.2</v>
      </c>
      <c r="J7" s="123">
        <v>1287</v>
      </c>
      <c r="K7" s="123">
        <v>1848.0650000000001</v>
      </c>
      <c r="L7" s="123">
        <v>2163.5450000000001</v>
      </c>
      <c r="M7" s="123">
        <v>2964.7139999999999</v>
      </c>
      <c r="N7" s="123">
        <v>3269.857</v>
      </c>
      <c r="O7" s="8">
        <f ca="1">Assumptions!L733</f>
        <v>3493.9383767647064</v>
      </c>
      <c r="P7" s="8">
        <f ca="1">Assumptions!M733</f>
        <v>3705.3216485589714</v>
      </c>
      <c r="Q7" s="8">
        <f ca="1">Assumptions!N733</f>
        <v>3929.4936082967897</v>
      </c>
      <c r="R7" s="8">
        <f ca="1">Assumptions!O733</f>
        <v>4167.2279715987452</v>
      </c>
      <c r="S7" s="8">
        <f ca="1">Assumptions!P733</f>
        <v>4419.3452638804702</v>
      </c>
    </row>
    <row r="8" spans="2:19" ht="12" customHeight="1" x14ac:dyDescent="0.25">
      <c r="B8" s="6" t="s">
        <v>483</v>
      </c>
      <c r="C8" s="7"/>
      <c r="D8" s="7"/>
      <c r="E8" s="7"/>
      <c r="F8" s="7"/>
      <c r="G8" s="7"/>
      <c r="H8" s="7"/>
      <c r="I8" s="123">
        <v>307.39999999999998</v>
      </c>
      <c r="J8" s="123">
        <v>273.5</v>
      </c>
      <c r="K8" s="123">
        <v>401.63499999999999</v>
      </c>
      <c r="L8" s="123">
        <v>435.22899999999998</v>
      </c>
      <c r="M8" s="123"/>
      <c r="N8" s="123"/>
      <c r="O8" s="8">
        <f t="shared" ref="O8:S8" si="0">N8</f>
        <v>0</v>
      </c>
      <c r="P8" s="8">
        <f t="shared" si="0"/>
        <v>0</v>
      </c>
      <c r="Q8" s="8">
        <f t="shared" si="0"/>
        <v>0</v>
      </c>
      <c r="R8" s="8">
        <f t="shared" si="0"/>
        <v>0</v>
      </c>
      <c r="S8" s="8">
        <f t="shared" si="0"/>
        <v>0</v>
      </c>
    </row>
    <row r="9" spans="2:19" ht="12" customHeight="1" x14ac:dyDescent="0.25">
      <c r="B9" s="6" t="s">
        <v>482</v>
      </c>
      <c r="C9" s="7"/>
      <c r="D9" s="7"/>
      <c r="E9" s="7"/>
      <c r="F9" s="7"/>
      <c r="G9" s="7"/>
      <c r="H9" s="7"/>
      <c r="I9" s="123">
        <v>0</v>
      </c>
      <c r="J9" s="123">
        <v>0</v>
      </c>
      <c r="K9" s="123">
        <v>61.332999999999998</v>
      </c>
      <c r="L9" s="123">
        <v>84.364000000000004</v>
      </c>
      <c r="M9" s="123">
        <v>145.262</v>
      </c>
      <c r="N9" s="123">
        <v>147.428</v>
      </c>
      <c r="O9" s="8">
        <f t="shared" ref="O9:S9" si="1">N9</f>
        <v>147.428</v>
      </c>
      <c r="P9" s="8">
        <f t="shared" si="1"/>
        <v>147.428</v>
      </c>
      <c r="Q9" s="8">
        <f t="shared" si="1"/>
        <v>147.428</v>
      </c>
      <c r="R9" s="8">
        <f t="shared" si="1"/>
        <v>147.428</v>
      </c>
      <c r="S9" s="8">
        <f t="shared" si="1"/>
        <v>147.428</v>
      </c>
    </row>
    <row r="10" spans="2:19" ht="12" customHeight="1" x14ac:dyDescent="0.25">
      <c r="B10" s="6" t="s">
        <v>484</v>
      </c>
      <c r="C10" s="7"/>
      <c r="D10" s="7"/>
      <c r="E10" s="7"/>
      <c r="F10" s="7"/>
      <c r="G10" s="7"/>
      <c r="H10" s="7"/>
      <c r="I10" s="123">
        <v>0</v>
      </c>
      <c r="J10" s="123">
        <v>0</v>
      </c>
      <c r="K10" s="123">
        <v>0</v>
      </c>
      <c r="L10" s="123">
        <v>0</v>
      </c>
      <c r="M10" s="123"/>
      <c r="N10" s="123"/>
      <c r="O10" s="8"/>
      <c r="P10" s="8"/>
      <c r="Q10" s="8"/>
      <c r="R10" s="8"/>
      <c r="S10" s="8"/>
    </row>
    <row r="11" spans="2:19" ht="12" customHeight="1" x14ac:dyDescent="0.25">
      <c r="B11" s="6" t="s">
        <v>485</v>
      </c>
      <c r="C11" s="7"/>
      <c r="D11" s="7"/>
      <c r="E11" s="7"/>
      <c r="F11" s="7"/>
      <c r="G11" s="7"/>
      <c r="H11" s="7"/>
      <c r="I11" s="123">
        <v>0</v>
      </c>
      <c r="J11" s="123">
        <v>0</v>
      </c>
      <c r="K11" s="123">
        <v>0</v>
      </c>
      <c r="L11" s="123">
        <v>0</v>
      </c>
      <c r="M11" s="123"/>
      <c r="N11" s="123"/>
      <c r="O11" s="8"/>
      <c r="P11" s="8"/>
      <c r="Q11" s="8"/>
      <c r="R11" s="8"/>
      <c r="S11" s="8"/>
    </row>
    <row r="12" spans="2:19" ht="12" customHeight="1" x14ac:dyDescent="0.25">
      <c r="B12" s="6" t="s">
        <v>486</v>
      </c>
      <c r="C12" s="7"/>
      <c r="D12" s="7"/>
      <c r="E12" s="7"/>
      <c r="F12" s="7"/>
      <c r="G12" s="7"/>
      <c r="H12" s="7"/>
      <c r="I12" s="123">
        <v>0</v>
      </c>
      <c r="J12" s="123">
        <v>0</v>
      </c>
      <c r="K12" s="123">
        <v>0</v>
      </c>
      <c r="L12" s="123">
        <v>0</v>
      </c>
      <c r="M12" s="123"/>
      <c r="N12" s="123"/>
      <c r="O12" s="8"/>
      <c r="P12" s="8"/>
      <c r="Q12" s="8"/>
      <c r="R12" s="8"/>
      <c r="S12" s="8"/>
    </row>
    <row r="13" spans="2:19" ht="12" customHeight="1" x14ac:dyDescent="0.25">
      <c r="B13" s="6" t="s">
        <v>487</v>
      </c>
      <c r="C13" s="7"/>
      <c r="D13" s="7"/>
      <c r="E13" s="7"/>
      <c r="F13" s="7"/>
      <c r="G13" s="7"/>
      <c r="H13" s="7"/>
      <c r="I13" s="123">
        <v>0</v>
      </c>
      <c r="J13" s="123">
        <v>0</v>
      </c>
      <c r="K13" s="123">
        <v>0</v>
      </c>
      <c r="L13" s="123">
        <v>0</v>
      </c>
      <c r="M13" s="123"/>
      <c r="N13" s="123"/>
      <c r="O13" s="8"/>
      <c r="P13" s="8"/>
      <c r="Q13" s="8"/>
      <c r="R13" s="8"/>
      <c r="S13" s="8"/>
    </row>
    <row r="14" spans="2:19" ht="12" customHeight="1" x14ac:dyDescent="0.25">
      <c r="B14" s="6" t="s">
        <v>488</v>
      </c>
      <c r="C14" s="7"/>
      <c r="D14" s="7"/>
      <c r="E14" s="7"/>
      <c r="F14" s="7"/>
      <c r="G14" s="7"/>
      <c r="H14" s="7"/>
      <c r="I14" s="123">
        <f>0.6+74.1</f>
        <v>74.699999999999989</v>
      </c>
      <c r="J14" s="123">
        <f>7.2+50.8</f>
        <v>58</v>
      </c>
      <c r="K14" s="123">
        <v>0</v>
      </c>
      <c r="L14" s="123">
        <v>0</v>
      </c>
      <c r="M14" s="123"/>
      <c r="N14" s="123"/>
      <c r="O14" s="8"/>
      <c r="P14" s="8"/>
      <c r="Q14" s="8"/>
      <c r="R14" s="8"/>
      <c r="S14" s="8"/>
    </row>
    <row r="15" spans="2:19" ht="12" customHeight="1" x14ac:dyDescent="0.25">
      <c r="B15" s="6"/>
      <c r="C15" s="7"/>
      <c r="D15" s="7"/>
      <c r="E15" s="7"/>
      <c r="F15" s="7"/>
      <c r="G15" s="7"/>
      <c r="H15" s="7"/>
      <c r="I15" s="7"/>
      <c r="J15" s="7"/>
      <c r="K15" s="7"/>
      <c r="L15" s="7"/>
      <c r="M15" s="7"/>
      <c r="N15" s="7"/>
      <c r="O15" s="8"/>
      <c r="P15" s="8"/>
      <c r="Q15" s="8"/>
      <c r="R15" s="8"/>
      <c r="S15" s="8"/>
    </row>
    <row r="16" spans="2:19" ht="12" customHeight="1" x14ac:dyDescent="0.25">
      <c r="B16" s="9" t="s">
        <v>29</v>
      </c>
      <c r="C16" s="10"/>
      <c r="D16" s="10"/>
      <c r="E16" s="10"/>
      <c r="F16" s="10"/>
      <c r="G16" s="10"/>
      <c r="H16" s="10"/>
      <c r="I16" s="10">
        <f>SUM(I4:I14)</f>
        <v>2098.2999999999997</v>
      </c>
      <c r="J16" s="10">
        <f>SUM(J4:J14)</f>
        <v>1787</v>
      </c>
      <c r="K16" s="10">
        <f>SUM(K4:K14)</f>
        <v>2626.3840000000005</v>
      </c>
      <c r="L16" s="10">
        <f>SUM(L4:L14)</f>
        <v>3199.848</v>
      </c>
      <c r="M16" s="10">
        <f t="shared" ref="M16:S16" si="2">SUM(M4:M14)</f>
        <v>3607.8020000000001</v>
      </c>
      <c r="N16" s="10">
        <f t="shared" ref="N16" si="3">SUM(N4:N14)</f>
        <v>3925.567</v>
      </c>
      <c r="O16" s="5">
        <f t="shared" ca="1" si="2"/>
        <v>4158.618059117648</v>
      </c>
      <c r="P16" s="5">
        <f t="shared" ca="1" si="2"/>
        <v>4375.173847735442</v>
      </c>
      <c r="Q16" s="5">
        <f t="shared" ca="1" si="2"/>
        <v>4604.5700494650246</v>
      </c>
      <c r="R16" s="5">
        <f t="shared" ca="1" si="2"/>
        <v>4847.5808971786628</v>
      </c>
      <c r="S16" s="5">
        <f t="shared" ca="1" si="2"/>
        <v>5105.0274387161871</v>
      </c>
    </row>
    <row r="17" spans="2:19" s="14" customFormat="1" ht="12" customHeight="1" x14ac:dyDescent="0.25">
      <c r="B17" s="11" t="s">
        <v>30</v>
      </c>
      <c r="C17" s="12" t="str">
        <f>IF(ISERROR(C16/#REF!-1)," ",C16/#REF!-1)</f>
        <v xml:space="preserve"> </v>
      </c>
      <c r="D17" s="12" t="str">
        <f>IF(ISERROR(D16/#REF!-1)," ",D16/#REF!-1)</f>
        <v xml:space="preserve"> </v>
      </c>
      <c r="E17" s="12" t="str">
        <f>IF(ISERROR(E16/#REF!-1)," ",E16/#REF!-1)</f>
        <v xml:space="preserve"> </v>
      </c>
      <c r="F17" s="12" t="str">
        <f>IF(ISERROR(F16/#REF!-1)," ",F16/#REF!-1)</f>
        <v xml:space="preserve"> </v>
      </c>
      <c r="G17" s="12" t="str">
        <f>IF(ISERROR(G16/#REF!-1)," ",G16/#REF!-1)</f>
        <v xml:space="preserve"> </v>
      </c>
      <c r="H17" s="12" t="str">
        <f>IF(ISERROR(H16/#REF!-1)," ",H16/#REF!-1)</f>
        <v xml:space="preserve"> </v>
      </c>
      <c r="I17" s="12" t="str">
        <f>IF(ISERROR(I16/#REF!-1)," ",I16/#REF!-1)</f>
        <v xml:space="preserve"> </v>
      </c>
      <c r="J17" s="12">
        <f>IF(ISERROR(J16/I16-1)," ",J16/I16-1)</f>
        <v>-0.14835819472906631</v>
      </c>
      <c r="K17" s="12">
        <f>IF(ISERROR(K16/J16-1)," ",K16/J16-1)</f>
        <v>0.46971684387241219</v>
      </c>
      <c r="L17" s="12">
        <f>IF(ISERROR(L16/K16-1)," ",L16/K16-1)</f>
        <v>0.218347355146848</v>
      </c>
      <c r="M17" s="12">
        <f t="shared" ref="M17:S17" si="4">IF(ISERROR(M16/L16-1)," ",M16/L16-1)</f>
        <v>0.12749168085484075</v>
      </c>
      <c r="N17" s="12">
        <f t="shared" si="4"/>
        <v>8.8077172749502219E-2</v>
      </c>
      <c r="O17" s="13">
        <f t="shared" ca="1" si="4"/>
        <v>5.9367489872838242E-2</v>
      </c>
      <c r="P17" s="13">
        <f t="shared" ca="1" si="4"/>
        <v>5.2073978792787079E-2</v>
      </c>
      <c r="Q17" s="13">
        <f t="shared" ca="1" si="4"/>
        <v>5.2431334093916426E-2</v>
      </c>
      <c r="R17" s="13">
        <f t="shared" ca="1" si="4"/>
        <v>5.277601276624555E-2</v>
      </c>
      <c r="S17" s="13">
        <f t="shared" ca="1" si="4"/>
        <v>5.310825069208458E-2</v>
      </c>
    </row>
    <row r="18" spans="2:19" ht="12" customHeight="1" x14ac:dyDescent="0.25">
      <c r="B18" s="6"/>
      <c r="C18" s="7"/>
      <c r="D18" s="7"/>
      <c r="E18" s="7"/>
      <c r="F18" s="7"/>
      <c r="G18" s="7"/>
      <c r="H18" s="7"/>
      <c r="I18" s="7"/>
      <c r="J18" s="7"/>
      <c r="K18" s="7"/>
      <c r="L18" s="7"/>
      <c r="M18" s="7"/>
      <c r="N18" s="7"/>
      <c r="O18" s="8"/>
      <c r="P18" s="8"/>
      <c r="Q18" s="8"/>
      <c r="R18" s="8"/>
      <c r="S18" s="8"/>
    </row>
    <row r="19" spans="2:19" ht="12" customHeight="1" x14ac:dyDescent="0.25">
      <c r="B19" s="6" t="s">
        <v>31</v>
      </c>
      <c r="C19" s="7"/>
      <c r="D19" s="7"/>
      <c r="E19" s="7"/>
      <c r="F19" s="7"/>
      <c r="G19" s="7"/>
      <c r="H19" s="7"/>
      <c r="I19" s="7">
        <v>1518.1</v>
      </c>
      <c r="J19" s="7">
        <v>1298.0999999999999</v>
      </c>
      <c r="K19" s="7">
        <v>2061.2330000000002</v>
      </c>
      <c r="L19" s="7">
        <v>2358.942</v>
      </c>
      <c r="M19" s="7">
        <v>2454.2660000000001</v>
      </c>
      <c r="N19" s="7">
        <v>2635.7179999999998</v>
      </c>
      <c r="O19" s="8"/>
      <c r="P19" s="8"/>
      <c r="Q19" s="8"/>
      <c r="R19" s="8"/>
      <c r="S19" s="8"/>
    </row>
    <row r="20" spans="2:19" ht="12" customHeight="1" x14ac:dyDescent="0.25">
      <c r="B20" s="6" t="s">
        <v>32</v>
      </c>
      <c r="C20" s="7"/>
      <c r="D20" s="7"/>
      <c r="E20" s="7"/>
      <c r="F20" s="7"/>
      <c r="G20" s="7"/>
      <c r="H20" s="7"/>
      <c r="I20" s="7">
        <v>180.1</v>
      </c>
      <c r="J20" s="7">
        <v>124</v>
      </c>
      <c r="K20" s="7">
        <v>169.86500000000001</v>
      </c>
      <c r="L20" s="7">
        <v>244.53899999999999</v>
      </c>
      <c r="M20" s="7">
        <v>331.03300000000002</v>
      </c>
      <c r="N20" s="7">
        <v>295.161</v>
      </c>
      <c r="O20" s="8"/>
      <c r="P20" s="8"/>
      <c r="Q20" s="8"/>
      <c r="R20" s="8"/>
      <c r="S20" s="8"/>
    </row>
    <row r="21" spans="2:19" ht="12" customHeight="1" x14ac:dyDescent="0.25">
      <c r="B21" s="6" t="s">
        <v>33</v>
      </c>
      <c r="C21" s="7"/>
      <c r="D21" s="7"/>
      <c r="E21" s="7"/>
      <c r="F21" s="7"/>
      <c r="G21" s="7"/>
      <c r="H21" s="7"/>
      <c r="I21" s="7">
        <v>129.19999999999999</v>
      </c>
      <c r="J21" s="7">
        <v>65.3</v>
      </c>
      <c r="K21" s="7">
        <v>60.031999999999996</v>
      </c>
      <c r="L21" s="7">
        <v>86.126999999999995</v>
      </c>
      <c r="M21" s="7">
        <v>82.912999999999997</v>
      </c>
      <c r="N21" s="7">
        <v>95.001999999999995</v>
      </c>
      <c r="O21" s="8"/>
      <c r="P21" s="8"/>
      <c r="Q21" s="8"/>
      <c r="R21" s="8"/>
      <c r="S21" s="8"/>
    </row>
    <row r="22" spans="2:19" ht="12" customHeight="1" x14ac:dyDescent="0.25">
      <c r="B22" s="6"/>
      <c r="C22" s="7"/>
      <c r="D22" s="7"/>
      <c r="E22" s="7"/>
      <c r="F22" s="7"/>
      <c r="G22" s="7"/>
      <c r="H22" s="7"/>
      <c r="I22" s="7"/>
      <c r="J22" s="7"/>
      <c r="K22" s="7"/>
      <c r="L22" s="7"/>
      <c r="M22" s="7"/>
      <c r="N22" s="7"/>
      <c r="O22" s="8"/>
      <c r="P22" s="8"/>
      <c r="Q22" s="8"/>
      <c r="R22" s="8"/>
      <c r="S22" s="8"/>
    </row>
    <row r="23" spans="2:19" ht="12" customHeight="1" x14ac:dyDescent="0.25">
      <c r="B23" s="9" t="s">
        <v>34</v>
      </c>
      <c r="C23" s="10">
        <f t="shared" ref="C23:J23" si="5">C16-SUM(C19:C21)</f>
        <v>0</v>
      </c>
      <c r="D23" s="10">
        <f t="shared" si="5"/>
        <v>0</v>
      </c>
      <c r="E23" s="10">
        <f t="shared" si="5"/>
        <v>0</v>
      </c>
      <c r="F23" s="10">
        <f t="shared" si="5"/>
        <v>0</v>
      </c>
      <c r="G23" s="10">
        <f t="shared" si="5"/>
        <v>0</v>
      </c>
      <c r="H23" s="10">
        <f t="shared" si="5"/>
        <v>0</v>
      </c>
      <c r="I23" s="10">
        <f t="shared" si="5"/>
        <v>270.89999999999986</v>
      </c>
      <c r="J23" s="10">
        <f t="shared" si="5"/>
        <v>299.60000000000014</v>
      </c>
      <c r="K23" s="10">
        <f>K16-SUM(K19:K21)</f>
        <v>335.25400000000036</v>
      </c>
      <c r="L23" s="10">
        <f>L16-SUM(L19:L21)</f>
        <v>510.24000000000024</v>
      </c>
      <c r="M23" s="10">
        <f>M16-SUM(M19:M21)</f>
        <v>739.59000000000015</v>
      </c>
      <c r="N23" s="10">
        <f>N16-SUM(N19:N21)</f>
        <v>899.68600000000015</v>
      </c>
      <c r="O23" s="5">
        <f t="shared" ref="O23:S23" ca="1" si="6">O16*O24</f>
        <v>953.09809949373459</v>
      </c>
      <c r="P23" s="5">
        <f t="shared" ca="1" si="6"/>
        <v>1002.7297097142171</v>
      </c>
      <c r="Q23" s="5">
        <f t="shared" ca="1" si="6"/>
        <v>1055.3041661301388</v>
      </c>
      <c r="R23" s="5">
        <f t="shared" ca="1" si="6"/>
        <v>1110.9989122740953</v>
      </c>
      <c r="S23" s="5">
        <f t="shared" ca="1" si="6"/>
        <v>1170.0021210257812</v>
      </c>
    </row>
    <row r="24" spans="2:19" ht="12" customHeight="1" x14ac:dyDescent="0.25">
      <c r="B24" s="15" t="s">
        <v>35</v>
      </c>
      <c r="C24" s="16" t="str">
        <f t="shared" ref="C24:L24" si="7">IF(ISERROR(C23/C16)," ",C23/C16)</f>
        <v xml:space="preserve"> </v>
      </c>
      <c r="D24" s="16" t="str">
        <f t="shared" si="7"/>
        <v xml:space="preserve"> </v>
      </c>
      <c r="E24" s="16" t="str">
        <f t="shared" si="7"/>
        <v xml:space="preserve"> </v>
      </c>
      <c r="F24" s="16" t="str">
        <f t="shared" si="7"/>
        <v xml:space="preserve"> </v>
      </c>
      <c r="G24" s="16" t="str">
        <f t="shared" si="7"/>
        <v xml:space="preserve"> </v>
      </c>
      <c r="H24" s="16" t="str">
        <f t="shared" si="7"/>
        <v xml:space="preserve"> </v>
      </c>
      <c r="I24" s="16">
        <f t="shared" si="7"/>
        <v>0.12910451317733398</v>
      </c>
      <c r="J24" s="16">
        <f t="shared" si="7"/>
        <v>0.16765528819250147</v>
      </c>
      <c r="K24" s="16">
        <f t="shared" si="7"/>
        <v>0.12764850836739802</v>
      </c>
      <c r="L24" s="16">
        <f t="shared" si="7"/>
        <v>0.15945757423477622</v>
      </c>
      <c r="M24" s="16">
        <f>IF(ISERROR(M23/M16)," ",M23/M16)</f>
        <v>0.20499739176373874</v>
      </c>
      <c r="N24" s="16">
        <f>IF(ISERROR(N23/N16)," ",N23/N16)</f>
        <v>0.22918625513206123</v>
      </c>
      <c r="O24" s="198">
        <f>N24</f>
        <v>0.22918625513206123</v>
      </c>
      <c r="P24" s="198">
        <f>O24</f>
        <v>0.22918625513206123</v>
      </c>
      <c r="Q24" s="198">
        <f>P24</f>
        <v>0.22918625513206123</v>
      </c>
      <c r="R24" s="198">
        <f>Q24</f>
        <v>0.22918625513206123</v>
      </c>
      <c r="S24" s="198">
        <f>R24</f>
        <v>0.22918625513206123</v>
      </c>
    </row>
    <row r="25" spans="2:19"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t="str">
        <f>IF(ISERROR(F23/#REF!-1)," ",F23/#REF!-1)</f>
        <v xml:space="preserve"> </v>
      </c>
      <c r="G25" s="12" t="str">
        <f>IF(ISERROR(G23/#REF!-1)," ",G23/#REF!-1)</f>
        <v xml:space="preserve"> </v>
      </c>
      <c r="H25" s="12" t="str">
        <f>IF(ISERROR(H23/#REF!-1)," ",H23/#REF!-1)</f>
        <v xml:space="preserve"> </v>
      </c>
      <c r="I25" s="12" t="str">
        <f>IF(ISERROR(I23/#REF!-1)," ",I23/#REF!-1)</f>
        <v xml:space="preserve"> </v>
      </c>
      <c r="J25" s="12">
        <f>IF(ISERROR(J23/I23-1)," ",J23/I23-1)</f>
        <v>0.10594315245478136</v>
      </c>
      <c r="K25" s="12">
        <f>IF(ISERROR(K23/J23-1)," ",K23/J23-1)</f>
        <v>0.11900534045393929</v>
      </c>
      <c r="L25" s="12">
        <f>IF(ISERROR(L23/K23-1)," ",L23/K23-1)</f>
        <v>0.52195052109743556</v>
      </c>
      <c r="M25" s="12">
        <f>IF(ISERROR(M23/L23-1)," ",M23/L23-1)</f>
        <v>0.44949435559736561</v>
      </c>
      <c r="N25" s="12">
        <f>IF(ISERROR(N23/M23-1)," ",N23/M23-1)</f>
        <v>0.21646587974418252</v>
      </c>
      <c r="O25" s="13"/>
      <c r="P25" s="13"/>
      <c r="Q25" s="13"/>
      <c r="R25" s="13"/>
      <c r="S25" s="13"/>
    </row>
    <row r="26" spans="2:19" ht="12" customHeight="1" x14ac:dyDescent="0.25">
      <c r="B26" s="15"/>
      <c r="C26" s="16"/>
      <c r="D26" s="16"/>
      <c r="E26" s="16"/>
      <c r="F26" s="16"/>
      <c r="G26" s="16"/>
      <c r="H26" s="16"/>
      <c r="I26" s="16"/>
      <c r="J26" s="16"/>
      <c r="K26" s="16"/>
      <c r="L26" s="16"/>
      <c r="M26" s="16"/>
      <c r="N26" s="16"/>
      <c r="O26" s="17"/>
      <c r="P26" s="17"/>
      <c r="Q26" s="17"/>
      <c r="R26" s="17"/>
      <c r="S26" s="17"/>
    </row>
    <row r="27" spans="2:19" ht="12" customHeight="1" x14ac:dyDescent="0.25">
      <c r="B27" s="6" t="s">
        <v>36</v>
      </c>
      <c r="C27" s="7"/>
      <c r="D27" s="7"/>
      <c r="E27" s="7"/>
      <c r="F27" s="7"/>
      <c r="G27" s="7"/>
      <c r="H27" s="7"/>
      <c r="I27" s="7">
        <v>30</v>
      </c>
      <c r="J27" s="7">
        <v>40.1</v>
      </c>
      <c r="K27" s="7">
        <v>35.203000000000003</v>
      </c>
      <c r="L27" s="7">
        <v>76.891000000000005</v>
      </c>
      <c r="M27" s="7">
        <v>100.553</v>
      </c>
      <c r="N27" s="7">
        <v>88.335999999999999</v>
      </c>
      <c r="O27" s="8"/>
      <c r="P27" s="8"/>
      <c r="Q27" s="8"/>
      <c r="R27" s="8"/>
      <c r="S27" s="8"/>
    </row>
    <row r="28" spans="2:19" ht="12" customHeight="1" x14ac:dyDescent="0.25">
      <c r="B28" s="6" t="s">
        <v>37</v>
      </c>
      <c r="C28" s="7"/>
      <c r="D28" s="7"/>
      <c r="E28" s="7"/>
      <c r="F28" s="7"/>
      <c r="G28" s="7"/>
      <c r="H28" s="7"/>
      <c r="I28" s="7">
        <v>197.6</v>
      </c>
      <c r="J28" s="7">
        <v>210.4</v>
      </c>
      <c r="K28" s="7">
        <v>100.294</v>
      </c>
      <c r="L28" s="7">
        <v>141.23699999999999</v>
      </c>
      <c r="M28" s="7">
        <v>135.86099999999999</v>
      </c>
      <c r="N28" s="7">
        <v>150.322</v>
      </c>
      <c r="O28" s="8"/>
      <c r="P28" s="8"/>
      <c r="Q28" s="8"/>
      <c r="R28" s="8"/>
      <c r="S28" s="8"/>
    </row>
    <row r="29" spans="2:19" ht="12" customHeight="1" x14ac:dyDescent="0.25">
      <c r="B29" s="6"/>
      <c r="C29" s="7"/>
      <c r="D29" s="7"/>
      <c r="E29" s="7"/>
      <c r="F29" s="7"/>
      <c r="G29" s="7"/>
      <c r="H29" s="7"/>
      <c r="I29" s="7"/>
      <c r="J29" s="7"/>
      <c r="K29" s="7"/>
      <c r="L29" s="7"/>
      <c r="M29" s="7"/>
      <c r="N29" s="7"/>
      <c r="O29" s="8"/>
      <c r="P29" s="8"/>
      <c r="Q29" s="8"/>
      <c r="R29" s="8"/>
      <c r="S29" s="8"/>
    </row>
    <row r="30" spans="2:19" ht="12" customHeight="1" x14ac:dyDescent="0.25">
      <c r="B30" s="9" t="s">
        <v>38</v>
      </c>
      <c r="C30" s="10">
        <f t="shared" ref="C30:M30" si="8">C23+C27-C28</f>
        <v>0</v>
      </c>
      <c r="D30" s="10">
        <f t="shared" si="8"/>
        <v>0</v>
      </c>
      <c r="E30" s="10">
        <f t="shared" si="8"/>
        <v>0</v>
      </c>
      <c r="F30" s="10">
        <f t="shared" si="8"/>
        <v>0</v>
      </c>
      <c r="G30" s="10">
        <f t="shared" si="8"/>
        <v>0</v>
      </c>
      <c r="H30" s="10">
        <f t="shared" si="8"/>
        <v>0</v>
      </c>
      <c r="I30" s="10">
        <f t="shared" si="8"/>
        <v>103.29999999999987</v>
      </c>
      <c r="J30" s="10">
        <f t="shared" si="8"/>
        <v>129.30000000000015</v>
      </c>
      <c r="K30" s="10">
        <f t="shared" si="8"/>
        <v>270.16300000000035</v>
      </c>
      <c r="L30" s="10">
        <f t="shared" si="8"/>
        <v>445.89400000000023</v>
      </c>
      <c r="M30" s="10">
        <f t="shared" si="8"/>
        <v>704.28200000000015</v>
      </c>
      <c r="N30" s="10">
        <f t="shared" ref="N30" si="9">N23+N27-N28</f>
        <v>837.70000000000016</v>
      </c>
      <c r="O30" s="5"/>
      <c r="P30" s="5"/>
      <c r="Q30" s="5"/>
      <c r="R30" s="5"/>
      <c r="S30" s="5"/>
    </row>
    <row r="31" spans="2:19" ht="12" customHeight="1" x14ac:dyDescent="0.25">
      <c r="B31" s="6"/>
      <c r="C31" s="7"/>
      <c r="D31" s="7"/>
      <c r="E31" s="7"/>
      <c r="F31" s="7"/>
      <c r="G31" s="7"/>
      <c r="H31" s="7"/>
      <c r="I31" s="7"/>
      <c r="J31" s="7"/>
      <c r="K31" s="7"/>
      <c r="L31" s="7"/>
      <c r="M31" s="7"/>
      <c r="N31" s="7"/>
      <c r="O31" s="8"/>
      <c r="P31" s="8"/>
      <c r="Q31" s="8"/>
      <c r="R31" s="8"/>
      <c r="S31" s="8"/>
    </row>
    <row r="32" spans="2:19" ht="12" customHeight="1" x14ac:dyDescent="0.25">
      <c r="B32" s="6" t="s">
        <v>39</v>
      </c>
      <c r="C32" s="7"/>
      <c r="D32" s="7"/>
      <c r="E32" s="7"/>
      <c r="F32" s="7"/>
      <c r="G32" s="7"/>
      <c r="H32" s="7"/>
      <c r="I32" s="7">
        <v>90.2</v>
      </c>
      <c r="J32" s="7">
        <v>106.5</v>
      </c>
      <c r="K32" s="7">
        <v>151.06299999999999</v>
      </c>
      <c r="L32" s="7">
        <v>136.48500000000001</v>
      </c>
      <c r="M32" s="7">
        <v>133.03100000000001</v>
      </c>
      <c r="N32" s="7">
        <v>59.279000000000003</v>
      </c>
      <c r="O32" s="8"/>
      <c r="P32" s="8"/>
      <c r="Q32" s="8"/>
      <c r="R32" s="8"/>
      <c r="S32" s="8"/>
    </row>
    <row r="33" spans="2:19" ht="12" customHeight="1" x14ac:dyDescent="0.25">
      <c r="B33" s="6" t="s">
        <v>307</v>
      </c>
      <c r="C33" s="7"/>
      <c r="D33" s="7"/>
      <c r="E33" s="7"/>
      <c r="F33" s="7"/>
      <c r="G33" s="7"/>
      <c r="H33" s="7"/>
      <c r="I33" s="7"/>
      <c r="J33" s="7"/>
      <c r="K33" s="7"/>
      <c r="L33" s="7"/>
      <c r="M33" s="7"/>
      <c r="N33" s="7"/>
      <c r="O33" s="8"/>
      <c r="P33" s="8"/>
      <c r="Q33" s="8"/>
      <c r="R33" s="8"/>
      <c r="S33" s="8"/>
    </row>
    <row r="34" spans="2:19" ht="12" customHeight="1" x14ac:dyDescent="0.25">
      <c r="B34" s="6"/>
      <c r="C34" s="7"/>
      <c r="D34" s="7"/>
      <c r="E34" s="7"/>
      <c r="F34" s="7"/>
      <c r="G34" s="7"/>
      <c r="H34" s="7"/>
      <c r="I34" s="7"/>
      <c r="J34" s="7"/>
      <c r="K34" s="7"/>
      <c r="L34" s="7"/>
      <c r="M34" s="7"/>
      <c r="N34" s="7"/>
      <c r="O34" s="8"/>
      <c r="P34" s="8"/>
      <c r="Q34" s="8"/>
      <c r="R34" s="8"/>
      <c r="S34" s="8"/>
    </row>
    <row r="35" spans="2:19" ht="12" customHeight="1" x14ac:dyDescent="0.25">
      <c r="B35" s="9" t="s">
        <v>40</v>
      </c>
      <c r="C35" s="10">
        <f t="shared" ref="C35:M35" si="10">C30-C32-C33</f>
        <v>0</v>
      </c>
      <c r="D35" s="10">
        <f t="shared" si="10"/>
        <v>0</v>
      </c>
      <c r="E35" s="10">
        <f t="shared" si="10"/>
        <v>0</v>
      </c>
      <c r="F35" s="10">
        <f t="shared" si="10"/>
        <v>0</v>
      </c>
      <c r="G35" s="10">
        <f t="shared" si="10"/>
        <v>0</v>
      </c>
      <c r="H35" s="10">
        <f t="shared" si="10"/>
        <v>0</v>
      </c>
      <c r="I35" s="10">
        <f t="shared" si="10"/>
        <v>13.099999999999866</v>
      </c>
      <c r="J35" s="10">
        <f t="shared" si="10"/>
        <v>22.800000000000153</v>
      </c>
      <c r="K35" s="10">
        <f t="shared" si="10"/>
        <v>119.10000000000036</v>
      </c>
      <c r="L35" s="10">
        <f t="shared" si="10"/>
        <v>309.40900000000022</v>
      </c>
      <c r="M35" s="10">
        <f t="shared" si="10"/>
        <v>571.2510000000002</v>
      </c>
      <c r="N35" s="10">
        <f t="shared" ref="N35" si="11">N30-N32-N33</f>
        <v>778.42100000000016</v>
      </c>
      <c r="O35" s="5"/>
      <c r="P35" s="5"/>
      <c r="Q35" s="5"/>
      <c r="R35" s="5"/>
      <c r="S35" s="5"/>
    </row>
    <row r="36" spans="2:19" ht="12" customHeight="1" x14ac:dyDescent="0.25">
      <c r="B36" s="6"/>
      <c r="C36" s="7"/>
      <c r="D36" s="7"/>
      <c r="E36" s="7"/>
      <c r="F36" s="7"/>
      <c r="G36" s="7"/>
      <c r="H36" s="7"/>
      <c r="I36" s="7"/>
      <c r="J36" s="7"/>
      <c r="K36" s="7"/>
      <c r="L36" s="7"/>
      <c r="M36" s="7"/>
      <c r="N36" s="7"/>
      <c r="O36" s="8"/>
      <c r="P36" s="8"/>
      <c r="Q36" s="8"/>
      <c r="R36" s="8"/>
      <c r="S36" s="8"/>
    </row>
    <row r="37" spans="2:19" ht="12" customHeight="1" x14ac:dyDescent="0.25">
      <c r="B37" s="6" t="s">
        <v>41</v>
      </c>
      <c r="C37" s="7"/>
      <c r="D37" s="7"/>
      <c r="E37" s="7"/>
      <c r="F37" s="7"/>
      <c r="G37" s="7"/>
      <c r="H37" s="7"/>
      <c r="I37" s="7"/>
      <c r="J37" s="7"/>
      <c r="K37" s="7"/>
      <c r="L37" s="7"/>
      <c r="M37" s="7"/>
      <c r="N37" s="7"/>
      <c r="O37" s="8"/>
      <c r="P37" s="8"/>
      <c r="Q37" s="8"/>
      <c r="R37" s="8"/>
      <c r="S37" s="8"/>
    </row>
    <row r="38" spans="2:19" ht="12" customHeight="1" x14ac:dyDescent="0.25">
      <c r="B38" s="6" t="s">
        <v>42</v>
      </c>
      <c r="C38" s="7"/>
      <c r="D38" s="7"/>
      <c r="E38" s="7"/>
      <c r="F38" s="7"/>
      <c r="G38" s="7"/>
      <c r="H38" s="7"/>
      <c r="I38" s="7">
        <v>0</v>
      </c>
      <c r="J38" s="7">
        <v>9.6999999999999993</v>
      </c>
      <c r="K38" s="7">
        <v>20.809000000000001</v>
      </c>
      <c r="L38" s="7">
        <v>54.197000000000003</v>
      </c>
      <c r="M38" s="7">
        <v>101.911</v>
      </c>
      <c r="N38" s="7">
        <v>131.80199999999999</v>
      </c>
      <c r="O38" s="8"/>
      <c r="P38" s="8"/>
      <c r="Q38" s="8"/>
      <c r="R38" s="8"/>
      <c r="S38" s="8"/>
    </row>
    <row r="39" spans="2:19" ht="12" customHeight="1" x14ac:dyDescent="0.25">
      <c r="B39" s="6" t="s">
        <v>43</v>
      </c>
      <c r="C39" s="7"/>
      <c r="D39" s="7"/>
      <c r="E39" s="7"/>
      <c r="F39" s="7"/>
      <c r="G39" s="7"/>
      <c r="H39" s="7"/>
      <c r="I39" s="7">
        <v>4.5999999999999996</v>
      </c>
      <c r="J39" s="7">
        <v>-12.9</v>
      </c>
      <c r="K39" s="7">
        <v>-55.396999999999998</v>
      </c>
      <c r="L39" s="7">
        <v>-27.093</v>
      </c>
      <c r="M39" s="7">
        <v>-77.48</v>
      </c>
      <c r="N39" s="7">
        <v>2.7890000000000001</v>
      </c>
      <c r="O39" s="8"/>
      <c r="P39" s="8"/>
      <c r="Q39" s="8"/>
      <c r="R39" s="8"/>
      <c r="S39" s="8"/>
    </row>
    <row r="40" spans="2:19" ht="12" customHeight="1" x14ac:dyDescent="0.25">
      <c r="B40" s="6" t="s">
        <v>44</v>
      </c>
      <c r="C40" s="7"/>
      <c r="D40" s="7"/>
      <c r="E40" s="7"/>
      <c r="F40" s="7"/>
      <c r="G40" s="7"/>
      <c r="H40" s="7"/>
      <c r="I40" s="7"/>
      <c r="J40" s="7"/>
      <c r="K40" s="7"/>
      <c r="L40" s="7">
        <v>10.228999999999999</v>
      </c>
      <c r="M40" s="7"/>
      <c r="N40" s="7"/>
      <c r="O40" s="8"/>
      <c r="P40" s="8"/>
      <c r="Q40" s="8"/>
      <c r="R40" s="8"/>
      <c r="S40" s="8"/>
    </row>
    <row r="41" spans="2:19" s="18" customFormat="1" ht="12" customHeight="1" x14ac:dyDescent="0.25">
      <c r="B41" s="9" t="s">
        <v>45</v>
      </c>
      <c r="C41" s="10">
        <f t="shared" ref="C41:L41" si="12">SUM(C38:C40)</f>
        <v>0</v>
      </c>
      <c r="D41" s="10">
        <f t="shared" si="12"/>
        <v>0</v>
      </c>
      <c r="E41" s="10">
        <f t="shared" si="12"/>
        <v>0</v>
      </c>
      <c r="F41" s="10">
        <f t="shared" si="12"/>
        <v>0</v>
      </c>
      <c r="G41" s="10">
        <f t="shared" si="12"/>
        <v>0</v>
      </c>
      <c r="H41" s="10">
        <f t="shared" si="12"/>
        <v>0</v>
      </c>
      <c r="I41" s="10">
        <f t="shared" si="12"/>
        <v>4.5999999999999996</v>
      </c>
      <c r="J41" s="10">
        <f t="shared" si="12"/>
        <v>-3.2000000000000011</v>
      </c>
      <c r="K41" s="10">
        <f t="shared" si="12"/>
        <v>-34.587999999999994</v>
      </c>
      <c r="L41" s="10">
        <f t="shared" si="12"/>
        <v>37.332999999999998</v>
      </c>
      <c r="M41" s="10">
        <f>SUM(M38:M40)</f>
        <v>24.430999999999997</v>
      </c>
      <c r="N41" s="10">
        <f>SUM(N38:N40)</f>
        <v>134.59099999999998</v>
      </c>
      <c r="O41" s="5"/>
      <c r="P41" s="5"/>
      <c r="Q41" s="5"/>
      <c r="R41" s="5"/>
      <c r="S41" s="5"/>
    </row>
    <row r="42" spans="2:19" ht="12" customHeight="1" x14ac:dyDescent="0.25">
      <c r="B42" s="19" t="s">
        <v>46</v>
      </c>
      <c r="C42" s="12" t="str">
        <f t="shared" ref="C42:L42" si="13">IF(ISERROR(C41/C35)," ",C41/C35)</f>
        <v xml:space="preserve"> </v>
      </c>
      <c r="D42" s="12" t="str">
        <f t="shared" si="13"/>
        <v xml:space="preserve"> </v>
      </c>
      <c r="E42" s="12" t="str">
        <f t="shared" si="13"/>
        <v xml:space="preserve"> </v>
      </c>
      <c r="F42" s="12" t="str">
        <f t="shared" si="13"/>
        <v xml:space="preserve"> </v>
      </c>
      <c r="G42" s="12" t="str">
        <f t="shared" si="13"/>
        <v xml:space="preserve"> </v>
      </c>
      <c r="H42" s="12" t="str">
        <f t="shared" si="13"/>
        <v xml:space="preserve"> </v>
      </c>
      <c r="I42" s="12">
        <f t="shared" si="13"/>
        <v>0.35114503816794246</v>
      </c>
      <c r="J42" s="12">
        <f t="shared" si="13"/>
        <v>-0.14035087719298156</v>
      </c>
      <c r="K42" s="12">
        <f t="shared" si="13"/>
        <v>-0.29041141897564976</v>
      </c>
      <c r="L42" s="12">
        <f t="shared" si="13"/>
        <v>0.12065906292318572</v>
      </c>
      <c r="M42" s="12">
        <f>IF(ISERROR(M41/M35)," ",M41/M35)</f>
        <v>4.276754001305904E-2</v>
      </c>
      <c r="N42" s="12">
        <f>IF(ISERROR(N41/N35)," ",N41/N35)</f>
        <v>0.17290258099408926</v>
      </c>
      <c r="O42" s="13"/>
      <c r="P42" s="13"/>
      <c r="Q42" s="13"/>
      <c r="R42" s="13"/>
      <c r="S42" s="13"/>
    </row>
    <row r="43" spans="2:19" ht="12" customHeight="1" x14ac:dyDescent="0.25">
      <c r="B43" s="19"/>
      <c r="C43" s="12"/>
      <c r="D43" s="12"/>
      <c r="E43" s="12"/>
      <c r="F43" s="12"/>
      <c r="G43" s="12"/>
      <c r="H43" s="12"/>
      <c r="I43" s="12"/>
      <c r="J43" s="12"/>
      <c r="K43" s="12"/>
      <c r="L43" s="12"/>
      <c r="M43" s="12"/>
      <c r="N43" s="12"/>
      <c r="O43" s="13"/>
      <c r="P43" s="13"/>
      <c r="Q43" s="13"/>
      <c r="R43" s="13"/>
      <c r="S43" s="13"/>
    </row>
    <row r="44" spans="2:19" ht="12" customHeight="1" x14ac:dyDescent="0.25">
      <c r="B44" s="9" t="s">
        <v>47</v>
      </c>
      <c r="C44" s="10">
        <f t="shared" ref="C44:L44" si="14">C35-C36-C41</f>
        <v>0</v>
      </c>
      <c r="D44" s="10">
        <f t="shared" si="14"/>
        <v>0</v>
      </c>
      <c r="E44" s="10">
        <f t="shared" si="14"/>
        <v>0</v>
      </c>
      <c r="F44" s="10">
        <f t="shared" si="14"/>
        <v>0</v>
      </c>
      <c r="G44" s="10">
        <f t="shared" si="14"/>
        <v>0</v>
      </c>
      <c r="H44" s="10">
        <f t="shared" si="14"/>
        <v>0</v>
      </c>
      <c r="I44" s="10">
        <f t="shared" si="14"/>
        <v>8.4999999999998668</v>
      </c>
      <c r="J44" s="10">
        <f t="shared" si="14"/>
        <v>26.000000000000156</v>
      </c>
      <c r="K44" s="10">
        <f t="shared" si="14"/>
        <v>153.68800000000036</v>
      </c>
      <c r="L44" s="10">
        <f t="shared" si="14"/>
        <v>272.07600000000025</v>
      </c>
      <c r="M44" s="10">
        <f>M35-M36-M41</f>
        <v>546.82000000000016</v>
      </c>
      <c r="N44" s="10">
        <f>N35-N36-N41</f>
        <v>643.83000000000015</v>
      </c>
      <c r="O44" s="5"/>
      <c r="P44" s="5"/>
      <c r="Q44" s="5"/>
      <c r="R44" s="5"/>
      <c r="S44" s="5"/>
    </row>
    <row r="45" spans="2:19" ht="12" customHeight="1" x14ac:dyDescent="0.25">
      <c r="B45" s="6"/>
      <c r="C45" s="7"/>
      <c r="D45" s="7"/>
      <c r="E45" s="7"/>
      <c r="F45" s="7"/>
      <c r="G45" s="7"/>
      <c r="H45" s="7"/>
      <c r="I45" s="7"/>
      <c r="J45" s="7"/>
      <c r="K45" s="7"/>
      <c r="L45" s="7"/>
      <c r="M45" s="7"/>
      <c r="N45" s="7"/>
      <c r="O45" s="8"/>
      <c r="P45" s="8"/>
      <c r="Q45" s="8"/>
      <c r="R45" s="8"/>
      <c r="S45" s="8"/>
    </row>
    <row r="46" spans="2:19" ht="12" customHeight="1" x14ac:dyDescent="0.25">
      <c r="B46" s="6" t="s">
        <v>48</v>
      </c>
      <c r="C46" s="7"/>
      <c r="D46" s="7"/>
      <c r="E46" s="7"/>
      <c r="F46" s="7"/>
      <c r="G46" s="7"/>
      <c r="H46" s="7"/>
      <c r="I46" s="7"/>
      <c r="J46" s="7"/>
      <c r="K46" s="7"/>
      <c r="L46" s="7"/>
      <c r="M46" s="7"/>
      <c r="N46" s="7"/>
      <c r="O46" s="8"/>
      <c r="P46" s="8"/>
      <c r="Q46" s="8"/>
      <c r="R46" s="8"/>
      <c r="S46" s="8"/>
    </row>
    <row r="47" spans="2:19" ht="12" customHeight="1" x14ac:dyDescent="0.25">
      <c r="B47" s="6" t="s">
        <v>49</v>
      </c>
      <c r="C47" s="7"/>
      <c r="D47" s="7"/>
      <c r="E47" s="7"/>
      <c r="F47" s="7"/>
      <c r="G47" s="7"/>
      <c r="H47" s="7"/>
      <c r="I47" s="7"/>
      <c r="J47" s="7"/>
      <c r="K47" s="7"/>
      <c r="L47" s="7"/>
      <c r="M47" s="7"/>
      <c r="N47" s="7"/>
      <c r="O47" s="8"/>
      <c r="P47" s="8"/>
      <c r="Q47" s="8"/>
      <c r="R47" s="8"/>
      <c r="S47" s="8"/>
    </row>
    <row r="48" spans="2:19" ht="12" customHeight="1" x14ac:dyDescent="0.25">
      <c r="B48" s="6"/>
      <c r="C48" s="7"/>
      <c r="D48" s="7"/>
      <c r="E48" s="7"/>
      <c r="F48" s="7"/>
      <c r="G48" s="7"/>
      <c r="H48" s="7"/>
      <c r="I48" s="7"/>
      <c r="J48" s="7"/>
      <c r="K48" s="7"/>
      <c r="L48" s="7"/>
      <c r="M48" s="7"/>
      <c r="N48" s="7"/>
      <c r="O48" s="8"/>
      <c r="P48" s="8"/>
      <c r="Q48" s="8"/>
      <c r="R48" s="8"/>
      <c r="S48" s="8"/>
    </row>
    <row r="49" spans="2:19" ht="12" customHeight="1" x14ac:dyDescent="0.25">
      <c r="B49" s="9" t="s">
        <v>50</v>
      </c>
      <c r="C49" s="10">
        <f t="shared" ref="C49:L49" si="15">C44-C46+C47</f>
        <v>0</v>
      </c>
      <c r="D49" s="10">
        <f t="shared" si="15"/>
        <v>0</v>
      </c>
      <c r="E49" s="10">
        <f t="shared" si="15"/>
        <v>0</v>
      </c>
      <c r="F49" s="10">
        <f t="shared" si="15"/>
        <v>0</v>
      </c>
      <c r="G49" s="10">
        <f t="shared" si="15"/>
        <v>0</v>
      </c>
      <c r="H49" s="10">
        <f t="shared" si="15"/>
        <v>0</v>
      </c>
      <c r="I49" s="10">
        <f t="shared" si="15"/>
        <v>8.4999999999998668</v>
      </c>
      <c r="J49" s="10">
        <f t="shared" si="15"/>
        <v>26.000000000000156</v>
      </c>
      <c r="K49" s="10">
        <f t="shared" si="15"/>
        <v>153.68800000000036</v>
      </c>
      <c r="L49" s="10">
        <f t="shared" si="15"/>
        <v>272.07600000000025</v>
      </c>
      <c r="M49" s="10">
        <f>M44-M46+M47</f>
        <v>546.82000000000016</v>
      </c>
      <c r="N49" s="10">
        <f>N44-N46+N47</f>
        <v>643.83000000000015</v>
      </c>
      <c r="O49" s="5"/>
      <c r="P49" s="5"/>
      <c r="Q49" s="5"/>
      <c r="R49" s="5"/>
      <c r="S49" s="5"/>
    </row>
    <row r="50" spans="2:19" ht="12" customHeight="1" x14ac:dyDescent="0.25">
      <c r="B50" s="15" t="s">
        <v>35</v>
      </c>
      <c r="C50" s="16" t="str">
        <f t="shared" ref="C50:L50" si="16">IF(ISERROR(C49/C16)," ",C49/C16)</f>
        <v xml:space="preserve"> </v>
      </c>
      <c r="D50" s="16" t="str">
        <f t="shared" si="16"/>
        <v xml:space="preserve"> </v>
      </c>
      <c r="E50" s="16" t="str">
        <f t="shared" si="16"/>
        <v xml:space="preserve"> </v>
      </c>
      <c r="F50" s="16" t="str">
        <f t="shared" si="16"/>
        <v xml:space="preserve"> </v>
      </c>
      <c r="G50" s="16" t="str">
        <f t="shared" si="16"/>
        <v xml:space="preserve"> </v>
      </c>
      <c r="H50" s="16" t="str">
        <f t="shared" si="16"/>
        <v xml:space="preserve"> </v>
      </c>
      <c r="I50" s="16">
        <f t="shared" si="16"/>
        <v>4.0508983462802595E-3</v>
      </c>
      <c r="J50" s="16">
        <f t="shared" si="16"/>
        <v>1.4549524342473507E-2</v>
      </c>
      <c r="K50" s="16">
        <f t="shared" si="16"/>
        <v>5.8516957154780232E-2</v>
      </c>
      <c r="L50" s="16">
        <f t="shared" si="16"/>
        <v>8.502778881996903E-2</v>
      </c>
      <c r="M50" s="16">
        <f>IF(ISERROR(M49/M16)," ",M49/M16)</f>
        <v>0.1515659673119534</v>
      </c>
      <c r="N50" s="16">
        <f>IF(ISERROR(N49/N16)," ",N49/N16)</f>
        <v>0.164009428446897</v>
      </c>
      <c r="O50" s="17"/>
      <c r="P50" s="17"/>
      <c r="Q50" s="17"/>
      <c r="R50" s="17"/>
      <c r="S50" s="17"/>
    </row>
    <row r="51" spans="2:19" s="14" customFormat="1" ht="12" customHeight="1" x14ac:dyDescent="0.25">
      <c r="B51" s="11" t="s">
        <v>30</v>
      </c>
      <c r="C51" s="12" t="str">
        <f t="shared" ref="C51:K51" si="17">IF(ISERROR(C49/B49-1)," ",C49/B49-1)</f>
        <v xml:space="preserve"> </v>
      </c>
      <c r="D51" s="12" t="str">
        <f t="shared" si="17"/>
        <v xml:space="preserve"> </v>
      </c>
      <c r="E51" s="12" t="str">
        <f t="shared" si="17"/>
        <v xml:space="preserve"> </v>
      </c>
      <c r="F51" s="12" t="str">
        <f t="shared" si="17"/>
        <v xml:space="preserve"> </v>
      </c>
      <c r="G51" s="12" t="str">
        <f t="shared" si="17"/>
        <v xml:space="preserve"> </v>
      </c>
      <c r="H51" s="12" t="str">
        <f t="shared" si="17"/>
        <v xml:space="preserve"> </v>
      </c>
      <c r="I51" s="12" t="str">
        <f t="shared" si="17"/>
        <v xml:space="preserve"> </v>
      </c>
      <c r="J51" s="12">
        <f t="shared" si="17"/>
        <v>2.0588235294118311</v>
      </c>
      <c r="K51" s="12">
        <f t="shared" si="17"/>
        <v>4.9110769230769016</v>
      </c>
      <c r="L51" s="12">
        <f>IF(ISERROR(L49/K49-1)," ",L49/K49-1)</f>
        <v>0.77031388267138379</v>
      </c>
      <c r="M51" s="12">
        <f>IF(ISERROR(M49/L49-1)," ",M49/L49-1)</f>
        <v>1.0098060835942886</v>
      </c>
      <c r="N51" s="12">
        <f>IF(ISERROR(N49/M49-1)," ",N49/M49-1)</f>
        <v>0.17740755641710249</v>
      </c>
      <c r="O51" s="13"/>
      <c r="P51" s="13"/>
      <c r="Q51" s="13"/>
      <c r="R51" s="13"/>
      <c r="S51" s="13"/>
    </row>
    <row r="52" spans="2:19" ht="12" customHeight="1" x14ac:dyDescent="0.25">
      <c r="B52" s="15"/>
      <c r="C52" s="16"/>
      <c r="D52" s="16"/>
      <c r="E52" s="16"/>
      <c r="F52" s="16"/>
      <c r="G52" s="16"/>
      <c r="H52" s="16"/>
      <c r="I52" s="16"/>
      <c r="J52" s="16"/>
      <c r="K52" s="16"/>
      <c r="L52" s="16"/>
      <c r="M52" s="16"/>
      <c r="N52" s="16"/>
      <c r="O52" s="17"/>
      <c r="P52" s="17"/>
      <c r="Q52" s="17"/>
      <c r="R52" s="17"/>
      <c r="S52" s="17"/>
    </row>
    <row r="53" spans="2:19" ht="12" customHeight="1" x14ac:dyDescent="0.25">
      <c r="B53" s="9" t="s">
        <v>51</v>
      </c>
      <c r="C53" s="10"/>
      <c r="D53" s="10"/>
      <c r="E53" s="10"/>
      <c r="F53" s="10"/>
      <c r="G53" s="10"/>
      <c r="H53" s="10"/>
      <c r="I53" s="10"/>
      <c r="J53" s="10"/>
      <c r="K53" s="10"/>
      <c r="L53" s="10"/>
      <c r="M53" s="10"/>
      <c r="N53" s="10"/>
      <c r="O53" s="5"/>
      <c r="P53" s="5"/>
      <c r="Q53" s="5"/>
      <c r="R53" s="5"/>
      <c r="S53" s="5"/>
    </row>
    <row r="54" spans="2:19" ht="12" customHeight="1" x14ac:dyDescent="0.25">
      <c r="B54" s="9" t="s">
        <v>52</v>
      </c>
      <c r="C54" s="20"/>
      <c r="D54" s="20"/>
      <c r="E54" s="20"/>
      <c r="F54" s="20"/>
      <c r="G54" s="20"/>
      <c r="H54" s="20"/>
      <c r="I54" s="20"/>
      <c r="J54" s="20"/>
      <c r="K54" s="20"/>
      <c r="L54" s="20"/>
      <c r="M54" s="20"/>
      <c r="N54" s="20"/>
      <c r="O54" s="21"/>
      <c r="P54" s="21"/>
      <c r="Q54" s="21"/>
      <c r="R54" s="21"/>
      <c r="S54" s="21"/>
    </row>
    <row r="55" spans="2:19" ht="12" customHeight="1" x14ac:dyDescent="0.25">
      <c r="B55" s="9" t="s">
        <v>53</v>
      </c>
      <c r="C55" s="20"/>
      <c r="D55" s="20"/>
      <c r="E55" s="20"/>
      <c r="F55" s="20"/>
      <c r="G55" s="20"/>
      <c r="H55" s="20"/>
      <c r="I55" s="20"/>
      <c r="J55" s="20"/>
      <c r="K55" s="20"/>
      <c r="L55" s="20"/>
      <c r="M55" s="20"/>
      <c r="N55" s="20"/>
      <c r="O55" s="21"/>
      <c r="P55" s="21"/>
      <c r="Q55" s="21"/>
      <c r="R55" s="21"/>
      <c r="S55" s="21"/>
    </row>
    <row r="56" spans="2:19" ht="12" customHeight="1" x14ac:dyDescent="0.25">
      <c r="B56" s="9" t="s">
        <v>54</v>
      </c>
      <c r="C56" s="20"/>
      <c r="D56" s="20"/>
      <c r="E56" s="20"/>
      <c r="F56" s="20"/>
      <c r="G56" s="20"/>
      <c r="H56" s="20"/>
      <c r="I56" s="20"/>
      <c r="J56" s="20"/>
      <c r="K56" s="20"/>
      <c r="L56" s="20"/>
      <c r="M56" s="20"/>
      <c r="N56" s="20"/>
      <c r="O56" s="21"/>
      <c r="P56" s="21"/>
      <c r="Q56" s="21"/>
      <c r="R56" s="21"/>
      <c r="S56" s="21"/>
    </row>
    <row r="57" spans="2:19" ht="12" customHeight="1" x14ac:dyDescent="0.25">
      <c r="B57" s="9" t="s">
        <v>55</v>
      </c>
      <c r="C57" s="20"/>
      <c r="D57" s="20"/>
      <c r="E57" s="20"/>
      <c r="F57" s="20"/>
      <c r="G57" s="20"/>
      <c r="H57" s="20"/>
      <c r="I57" s="20"/>
      <c r="J57" s="20"/>
      <c r="K57" s="20"/>
      <c r="L57" s="20"/>
      <c r="M57" s="20"/>
      <c r="N57" s="20"/>
      <c r="O57" s="21"/>
      <c r="P57" s="21"/>
      <c r="Q57" s="21"/>
      <c r="R57" s="21"/>
      <c r="S57" s="21"/>
    </row>
    <row r="58" spans="2:19" ht="12" customHeight="1" x14ac:dyDescent="0.25">
      <c r="B58" s="9" t="s">
        <v>56</v>
      </c>
      <c r="C58" s="20"/>
      <c r="D58" s="20"/>
      <c r="E58" s="20"/>
      <c r="F58" s="20"/>
      <c r="G58" s="20"/>
      <c r="H58" s="20"/>
      <c r="I58" s="20"/>
      <c r="J58" s="20"/>
      <c r="K58" s="20"/>
      <c r="L58" s="20"/>
      <c r="M58" s="20"/>
      <c r="N58" s="20"/>
      <c r="O58" s="21"/>
      <c r="P58" s="21"/>
      <c r="Q58" s="21"/>
      <c r="R58" s="21"/>
      <c r="S58" s="21"/>
    </row>
    <row r="59" spans="2:19" ht="12" customHeight="1" x14ac:dyDescent="0.25">
      <c r="B59" s="9" t="s">
        <v>57</v>
      </c>
      <c r="C59" s="22"/>
      <c r="D59" s="22"/>
      <c r="E59" s="22"/>
      <c r="F59" s="22"/>
      <c r="G59" s="22"/>
      <c r="H59" s="22"/>
      <c r="I59" s="22"/>
      <c r="J59" s="22"/>
      <c r="K59" s="22"/>
      <c r="L59" s="22"/>
      <c r="M59" s="22"/>
      <c r="N59" s="22"/>
      <c r="O59" s="23"/>
      <c r="P59" s="23"/>
      <c r="Q59" s="23"/>
      <c r="R59" s="23"/>
      <c r="S59" s="23"/>
    </row>
    <row r="60" spans="2:19" ht="12" customHeight="1" x14ac:dyDescent="0.25">
      <c r="B60" s="9" t="s">
        <v>58</v>
      </c>
      <c r="C60" s="10"/>
      <c r="D60" s="10"/>
      <c r="E60" s="10"/>
      <c r="F60" s="10"/>
      <c r="G60" s="10"/>
      <c r="H60" s="10"/>
      <c r="I60" s="10"/>
      <c r="J60" s="10"/>
      <c r="K60" s="10"/>
      <c r="L60" s="10"/>
      <c r="M60" s="10"/>
      <c r="N60" s="10"/>
      <c r="O60" s="5"/>
      <c r="P60" s="5"/>
      <c r="Q60" s="5"/>
      <c r="R60" s="5"/>
      <c r="S60" s="5"/>
    </row>
    <row r="61" spans="2:19" ht="12" customHeight="1" x14ac:dyDescent="0.25">
      <c r="B61" s="9"/>
      <c r="C61" s="10"/>
      <c r="D61" s="10"/>
      <c r="E61" s="10"/>
      <c r="F61" s="10"/>
      <c r="G61" s="10"/>
      <c r="H61" s="10"/>
      <c r="I61" s="10"/>
      <c r="J61" s="10"/>
      <c r="K61" s="10"/>
      <c r="L61" s="10"/>
      <c r="M61" s="10"/>
      <c r="N61" s="10"/>
      <c r="O61" s="5"/>
      <c r="P61" s="5"/>
      <c r="Q61" s="5"/>
      <c r="R61" s="5"/>
      <c r="S61" s="5"/>
    </row>
    <row r="62" spans="2:19" s="26" customFormat="1" ht="12" customHeight="1" x14ac:dyDescent="0.25">
      <c r="B62" s="24"/>
      <c r="C62" s="25"/>
      <c r="D62" s="25"/>
      <c r="E62" s="25"/>
      <c r="F62" s="25"/>
      <c r="G62" s="25"/>
      <c r="H62" s="25"/>
      <c r="I62" s="25"/>
      <c r="J62" s="25"/>
      <c r="K62" s="25"/>
      <c r="L62" s="25"/>
      <c r="M62" s="25"/>
      <c r="N62" s="25"/>
      <c r="O62" s="25"/>
      <c r="P62" s="25"/>
      <c r="Q62" s="25"/>
      <c r="R62" s="25"/>
      <c r="S62" s="25"/>
    </row>
  </sheetData>
  <pageMargins left="0.7" right="0.7" top="0.75" bottom="0.75" header="0.3" footer="0.3"/>
  <pageSetup paperSize="9" orientation="portrait"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5FF9-9FCC-4A77-9B85-A00747DF98B6}">
  <dimension ref="B1:S62"/>
  <sheetViews>
    <sheetView showGridLines="0" workbookViewId="0">
      <pane xSplit="8" ySplit="2" topLeftCell="I3" activePane="bottomRight" state="frozen"/>
      <selection pane="topRight" activeCell="I1" sqref="I1"/>
      <selection pane="bottomLeft" activeCell="A3" sqref="A3"/>
      <selection pane="bottomRight" activeCell="I3" sqref="I3"/>
    </sheetView>
  </sheetViews>
  <sheetFormatPr defaultColWidth="8.28515625" defaultRowHeight="12" customHeight="1" x14ac:dyDescent="0.25"/>
  <cols>
    <col min="1" max="1" width="3.5703125" style="2" customWidth="1"/>
    <col min="2" max="2" width="35.7109375" style="2" customWidth="1"/>
    <col min="3" max="8" width="8.28515625" style="2" hidden="1" customWidth="1"/>
    <col min="9" max="10" width="8.28515625" style="2" customWidth="1"/>
    <col min="11" max="20" width="8.28515625" style="2"/>
    <col min="21" max="21" width="10" style="2" bestFit="1" customWidth="1"/>
    <col min="22" max="16384" width="8.28515625" style="2"/>
  </cols>
  <sheetData>
    <row r="1" spans="2:19" ht="12" customHeight="1" x14ac:dyDescent="0.25">
      <c r="B1" s="1" t="s">
        <v>223</v>
      </c>
    </row>
    <row r="2" spans="2:19" ht="12" customHeight="1" x14ac:dyDescent="0.25">
      <c r="B2" s="3" t="s">
        <v>17</v>
      </c>
      <c r="C2" s="4" t="s">
        <v>18</v>
      </c>
      <c r="D2" s="4" t="s">
        <v>19</v>
      </c>
      <c r="E2" s="4" t="s">
        <v>20</v>
      </c>
      <c r="F2" s="4" t="s">
        <v>21</v>
      </c>
      <c r="G2" s="4" t="s">
        <v>22</v>
      </c>
      <c r="H2" s="4" t="s">
        <v>23</v>
      </c>
      <c r="I2" s="4" t="s">
        <v>24</v>
      </c>
      <c r="J2" s="4" t="s">
        <v>25</v>
      </c>
      <c r="K2" s="4" t="s">
        <v>26</v>
      </c>
      <c r="L2" s="4" t="s">
        <v>27</v>
      </c>
      <c r="M2" s="4" t="s">
        <v>273</v>
      </c>
      <c r="N2" s="4" t="s">
        <v>347</v>
      </c>
      <c r="O2" s="227" t="s">
        <v>177</v>
      </c>
      <c r="P2" s="227" t="s">
        <v>178</v>
      </c>
      <c r="Q2" s="227" t="s">
        <v>179</v>
      </c>
      <c r="R2" s="227" t="s">
        <v>231</v>
      </c>
      <c r="S2" s="227" t="s">
        <v>232</v>
      </c>
    </row>
    <row r="3" spans="2:19" ht="12" customHeight="1" x14ac:dyDescent="0.25">
      <c r="B3" s="6"/>
      <c r="C3" s="7"/>
      <c r="D3" s="7"/>
      <c r="E3" s="7"/>
      <c r="F3" s="7"/>
      <c r="G3" s="7"/>
      <c r="H3" s="7"/>
      <c r="I3" s="7"/>
      <c r="J3" s="7"/>
      <c r="K3" s="7"/>
      <c r="L3" s="7"/>
      <c r="M3" s="7"/>
      <c r="N3" s="7"/>
      <c r="O3" s="8"/>
      <c r="P3" s="8"/>
      <c r="Q3" s="8"/>
      <c r="R3" s="8"/>
      <c r="S3" s="8"/>
    </row>
    <row r="4" spans="2:19" ht="12" customHeight="1" x14ac:dyDescent="0.25">
      <c r="B4" s="6" t="s">
        <v>478</v>
      </c>
      <c r="C4" s="7"/>
      <c r="D4" s="7"/>
      <c r="E4" s="7"/>
      <c r="F4" s="7"/>
      <c r="G4" s="7"/>
      <c r="H4" s="7"/>
      <c r="I4" s="123"/>
      <c r="J4" s="123"/>
      <c r="K4" s="123"/>
      <c r="L4" s="123"/>
      <c r="M4" s="123"/>
      <c r="N4" s="123"/>
      <c r="O4" s="8"/>
      <c r="P4" s="8"/>
      <c r="Q4" s="8"/>
      <c r="R4" s="8"/>
      <c r="S4" s="8"/>
    </row>
    <row r="5" spans="2:19" ht="12" customHeight="1" x14ac:dyDescent="0.25">
      <c r="B5" s="6" t="s">
        <v>479</v>
      </c>
      <c r="C5" s="7"/>
      <c r="D5" s="7"/>
      <c r="E5" s="7"/>
      <c r="F5" s="7"/>
      <c r="G5" s="7"/>
      <c r="H5" s="7"/>
      <c r="I5" s="123"/>
      <c r="J5" s="123"/>
      <c r="K5" s="123"/>
      <c r="L5" s="123"/>
      <c r="M5" s="123"/>
      <c r="N5" s="123"/>
      <c r="O5" s="8"/>
      <c r="P5" s="8"/>
      <c r="Q5" s="8"/>
      <c r="R5" s="8"/>
      <c r="S5" s="8"/>
    </row>
    <row r="6" spans="2:19" ht="12" customHeight="1" x14ac:dyDescent="0.25">
      <c r="B6" s="6" t="s">
        <v>480</v>
      </c>
      <c r="C6" s="7"/>
      <c r="D6" s="7"/>
      <c r="E6" s="7"/>
      <c r="F6" s="7"/>
      <c r="G6" s="7"/>
      <c r="H6" s="7"/>
      <c r="I6" s="123"/>
      <c r="J6" s="123"/>
      <c r="K6" s="123"/>
      <c r="L6" s="123">
        <v>122.23399999999999</v>
      </c>
      <c r="M6" s="123">
        <v>104.91200000000001</v>
      </c>
      <c r="N6" s="123">
        <v>133.22200000000001</v>
      </c>
      <c r="O6" s="8">
        <f>N6*(1+Assumptions!L805)</f>
        <v>104.48411142857145</v>
      </c>
      <c r="P6" s="8">
        <f>O6*(1+Assumptions!M805)</f>
        <v>109.70831700000004</v>
      </c>
      <c r="Q6" s="8">
        <f>P6*(1+Assumptions!N805)</f>
        <v>115.19373285000005</v>
      </c>
      <c r="R6" s="8">
        <f>Q6*(1+Assumptions!O805)</f>
        <v>120.95341949250006</v>
      </c>
      <c r="S6" s="8">
        <f>R6*(1+Assumptions!P805)</f>
        <v>127.00109046712507</v>
      </c>
    </row>
    <row r="7" spans="2:19" ht="12" customHeight="1" x14ac:dyDescent="0.25">
      <c r="B7" s="6" t="s">
        <v>481</v>
      </c>
      <c r="C7" s="7"/>
      <c r="D7" s="7"/>
      <c r="E7" s="7"/>
      <c r="F7" s="7"/>
      <c r="G7" s="7"/>
      <c r="H7" s="7"/>
      <c r="I7" s="123"/>
      <c r="J7" s="123"/>
      <c r="K7" s="123"/>
      <c r="L7" s="123">
        <v>392.74099999999999</v>
      </c>
      <c r="M7" s="123">
        <v>336.63499999999999</v>
      </c>
      <c r="N7" s="123">
        <v>642.77800000000002</v>
      </c>
      <c r="O7" s="8">
        <f>Assumptions!L782</f>
        <v>514.20403491428578</v>
      </c>
      <c r="P7" s="8">
        <f>Assumptions!M782</f>
        <v>550.71252139320006</v>
      </c>
      <c r="Q7" s="8">
        <f>Assumptions!N782</f>
        <v>589.81311041211734</v>
      </c>
      <c r="R7" s="8">
        <f>Assumptions!O782</f>
        <v>631.68984125137774</v>
      </c>
      <c r="S7" s="8">
        <f>Assumptions!P782</f>
        <v>676.53981998022562</v>
      </c>
    </row>
    <row r="8" spans="2:19" ht="12" customHeight="1" x14ac:dyDescent="0.25">
      <c r="B8" s="6" t="s">
        <v>483</v>
      </c>
      <c r="C8" s="7"/>
      <c r="D8" s="7"/>
      <c r="E8" s="7"/>
      <c r="F8" s="7"/>
      <c r="G8" s="7"/>
      <c r="H8" s="7"/>
      <c r="I8" s="123"/>
      <c r="J8" s="123"/>
      <c r="K8" s="123"/>
      <c r="L8" s="123"/>
      <c r="M8" s="123"/>
      <c r="N8" s="123"/>
      <c r="O8" s="8"/>
      <c r="P8" s="8"/>
      <c r="Q8" s="8"/>
      <c r="R8" s="8"/>
      <c r="S8" s="8"/>
    </row>
    <row r="9" spans="2:19" ht="12" customHeight="1" x14ac:dyDescent="0.25">
      <c r="B9" s="6" t="s">
        <v>482</v>
      </c>
      <c r="C9" s="7"/>
      <c r="D9" s="7"/>
      <c r="E9" s="7"/>
      <c r="F9" s="7"/>
      <c r="G9" s="7"/>
      <c r="H9" s="7"/>
      <c r="I9" s="123"/>
      <c r="J9" s="123"/>
      <c r="K9" s="123"/>
      <c r="L9" s="123">
        <v>38.893999999999998</v>
      </c>
      <c r="M9" s="123">
        <v>56.435000000000002</v>
      </c>
      <c r="N9" s="123">
        <v>71.450999999999993</v>
      </c>
      <c r="O9" s="8">
        <f t="shared" ref="O9:S9" si="0">N9</f>
        <v>71.450999999999993</v>
      </c>
      <c r="P9" s="8">
        <f t="shared" si="0"/>
        <v>71.450999999999993</v>
      </c>
      <c r="Q9" s="8">
        <f t="shared" si="0"/>
        <v>71.450999999999993</v>
      </c>
      <c r="R9" s="8">
        <f t="shared" si="0"/>
        <v>71.450999999999993</v>
      </c>
      <c r="S9" s="8">
        <f t="shared" si="0"/>
        <v>71.450999999999993</v>
      </c>
    </row>
    <row r="10" spans="2:19" ht="12" customHeight="1" x14ac:dyDescent="0.25">
      <c r="B10" s="6" t="s">
        <v>484</v>
      </c>
      <c r="C10" s="7"/>
      <c r="D10" s="7"/>
      <c r="E10" s="7"/>
      <c r="F10" s="7"/>
      <c r="G10" s="7"/>
      <c r="H10" s="7"/>
      <c r="I10" s="123"/>
      <c r="J10" s="123"/>
      <c r="K10" s="123"/>
      <c r="L10" s="123"/>
      <c r="M10" s="123"/>
      <c r="N10" s="123"/>
      <c r="O10" s="8"/>
      <c r="P10" s="8"/>
      <c r="Q10" s="8"/>
      <c r="R10" s="8"/>
      <c r="S10" s="8"/>
    </row>
    <row r="11" spans="2:19" ht="12" customHeight="1" x14ac:dyDescent="0.25">
      <c r="B11" s="6" t="s">
        <v>485</v>
      </c>
      <c r="C11" s="7"/>
      <c r="D11" s="7"/>
      <c r="E11" s="7"/>
      <c r="F11" s="7"/>
      <c r="G11" s="7"/>
      <c r="H11" s="7"/>
      <c r="I11" s="123"/>
      <c r="J11" s="123"/>
      <c r="K11" s="123"/>
      <c r="L11" s="123"/>
      <c r="M11" s="123"/>
      <c r="N11" s="123"/>
      <c r="O11" s="8"/>
      <c r="P11" s="8"/>
      <c r="Q11" s="8"/>
      <c r="R11" s="8"/>
      <c r="S11" s="8"/>
    </row>
    <row r="12" spans="2:19" ht="12" customHeight="1" x14ac:dyDescent="0.25">
      <c r="B12" s="6" t="s">
        <v>486</v>
      </c>
      <c r="C12" s="7"/>
      <c r="D12" s="7"/>
      <c r="E12" s="7"/>
      <c r="F12" s="7"/>
      <c r="G12" s="7"/>
      <c r="H12" s="7"/>
      <c r="I12" s="123"/>
      <c r="J12" s="123"/>
      <c r="K12" s="123"/>
      <c r="L12" s="123">
        <v>9.64</v>
      </c>
      <c r="M12" s="123">
        <v>7.9020000000000001</v>
      </c>
      <c r="N12" s="123">
        <v>11.425000000000001</v>
      </c>
      <c r="O12" s="8">
        <f t="shared" ref="O12:S12" si="1">N12</f>
        <v>11.425000000000001</v>
      </c>
      <c r="P12" s="8">
        <f t="shared" si="1"/>
        <v>11.425000000000001</v>
      </c>
      <c r="Q12" s="8">
        <f t="shared" si="1"/>
        <v>11.425000000000001</v>
      </c>
      <c r="R12" s="8">
        <f t="shared" si="1"/>
        <v>11.425000000000001</v>
      </c>
      <c r="S12" s="8">
        <f t="shared" si="1"/>
        <v>11.425000000000001</v>
      </c>
    </row>
    <row r="13" spans="2:19" ht="12" customHeight="1" x14ac:dyDescent="0.25">
      <c r="B13" s="6" t="s">
        <v>487</v>
      </c>
      <c r="C13" s="7"/>
      <c r="D13" s="7"/>
      <c r="E13" s="7"/>
      <c r="F13" s="7"/>
      <c r="G13" s="7"/>
      <c r="H13" s="7"/>
      <c r="I13" s="123"/>
      <c r="J13" s="123"/>
      <c r="K13" s="123"/>
      <c r="L13" s="123"/>
      <c r="M13" s="123"/>
      <c r="N13" s="123"/>
      <c r="O13" s="8"/>
      <c r="P13" s="8"/>
      <c r="Q13" s="8"/>
      <c r="R13" s="8"/>
      <c r="S13" s="8"/>
    </row>
    <row r="14" spans="2:19" ht="12" customHeight="1" x14ac:dyDescent="0.25">
      <c r="B14" s="6" t="s">
        <v>488</v>
      </c>
      <c r="C14" s="7"/>
      <c r="D14" s="7"/>
      <c r="E14" s="7"/>
      <c r="F14" s="7"/>
      <c r="G14" s="7"/>
      <c r="H14" s="7"/>
      <c r="I14" s="123"/>
      <c r="J14" s="123"/>
      <c r="K14" s="123"/>
      <c r="L14" s="123">
        <v>0.2</v>
      </c>
      <c r="M14" s="123"/>
      <c r="N14" s="123"/>
      <c r="O14" s="8">
        <f t="shared" ref="O14:S14" si="2">N14</f>
        <v>0</v>
      </c>
      <c r="P14" s="8">
        <f t="shared" si="2"/>
        <v>0</v>
      </c>
      <c r="Q14" s="8">
        <f t="shared" si="2"/>
        <v>0</v>
      </c>
      <c r="R14" s="8">
        <f t="shared" si="2"/>
        <v>0</v>
      </c>
      <c r="S14" s="8">
        <f t="shared" si="2"/>
        <v>0</v>
      </c>
    </row>
    <row r="15" spans="2:19" ht="12" customHeight="1" x14ac:dyDescent="0.25">
      <c r="B15" s="6"/>
      <c r="C15" s="7"/>
      <c r="D15" s="7"/>
      <c r="E15" s="7"/>
      <c r="F15" s="7"/>
      <c r="G15" s="7"/>
      <c r="H15" s="7"/>
      <c r="I15" s="7"/>
      <c r="J15" s="7"/>
      <c r="K15" s="7"/>
      <c r="L15" s="7"/>
      <c r="M15" s="7"/>
      <c r="N15" s="7"/>
      <c r="O15" s="8"/>
      <c r="P15" s="8"/>
      <c r="Q15" s="8"/>
      <c r="R15" s="8"/>
      <c r="S15" s="8"/>
    </row>
    <row r="16" spans="2:19" ht="12" customHeight="1" x14ac:dyDescent="0.25">
      <c r="B16" s="9" t="s">
        <v>29</v>
      </c>
      <c r="C16" s="10"/>
      <c r="D16" s="10"/>
      <c r="E16" s="10"/>
      <c r="F16" s="10"/>
      <c r="G16" s="10"/>
      <c r="H16" s="10"/>
      <c r="I16" s="10">
        <f>SUM(I4:I14)</f>
        <v>0</v>
      </c>
      <c r="J16" s="10">
        <f>SUM(J4:J14)</f>
        <v>0</v>
      </c>
      <c r="K16" s="10">
        <f>SUM(K4:K14)</f>
        <v>0</v>
      </c>
      <c r="L16" s="10">
        <f>SUM(L4:L14)</f>
        <v>563.70900000000006</v>
      </c>
      <c r="M16" s="10">
        <f t="shared" ref="M16:S16" si="3">SUM(M4:M14)</f>
        <v>505.88400000000001</v>
      </c>
      <c r="N16" s="10">
        <f t="shared" ref="N16" si="4">SUM(N4:N14)</f>
        <v>858.87599999999998</v>
      </c>
      <c r="O16" s="5">
        <f t="shared" si="3"/>
        <v>701.56414634285716</v>
      </c>
      <c r="P16" s="5">
        <f t="shared" si="3"/>
        <v>743.29683839320012</v>
      </c>
      <c r="Q16" s="5">
        <f t="shared" si="3"/>
        <v>787.88284326211738</v>
      </c>
      <c r="R16" s="5">
        <f t="shared" si="3"/>
        <v>835.51926074387779</v>
      </c>
      <c r="S16" s="5">
        <f t="shared" si="3"/>
        <v>886.41691044735069</v>
      </c>
    </row>
    <row r="17" spans="2:19" s="14" customFormat="1" ht="12" customHeight="1" x14ac:dyDescent="0.25">
      <c r="B17" s="11" t="s">
        <v>30</v>
      </c>
      <c r="C17" s="12" t="str">
        <f>IF(ISERROR(C16/#REF!-1)," ",C16/#REF!-1)</f>
        <v xml:space="preserve"> </v>
      </c>
      <c r="D17" s="12" t="str">
        <f>IF(ISERROR(D16/#REF!-1)," ",D16/#REF!-1)</f>
        <v xml:space="preserve"> </v>
      </c>
      <c r="E17" s="12" t="str">
        <f>IF(ISERROR(E16/#REF!-1)," ",E16/#REF!-1)</f>
        <v xml:space="preserve"> </v>
      </c>
      <c r="F17" s="12" t="str">
        <f>IF(ISERROR(F16/#REF!-1)," ",F16/#REF!-1)</f>
        <v xml:space="preserve"> </v>
      </c>
      <c r="G17" s="12" t="str">
        <f>IF(ISERROR(G16/#REF!-1)," ",G16/#REF!-1)</f>
        <v xml:space="preserve"> </v>
      </c>
      <c r="H17" s="12" t="str">
        <f>IF(ISERROR(H16/#REF!-1)," ",H16/#REF!-1)</f>
        <v xml:space="preserve"> </v>
      </c>
      <c r="I17" s="12" t="str">
        <f>IF(ISERROR(I16/#REF!-1)," ",I16/#REF!-1)</f>
        <v xml:space="preserve"> </v>
      </c>
      <c r="J17" s="12" t="str">
        <f>IF(ISERROR(J16/I16-1)," ",J16/I16-1)</f>
        <v xml:space="preserve"> </v>
      </c>
      <c r="K17" s="12" t="str">
        <f>IF(ISERROR(K16/J16-1)," ",K16/J16-1)</f>
        <v xml:space="preserve"> </v>
      </c>
      <c r="L17" s="12" t="str">
        <f>IF(ISERROR(L16/K16-1)," ",L16/K16-1)</f>
        <v xml:space="preserve"> </v>
      </c>
      <c r="M17" s="12">
        <f t="shared" ref="M17:S17" si="5">IF(ISERROR(M16/L16-1)," ",M16/L16-1)</f>
        <v>-0.10257952241316004</v>
      </c>
      <c r="N17" s="12">
        <f t="shared" si="5"/>
        <v>0.69777261190312401</v>
      </c>
      <c r="O17" s="13">
        <f t="shared" si="5"/>
        <v>-0.18316014611788289</v>
      </c>
      <c r="P17" s="13">
        <f t="shared" si="5"/>
        <v>5.9485212104821494E-2</v>
      </c>
      <c r="Q17" s="13">
        <f t="shared" si="5"/>
        <v>5.9984117469542575E-2</v>
      </c>
      <c r="R17" s="13">
        <f t="shared" si="5"/>
        <v>6.0461295596345943E-2</v>
      </c>
      <c r="S17" s="13">
        <f t="shared" si="5"/>
        <v>6.0917386462351342E-2</v>
      </c>
    </row>
    <row r="18" spans="2:19" ht="12" customHeight="1" x14ac:dyDescent="0.25">
      <c r="B18" s="6"/>
      <c r="C18" s="7"/>
      <c r="D18" s="7"/>
      <c r="E18" s="7"/>
      <c r="F18" s="7"/>
      <c r="G18" s="7"/>
      <c r="H18" s="7"/>
      <c r="I18" s="7"/>
      <c r="J18" s="7"/>
      <c r="K18" s="7"/>
      <c r="L18" s="7"/>
      <c r="M18" s="7"/>
      <c r="N18" s="7"/>
      <c r="O18" s="8"/>
      <c r="P18" s="8"/>
      <c r="Q18" s="8"/>
      <c r="R18" s="8"/>
      <c r="S18" s="8"/>
    </row>
    <row r="19" spans="2:19" ht="12" customHeight="1" x14ac:dyDescent="0.25">
      <c r="B19" s="6" t="s">
        <v>31</v>
      </c>
      <c r="C19" s="7"/>
      <c r="D19" s="7"/>
      <c r="E19" s="7"/>
      <c r="F19" s="7"/>
      <c r="G19" s="7"/>
      <c r="H19" s="7"/>
      <c r="I19" s="7"/>
      <c r="J19" s="7"/>
      <c r="K19" s="7"/>
      <c r="L19" s="7">
        <v>499.84</v>
      </c>
      <c r="M19" s="7">
        <v>417.51400000000001</v>
      </c>
      <c r="N19" s="7">
        <v>601.87</v>
      </c>
      <c r="O19" s="8"/>
      <c r="P19" s="8"/>
      <c r="Q19" s="8"/>
      <c r="R19" s="8"/>
      <c r="S19" s="8"/>
    </row>
    <row r="20" spans="2:19" ht="12" customHeight="1" x14ac:dyDescent="0.25">
      <c r="B20" s="6" t="s">
        <v>32</v>
      </c>
      <c r="C20" s="7"/>
      <c r="D20" s="7"/>
      <c r="E20" s="7"/>
      <c r="F20" s="7"/>
      <c r="G20" s="7"/>
      <c r="H20" s="7"/>
      <c r="I20" s="7"/>
      <c r="J20" s="7"/>
      <c r="K20" s="7"/>
      <c r="L20" s="7">
        <v>9.1519999999999992</v>
      </c>
      <c r="M20" s="7">
        <v>11.804</v>
      </c>
      <c r="N20" s="7">
        <v>11.72</v>
      </c>
      <c r="O20" s="8"/>
      <c r="P20" s="8"/>
      <c r="Q20" s="8"/>
      <c r="R20" s="8"/>
      <c r="S20" s="8"/>
    </row>
    <row r="21" spans="2:19" ht="12" customHeight="1" x14ac:dyDescent="0.25">
      <c r="B21" s="6" t="s">
        <v>33</v>
      </c>
      <c r="C21" s="7"/>
      <c r="D21" s="7"/>
      <c r="E21" s="7"/>
      <c r="F21" s="7"/>
      <c r="G21" s="7"/>
      <c r="H21" s="7"/>
      <c r="I21" s="7"/>
      <c r="J21" s="7"/>
      <c r="K21" s="7"/>
      <c r="L21" s="7">
        <v>18.459</v>
      </c>
      <c r="M21" s="7">
        <v>16.991</v>
      </c>
      <c r="N21" s="7">
        <v>15.766999999999999</v>
      </c>
      <c r="O21" s="8"/>
      <c r="P21" s="8"/>
      <c r="Q21" s="8"/>
      <c r="R21" s="8"/>
      <c r="S21" s="8"/>
    </row>
    <row r="22" spans="2:19" ht="12" customHeight="1" x14ac:dyDescent="0.25">
      <c r="B22" s="6"/>
      <c r="C22" s="7"/>
      <c r="D22" s="7"/>
      <c r="E22" s="7"/>
      <c r="F22" s="7"/>
      <c r="G22" s="7"/>
      <c r="H22" s="7"/>
      <c r="I22" s="7"/>
      <c r="J22" s="7"/>
      <c r="K22" s="7"/>
      <c r="L22" s="7"/>
      <c r="M22" s="7"/>
      <c r="N22" s="7"/>
      <c r="O22" s="8"/>
      <c r="P22" s="8"/>
      <c r="Q22" s="8"/>
      <c r="R22" s="8"/>
      <c r="S22" s="8"/>
    </row>
    <row r="23" spans="2:19" ht="12" customHeight="1" x14ac:dyDescent="0.25">
      <c r="B23" s="9" t="s">
        <v>34</v>
      </c>
      <c r="C23" s="10">
        <f t="shared" ref="C23:J23" si="6">C16-SUM(C19:C21)</f>
        <v>0</v>
      </c>
      <c r="D23" s="10">
        <f t="shared" si="6"/>
        <v>0</v>
      </c>
      <c r="E23" s="10">
        <f t="shared" si="6"/>
        <v>0</v>
      </c>
      <c r="F23" s="10">
        <f t="shared" si="6"/>
        <v>0</v>
      </c>
      <c r="G23" s="10">
        <f t="shared" si="6"/>
        <v>0</v>
      </c>
      <c r="H23" s="10">
        <f t="shared" si="6"/>
        <v>0</v>
      </c>
      <c r="I23" s="10">
        <f t="shared" si="6"/>
        <v>0</v>
      </c>
      <c r="J23" s="10">
        <f t="shared" si="6"/>
        <v>0</v>
      </c>
      <c r="K23" s="10">
        <f>K16-SUM(K19:K21)</f>
        <v>0</v>
      </c>
      <c r="L23" s="10">
        <f>L16-SUM(L19:L21)</f>
        <v>36.258000000000152</v>
      </c>
      <c r="M23" s="10">
        <f>M16-SUM(M19:M21)</f>
        <v>59.575000000000045</v>
      </c>
      <c r="N23" s="10">
        <f>N16-SUM(N19:N21)</f>
        <v>229.51899999999989</v>
      </c>
      <c r="O23" s="5">
        <f t="shared" ref="O23:S23" si="7">O16*O24</f>
        <v>222.55847374031239</v>
      </c>
      <c r="P23" s="5">
        <f t="shared" si="7"/>
        <v>235.79741175648024</v>
      </c>
      <c r="Q23" s="5">
        <f t="shared" si="7"/>
        <v>249.94151140229502</v>
      </c>
      <c r="R23" s="5">
        <f t="shared" si="7"/>
        <v>265.05329900498668</v>
      </c>
      <c r="S23" s="5">
        <f t="shared" si="7"/>
        <v>281.19965325359459</v>
      </c>
    </row>
    <row r="24" spans="2:19" ht="12" customHeight="1" x14ac:dyDescent="0.25">
      <c r="B24" s="15" t="s">
        <v>35</v>
      </c>
      <c r="C24" s="16" t="str">
        <f t="shared" ref="C24:M24" si="8">IF(ISERROR(C23/C16)," ",C23/C16)</f>
        <v xml:space="preserve"> </v>
      </c>
      <c r="D24" s="16" t="str">
        <f t="shared" si="8"/>
        <v xml:space="preserve"> </v>
      </c>
      <c r="E24" s="16" t="str">
        <f t="shared" si="8"/>
        <v xml:space="preserve"> </v>
      </c>
      <c r="F24" s="16" t="str">
        <f t="shared" si="8"/>
        <v xml:space="preserve"> </v>
      </c>
      <c r="G24" s="16" t="str">
        <f t="shared" si="8"/>
        <v xml:space="preserve"> </v>
      </c>
      <c r="H24" s="16" t="str">
        <f t="shared" si="8"/>
        <v xml:space="preserve"> </v>
      </c>
      <c r="I24" s="16" t="str">
        <f t="shared" si="8"/>
        <v xml:space="preserve"> </v>
      </c>
      <c r="J24" s="16" t="str">
        <f t="shared" si="8"/>
        <v xml:space="preserve"> </v>
      </c>
      <c r="K24" s="16" t="str">
        <f t="shared" si="8"/>
        <v xml:space="preserve"> </v>
      </c>
      <c r="L24" s="16">
        <f t="shared" si="8"/>
        <v>6.4320420642565837E-2</v>
      </c>
      <c r="M24" s="16">
        <f t="shared" si="8"/>
        <v>0.11776415146555345</v>
      </c>
      <c r="N24" s="16">
        <f t="shared" ref="N24" si="9">IF(ISERROR(N23/N16)," ",N23/N16)</f>
        <v>0.26723182391870293</v>
      </c>
      <c r="O24" s="198">
        <f>N24+5%</f>
        <v>0.31723182391870292</v>
      </c>
      <c r="P24" s="198">
        <f>O24</f>
        <v>0.31723182391870292</v>
      </c>
      <c r="Q24" s="198">
        <f>P24</f>
        <v>0.31723182391870292</v>
      </c>
      <c r="R24" s="198">
        <f>Q24</f>
        <v>0.31723182391870292</v>
      </c>
      <c r="S24" s="198">
        <f>R24</f>
        <v>0.31723182391870292</v>
      </c>
    </row>
    <row r="25" spans="2:19"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t="str">
        <f>IF(ISERROR(F23/#REF!-1)," ",F23/#REF!-1)</f>
        <v xml:space="preserve"> </v>
      </c>
      <c r="G25" s="12" t="str">
        <f>IF(ISERROR(G23/#REF!-1)," ",G23/#REF!-1)</f>
        <v xml:space="preserve"> </v>
      </c>
      <c r="H25" s="12" t="str">
        <f>IF(ISERROR(H23/#REF!-1)," ",H23/#REF!-1)</f>
        <v xml:space="preserve"> </v>
      </c>
      <c r="I25" s="12" t="str">
        <f>IF(ISERROR(I23/#REF!-1)," ",I23/#REF!-1)</f>
        <v xml:space="preserve"> </v>
      </c>
      <c r="J25" s="12" t="str">
        <f>IF(ISERROR(J23/I23-1)," ",J23/I23-1)</f>
        <v xml:space="preserve"> </v>
      </c>
      <c r="K25" s="12" t="str">
        <f>IF(ISERROR(K23/J23-1)," ",K23/J23-1)</f>
        <v xml:space="preserve"> </v>
      </c>
      <c r="L25" s="12" t="str">
        <f>IF(ISERROR(L23/K23-1)," ",L23/K23-1)</f>
        <v xml:space="preserve"> </v>
      </c>
      <c r="M25" s="12">
        <f>IF(ISERROR(M23/L23-1)," ",M23/L23-1)</f>
        <v>0.64308566385348875</v>
      </c>
      <c r="N25" s="12">
        <f>IF(ISERROR(N23/M23-1)," ",N23/M23-1)</f>
        <v>2.8526059588753623</v>
      </c>
      <c r="O25" s="13"/>
      <c r="P25" s="13"/>
      <c r="Q25" s="13"/>
      <c r="R25" s="13"/>
      <c r="S25" s="13"/>
    </row>
    <row r="26" spans="2:19" ht="12" customHeight="1" x14ac:dyDescent="0.25">
      <c r="B26" s="15"/>
      <c r="C26" s="16"/>
      <c r="D26" s="16"/>
      <c r="E26" s="16"/>
      <c r="F26" s="16"/>
      <c r="G26" s="16"/>
      <c r="H26" s="16"/>
      <c r="I26" s="16"/>
      <c r="J26" s="16"/>
      <c r="K26" s="16"/>
      <c r="L26" s="16"/>
      <c r="M26" s="16"/>
      <c r="N26" s="16"/>
      <c r="O26" s="17"/>
      <c r="P26" s="17"/>
      <c r="Q26" s="17"/>
      <c r="R26" s="17"/>
      <c r="S26" s="17"/>
    </row>
    <row r="27" spans="2:19" ht="12" customHeight="1" x14ac:dyDescent="0.25">
      <c r="B27" s="6" t="s">
        <v>36</v>
      </c>
      <c r="C27" s="7"/>
      <c r="D27" s="7"/>
      <c r="E27" s="7"/>
      <c r="F27" s="7"/>
      <c r="G27" s="7"/>
      <c r="H27" s="7"/>
      <c r="I27" s="7"/>
      <c r="J27" s="7"/>
      <c r="K27" s="7"/>
      <c r="L27" s="7">
        <v>8.9559999999999995</v>
      </c>
      <c r="M27" s="7">
        <v>3.0870000000000002</v>
      </c>
      <c r="N27" s="7">
        <v>16.27</v>
      </c>
      <c r="O27" s="8"/>
      <c r="P27" s="8"/>
      <c r="Q27" s="8"/>
      <c r="R27" s="8"/>
      <c r="S27" s="8"/>
    </row>
    <row r="28" spans="2:19" ht="12" customHeight="1" x14ac:dyDescent="0.25">
      <c r="B28" s="6" t="s">
        <v>37</v>
      </c>
      <c r="C28" s="7"/>
      <c r="D28" s="7"/>
      <c r="E28" s="7"/>
      <c r="F28" s="7"/>
      <c r="G28" s="7"/>
      <c r="H28" s="7"/>
      <c r="I28" s="7"/>
      <c r="J28" s="7"/>
      <c r="K28" s="7"/>
      <c r="L28" s="7">
        <v>99.516999999999996</v>
      </c>
      <c r="M28" s="7">
        <v>99.44</v>
      </c>
      <c r="N28" s="7">
        <v>93.350999999999999</v>
      </c>
      <c r="O28" s="8"/>
      <c r="P28" s="8"/>
      <c r="Q28" s="8"/>
      <c r="R28" s="8"/>
      <c r="S28" s="8"/>
    </row>
    <row r="29" spans="2:19" ht="12" customHeight="1" x14ac:dyDescent="0.25">
      <c r="B29" s="6"/>
      <c r="C29" s="7"/>
      <c r="D29" s="7"/>
      <c r="E29" s="7"/>
      <c r="F29" s="7"/>
      <c r="G29" s="7"/>
      <c r="H29" s="7"/>
      <c r="I29" s="7"/>
      <c r="J29" s="7"/>
      <c r="K29" s="7"/>
      <c r="L29" s="7"/>
      <c r="M29" s="7"/>
      <c r="N29" s="7"/>
      <c r="O29" s="8"/>
      <c r="P29" s="8"/>
      <c r="Q29" s="8"/>
      <c r="R29" s="8"/>
      <c r="S29" s="8"/>
    </row>
    <row r="30" spans="2:19" ht="12" customHeight="1" x14ac:dyDescent="0.25">
      <c r="B30" s="9" t="s">
        <v>38</v>
      </c>
      <c r="C30" s="10">
        <f t="shared" ref="C30:M30" si="10">C23+C27-C28</f>
        <v>0</v>
      </c>
      <c r="D30" s="10">
        <f t="shared" si="10"/>
        <v>0</v>
      </c>
      <c r="E30" s="10">
        <f t="shared" si="10"/>
        <v>0</v>
      </c>
      <c r="F30" s="10">
        <f t="shared" si="10"/>
        <v>0</v>
      </c>
      <c r="G30" s="10">
        <f t="shared" si="10"/>
        <v>0</v>
      </c>
      <c r="H30" s="10">
        <f t="shared" si="10"/>
        <v>0</v>
      </c>
      <c r="I30" s="10">
        <f t="shared" si="10"/>
        <v>0</v>
      </c>
      <c r="J30" s="10">
        <f t="shared" si="10"/>
        <v>0</v>
      </c>
      <c r="K30" s="10">
        <f t="shared" si="10"/>
        <v>0</v>
      </c>
      <c r="L30" s="10">
        <f t="shared" si="10"/>
        <v>-54.302999999999841</v>
      </c>
      <c r="M30" s="10">
        <f t="shared" si="10"/>
        <v>-36.777999999999949</v>
      </c>
      <c r="N30" s="10">
        <f t="shared" ref="N30" si="11">N23+N27-N28</f>
        <v>152.4379999999999</v>
      </c>
      <c r="O30" s="5"/>
      <c r="P30" s="5"/>
      <c r="Q30" s="5"/>
      <c r="R30" s="5"/>
      <c r="S30" s="5"/>
    </row>
    <row r="31" spans="2:19" ht="12" customHeight="1" x14ac:dyDescent="0.25">
      <c r="B31" s="6"/>
      <c r="C31" s="7"/>
      <c r="D31" s="7"/>
      <c r="E31" s="7"/>
      <c r="F31" s="7"/>
      <c r="G31" s="7"/>
      <c r="H31" s="7"/>
      <c r="I31" s="7"/>
      <c r="J31" s="7"/>
      <c r="K31" s="7"/>
      <c r="L31" s="7"/>
      <c r="M31" s="7"/>
      <c r="N31" s="7"/>
      <c r="O31" s="8"/>
      <c r="P31" s="8"/>
      <c r="Q31" s="8"/>
      <c r="R31" s="8"/>
      <c r="S31" s="8"/>
    </row>
    <row r="32" spans="2:19" ht="12" customHeight="1" x14ac:dyDescent="0.25">
      <c r="B32" s="6" t="s">
        <v>39</v>
      </c>
      <c r="C32" s="7"/>
      <c r="D32" s="7"/>
      <c r="E32" s="7"/>
      <c r="F32" s="7"/>
      <c r="G32" s="7"/>
      <c r="H32" s="7"/>
      <c r="I32" s="7"/>
      <c r="J32" s="7"/>
      <c r="K32" s="7"/>
      <c r="L32" s="7">
        <v>240.28700000000001</v>
      </c>
      <c r="M32" s="7">
        <v>260.8</v>
      </c>
      <c r="N32" s="7">
        <v>247.983</v>
      </c>
      <c r="O32" s="8"/>
      <c r="P32" s="8"/>
      <c r="Q32" s="8"/>
      <c r="R32" s="8"/>
      <c r="S32" s="8"/>
    </row>
    <row r="33" spans="2:19" ht="12" customHeight="1" x14ac:dyDescent="0.25">
      <c r="B33" s="6" t="s">
        <v>307</v>
      </c>
      <c r="C33" s="7"/>
      <c r="D33" s="7"/>
      <c r="E33" s="7"/>
      <c r="F33" s="7"/>
      <c r="G33" s="7"/>
      <c r="H33" s="7"/>
      <c r="I33" s="7"/>
      <c r="J33" s="7"/>
      <c r="K33" s="7"/>
      <c r="L33" s="7"/>
      <c r="M33" s="7"/>
      <c r="N33" s="7"/>
      <c r="O33" s="8"/>
      <c r="P33" s="8"/>
      <c r="Q33" s="8"/>
      <c r="R33" s="8"/>
      <c r="S33" s="8"/>
    </row>
    <row r="34" spans="2:19" ht="12" customHeight="1" x14ac:dyDescent="0.25">
      <c r="B34" s="6"/>
      <c r="C34" s="7"/>
      <c r="D34" s="7"/>
      <c r="E34" s="7"/>
      <c r="F34" s="7"/>
      <c r="G34" s="7"/>
      <c r="H34" s="7"/>
      <c r="I34" s="7"/>
      <c r="J34" s="7"/>
      <c r="K34" s="7"/>
      <c r="L34" s="7"/>
      <c r="M34" s="7"/>
      <c r="N34" s="7"/>
      <c r="O34" s="8"/>
      <c r="P34" s="8"/>
      <c r="Q34" s="8"/>
      <c r="R34" s="8"/>
      <c r="S34" s="8"/>
    </row>
    <row r="35" spans="2:19" ht="12" customHeight="1" x14ac:dyDescent="0.25">
      <c r="B35" s="9" t="s">
        <v>40</v>
      </c>
      <c r="C35" s="10">
        <f t="shared" ref="C35:M35" si="12">C30-C32-C33</f>
        <v>0</v>
      </c>
      <c r="D35" s="10">
        <f t="shared" si="12"/>
        <v>0</v>
      </c>
      <c r="E35" s="10">
        <f t="shared" si="12"/>
        <v>0</v>
      </c>
      <c r="F35" s="10">
        <f t="shared" si="12"/>
        <v>0</v>
      </c>
      <c r="G35" s="10">
        <f t="shared" si="12"/>
        <v>0</v>
      </c>
      <c r="H35" s="10">
        <f t="shared" si="12"/>
        <v>0</v>
      </c>
      <c r="I35" s="10">
        <f t="shared" si="12"/>
        <v>0</v>
      </c>
      <c r="J35" s="10">
        <f t="shared" si="12"/>
        <v>0</v>
      </c>
      <c r="K35" s="10">
        <f t="shared" si="12"/>
        <v>0</v>
      </c>
      <c r="L35" s="10">
        <f t="shared" si="12"/>
        <v>-294.58999999999986</v>
      </c>
      <c r="M35" s="10">
        <f t="shared" si="12"/>
        <v>-297.57799999999997</v>
      </c>
      <c r="N35" s="10">
        <f t="shared" ref="N35" si="13">N30-N32-N33</f>
        <v>-95.545000000000101</v>
      </c>
      <c r="O35" s="5"/>
      <c r="P35" s="5"/>
      <c r="Q35" s="5"/>
      <c r="R35" s="5"/>
      <c r="S35" s="5"/>
    </row>
    <row r="36" spans="2:19" ht="12" customHeight="1" x14ac:dyDescent="0.25">
      <c r="B36" s="6"/>
      <c r="C36" s="7"/>
      <c r="D36" s="7"/>
      <c r="E36" s="7"/>
      <c r="F36" s="7"/>
      <c r="G36" s="7"/>
      <c r="H36" s="7"/>
      <c r="I36" s="7"/>
      <c r="J36" s="7"/>
      <c r="K36" s="7"/>
      <c r="L36" s="7"/>
      <c r="M36" s="7"/>
      <c r="N36" s="7"/>
      <c r="O36" s="8"/>
      <c r="P36" s="8"/>
      <c r="Q36" s="8"/>
      <c r="R36" s="8"/>
      <c r="S36" s="8"/>
    </row>
    <row r="37" spans="2:19" ht="12" customHeight="1" x14ac:dyDescent="0.25">
      <c r="B37" s="6" t="s">
        <v>41</v>
      </c>
      <c r="C37" s="7"/>
      <c r="D37" s="7"/>
      <c r="E37" s="7"/>
      <c r="F37" s="7"/>
      <c r="G37" s="7"/>
      <c r="H37" s="7"/>
      <c r="I37" s="7"/>
      <c r="J37" s="7"/>
      <c r="K37" s="7"/>
      <c r="L37" s="7"/>
      <c r="M37" s="7"/>
      <c r="N37" s="7"/>
      <c r="O37" s="8"/>
      <c r="P37" s="8"/>
      <c r="Q37" s="8"/>
      <c r="R37" s="8"/>
      <c r="S37" s="8"/>
    </row>
    <row r="38" spans="2:19" ht="12" customHeight="1" x14ac:dyDescent="0.25">
      <c r="B38" s="6" t="s">
        <v>42</v>
      </c>
      <c r="C38" s="7"/>
      <c r="D38" s="7"/>
      <c r="E38" s="7"/>
      <c r="F38" s="7"/>
      <c r="G38" s="7"/>
      <c r="H38" s="7"/>
      <c r="I38" s="7"/>
      <c r="J38" s="7"/>
      <c r="K38" s="7"/>
      <c r="L38" s="7">
        <v>6.1529999999999996</v>
      </c>
      <c r="M38" s="7">
        <v>3.1309999999999998</v>
      </c>
      <c r="N38" s="7">
        <v>0</v>
      </c>
      <c r="O38" s="8"/>
      <c r="P38" s="8"/>
      <c r="Q38" s="8"/>
      <c r="R38" s="8"/>
      <c r="S38" s="8"/>
    </row>
    <row r="39" spans="2:19" ht="12" customHeight="1" x14ac:dyDescent="0.25">
      <c r="B39" s="6" t="s">
        <v>43</v>
      </c>
      <c r="C39" s="7"/>
      <c r="D39" s="7"/>
      <c r="E39" s="7"/>
      <c r="F39" s="7"/>
      <c r="G39" s="7"/>
      <c r="H39" s="7"/>
      <c r="I39" s="7"/>
      <c r="J39" s="7"/>
      <c r="K39" s="7"/>
      <c r="L39" s="7"/>
      <c r="M39" s="7"/>
      <c r="N39" s="7"/>
      <c r="O39" s="8"/>
      <c r="P39" s="8"/>
      <c r="Q39" s="8"/>
      <c r="R39" s="8"/>
      <c r="S39" s="8"/>
    </row>
    <row r="40" spans="2:19" ht="12" customHeight="1" x14ac:dyDescent="0.25">
      <c r="B40" s="6" t="s">
        <v>44</v>
      </c>
      <c r="C40" s="7"/>
      <c r="D40" s="7"/>
      <c r="E40" s="7"/>
      <c r="F40" s="7"/>
      <c r="G40" s="7"/>
      <c r="H40" s="7"/>
      <c r="I40" s="7"/>
      <c r="J40" s="7"/>
      <c r="K40" s="7"/>
      <c r="L40" s="7"/>
      <c r="M40" s="7"/>
      <c r="N40" s="7"/>
      <c r="O40" s="8"/>
      <c r="P40" s="8"/>
      <c r="Q40" s="8"/>
      <c r="R40" s="8"/>
      <c r="S40" s="8"/>
    </row>
    <row r="41" spans="2:19" s="18" customFormat="1" ht="12" customHeight="1" x14ac:dyDescent="0.25">
      <c r="B41" s="9" t="s">
        <v>45</v>
      </c>
      <c r="C41" s="10">
        <f t="shared" ref="C41:L41" si="14">SUM(C38:C40)</f>
        <v>0</v>
      </c>
      <c r="D41" s="10">
        <f t="shared" si="14"/>
        <v>0</v>
      </c>
      <c r="E41" s="10">
        <f t="shared" si="14"/>
        <v>0</v>
      </c>
      <c r="F41" s="10">
        <f t="shared" si="14"/>
        <v>0</v>
      </c>
      <c r="G41" s="10">
        <f t="shared" si="14"/>
        <v>0</v>
      </c>
      <c r="H41" s="10">
        <f t="shared" si="14"/>
        <v>0</v>
      </c>
      <c r="I41" s="10">
        <f t="shared" si="14"/>
        <v>0</v>
      </c>
      <c r="J41" s="10">
        <f t="shared" si="14"/>
        <v>0</v>
      </c>
      <c r="K41" s="10">
        <f t="shared" si="14"/>
        <v>0</v>
      </c>
      <c r="L41" s="10">
        <f t="shared" si="14"/>
        <v>6.1529999999999996</v>
      </c>
      <c r="M41" s="10">
        <f>SUM(M38:M40)</f>
        <v>3.1309999999999998</v>
      </c>
      <c r="N41" s="10">
        <f>SUM(N38:N40)</f>
        <v>0</v>
      </c>
      <c r="O41" s="5"/>
      <c r="P41" s="5"/>
      <c r="Q41" s="5"/>
      <c r="R41" s="5"/>
      <c r="S41" s="5"/>
    </row>
    <row r="42" spans="2:19" ht="12" customHeight="1" x14ac:dyDescent="0.25">
      <c r="B42" s="19" t="s">
        <v>46</v>
      </c>
      <c r="C42" s="12" t="str">
        <f t="shared" ref="C42:M42" si="15">IF(ISERROR(C41/C35)," ",C41/C35)</f>
        <v xml:space="preserve"> </v>
      </c>
      <c r="D42" s="12" t="str">
        <f t="shared" si="15"/>
        <v xml:space="preserve"> </v>
      </c>
      <c r="E42" s="12" t="str">
        <f t="shared" si="15"/>
        <v xml:space="preserve"> </v>
      </c>
      <c r="F42" s="12" t="str">
        <f t="shared" si="15"/>
        <v xml:space="preserve"> </v>
      </c>
      <c r="G42" s="12" t="str">
        <f t="shared" si="15"/>
        <v xml:space="preserve"> </v>
      </c>
      <c r="H42" s="12" t="str">
        <f t="shared" si="15"/>
        <v xml:space="preserve"> </v>
      </c>
      <c r="I42" s="12" t="str">
        <f t="shared" si="15"/>
        <v xml:space="preserve"> </v>
      </c>
      <c r="J42" s="12" t="str">
        <f t="shared" si="15"/>
        <v xml:space="preserve"> </v>
      </c>
      <c r="K42" s="12" t="str">
        <f t="shared" si="15"/>
        <v xml:space="preserve"> </v>
      </c>
      <c r="L42" s="12">
        <f t="shared" si="15"/>
        <v>-2.088665603041516E-2</v>
      </c>
      <c r="M42" s="12">
        <f t="shared" si="15"/>
        <v>-1.0521611140608513E-2</v>
      </c>
      <c r="N42" s="12">
        <f t="shared" ref="N42" si="16">IF(ISERROR(N41/N35)," ",N41/N35)</f>
        <v>0</v>
      </c>
      <c r="O42" s="13"/>
      <c r="P42" s="13"/>
      <c r="Q42" s="13"/>
      <c r="R42" s="13"/>
      <c r="S42" s="13"/>
    </row>
    <row r="43" spans="2:19" ht="12" customHeight="1" x14ac:dyDescent="0.25">
      <c r="B43" s="19"/>
      <c r="C43" s="12"/>
      <c r="D43" s="12"/>
      <c r="E43" s="12"/>
      <c r="F43" s="12"/>
      <c r="G43" s="12"/>
      <c r="H43" s="12"/>
      <c r="I43" s="12"/>
      <c r="J43" s="12"/>
      <c r="K43" s="12"/>
      <c r="L43" s="12"/>
      <c r="M43" s="12"/>
      <c r="N43" s="12"/>
      <c r="O43" s="13"/>
      <c r="P43" s="13"/>
      <c r="Q43" s="13"/>
      <c r="R43" s="13"/>
      <c r="S43" s="13"/>
    </row>
    <row r="44" spans="2:19" ht="12" customHeight="1" x14ac:dyDescent="0.25">
      <c r="B44" s="9" t="s">
        <v>47</v>
      </c>
      <c r="C44" s="10">
        <f t="shared" ref="C44:M44" si="17">C35-C36-C41</f>
        <v>0</v>
      </c>
      <c r="D44" s="10">
        <f t="shared" si="17"/>
        <v>0</v>
      </c>
      <c r="E44" s="10">
        <f t="shared" si="17"/>
        <v>0</v>
      </c>
      <c r="F44" s="10">
        <f t="shared" si="17"/>
        <v>0</v>
      </c>
      <c r="G44" s="10">
        <f t="shared" si="17"/>
        <v>0</v>
      </c>
      <c r="H44" s="10">
        <f t="shared" si="17"/>
        <v>0</v>
      </c>
      <c r="I44" s="10">
        <f t="shared" si="17"/>
        <v>0</v>
      </c>
      <c r="J44" s="10">
        <f t="shared" si="17"/>
        <v>0</v>
      </c>
      <c r="K44" s="10">
        <f t="shared" si="17"/>
        <v>0</v>
      </c>
      <c r="L44" s="10">
        <f t="shared" si="17"/>
        <v>-300.74299999999988</v>
      </c>
      <c r="M44" s="10">
        <f t="shared" si="17"/>
        <v>-300.70899999999995</v>
      </c>
      <c r="N44" s="10">
        <f t="shared" ref="N44" si="18">N35-N36-N41</f>
        <v>-95.545000000000101</v>
      </c>
      <c r="O44" s="5"/>
      <c r="P44" s="5"/>
      <c r="Q44" s="5"/>
      <c r="R44" s="5"/>
      <c r="S44" s="5"/>
    </row>
    <row r="45" spans="2:19" ht="12" customHeight="1" x14ac:dyDescent="0.25">
      <c r="B45" s="6"/>
      <c r="C45" s="7"/>
      <c r="D45" s="7"/>
      <c r="E45" s="7"/>
      <c r="F45" s="7"/>
      <c r="G45" s="7"/>
      <c r="H45" s="7"/>
      <c r="I45" s="7"/>
      <c r="J45" s="7"/>
      <c r="K45" s="7"/>
      <c r="L45" s="7"/>
      <c r="M45" s="7"/>
      <c r="N45" s="7"/>
      <c r="O45" s="8"/>
      <c r="P45" s="8"/>
      <c r="Q45" s="8"/>
      <c r="R45" s="8"/>
      <c r="S45" s="8"/>
    </row>
    <row r="46" spans="2:19" ht="12" customHeight="1" x14ac:dyDescent="0.25">
      <c r="B46" s="6" t="s">
        <v>48</v>
      </c>
      <c r="C46" s="7"/>
      <c r="D46" s="7"/>
      <c r="E46" s="7"/>
      <c r="F46" s="7"/>
      <c r="G46" s="7"/>
      <c r="H46" s="7"/>
      <c r="I46" s="7"/>
      <c r="J46" s="7"/>
      <c r="K46" s="7"/>
      <c r="L46" s="7"/>
      <c r="M46" s="7"/>
      <c r="N46" s="7"/>
      <c r="O46" s="8"/>
      <c r="P46" s="8"/>
      <c r="Q46" s="8"/>
      <c r="R46" s="8"/>
      <c r="S46" s="8"/>
    </row>
    <row r="47" spans="2:19" ht="12" customHeight="1" x14ac:dyDescent="0.25">
      <c r="B47" s="6" t="s">
        <v>49</v>
      </c>
      <c r="C47" s="7"/>
      <c r="D47" s="7"/>
      <c r="E47" s="7"/>
      <c r="F47" s="7"/>
      <c r="G47" s="7"/>
      <c r="H47" s="7"/>
      <c r="I47" s="7"/>
      <c r="J47" s="7"/>
      <c r="K47" s="7"/>
      <c r="L47" s="7"/>
      <c r="M47" s="7"/>
      <c r="N47" s="7"/>
      <c r="O47" s="8"/>
      <c r="P47" s="8"/>
      <c r="Q47" s="8"/>
      <c r="R47" s="8"/>
      <c r="S47" s="8"/>
    </row>
    <row r="48" spans="2:19" ht="12" customHeight="1" x14ac:dyDescent="0.25">
      <c r="B48" s="6"/>
      <c r="C48" s="7"/>
      <c r="D48" s="7"/>
      <c r="E48" s="7"/>
      <c r="F48" s="7"/>
      <c r="G48" s="7"/>
      <c r="H48" s="7"/>
      <c r="I48" s="7"/>
      <c r="J48" s="7"/>
      <c r="K48" s="7"/>
      <c r="L48" s="7"/>
      <c r="M48" s="7"/>
      <c r="N48" s="7"/>
      <c r="O48" s="8"/>
      <c r="P48" s="8"/>
      <c r="Q48" s="8"/>
      <c r="R48" s="8"/>
      <c r="S48" s="8"/>
    </row>
    <row r="49" spans="2:19" ht="12" customHeight="1" x14ac:dyDescent="0.25">
      <c r="B49" s="9" t="s">
        <v>50</v>
      </c>
      <c r="C49" s="10">
        <f t="shared" ref="C49:M49" si="19">C44-C46+C47</f>
        <v>0</v>
      </c>
      <c r="D49" s="10">
        <f t="shared" si="19"/>
        <v>0</v>
      </c>
      <c r="E49" s="10">
        <f t="shared" si="19"/>
        <v>0</v>
      </c>
      <c r="F49" s="10">
        <f t="shared" si="19"/>
        <v>0</v>
      </c>
      <c r="G49" s="10">
        <f t="shared" si="19"/>
        <v>0</v>
      </c>
      <c r="H49" s="10">
        <f t="shared" si="19"/>
        <v>0</v>
      </c>
      <c r="I49" s="10">
        <f t="shared" si="19"/>
        <v>0</v>
      </c>
      <c r="J49" s="10">
        <f t="shared" si="19"/>
        <v>0</v>
      </c>
      <c r="K49" s="10">
        <f t="shared" si="19"/>
        <v>0</v>
      </c>
      <c r="L49" s="10">
        <f t="shared" si="19"/>
        <v>-300.74299999999988</v>
      </c>
      <c r="M49" s="10">
        <f t="shared" si="19"/>
        <v>-300.70899999999995</v>
      </c>
      <c r="N49" s="10">
        <f t="shared" ref="N49" si="20">N44-N46+N47</f>
        <v>-95.545000000000101</v>
      </c>
      <c r="O49" s="5"/>
      <c r="P49" s="5"/>
      <c r="Q49" s="5"/>
      <c r="R49" s="5"/>
      <c r="S49" s="5"/>
    </row>
    <row r="50" spans="2:19" ht="12" customHeight="1" x14ac:dyDescent="0.25">
      <c r="B50" s="15" t="s">
        <v>35</v>
      </c>
      <c r="C50" s="16" t="str">
        <f t="shared" ref="C50:M50" si="21">IF(ISERROR(C49/C16)," ",C49/C16)</f>
        <v xml:space="preserve"> </v>
      </c>
      <c r="D50" s="16" t="str">
        <f t="shared" si="21"/>
        <v xml:space="preserve"> </v>
      </c>
      <c r="E50" s="16" t="str">
        <f t="shared" si="21"/>
        <v xml:space="preserve"> </v>
      </c>
      <c r="F50" s="16" t="str">
        <f t="shared" si="21"/>
        <v xml:space="preserve"> </v>
      </c>
      <c r="G50" s="16" t="str">
        <f t="shared" si="21"/>
        <v xml:space="preserve"> </v>
      </c>
      <c r="H50" s="16" t="str">
        <f t="shared" si="21"/>
        <v xml:space="preserve"> </v>
      </c>
      <c r="I50" s="16" t="str">
        <f t="shared" si="21"/>
        <v xml:space="preserve"> </v>
      </c>
      <c r="J50" s="16" t="str">
        <f t="shared" si="21"/>
        <v xml:space="preserve"> </v>
      </c>
      <c r="K50" s="16" t="str">
        <f t="shared" si="21"/>
        <v xml:space="preserve"> </v>
      </c>
      <c r="L50" s="16">
        <f t="shared" si="21"/>
        <v>-0.53350753669002948</v>
      </c>
      <c r="M50" s="16">
        <f t="shared" si="21"/>
        <v>-0.59442283211170932</v>
      </c>
      <c r="N50" s="16">
        <f t="shared" ref="N50" si="22">IF(ISERROR(N49/N16)," ",N49/N16)</f>
        <v>-0.11124423083192464</v>
      </c>
      <c r="O50" s="17"/>
      <c r="P50" s="17"/>
      <c r="Q50" s="17"/>
      <c r="R50" s="17"/>
      <c r="S50" s="17"/>
    </row>
    <row r="51" spans="2:19" s="14" customFormat="1" ht="12" customHeight="1" x14ac:dyDescent="0.25">
      <c r="B51" s="11" t="s">
        <v>30</v>
      </c>
      <c r="C51" s="12" t="str">
        <f t="shared" ref="C51:K51" si="23">IF(ISERROR(C49/B49-1)," ",C49/B49-1)</f>
        <v xml:space="preserve"> </v>
      </c>
      <c r="D51" s="12" t="str">
        <f t="shared" si="23"/>
        <v xml:space="preserve"> </v>
      </c>
      <c r="E51" s="12" t="str">
        <f t="shared" si="23"/>
        <v xml:space="preserve"> </v>
      </c>
      <c r="F51" s="12" t="str">
        <f t="shared" si="23"/>
        <v xml:space="preserve"> </v>
      </c>
      <c r="G51" s="12" t="str">
        <f t="shared" si="23"/>
        <v xml:space="preserve"> </v>
      </c>
      <c r="H51" s="12" t="str">
        <f t="shared" si="23"/>
        <v xml:space="preserve"> </v>
      </c>
      <c r="I51" s="12" t="str">
        <f t="shared" si="23"/>
        <v xml:space="preserve"> </v>
      </c>
      <c r="J51" s="12" t="str">
        <f t="shared" si="23"/>
        <v xml:space="preserve"> </v>
      </c>
      <c r="K51" s="12" t="str">
        <f t="shared" si="23"/>
        <v xml:space="preserve"> </v>
      </c>
      <c r="L51" s="12" t="str">
        <f>IF(ISERROR(L49/K49-1)," ",L49/K49-1)</f>
        <v xml:space="preserve"> </v>
      </c>
      <c r="M51" s="12">
        <f>IF(ISERROR(M49/L49-1)," ",M49/L49-1)</f>
        <v>-1.1305333789957128E-4</v>
      </c>
      <c r="N51" s="12">
        <f>IF(ISERROR(N49/M49-1)," ",N49/M49-1)</f>
        <v>-0.68226757429940532</v>
      </c>
      <c r="O51" s="13"/>
      <c r="P51" s="13"/>
      <c r="Q51" s="13"/>
      <c r="R51" s="13"/>
      <c r="S51" s="13"/>
    </row>
    <row r="52" spans="2:19" ht="12" customHeight="1" x14ac:dyDescent="0.25">
      <c r="B52" s="15"/>
      <c r="C52" s="16"/>
      <c r="D52" s="16"/>
      <c r="E52" s="16"/>
      <c r="F52" s="16"/>
      <c r="G52" s="16"/>
      <c r="H52" s="16"/>
      <c r="I52" s="16"/>
      <c r="J52" s="16"/>
      <c r="K52" s="16"/>
      <c r="L52" s="16"/>
      <c r="M52" s="16"/>
      <c r="N52" s="16"/>
      <c r="O52" s="17"/>
      <c r="P52" s="17"/>
      <c r="Q52" s="17"/>
      <c r="R52" s="17"/>
      <c r="S52" s="17"/>
    </row>
    <row r="53" spans="2:19" ht="12" customHeight="1" x14ac:dyDescent="0.25">
      <c r="B53" s="9" t="s">
        <v>51</v>
      </c>
      <c r="C53" s="10"/>
      <c r="D53" s="10"/>
      <c r="E53" s="10"/>
      <c r="F53" s="10"/>
      <c r="G53" s="10"/>
      <c r="H53" s="10"/>
      <c r="I53" s="10"/>
      <c r="J53" s="10"/>
      <c r="K53" s="10"/>
      <c r="L53" s="10"/>
      <c r="M53" s="10"/>
      <c r="N53" s="10"/>
      <c r="O53" s="5"/>
      <c r="P53" s="5"/>
      <c r="Q53" s="5"/>
      <c r="R53" s="5"/>
      <c r="S53" s="5"/>
    </row>
    <row r="54" spans="2:19" ht="12" customHeight="1" x14ac:dyDescent="0.25">
      <c r="B54" s="9" t="s">
        <v>52</v>
      </c>
      <c r="C54" s="20"/>
      <c r="D54" s="20"/>
      <c r="E54" s="20"/>
      <c r="F54" s="20"/>
      <c r="G54" s="20"/>
      <c r="H54" s="20"/>
      <c r="I54" s="20"/>
      <c r="J54" s="20"/>
      <c r="K54" s="20"/>
      <c r="L54" s="20"/>
      <c r="M54" s="20"/>
      <c r="N54" s="20"/>
      <c r="O54" s="21"/>
      <c r="P54" s="21"/>
      <c r="Q54" s="21"/>
      <c r="R54" s="21"/>
      <c r="S54" s="21"/>
    </row>
    <row r="55" spans="2:19" ht="12" customHeight="1" x14ac:dyDescent="0.25">
      <c r="B55" s="9" t="s">
        <v>53</v>
      </c>
      <c r="C55" s="20"/>
      <c r="D55" s="20"/>
      <c r="E55" s="20"/>
      <c r="F55" s="20"/>
      <c r="G55" s="20"/>
      <c r="H55" s="20"/>
      <c r="I55" s="20"/>
      <c r="J55" s="20"/>
      <c r="K55" s="20"/>
      <c r="L55" s="20"/>
      <c r="M55" s="20"/>
      <c r="N55" s="20"/>
      <c r="O55" s="21"/>
      <c r="P55" s="21"/>
      <c r="Q55" s="21"/>
      <c r="R55" s="21"/>
      <c r="S55" s="21"/>
    </row>
    <row r="56" spans="2:19" ht="12" customHeight="1" x14ac:dyDescent="0.25">
      <c r="B56" s="9" t="s">
        <v>54</v>
      </c>
      <c r="C56" s="20"/>
      <c r="D56" s="20"/>
      <c r="E56" s="20"/>
      <c r="F56" s="20"/>
      <c r="G56" s="20"/>
      <c r="H56" s="20"/>
      <c r="I56" s="20"/>
      <c r="J56" s="20"/>
      <c r="K56" s="20"/>
      <c r="L56" s="20"/>
      <c r="M56" s="20"/>
      <c r="N56" s="20"/>
      <c r="O56" s="21"/>
      <c r="P56" s="21"/>
      <c r="Q56" s="21"/>
      <c r="R56" s="21"/>
      <c r="S56" s="21"/>
    </row>
    <row r="57" spans="2:19" ht="12" customHeight="1" x14ac:dyDescent="0.25">
      <c r="B57" s="9" t="s">
        <v>55</v>
      </c>
      <c r="C57" s="20"/>
      <c r="D57" s="20"/>
      <c r="E57" s="20"/>
      <c r="F57" s="20"/>
      <c r="G57" s="20"/>
      <c r="H57" s="20"/>
      <c r="I57" s="20"/>
      <c r="J57" s="20"/>
      <c r="K57" s="20"/>
      <c r="L57" s="20"/>
      <c r="M57" s="20"/>
      <c r="N57" s="20"/>
      <c r="O57" s="21"/>
      <c r="P57" s="21"/>
      <c r="Q57" s="21"/>
      <c r="R57" s="21"/>
      <c r="S57" s="21"/>
    </row>
    <row r="58" spans="2:19" ht="12" customHeight="1" x14ac:dyDescent="0.25">
      <c r="B58" s="9" t="s">
        <v>56</v>
      </c>
      <c r="C58" s="20"/>
      <c r="D58" s="20"/>
      <c r="E58" s="20"/>
      <c r="F58" s="20"/>
      <c r="G58" s="20"/>
      <c r="H58" s="20"/>
      <c r="I58" s="20"/>
      <c r="J58" s="20"/>
      <c r="K58" s="20"/>
      <c r="L58" s="20"/>
      <c r="M58" s="20"/>
      <c r="N58" s="20"/>
      <c r="O58" s="21"/>
      <c r="P58" s="21"/>
      <c r="Q58" s="21"/>
      <c r="R58" s="21"/>
      <c r="S58" s="21"/>
    </row>
    <row r="59" spans="2:19" ht="12" customHeight="1" x14ac:dyDescent="0.25">
      <c r="B59" s="9" t="s">
        <v>57</v>
      </c>
      <c r="C59" s="22"/>
      <c r="D59" s="22"/>
      <c r="E59" s="22"/>
      <c r="F59" s="22"/>
      <c r="G59" s="22"/>
      <c r="H59" s="22"/>
      <c r="I59" s="22"/>
      <c r="J59" s="22"/>
      <c r="K59" s="22"/>
      <c r="L59" s="22"/>
      <c r="M59" s="22"/>
      <c r="N59" s="22"/>
      <c r="O59" s="23"/>
      <c r="P59" s="23"/>
      <c r="Q59" s="23"/>
      <c r="R59" s="23"/>
      <c r="S59" s="23"/>
    </row>
    <row r="60" spans="2:19" ht="12" customHeight="1" x14ac:dyDescent="0.25">
      <c r="B60" s="9" t="s">
        <v>58</v>
      </c>
      <c r="C60" s="10"/>
      <c r="D60" s="10"/>
      <c r="E60" s="10"/>
      <c r="F60" s="10"/>
      <c r="G60" s="10"/>
      <c r="H60" s="10"/>
      <c r="I60" s="10"/>
      <c r="J60" s="10"/>
      <c r="K60" s="10"/>
      <c r="L60" s="10"/>
      <c r="M60" s="10"/>
      <c r="N60" s="10"/>
      <c r="O60" s="5"/>
      <c r="P60" s="5"/>
      <c r="Q60" s="5"/>
      <c r="R60" s="5"/>
      <c r="S60" s="5"/>
    </row>
    <row r="61" spans="2:19" ht="12" customHeight="1" x14ac:dyDescent="0.25">
      <c r="B61" s="9"/>
      <c r="C61" s="10"/>
      <c r="D61" s="10"/>
      <c r="E61" s="10"/>
      <c r="F61" s="10"/>
      <c r="G61" s="10"/>
      <c r="H61" s="10"/>
      <c r="I61" s="10"/>
      <c r="J61" s="10"/>
      <c r="K61" s="10"/>
      <c r="L61" s="10"/>
      <c r="M61" s="10"/>
      <c r="N61" s="10"/>
      <c r="O61" s="5"/>
      <c r="P61" s="5"/>
      <c r="Q61" s="5"/>
      <c r="R61" s="5"/>
      <c r="S61" s="5"/>
    </row>
    <row r="62" spans="2:19" s="26" customFormat="1" ht="12" customHeight="1" x14ac:dyDescent="0.25">
      <c r="B62" s="24"/>
      <c r="C62" s="25"/>
      <c r="D62" s="25"/>
      <c r="E62" s="25"/>
      <c r="F62" s="25"/>
      <c r="G62" s="25"/>
      <c r="H62" s="25"/>
      <c r="I62" s="25"/>
      <c r="J62" s="25"/>
      <c r="K62" s="25"/>
      <c r="L62" s="25"/>
      <c r="M62" s="25"/>
      <c r="N62" s="25"/>
      <c r="O62" s="25"/>
      <c r="P62" s="25"/>
      <c r="Q62" s="25"/>
      <c r="R62" s="25"/>
      <c r="S62" s="25"/>
    </row>
  </sheetData>
  <pageMargins left="0.7" right="0.7" top="0.75" bottom="0.75" header="0.3" footer="0.3"/>
  <pageSetup paperSize="9" orientation="portrait"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9D283-032D-4548-A3D6-58A13D2164DA}">
  <dimension ref="B1:S62"/>
  <sheetViews>
    <sheetView showGridLines="0" workbookViewId="0">
      <pane xSplit="8" ySplit="2" topLeftCell="I3" activePane="bottomRight" state="frozen"/>
      <selection pane="topRight" activeCell="I1" sqref="I1"/>
      <selection pane="bottomLeft" activeCell="A3" sqref="A3"/>
      <selection pane="bottomRight" activeCell="N7" sqref="N7"/>
    </sheetView>
  </sheetViews>
  <sheetFormatPr defaultColWidth="8.28515625" defaultRowHeight="12" customHeight="1" x14ac:dyDescent="0.25"/>
  <cols>
    <col min="1" max="1" width="3.5703125" style="2" customWidth="1"/>
    <col min="2" max="2" width="35.7109375" style="2" customWidth="1"/>
    <col min="3" max="8" width="8.28515625" style="2" hidden="1" customWidth="1"/>
    <col min="9" max="10" width="8.28515625" style="2" customWidth="1"/>
    <col min="11" max="20" width="8.28515625" style="2"/>
    <col min="21" max="21" width="10" style="2" bestFit="1" customWidth="1"/>
    <col min="22" max="16384" width="8.28515625" style="2"/>
  </cols>
  <sheetData>
    <row r="1" spans="2:19" ht="12" customHeight="1" x14ac:dyDescent="0.25">
      <c r="B1" s="1" t="s">
        <v>224</v>
      </c>
    </row>
    <row r="2" spans="2:19" ht="12" customHeight="1" x14ac:dyDescent="0.25">
      <c r="B2" s="3" t="s">
        <v>17</v>
      </c>
      <c r="C2" s="4" t="s">
        <v>18</v>
      </c>
      <c r="D2" s="4" t="s">
        <v>19</v>
      </c>
      <c r="E2" s="4" t="s">
        <v>20</v>
      </c>
      <c r="F2" s="4" t="s">
        <v>21</v>
      </c>
      <c r="G2" s="4" t="s">
        <v>22</v>
      </c>
      <c r="H2" s="4" t="s">
        <v>23</v>
      </c>
      <c r="I2" s="4" t="s">
        <v>24</v>
      </c>
      <c r="J2" s="4" t="s">
        <v>25</v>
      </c>
      <c r="K2" s="4" t="s">
        <v>26</v>
      </c>
      <c r="L2" s="4" t="s">
        <v>27</v>
      </c>
      <c r="M2" s="4" t="s">
        <v>273</v>
      </c>
      <c r="N2" s="4" t="s">
        <v>347</v>
      </c>
      <c r="O2" s="5" t="s">
        <v>177</v>
      </c>
      <c r="P2" s="5" t="s">
        <v>178</v>
      </c>
      <c r="Q2" s="5" t="s">
        <v>179</v>
      </c>
      <c r="R2" s="5" t="s">
        <v>231</v>
      </c>
      <c r="S2" s="5" t="s">
        <v>232</v>
      </c>
    </row>
    <row r="3" spans="2:19" ht="12" customHeight="1" x14ac:dyDescent="0.25">
      <c r="B3" s="6"/>
      <c r="C3" s="7"/>
      <c r="D3" s="7"/>
      <c r="E3" s="7"/>
      <c r="F3" s="7"/>
      <c r="G3" s="7"/>
      <c r="H3" s="7"/>
      <c r="I3" s="7"/>
      <c r="J3" s="7"/>
      <c r="K3" s="7"/>
      <c r="L3" s="7"/>
      <c r="M3" s="7"/>
      <c r="N3" s="7"/>
      <c r="O3" s="8"/>
      <c r="P3" s="8"/>
      <c r="Q3" s="8"/>
      <c r="R3" s="8"/>
      <c r="S3" s="8"/>
    </row>
    <row r="4" spans="2:19" ht="12" customHeight="1" x14ac:dyDescent="0.25">
      <c r="B4" s="6" t="s">
        <v>478</v>
      </c>
      <c r="C4" s="7"/>
      <c r="D4" s="7"/>
      <c r="E4" s="7"/>
      <c r="F4" s="7"/>
      <c r="G4" s="7"/>
      <c r="H4" s="7"/>
      <c r="I4" s="123">
        <v>0</v>
      </c>
      <c r="J4" s="123">
        <v>0</v>
      </c>
      <c r="K4" s="123">
        <v>0</v>
      </c>
      <c r="L4" s="123">
        <v>0</v>
      </c>
      <c r="M4" s="123"/>
      <c r="N4" s="123"/>
      <c r="O4" s="8"/>
      <c r="P4" s="8"/>
      <c r="Q4" s="8"/>
      <c r="R4" s="8"/>
      <c r="S4" s="8"/>
    </row>
    <row r="5" spans="2:19" ht="12" customHeight="1" x14ac:dyDescent="0.25">
      <c r="B5" s="6" t="s">
        <v>479</v>
      </c>
      <c r="C5" s="7"/>
      <c r="D5" s="7"/>
      <c r="E5" s="7"/>
      <c r="F5" s="7"/>
      <c r="G5" s="7"/>
      <c r="H5" s="7"/>
      <c r="I5" s="123">
        <v>0</v>
      </c>
      <c r="J5" s="123">
        <v>0</v>
      </c>
      <c r="K5" s="123">
        <v>0</v>
      </c>
      <c r="L5" s="123">
        <v>0</v>
      </c>
      <c r="M5" s="123"/>
      <c r="N5" s="123"/>
      <c r="O5" s="8"/>
      <c r="P5" s="8"/>
      <c r="Q5" s="8"/>
      <c r="R5" s="8"/>
      <c r="S5" s="8"/>
    </row>
    <row r="6" spans="2:19" ht="12" customHeight="1" x14ac:dyDescent="0.25">
      <c r="B6" s="6" t="s">
        <v>480</v>
      </c>
      <c r="C6" s="7"/>
      <c r="D6" s="7"/>
      <c r="E6" s="7"/>
      <c r="F6" s="7"/>
      <c r="G6" s="7"/>
      <c r="H6" s="7"/>
      <c r="I6" s="123">
        <v>0</v>
      </c>
      <c r="J6" s="123">
        <v>0</v>
      </c>
      <c r="K6" s="123">
        <v>0</v>
      </c>
      <c r="L6" s="123">
        <v>0</v>
      </c>
      <c r="M6" s="123"/>
      <c r="N6" s="123"/>
      <c r="O6" s="8"/>
      <c r="P6" s="8"/>
      <c r="Q6" s="8"/>
      <c r="R6" s="8"/>
      <c r="S6" s="8"/>
    </row>
    <row r="7" spans="2:19" ht="12" customHeight="1" x14ac:dyDescent="0.25">
      <c r="B7" s="6" t="s">
        <v>481</v>
      </c>
      <c r="C7" s="7"/>
      <c r="D7" s="7"/>
      <c r="E7" s="7"/>
      <c r="F7" s="7"/>
      <c r="G7" s="7"/>
      <c r="H7" s="7"/>
      <c r="I7" s="123">
        <v>375.70600000000002</v>
      </c>
      <c r="J7" s="123">
        <v>762.19899999999996</v>
      </c>
      <c r="K7" s="123">
        <v>1025.9839999999999</v>
      </c>
      <c r="L7" s="123">
        <v>1436.2919999999999</v>
      </c>
      <c r="M7" s="123">
        <v>1641.164</v>
      </c>
      <c r="N7" s="123">
        <v>2185.163</v>
      </c>
      <c r="O7" s="8">
        <f ca="1">Assumptions!L831</f>
        <v>2283.4953350000001</v>
      </c>
      <c r="P7" s="8">
        <f ca="1">Assumptions!M831</f>
        <v>2517.5536068375004</v>
      </c>
      <c r="Q7" s="8">
        <f ca="1">Assumptions!N831</f>
        <v>2775.6028515383446</v>
      </c>
      <c r="R7" s="8">
        <f ca="1">Assumptions!O831</f>
        <v>3060.102143821025</v>
      </c>
      <c r="S7" s="8">
        <f ca="1">Assumptions!P831</f>
        <v>3373.7626135626806</v>
      </c>
    </row>
    <row r="8" spans="2:19" ht="12" customHeight="1" x14ac:dyDescent="0.25">
      <c r="B8" s="6" t="s">
        <v>483</v>
      </c>
      <c r="C8" s="7"/>
      <c r="D8" s="7"/>
      <c r="E8" s="7"/>
      <c r="F8" s="7"/>
      <c r="G8" s="7"/>
      <c r="H8" s="7"/>
      <c r="I8" s="123">
        <v>0</v>
      </c>
      <c r="J8" s="123">
        <v>0</v>
      </c>
      <c r="K8" s="123">
        <v>0</v>
      </c>
      <c r="L8" s="123">
        <v>0</v>
      </c>
      <c r="M8" s="123"/>
      <c r="N8" s="123"/>
      <c r="O8" s="8"/>
      <c r="P8" s="8"/>
      <c r="Q8" s="8"/>
      <c r="R8" s="8"/>
      <c r="S8" s="8"/>
    </row>
    <row r="9" spans="2:19" ht="12" customHeight="1" x14ac:dyDescent="0.25">
      <c r="B9" s="6" t="s">
        <v>482</v>
      </c>
      <c r="C9" s="7"/>
      <c r="D9" s="7"/>
      <c r="E9" s="7"/>
      <c r="F9" s="7"/>
      <c r="G9" s="7"/>
      <c r="H9" s="7"/>
      <c r="I9" s="123">
        <v>8.65</v>
      </c>
      <c r="J9" s="123">
        <v>105.19499999999999</v>
      </c>
      <c r="K9" s="123">
        <v>103.74</v>
      </c>
      <c r="L9" s="123">
        <v>108.56399999999999</v>
      </c>
      <c r="M9" s="123">
        <v>211.53800000000001</v>
      </c>
      <c r="N9" s="123">
        <v>276.22800000000001</v>
      </c>
      <c r="O9" s="8">
        <f t="shared" ref="O9:S9" si="0">N9</f>
        <v>276.22800000000001</v>
      </c>
      <c r="P9" s="8">
        <f t="shared" si="0"/>
        <v>276.22800000000001</v>
      </c>
      <c r="Q9" s="8">
        <f t="shared" si="0"/>
        <v>276.22800000000001</v>
      </c>
      <c r="R9" s="8">
        <f t="shared" si="0"/>
        <v>276.22800000000001</v>
      </c>
      <c r="S9" s="8">
        <f t="shared" si="0"/>
        <v>276.22800000000001</v>
      </c>
    </row>
    <row r="10" spans="2:19" ht="12" customHeight="1" x14ac:dyDescent="0.25">
      <c r="B10" s="6" t="s">
        <v>484</v>
      </c>
      <c r="C10" s="7"/>
      <c r="D10" s="7"/>
      <c r="E10" s="7"/>
      <c r="F10" s="7"/>
      <c r="G10" s="7"/>
      <c r="H10" s="7"/>
      <c r="I10" s="123">
        <v>0</v>
      </c>
      <c r="J10" s="123">
        <v>0</v>
      </c>
      <c r="K10" s="123">
        <v>0</v>
      </c>
      <c r="L10" s="123">
        <v>0</v>
      </c>
      <c r="M10" s="123"/>
      <c r="N10" s="123"/>
      <c r="O10" s="8"/>
      <c r="P10" s="8"/>
      <c r="Q10" s="8"/>
      <c r="R10" s="8"/>
      <c r="S10" s="8"/>
    </row>
    <row r="11" spans="2:19" ht="12" customHeight="1" x14ac:dyDescent="0.25">
      <c r="B11" s="6" t="s">
        <v>485</v>
      </c>
      <c r="C11" s="7"/>
      <c r="D11" s="7"/>
      <c r="E11" s="7"/>
      <c r="F11" s="7"/>
      <c r="G11" s="7"/>
      <c r="H11" s="7"/>
      <c r="I11" s="123">
        <v>0</v>
      </c>
      <c r="J11" s="123">
        <v>0</v>
      </c>
      <c r="K11" s="123">
        <v>0</v>
      </c>
      <c r="L11" s="123">
        <v>0</v>
      </c>
      <c r="M11" s="123"/>
      <c r="N11" s="123"/>
      <c r="O11" s="8"/>
      <c r="P11" s="8"/>
      <c r="Q11" s="8"/>
      <c r="R11" s="8"/>
      <c r="S11" s="8"/>
    </row>
    <row r="12" spans="2:19" ht="12" customHeight="1" x14ac:dyDescent="0.25">
      <c r="B12" s="6" t="s">
        <v>486</v>
      </c>
      <c r="C12" s="7"/>
      <c r="D12" s="7"/>
      <c r="E12" s="7"/>
      <c r="F12" s="7"/>
      <c r="G12" s="7"/>
      <c r="H12" s="7"/>
      <c r="I12" s="123">
        <v>0</v>
      </c>
      <c r="J12" s="123">
        <v>0</v>
      </c>
      <c r="K12" s="123">
        <v>0</v>
      </c>
      <c r="L12" s="123">
        <v>0</v>
      </c>
      <c r="M12" s="123"/>
      <c r="N12" s="123">
        <v>21.501000000000001</v>
      </c>
      <c r="O12" s="8"/>
      <c r="P12" s="8"/>
      <c r="Q12" s="8"/>
      <c r="R12" s="8"/>
      <c r="S12" s="8"/>
    </row>
    <row r="13" spans="2:19" ht="12" customHeight="1" x14ac:dyDescent="0.25">
      <c r="B13" s="6" t="s">
        <v>487</v>
      </c>
      <c r="C13" s="7"/>
      <c r="D13" s="7"/>
      <c r="E13" s="7"/>
      <c r="F13" s="7"/>
      <c r="G13" s="7"/>
      <c r="H13" s="7"/>
      <c r="I13" s="123">
        <v>0</v>
      </c>
      <c r="J13" s="123">
        <v>0</v>
      </c>
      <c r="K13" s="123">
        <v>0</v>
      </c>
      <c r="L13" s="123">
        <v>0</v>
      </c>
      <c r="M13" s="123"/>
      <c r="N13" s="123"/>
      <c r="O13" s="8"/>
      <c r="P13" s="8"/>
      <c r="Q13" s="8"/>
      <c r="R13" s="8"/>
      <c r="S13" s="8"/>
    </row>
    <row r="14" spans="2:19" ht="12" customHeight="1" x14ac:dyDescent="0.25">
      <c r="B14" s="6" t="s">
        <v>488</v>
      </c>
      <c r="C14" s="7"/>
      <c r="D14" s="7"/>
      <c r="E14" s="7"/>
      <c r="F14" s="7"/>
      <c r="G14" s="7"/>
      <c r="H14" s="7"/>
      <c r="I14" s="123">
        <v>0</v>
      </c>
      <c r="J14" s="123">
        <v>0</v>
      </c>
      <c r="K14" s="123">
        <v>0</v>
      </c>
      <c r="L14" s="123">
        <v>0</v>
      </c>
      <c r="M14" s="123"/>
      <c r="N14" s="123"/>
      <c r="O14" s="8"/>
      <c r="P14" s="8"/>
      <c r="Q14" s="8"/>
      <c r="R14" s="8"/>
      <c r="S14" s="8"/>
    </row>
    <row r="15" spans="2:19" ht="12" customHeight="1" x14ac:dyDescent="0.25">
      <c r="B15" s="6"/>
      <c r="C15" s="7"/>
      <c r="D15" s="7"/>
      <c r="E15" s="7"/>
      <c r="F15" s="7"/>
      <c r="G15" s="7"/>
      <c r="H15" s="7"/>
      <c r="I15" s="7"/>
      <c r="J15" s="7"/>
      <c r="K15" s="7"/>
      <c r="L15" s="7"/>
      <c r="M15" s="7"/>
      <c r="N15" s="7"/>
      <c r="O15" s="8"/>
      <c r="P15" s="8"/>
      <c r="Q15" s="8"/>
      <c r="R15" s="8"/>
      <c r="S15" s="8"/>
    </row>
    <row r="16" spans="2:19" ht="12" customHeight="1" x14ac:dyDescent="0.25">
      <c r="B16" s="9" t="s">
        <v>29</v>
      </c>
      <c r="C16" s="10"/>
      <c r="D16" s="10"/>
      <c r="E16" s="10"/>
      <c r="F16" s="10"/>
      <c r="G16" s="10"/>
      <c r="H16" s="10"/>
      <c r="I16" s="10">
        <f>SUM(I4:I14)</f>
        <v>384.35599999999999</v>
      </c>
      <c r="J16" s="10">
        <f>SUM(J4:J14)</f>
        <v>867.39400000000001</v>
      </c>
      <c r="K16" s="10">
        <f>SUM(K4:K14)</f>
        <v>1129.7239999999999</v>
      </c>
      <c r="L16" s="10">
        <f>SUM(L4:L14)</f>
        <v>1544.856</v>
      </c>
      <c r="M16" s="10">
        <f t="shared" ref="M16:S16" si="1">SUM(M4:M14)</f>
        <v>1852.702</v>
      </c>
      <c r="N16" s="10">
        <f t="shared" ref="N16" si="2">SUM(N4:N14)</f>
        <v>2482.8920000000003</v>
      </c>
      <c r="O16" s="5">
        <f t="shared" ca="1" si="1"/>
        <v>2559.7233350000001</v>
      </c>
      <c r="P16" s="5">
        <f t="shared" ca="1" si="1"/>
        <v>2793.7816068375005</v>
      </c>
      <c r="Q16" s="5">
        <f t="shared" ca="1" si="1"/>
        <v>3051.8308515383446</v>
      </c>
      <c r="R16" s="5">
        <f t="shared" ca="1" si="1"/>
        <v>3336.3301438210251</v>
      </c>
      <c r="S16" s="5">
        <f t="shared" ca="1" si="1"/>
        <v>3649.9906135626807</v>
      </c>
    </row>
    <row r="17" spans="2:19" s="14" customFormat="1" ht="12" customHeight="1" x14ac:dyDescent="0.25">
      <c r="B17" s="11" t="s">
        <v>30</v>
      </c>
      <c r="C17" s="12" t="str">
        <f>IF(ISERROR(C16/#REF!-1)," ",C16/#REF!-1)</f>
        <v xml:space="preserve"> </v>
      </c>
      <c r="D17" s="12" t="str">
        <f>IF(ISERROR(D16/#REF!-1)," ",D16/#REF!-1)</f>
        <v xml:space="preserve"> </v>
      </c>
      <c r="E17" s="12" t="str">
        <f>IF(ISERROR(E16/#REF!-1)," ",E16/#REF!-1)</f>
        <v xml:space="preserve"> </v>
      </c>
      <c r="F17" s="12" t="str">
        <f>IF(ISERROR(F16/#REF!-1)," ",F16/#REF!-1)</f>
        <v xml:space="preserve"> </v>
      </c>
      <c r="G17" s="12" t="str">
        <f>IF(ISERROR(G16/#REF!-1)," ",G16/#REF!-1)</f>
        <v xml:space="preserve"> </v>
      </c>
      <c r="H17" s="12" t="str">
        <f>IF(ISERROR(H16/#REF!-1)," ",H16/#REF!-1)</f>
        <v xml:space="preserve"> </v>
      </c>
      <c r="I17" s="12" t="str">
        <f>IF(ISERROR(I16/#REF!-1)," ",I16/#REF!-1)</f>
        <v xml:space="preserve"> </v>
      </c>
      <c r="J17" s="12">
        <f>IF(ISERROR(J16/I16-1)," ",J16/I16-1)</f>
        <v>1.2567463497382634</v>
      </c>
      <c r="K17" s="12">
        <f>IF(ISERROR(K16/J16-1)," ",K16/J16-1)</f>
        <v>0.30243464907527606</v>
      </c>
      <c r="L17" s="12">
        <f>IF(ISERROR(L16/K16-1)," ",L16/K16-1)</f>
        <v>0.36746320340189298</v>
      </c>
      <c r="M17" s="12">
        <f t="shared" ref="M17:S17" si="3">IF(ISERROR(M16/L16-1)," ",M16/L16-1)</f>
        <v>0.1992716473250582</v>
      </c>
      <c r="N17" s="12">
        <f t="shared" si="3"/>
        <v>0.34014644556976803</v>
      </c>
      <c r="O17" s="13">
        <f t="shared" ca="1" si="3"/>
        <v>3.0944291978869831E-2</v>
      </c>
      <c r="P17" s="13">
        <f t="shared" ca="1" si="3"/>
        <v>9.1438894445012409E-2</v>
      </c>
      <c r="Q17" s="13">
        <f t="shared" ca="1" si="3"/>
        <v>9.2365575057583138E-2</v>
      </c>
      <c r="R17" s="13">
        <f t="shared" ca="1" si="3"/>
        <v>9.3222496960889023E-2</v>
      </c>
      <c r="S17" s="13">
        <f t="shared" ca="1" si="3"/>
        <v>9.401361862301405E-2</v>
      </c>
    </row>
    <row r="18" spans="2:19" ht="12" customHeight="1" x14ac:dyDescent="0.25">
      <c r="B18" s="6"/>
      <c r="C18" s="7"/>
      <c r="D18" s="7"/>
      <c r="E18" s="7"/>
      <c r="F18" s="7"/>
      <c r="G18" s="7"/>
      <c r="H18" s="7"/>
      <c r="I18" s="7"/>
      <c r="J18" s="7"/>
      <c r="K18" s="7"/>
      <c r="L18" s="7"/>
      <c r="M18" s="7"/>
      <c r="N18" s="7"/>
      <c r="O18" s="8"/>
      <c r="P18" s="8"/>
      <c r="Q18" s="8"/>
      <c r="R18" s="8"/>
      <c r="S18" s="8"/>
    </row>
    <row r="19" spans="2:19" ht="12" customHeight="1" x14ac:dyDescent="0.25">
      <c r="B19" s="6" t="s">
        <v>31</v>
      </c>
      <c r="C19" s="7"/>
      <c r="D19" s="7"/>
      <c r="E19" s="7"/>
      <c r="F19" s="7"/>
      <c r="G19" s="7"/>
      <c r="H19" s="7"/>
      <c r="I19" s="7">
        <v>194.38499999999999</v>
      </c>
      <c r="J19" s="7">
        <v>491.36500000000001</v>
      </c>
      <c r="K19" s="7">
        <v>609.98599999999999</v>
      </c>
      <c r="L19" s="7">
        <v>765.63900000000001</v>
      </c>
      <c r="M19" s="7">
        <v>897.77700000000004</v>
      </c>
      <c r="N19" s="7">
        <v>1135.191</v>
      </c>
      <c r="O19" s="8"/>
      <c r="P19" s="8"/>
      <c r="Q19" s="8"/>
      <c r="R19" s="8"/>
      <c r="S19" s="8"/>
    </row>
    <row r="20" spans="2:19" ht="12" customHeight="1" x14ac:dyDescent="0.25">
      <c r="B20" s="6" t="s">
        <v>32</v>
      </c>
      <c r="C20" s="7"/>
      <c r="D20" s="7"/>
      <c r="E20" s="7"/>
      <c r="F20" s="7"/>
      <c r="G20" s="7"/>
      <c r="H20" s="7"/>
      <c r="I20" s="7">
        <v>14.201000000000001</v>
      </c>
      <c r="J20" s="7">
        <v>22.323</v>
      </c>
      <c r="K20" s="7">
        <v>28.315999999999999</v>
      </c>
      <c r="L20" s="7">
        <v>60.451000000000001</v>
      </c>
      <c r="M20" s="7">
        <v>81.188999999999993</v>
      </c>
      <c r="N20" s="7">
        <v>80.159000000000006</v>
      </c>
      <c r="O20" s="8"/>
      <c r="P20" s="8"/>
      <c r="Q20" s="8"/>
      <c r="R20" s="8"/>
      <c r="S20" s="8"/>
    </row>
    <row r="21" spans="2:19" ht="12" customHeight="1" x14ac:dyDescent="0.25">
      <c r="B21" s="6" t="s">
        <v>33</v>
      </c>
      <c r="C21" s="7"/>
      <c r="D21" s="7"/>
      <c r="E21" s="7"/>
      <c r="F21" s="7"/>
      <c r="G21" s="7"/>
      <c r="H21" s="7"/>
      <c r="I21" s="7">
        <v>13.625</v>
      </c>
      <c r="J21" s="7">
        <v>50.463999999999999</v>
      </c>
      <c r="K21" s="7">
        <v>38.511000000000003</v>
      </c>
      <c r="L21" s="7">
        <v>32.399000000000001</v>
      </c>
      <c r="M21" s="7">
        <v>38.180999999999997</v>
      </c>
      <c r="N21" s="7">
        <v>49.918999999999997</v>
      </c>
      <c r="O21" s="8"/>
      <c r="P21" s="8"/>
      <c r="Q21" s="8"/>
      <c r="R21" s="8"/>
      <c r="S21" s="8"/>
    </row>
    <row r="22" spans="2:19" ht="12" customHeight="1" x14ac:dyDescent="0.25">
      <c r="B22" s="6"/>
      <c r="C22" s="7"/>
      <c r="D22" s="7"/>
      <c r="E22" s="7"/>
      <c r="F22" s="7"/>
      <c r="G22" s="7"/>
      <c r="H22" s="7"/>
      <c r="I22" s="7"/>
      <c r="J22" s="7"/>
      <c r="K22" s="7"/>
      <c r="L22" s="7"/>
      <c r="M22" s="7"/>
      <c r="N22" s="7"/>
      <c r="O22" s="8"/>
      <c r="P22" s="8"/>
      <c r="Q22" s="8"/>
      <c r="R22" s="8"/>
      <c r="S22" s="8"/>
    </row>
    <row r="23" spans="2:19" ht="12" customHeight="1" x14ac:dyDescent="0.25">
      <c r="B23" s="9" t="s">
        <v>34</v>
      </c>
      <c r="C23" s="10">
        <f t="shared" ref="C23:J23" si="4">C16-SUM(C19:C21)</f>
        <v>0</v>
      </c>
      <c r="D23" s="10">
        <f t="shared" si="4"/>
        <v>0</v>
      </c>
      <c r="E23" s="10">
        <f t="shared" si="4"/>
        <v>0</v>
      </c>
      <c r="F23" s="10">
        <f t="shared" si="4"/>
        <v>0</v>
      </c>
      <c r="G23" s="10">
        <f t="shared" si="4"/>
        <v>0</v>
      </c>
      <c r="H23" s="10">
        <f t="shared" si="4"/>
        <v>0</v>
      </c>
      <c r="I23" s="10">
        <f t="shared" si="4"/>
        <v>162.14500000000001</v>
      </c>
      <c r="J23" s="10">
        <f t="shared" si="4"/>
        <v>303.24199999999996</v>
      </c>
      <c r="K23" s="10">
        <f>K16-SUM(K19:K21)</f>
        <v>452.91099999999994</v>
      </c>
      <c r="L23" s="10">
        <f>L16-SUM(L19:L21)</f>
        <v>686.36699999999996</v>
      </c>
      <c r="M23" s="10">
        <f>M16-SUM(M19:M21)</f>
        <v>835.55499999999995</v>
      </c>
      <c r="N23" s="10">
        <f>N16-SUM(N19:N21)</f>
        <v>1217.623</v>
      </c>
      <c r="O23" s="5">
        <f t="shared" ref="O23:S23" ca="1" si="5">O16*O24</f>
        <v>1255.3014816321875</v>
      </c>
      <c r="P23" s="5">
        <f t="shared" ca="1" si="5"/>
        <v>1370.0848613078208</v>
      </c>
      <c r="Q23" s="5">
        <f t="shared" ca="1" si="5"/>
        <v>1496.6335374002065</v>
      </c>
      <c r="R23" s="5">
        <f t="shared" ca="1" si="5"/>
        <v>1636.1534527920619</v>
      </c>
      <c r="S23" s="5">
        <f t="shared" ca="1" si="5"/>
        <v>1789.9741595115825</v>
      </c>
    </row>
    <row r="24" spans="2:19" ht="12" customHeight="1" x14ac:dyDescent="0.25">
      <c r="B24" s="15" t="s">
        <v>35</v>
      </c>
      <c r="C24" s="16" t="str">
        <f t="shared" ref="C24:L24" si="6">IF(ISERROR(C23/C16)," ",C23/C16)</f>
        <v xml:space="preserve"> </v>
      </c>
      <c r="D24" s="16" t="str">
        <f t="shared" si="6"/>
        <v xml:space="preserve"> </v>
      </c>
      <c r="E24" s="16" t="str">
        <f t="shared" si="6"/>
        <v xml:space="preserve"> </v>
      </c>
      <c r="F24" s="16" t="str">
        <f t="shared" si="6"/>
        <v xml:space="preserve"> </v>
      </c>
      <c r="G24" s="16" t="str">
        <f t="shared" si="6"/>
        <v xml:space="preserve"> </v>
      </c>
      <c r="H24" s="16" t="str">
        <f t="shared" si="6"/>
        <v xml:space="preserve"> </v>
      </c>
      <c r="I24" s="16">
        <f t="shared" si="6"/>
        <v>0.42186150339789158</v>
      </c>
      <c r="J24" s="16">
        <f t="shared" si="6"/>
        <v>0.34960121928443127</v>
      </c>
      <c r="K24" s="16">
        <f t="shared" si="6"/>
        <v>0.40090411463330866</v>
      </c>
      <c r="L24" s="16">
        <f t="shared" si="6"/>
        <v>0.44429189516692813</v>
      </c>
      <c r="M24" s="16">
        <f>IF(ISERROR(M23/M16)," ",M23/M16)</f>
        <v>0.450992658290432</v>
      </c>
      <c r="N24" s="16">
        <f>IF(ISERROR(N23/N16)," ",N23/N16)</f>
        <v>0.49040514045717654</v>
      </c>
      <c r="O24" s="198">
        <f t="shared" ref="O24:S24" si="7">N24</f>
        <v>0.49040514045717654</v>
      </c>
      <c r="P24" s="198">
        <f t="shared" si="7"/>
        <v>0.49040514045717654</v>
      </c>
      <c r="Q24" s="198">
        <f t="shared" si="7"/>
        <v>0.49040514045717654</v>
      </c>
      <c r="R24" s="198">
        <f t="shared" si="7"/>
        <v>0.49040514045717654</v>
      </c>
      <c r="S24" s="198">
        <f t="shared" si="7"/>
        <v>0.49040514045717654</v>
      </c>
    </row>
    <row r="25" spans="2:19"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t="str">
        <f>IF(ISERROR(F23/#REF!-1)," ",F23/#REF!-1)</f>
        <v xml:space="preserve"> </v>
      </c>
      <c r="G25" s="12" t="str">
        <f>IF(ISERROR(G23/#REF!-1)," ",G23/#REF!-1)</f>
        <v xml:space="preserve"> </v>
      </c>
      <c r="H25" s="12" t="str">
        <f>IF(ISERROR(H23/#REF!-1)," ",H23/#REF!-1)</f>
        <v xml:space="preserve"> </v>
      </c>
      <c r="I25" s="12" t="str">
        <f>IF(ISERROR(I23/#REF!-1)," ",I23/#REF!-1)</f>
        <v xml:space="preserve"> </v>
      </c>
      <c r="J25" s="12">
        <f>IF(ISERROR(J23/I23-1)," ",J23/I23-1)</f>
        <v>0.87019026180270709</v>
      </c>
      <c r="K25" s="12">
        <f>IF(ISERROR(K23/J23-1)," ",K23/J23-1)</f>
        <v>0.49356289696018352</v>
      </c>
      <c r="L25" s="12">
        <f>IF(ISERROR(L23/K23-1)," ",L23/K23-1)</f>
        <v>0.51545667912680426</v>
      </c>
      <c r="M25" s="12">
        <f>IF(ISERROR(M23/L23-1)," ",M23/L23-1)</f>
        <v>0.21735893479727308</v>
      </c>
      <c r="N25" s="12">
        <f>IF(ISERROR(N23/M23-1)," ",N23/M23-1)</f>
        <v>0.45726253807349626</v>
      </c>
      <c r="O25" s="13"/>
      <c r="P25" s="13"/>
      <c r="Q25" s="13"/>
      <c r="R25" s="13"/>
      <c r="S25" s="13"/>
    </row>
    <row r="26" spans="2:19" ht="12" customHeight="1" x14ac:dyDescent="0.25">
      <c r="B26" s="15"/>
      <c r="C26" s="16"/>
      <c r="D26" s="16"/>
      <c r="E26" s="16"/>
      <c r="F26" s="16"/>
      <c r="G26" s="16"/>
      <c r="H26" s="16"/>
      <c r="I26" s="16"/>
      <c r="J26" s="16"/>
      <c r="K26" s="16"/>
      <c r="L26" s="16"/>
      <c r="M26" s="16"/>
      <c r="N26" s="16"/>
      <c r="O26" s="17"/>
      <c r="P26" s="17"/>
      <c r="Q26" s="17"/>
      <c r="R26" s="17"/>
      <c r="S26" s="17"/>
    </row>
    <row r="27" spans="2:19" ht="12" customHeight="1" x14ac:dyDescent="0.25">
      <c r="B27" s="6" t="s">
        <v>36</v>
      </c>
      <c r="C27" s="7"/>
      <c r="D27" s="7"/>
      <c r="E27" s="7"/>
      <c r="F27" s="7"/>
      <c r="G27" s="7"/>
      <c r="H27" s="7"/>
      <c r="I27" s="7">
        <v>196.798</v>
      </c>
      <c r="J27" s="7">
        <v>54.191000000000003</v>
      </c>
      <c r="K27" s="7">
        <v>150.09899999999999</v>
      </c>
      <c r="L27" s="7">
        <v>144.762</v>
      </c>
      <c r="M27" s="7">
        <v>163.911</v>
      </c>
      <c r="N27" s="7">
        <v>68.058000000000007</v>
      </c>
      <c r="O27" s="8"/>
      <c r="P27" s="8"/>
      <c r="Q27" s="8"/>
      <c r="R27" s="8"/>
      <c r="S27" s="8"/>
    </row>
    <row r="28" spans="2:19" ht="12" customHeight="1" x14ac:dyDescent="0.25">
      <c r="B28" s="6" t="s">
        <v>37</v>
      </c>
      <c r="C28" s="7"/>
      <c r="D28" s="7"/>
      <c r="E28" s="7"/>
      <c r="F28" s="7"/>
      <c r="G28" s="7"/>
      <c r="H28" s="7"/>
      <c r="I28" s="7">
        <f>241.839+14.223</f>
        <v>256.06200000000001</v>
      </c>
      <c r="J28" s="7">
        <f>518.721+34.135</f>
        <v>552.85599999999999</v>
      </c>
      <c r="K28" s="7">
        <v>223.00899999999999</v>
      </c>
      <c r="L28" s="7">
        <v>222.065</v>
      </c>
      <c r="M28" s="7">
        <v>221.179</v>
      </c>
      <c r="N28" s="7">
        <v>222.18799999999999</v>
      </c>
      <c r="O28" s="8"/>
      <c r="P28" s="8"/>
      <c r="Q28" s="8"/>
      <c r="R28" s="8"/>
      <c r="S28" s="8"/>
    </row>
    <row r="29" spans="2:19" ht="12" customHeight="1" x14ac:dyDescent="0.25">
      <c r="B29" s="6"/>
      <c r="C29" s="7"/>
      <c r="D29" s="7"/>
      <c r="E29" s="7"/>
      <c r="F29" s="7"/>
      <c r="G29" s="7"/>
      <c r="H29" s="7"/>
      <c r="I29" s="7"/>
      <c r="J29" s="7"/>
      <c r="K29" s="7"/>
      <c r="L29" s="7"/>
      <c r="M29" s="7"/>
      <c r="N29" s="7"/>
      <c r="O29" s="8"/>
      <c r="P29" s="8"/>
      <c r="Q29" s="8"/>
      <c r="R29" s="8"/>
      <c r="S29" s="8"/>
    </row>
    <row r="30" spans="2:19" ht="12" customHeight="1" x14ac:dyDescent="0.25">
      <c r="B30" s="9" t="s">
        <v>38</v>
      </c>
      <c r="C30" s="10">
        <f t="shared" ref="C30:M30" si="8">C23+C27-C28</f>
        <v>0</v>
      </c>
      <c r="D30" s="10">
        <f t="shared" si="8"/>
        <v>0</v>
      </c>
      <c r="E30" s="10">
        <f t="shared" si="8"/>
        <v>0</v>
      </c>
      <c r="F30" s="10">
        <f t="shared" si="8"/>
        <v>0</v>
      </c>
      <c r="G30" s="10">
        <f t="shared" si="8"/>
        <v>0</v>
      </c>
      <c r="H30" s="10">
        <f t="shared" si="8"/>
        <v>0</v>
      </c>
      <c r="I30" s="10">
        <f t="shared" si="8"/>
        <v>102.88099999999997</v>
      </c>
      <c r="J30" s="10">
        <f t="shared" si="8"/>
        <v>-195.423</v>
      </c>
      <c r="K30" s="10">
        <f t="shared" si="8"/>
        <v>380.00099999999998</v>
      </c>
      <c r="L30" s="10">
        <f t="shared" si="8"/>
        <v>609.06399999999985</v>
      </c>
      <c r="M30" s="10">
        <f t="shared" si="8"/>
        <v>778.28699999999992</v>
      </c>
      <c r="N30" s="10">
        <f t="shared" ref="N30" si="9">N23+N27-N28</f>
        <v>1063.4929999999999</v>
      </c>
      <c r="O30" s="5"/>
      <c r="P30" s="5"/>
      <c r="Q30" s="5"/>
      <c r="R30" s="5"/>
      <c r="S30" s="5"/>
    </row>
    <row r="31" spans="2:19" ht="12" customHeight="1" x14ac:dyDescent="0.25">
      <c r="B31" s="6"/>
      <c r="C31" s="7"/>
      <c r="D31" s="7"/>
      <c r="E31" s="7"/>
      <c r="F31" s="7"/>
      <c r="G31" s="7"/>
      <c r="H31" s="7"/>
      <c r="I31" s="7"/>
      <c r="J31" s="7"/>
      <c r="K31" s="7"/>
      <c r="L31" s="7"/>
      <c r="M31" s="7"/>
      <c r="N31" s="7"/>
      <c r="O31" s="8"/>
      <c r="P31" s="8"/>
      <c r="Q31" s="8"/>
      <c r="R31" s="8"/>
      <c r="S31" s="8"/>
    </row>
    <row r="32" spans="2:19" ht="12" customHeight="1" x14ac:dyDescent="0.25">
      <c r="B32" s="6" t="s">
        <v>39</v>
      </c>
      <c r="C32" s="7"/>
      <c r="D32" s="7"/>
      <c r="E32" s="7"/>
      <c r="F32" s="7"/>
      <c r="G32" s="7"/>
      <c r="H32" s="7"/>
      <c r="I32" s="7">
        <v>222.88</v>
      </c>
      <c r="J32" s="7">
        <v>360.887</v>
      </c>
      <c r="K32" s="7">
        <v>593.44600000000003</v>
      </c>
      <c r="L32" s="7">
        <v>517.22699999999998</v>
      </c>
      <c r="M32" s="7">
        <v>472.03800000000001</v>
      </c>
      <c r="N32" s="7">
        <v>343.56099999999998</v>
      </c>
      <c r="O32" s="8"/>
      <c r="P32" s="8"/>
      <c r="Q32" s="8"/>
      <c r="R32" s="8"/>
      <c r="S32" s="8"/>
    </row>
    <row r="33" spans="2:19" ht="12" customHeight="1" x14ac:dyDescent="0.25">
      <c r="B33" s="6" t="s">
        <v>307</v>
      </c>
      <c r="C33" s="7"/>
      <c r="D33" s="7"/>
      <c r="E33" s="7"/>
      <c r="F33" s="7"/>
      <c r="G33" s="7"/>
      <c r="H33" s="7"/>
      <c r="I33" s="7"/>
      <c r="J33" s="7"/>
      <c r="K33" s="7"/>
      <c r="L33" s="7"/>
      <c r="M33" s="7"/>
      <c r="N33" s="7"/>
      <c r="O33" s="8"/>
      <c r="P33" s="8"/>
      <c r="Q33" s="8"/>
      <c r="R33" s="8"/>
      <c r="S33" s="8"/>
    </row>
    <row r="34" spans="2:19" ht="12" customHeight="1" x14ac:dyDescent="0.25">
      <c r="B34" s="6"/>
      <c r="C34" s="7"/>
      <c r="D34" s="7"/>
      <c r="E34" s="7"/>
      <c r="F34" s="7"/>
      <c r="G34" s="7"/>
      <c r="H34" s="7"/>
      <c r="I34" s="7"/>
      <c r="J34" s="7"/>
      <c r="K34" s="7"/>
      <c r="L34" s="7"/>
      <c r="M34" s="7"/>
      <c r="N34" s="7"/>
      <c r="O34" s="8"/>
      <c r="P34" s="8"/>
      <c r="Q34" s="8"/>
      <c r="R34" s="8"/>
      <c r="S34" s="8"/>
    </row>
    <row r="35" spans="2:19" ht="12" customHeight="1" x14ac:dyDescent="0.25">
      <c r="B35" s="9" t="s">
        <v>40</v>
      </c>
      <c r="C35" s="10">
        <f t="shared" ref="C35:M35" si="10">C30-C32-C33</f>
        <v>0</v>
      </c>
      <c r="D35" s="10">
        <f t="shared" si="10"/>
        <v>0</v>
      </c>
      <c r="E35" s="10">
        <f t="shared" si="10"/>
        <v>0</v>
      </c>
      <c r="F35" s="10">
        <f t="shared" si="10"/>
        <v>0</v>
      </c>
      <c r="G35" s="10">
        <f t="shared" si="10"/>
        <v>0</v>
      </c>
      <c r="H35" s="10">
        <f t="shared" si="10"/>
        <v>0</v>
      </c>
      <c r="I35" s="10">
        <f t="shared" si="10"/>
        <v>-119.99900000000002</v>
      </c>
      <c r="J35" s="10">
        <f t="shared" si="10"/>
        <v>-556.30999999999995</v>
      </c>
      <c r="K35" s="10">
        <f t="shared" si="10"/>
        <v>-213.44500000000005</v>
      </c>
      <c r="L35" s="10">
        <f t="shared" si="10"/>
        <v>91.836999999999875</v>
      </c>
      <c r="M35" s="10">
        <f t="shared" si="10"/>
        <v>306.24899999999991</v>
      </c>
      <c r="N35" s="10">
        <f t="shared" ref="N35" si="11">N30-N32-N33</f>
        <v>719.93200000000002</v>
      </c>
      <c r="O35" s="5"/>
      <c r="P35" s="5"/>
      <c r="Q35" s="5"/>
      <c r="R35" s="5"/>
      <c r="S35" s="5"/>
    </row>
    <row r="36" spans="2:19" ht="12" customHeight="1" x14ac:dyDescent="0.25">
      <c r="B36" s="6"/>
      <c r="C36" s="7"/>
      <c r="D36" s="7"/>
      <c r="E36" s="7"/>
      <c r="F36" s="7"/>
      <c r="G36" s="7"/>
      <c r="H36" s="7"/>
      <c r="I36" s="7"/>
      <c r="J36" s="7"/>
      <c r="K36" s="7"/>
      <c r="L36" s="7"/>
      <c r="M36" s="7"/>
      <c r="N36" s="7"/>
      <c r="O36" s="8"/>
      <c r="P36" s="8"/>
      <c r="Q36" s="8"/>
      <c r="R36" s="8"/>
      <c r="S36" s="8"/>
    </row>
    <row r="37" spans="2:19" ht="12" customHeight="1" x14ac:dyDescent="0.25">
      <c r="B37" s="6" t="s">
        <v>41</v>
      </c>
      <c r="C37" s="7"/>
      <c r="D37" s="7"/>
      <c r="E37" s="7"/>
      <c r="F37" s="7"/>
      <c r="G37" s="7"/>
      <c r="H37" s="7"/>
      <c r="I37" s="7"/>
      <c r="J37" s="7"/>
      <c r="K37" s="7"/>
      <c r="L37" s="7"/>
      <c r="M37" s="7"/>
      <c r="N37" s="7"/>
      <c r="O37" s="8"/>
      <c r="P37" s="8"/>
      <c r="Q37" s="8"/>
      <c r="R37" s="8"/>
      <c r="S37" s="8"/>
    </row>
    <row r="38" spans="2:19" ht="12" customHeight="1" x14ac:dyDescent="0.25">
      <c r="B38" s="6" t="s">
        <v>42</v>
      </c>
      <c r="C38" s="7"/>
      <c r="D38" s="7"/>
      <c r="E38" s="7"/>
      <c r="F38" s="7"/>
      <c r="G38" s="7"/>
      <c r="H38" s="7"/>
      <c r="I38" s="7">
        <v>0</v>
      </c>
      <c r="J38" s="7">
        <v>0</v>
      </c>
      <c r="K38" s="7">
        <v>2.9</v>
      </c>
      <c r="L38" s="7">
        <v>15.395</v>
      </c>
      <c r="M38" s="7">
        <v>51.213000000000001</v>
      </c>
      <c r="N38" s="7">
        <v>127.983</v>
      </c>
      <c r="O38" s="8"/>
      <c r="P38" s="8"/>
      <c r="Q38" s="8"/>
      <c r="R38" s="8"/>
      <c r="S38" s="8"/>
    </row>
    <row r="39" spans="2:19" ht="12" customHeight="1" x14ac:dyDescent="0.25">
      <c r="B39" s="6" t="s">
        <v>43</v>
      </c>
      <c r="C39" s="7"/>
      <c r="D39" s="7"/>
      <c r="E39" s="7"/>
      <c r="F39" s="7"/>
      <c r="G39" s="7"/>
      <c r="H39" s="7"/>
      <c r="I39" s="7">
        <v>734.85699999999997</v>
      </c>
      <c r="J39" s="7">
        <v>-90.367000000000004</v>
      </c>
      <c r="K39" s="7">
        <v>-644.78599999999994</v>
      </c>
      <c r="L39" s="7">
        <v>-9.0020000000000007</v>
      </c>
      <c r="M39" s="7">
        <v>-23.827999999999999</v>
      </c>
      <c r="N39" s="7">
        <v>60.924999999999997</v>
      </c>
      <c r="O39" s="8"/>
      <c r="P39" s="8"/>
      <c r="Q39" s="8"/>
      <c r="R39" s="8"/>
      <c r="S39" s="8"/>
    </row>
    <row r="40" spans="2:19" ht="12" customHeight="1" x14ac:dyDescent="0.25">
      <c r="B40" s="6" t="s">
        <v>44</v>
      </c>
      <c r="C40" s="7"/>
      <c r="D40" s="7"/>
      <c r="E40" s="7"/>
      <c r="F40" s="7"/>
      <c r="G40" s="7"/>
      <c r="H40" s="7"/>
      <c r="I40" s="7">
        <v>0</v>
      </c>
      <c r="J40" s="7">
        <v>0</v>
      </c>
      <c r="K40" s="7">
        <v>0</v>
      </c>
      <c r="L40" s="7">
        <v>3.6070000000000002</v>
      </c>
      <c r="M40" s="7"/>
      <c r="N40" s="7">
        <v>-7.0739999999999998</v>
      </c>
      <c r="O40" s="8"/>
      <c r="P40" s="8"/>
      <c r="Q40" s="8"/>
      <c r="R40" s="8"/>
      <c r="S40" s="8"/>
    </row>
    <row r="41" spans="2:19" s="18" customFormat="1" ht="12" customHeight="1" x14ac:dyDescent="0.25">
      <c r="B41" s="9" t="s">
        <v>45</v>
      </c>
      <c r="C41" s="10">
        <f t="shared" ref="C41:L41" si="12">SUM(C38:C40)</f>
        <v>0</v>
      </c>
      <c r="D41" s="10">
        <f t="shared" si="12"/>
        <v>0</v>
      </c>
      <c r="E41" s="10">
        <f t="shared" si="12"/>
        <v>0</v>
      </c>
      <c r="F41" s="10">
        <f t="shared" si="12"/>
        <v>0</v>
      </c>
      <c r="G41" s="10">
        <f t="shared" si="12"/>
        <v>0</v>
      </c>
      <c r="H41" s="10">
        <f t="shared" si="12"/>
        <v>0</v>
      </c>
      <c r="I41" s="10">
        <f t="shared" si="12"/>
        <v>734.85699999999997</v>
      </c>
      <c r="J41" s="10">
        <f t="shared" si="12"/>
        <v>-90.367000000000004</v>
      </c>
      <c r="K41" s="10">
        <f t="shared" si="12"/>
        <v>-641.88599999999997</v>
      </c>
      <c r="L41" s="10">
        <f t="shared" si="12"/>
        <v>10</v>
      </c>
      <c r="M41" s="10">
        <f>SUM(M38:M40)</f>
        <v>27.385000000000002</v>
      </c>
      <c r="N41" s="10">
        <f>SUM(N38:N40)</f>
        <v>181.834</v>
      </c>
      <c r="O41" s="5"/>
      <c r="P41" s="5"/>
      <c r="Q41" s="5"/>
      <c r="R41" s="5"/>
      <c r="S41" s="5"/>
    </row>
    <row r="42" spans="2:19" ht="12" customHeight="1" x14ac:dyDescent="0.25">
      <c r="B42" s="19" t="s">
        <v>46</v>
      </c>
      <c r="C42" s="12" t="str">
        <f t="shared" ref="C42:L42" si="13">IF(ISERROR(C41/C35)," ",C41/C35)</f>
        <v xml:space="preserve"> </v>
      </c>
      <c r="D42" s="12" t="str">
        <f t="shared" si="13"/>
        <v xml:space="preserve"> </v>
      </c>
      <c r="E42" s="12" t="str">
        <f t="shared" si="13"/>
        <v xml:space="preserve"> </v>
      </c>
      <c r="F42" s="12" t="str">
        <f t="shared" si="13"/>
        <v xml:space="preserve"> </v>
      </c>
      <c r="G42" s="12" t="str">
        <f t="shared" si="13"/>
        <v xml:space="preserve"> </v>
      </c>
      <c r="H42" s="12" t="str">
        <f t="shared" si="13"/>
        <v xml:space="preserve"> </v>
      </c>
      <c r="I42" s="12">
        <f t="shared" si="13"/>
        <v>-6.1238593654947113</v>
      </c>
      <c r="J42" s="12">
        <f t="shared" si="13"/>
        <v>0.16244000647121212</v>
      </c>
      <c r="K42" s="12">
        <f t="shared" si="13"/>
        <v>3.0072665089367274</v>
      </c>
      <c r="L42" s="12">
        <f t="shared" si="13"/>
        <v>0.10888857432189655</v>
      </c>
      <c r="M42" s="12">
        <f>IF(ISERROR(M41/M35)," ",M41/M35)</f>
        <v>8.9420700149225013E-2</v>
      </c>
      <c r="N42" s="12">
        <f>IF(ISERROR(N41/N35)," ",N41/N35)</f>
        <v>0.2525710761571926</v>
      </c>
      <c r="O42" s="13"/>
      <c r="P42" s="13"/>
      <c r="Q42" s="13"/>
      <c r="R42" s="13"/>
      <c r="S42" s="13"/>
    </row>
    <row r="43" spans="2:19" ht="12" customHeight="1" x14ac:dyDescent="0.25">
      <c r="B43" s="19"/>
      <c r="C43" s="12"/>
      <c r="D43" s="12"/>
      <c r="E43" s="12"/>
      <c r="F43" s="12"/>
      <c r="G43" s="12"/>
      <c r="H43" s="12"/>
      <c r="I43" s="12"/>
      <c r="J43" s="12"/>
      <c r="K43" s="12"/>
      <c r="L43" s="12"/>
      <c r="M43" s="12"/>
      <c r="N43" s="12"/>
      <c r="O43" s="13"/>
      <c r="P43" s="13"/>
      <c r="Q43" s="13"/>
      <c r="R43" s="13"/>
      <c r="S43" s="13"/>
    </row>
    <row r="44" spans="2:19" ht="12" customHeight="1" x14ac:dyDescent="0.25">
      <c r="B44" s="9" t="s">
        <v>47</v>
      </c>
      <c r="C44" s="10">
        <f t="shared" ref="C44:M44" si="14">C35-C36-C41</f>
        <v>0</v>
      </c>
      <c r="D44" s="10">
        <f t="shared" si="14"/>
        <v>0</v>
      </c>
      <c r="E44" s="10">
        <f t="shared" si="14"/>
        <v>0</v>
      </c>
      <c r="F44" s="10">
        <f t="shared" si="14"/>
        <v>0</v>
      </c>
      <c r="G44" s="10">
        <f t="shared" si="14"/>
        <v>0</v>
      </c>
      <c r="H44" s="10">
        <f t="shared" si="14"/>
        <v>0</v>
      </c>
      <c r="I44" s="10">
        <f t="shared" si="14"/>
        <v>-854.85599999999999</v>
      </c>
      <c r="J44" s="10">
        <f t="shared" si="14"/>
        <v>-465.94299999999993</v>
      </c>
      <c r="K44" s="10">
        <f t="shared" si="14"/>
        <v>428.44099999999992</v>
      </c>
      <c r="L44" s="10">
        <f t="shared" si="14"/>
        <v>81.836999999999875</v>
      </c>
      <c r="M44" s="10">
        <f t="shared" si="14"/>
        <v>278.86399999999992</v>
      </c>
      <c r="N44" s="10">
        <f t="shared" ref="N44" si="15">N35-N36-N41</f>
        <v>538.09799999999996</v>
      </c>
      <c r="O44" s="5"/>
      <c r="P44" s="5"/>
      <c r="Q44" s="5"/>
      <c r="R44" s="5"/>
      <c r="S44" s="5"/>
    </row>
    <row r="45" spans="2:19" ht="12" customHeight="1" x14ac:dyDescent="0.25">
      <c r="B45" s="6"/>
      <c r="C45" s="7"/>
      <c r="D45" s="7"/>
      <c r="E45" s="7"/>
      <c r="F45" s="7"/>
      <c r="G45" s="7"/>
      <c r="H45" s="7"/>
      <c r="I45" s="7"/>
      <c r="J45" s="7"/>
      <c r="K45" s="7"/>
      <c r="L45" s="7"/>
      <c r="M45" s="7"/>
      <c r="N45" s="7"/>
      <c r="O45" s="8"/>
      <c r="P45" s="8"/>
      <c r="Q45" s="8"/>
      <c r="R45" s="8"/>
      <c r="S45" s="8"/>
    </row>
    <row r="46" spans="2:19" ht="12" customHeight="1" x14ac:dyDescent="0.25">
      <c r="B46" s="6" t="s">
        <v>48</v>
      </c>
      <c r="C46" s="7"/>
      <c r="D46" s="7"/>
      <c r="E46" s="7"/>
      <c r="F46" s="7"/>
      <c r="G46" s="7"/>
      <c r="H46" s="7"/>
      <c r="I46" s="7"/>
      <c r="J46" s="7"/>
      <c r="K46" s="7"/>
      <c r="L46" s="7"/>
      <c r="M46" s="7"/>
      <c r="N46" s="7"/>
      <c r="O46" s="8"/>
      <c r="P46" s="8"/>
      <c r="Q46" s="8"/>
      <c r="R46" s="8"/>
      <c r="S46" s="8"/>
    </row>
    <row r="47" spans="2:19" ht="12" customHeight="1" x14ac:dyDescent="0.25">
      <c r="B47" s="6" t="s">
        <v>49</v>
      </c>
      <c r="C47" s="7"/>
      <c r="D47" s="7"/>
      <c r="E47" s="7"/>
      <c r="F47" s="7"/>
      <c r="G47" s="7"/>
      <c r="H47" s="7"/>
      <c r="I47" s="7"/>
      <c r="J47" s="7"/>
      <c r="K47" s="7"/>
      <c r="L47" s="7"/>
      <c r="M47" s="7"/>
      <c r="N47" s="7"/>
      <c r="O47" s="8"/>
      <c r="P47" s="8"/>
      <c r="Q47" s="8"/>
      <c r="R47" s="8"/>
      <c r="S47" s="8"/>
    </row>
    <row r="48" spans="2:19" ht="12" customHeight="1" x14ac:dyDescent="0.25">
      <c r="B48" s="6"/>
      <c r="C48" s="7"/>
      <c r="D48" s="7"/>
      <c r="E48" s="7"/>
      <c r="F48" s="7"/>
      <c r="G48" s="7"/>
      <c r="H48" s="7"/>
      <c r="I48" s="7"/>
      <c r="J48" s="7"/>
      <c r="K48" s="7"/>
      <c r="L48" s="7"/>
      <c r="M48" s="7"/>
      <c r="N48" s="7"/>
      <c r="O48" s="8"/>
      <c r="P48" s="8"/>
      <c r="Q48" s="8"/>
      <c r="R48" s="8"/>
      <c r="S48" s="8"/>
    </row>
    <row r="49" spans="2:19" ht="12" customHeight="1" x14ac:dyDescent="0.25">
      <c r="B49" s="9" t="s">
        <v>50</v>
      </c>
      <c r="C49" s="10">
        <f t="shared" ref="C49:L49" si="16">C44-C46+C47</f>
        <v>0</v>
      </c>
      <c r="D49" s="10">
        <f t="shared" si="16"/>
        <v>0</v>
      </c>
      <c r="E49" s="10">
        <f t="shared" si="16"/>
        <v>0</v>
      </c>
      <c r="F49" s="10">
        <f t="shared" si="16"/>
        <v>0</v>
      </c>
      <c r="G49" s="10">
        <f t="shared" si="16"/>
        <v>0</v>
      </c>
      <c r="H49" s="10">
        <f t="shared" si="16"/>
        <v>0</v>
      </c>
      <c r="I49" s="10">
        <f t="shared" si="16"/>
        <v>-854.85599999999999</v>
      </c>
      <c r="J49" s="10">
        <f t="shared" si="16"/>
        <v>-465.94299999999993</v>
      </c>
      <c r="K49" s="10">
        <f t="shared" si="16"/>
        <v>428.44099999999992</v>
      </c>
      <c r="L49" s="10">
        <f t="shared" si="16"/>
        <v>81.836999999999875</v>
      </c>
      <c r="M49" s="10">
        <f>M44-M46+M47</f>
        <v>278.86399999999992</v>
      </c>
      <c r="N49" s="10">
        <f>N44-N46+N47</f>
        <v>538.09799999999996</v>
      </c>
      <c r="O49" s="5"/>
      <c r="P49" s="5"/>
      <c r="Q49" s="5"/>
      <c r="R49" s="5"/>
      <c r="S49" s="5"/>
    </row>
    <row r="50" spans="2:19" ht="12" customHeight="1" x14ac:dyDescent="0.25">
      <c r="B50" s="15" t="s">
        <v>35</v>
      </c>
      <c r="C50" s="16" t="str">
        <f t="shared" ref="C50:L50" si="17">IF(ISERROR(C49/C16)," ",C49/C16)</f>
        <v xml:space="preserve"> </v>
      </c>
      <c r="D50" s="16" t="str">
        <f t="shared" si="17"/>
        <v xml:space="preserve"> </v>
      </c>
      <c r="E50" s="16" t="str">
        <f t="shared" si="17"/>
        <v xml:space="preserve"> </v>
      </c>
      <c r="F50" s="16" t="str">
        <f t="shared" si="17"/>
        <v xml:space="preserve"> </v>
      </c>
      <c r="G50" s="16" t="str">
        <f t="shared" si="17"/>
        <v xml:space="preserve"> </v>
      </c>
      <c r="H50" s="16" t="str">
        <f t="shared" si="17"/>
        <v xml:space="preserve"> </v>
      </c>
      <c r="I50" s="16">
        <f t="shared" si="17"/>
        <v>-2.2241255502711028</v>
      </c>
      <c r="J50" s="16">
        <f t="shared" si="17"/>
        <v>-0.5371757240654188</v>
      </c>
      <c r="K50" s="16">
        <f t="shared" si="17"/>
        <v>0.37924395693107338</v>
      </c>
      <c r="L50" s="16">
        <f t="shared" si="17"/>
        <v>5.2973869409187573E-2</v>
      </c>
      <c r="M50" s="16">
        <f>IF(ISERROR(M49/M16)," ",M49/M16)</f>
        <v>0.1505174604442592</v>
      </c>
      <c r="N50" s="16">
        <f>IF(ISERROR(N49/N16)," ",N49/N16)</f>
        <v>0.21672227386450957</v>
      </c>
      <c r="O50" s="17"/>
      <c r="P50" s="17"/>
      <c r="Q50" s="17"/>
      <c r="R50" s="17"/>
      <c r="S50" s="17"/>
    </row>
    <row r="51" spans="2:19" s="14" customFormat="1" ht="12" customHeight="1" x14ac:dyDescent="0.25">
      <c r="B51" s="11" t="s">
        <v>30</v>
      </c>
      <c r="C51" s="12" t="str">
        <f t="shared" ref="C51:K51" si="18">IF(ISERROR(C49/B49-1)," ",C49/B49-1)</f>
        <v xml:space="preserve"> </v>
      </c>
      <c r="D51" s="12" t="str">
        <f t="shared" si="18"/>
        <v xml:space="preserve"> </v>
      </c>
      <c r="E51" s="12" t="str">
        <f t="shared" si="18"/>
        <v xml:space="preserve"> </v>
      </c>
      <c r="F51" s="12" t="str">
        <f t="shared" si="18"/>
        <v xml:space="preserve"> </v>
      </c>
      <c r="G51" s="12" t="str">
        <f t="shared" si="18"/>
        <v xml:space="preserve"> </v>
      </c>
      <c r="H51" s="12" t="str">
        <f t="shared" si="18"/>
        <v xml:space="preserve"> </v>
      </c>
      <c r="I51" s="12" t="str">
        <f t="shared" si="18"/>
        <v xml:space="preserve"> </v>
      </c>
      <c r="J51" s="12">
        <f t="shared" si="18"/>
        <v>-0.45494562826955665</v>
      </c>
      <c r="K51" s="12">
        <f t="shared" si="18"/>
        <v>-1.9195137602668138</v>
      </c>
      <c r="L51" s="12">
        <f>IF(ISERROR(L49/K49-1)," ",L49/K49-1)</f>
        <v>-0.8089888689457827</v>
      </c>
      <c r="M51" s="12">
        <f>IF(ISERROR(M49/L49-1)," ",M49/L49-1)</f>
        <v>2.4075540403485016</v>
      </c>
      <c r="N51" s="12">
        <f>IF(ISERROR(N49/M49-1)," ",N49/M49-1)</f>
        <v>0.92960726375580971</v>
      </c>
      <c r="O51" s="13"/>
      <c r="P51" s="13"/>
      <c r="Q51" s="13"/>
      <c r="R51" s="13"/>
      <c r="S51" s="13"/>
    </row>
    <row r="52" spans="2:19" ht="12" customHeight="1" x14ac:dyDescent="0.25">
      <c r="B52" s="15"/>
      <c r="C52" s="16"/>
      <c r="D52" s="16"/>
      <c r="E52" s="16"/>
      <c r="F52" s="16"/>
      <c r="G52" s="16"/>
      <c r="H52" s="16"/>
      <c r="I52" s="16"/>
      <c r="J52" s="16"/>
      <c r="K52" s="16"/>
      <c r="L52" s="16"/>
      <c r="M52" s="16"/>
      <c r="N52" s="16"/>
      <c r="O52" s="17"/>
      <c r="P52" s="17"/>
      <c r="Q52" s="17"/>
      <c r="R52" s="17"/>
      <c r="S52" s="17"/>
    </row>
    <row r="53" spans="2:19" ht="12" customHeight="1" x14ac:dyDescent="0.25">
      <c r="B53" s="9" t="s">
        <v>51</v>
      </c>
      <c r="C53" s="10"/>
      <c r="D53" s="10"/>
      <c r="E53" s="10"/>
      <c r="F53" s="10"/>
      <c r="G53" s="10"/>
      <c r="H53" s="10"/>
      <c r="I53" s="10"/>
      <c r="J53" s="10"/>
      <c r="K53" s="10"/>
      <c r="L53" s="10"/>
      <c r="M53" s="10"/>
      <c r="N53" s="10"/>
      <c r="O53" s="5"/>
      <c r="P53" s="5"/>
      <c r="Q53" s="5"/>
      <c r="R53" s="5"/>
      <c r="S53" s="5"/>
    </row>
    <row r="54" spans="2:19" ht="12" customHeight="1" x14ac:dyDescent="0.25">
      <c r="B54" s="9" t="s">
        <v>52</v>
      </c>
      <c r="C54" s="20"/>
      <c r="D54" s="20"/>
      <c r="E54" s="20"/>
      <c r="F54" s="20"/>
      <c r="G54" s="20"/>
      <c r="H54" s="20"/>
      <c r="I54" s="20"/>
      <c r="J54" s="20"/>
      <c r="K54" s="20"/>
      <c r="L54" s="20"/>
      <c r="M54" s="20"/>
      <c r="N54" s="20"/>
      <c r="O54" s="21"/>
      <c r="P54" s="21"/>
      <c r="Q54" s="21"/>
      <c r="R54" s="21"/>
      <c r="S54" s="21"/>
    </row>
    <row r="55" spans="2:19" ht="12" customHeight="1" x14ac:dyDescent="0.25">
      <c r="B55" s="9" t="s">
        <v>53</v>
      </c>
      <c r="C55" s="20"/>
      <c r="D55" s="20"/>
      <c r="E55" s="20"/>
      <c r="F55" s="20"/>
      <c r="G55" s="20"/>
      <c r="H55" s="20"/>
      <c r="I55" s="20"/>
      <c r="J55" s="20"/>
      <c r="K55" s="20"/>
      <c r="L55" s="20"/>
      <c r="M55" s="20"/>
      <c r="N55" s="20"/>
      <c r="O55" s="21"/>
      <c r="P55" s="21"/>
      <c r="Q55" s="21"/>
      <c r="R55" s="21"/>
      <c r="S55" s="21"/>
    </row>
    <row r="56" spans="2:19" ht="12" customHeight="1" x14ac:dyDescent="0.25">
      <c r="B56" s="9" t="s">
        <v>54</v>
      </c>
      <c r="C56" s="20"/>
      <c r="D56" s="20"/>
      <c r="E56" s="20"/>
      <c r="F56" s="20"/>
      <c r="G56" s="20"/>
      <c r="H56" s="20"/>
      <c r="I56" s="20"/>
      <c r="J56" s="20"/>
      <c r="K56" s="20"/>
      <c r="L56" s="20"/>
      <c r="M56" s="20"/>
      <c r="N56" s="20"/>
      <c r="O56" s="21"/>
      <c r="P56" s="21"/>
      <c r="Q56" s="21"/>
      <c r="R56" s="21"/>
      <c r="S56" s="21"/>
    </row>
    <row r="57" spans="2:19" ht="12" customHeight="1" x14ac:dyDescent="0.25">
      <c r="B57" s="9" t="s">
        <v>55</v>
      </c>
      <c r="C57" s="20"/>
      <c r="D57" s="20"/>
      <c r="E57" s="20"/>
      <c r="F57" s="20"/>
      <c r="G57" s="20"/>
      <c r="H57" s="20"/>
      <c r="I57" s="20"/>
      <c r="J57" s="20"/>
      <c r="K57" s="20"/>
      <c r="L57" s="20"/>
      <c r="M57" s="20"/>
      <c r="N57" s="20"/>
      <c r="O57" s="21"/>
      <c r="P57" s="21"/>
      <c r="Q57" s="21"/>
      <c r="R57" s="21"/>
      <c r="S57" s="21"/>
    </row>
    <row r="58" spans="2:19" ht="12" customHeight="1" x14ac:dyDescent="0.25">
      <c r="B58" s="9" t="s">
        <v>56</v>
      </c>
      <c r="C58" s="20"/>
      <c r="D58" s="20"/>
      <c r="E58" s="20"/>
      <c r="F58" s="20"/>
      <c r="G58" s="20"/>
      <c r="H58" s="20"/>
      <c r="I58" s="20"/>
      <c r="J58" s="20"/>
      <c r="K58" s="20"/>
      <c r="L58" s="20"/>
      <c r="M58" s="20"/>
      <c r="N58" s="20"/>
      <c r="O58" s="21"/>
      <c r="P58" s="21"/>
      <c r="Q58" s="21"/>
      <c r="R58" s="21"/>
      <c r="S58" s="21"/>
    </row>
    <row r="59" spans="2:19" ht="12" customHeight="1" x14ac:dyDescent="0.25">
      <c r="B59" s="9" t="s">
        <v>57</v>
      </c>
      <c r="C59" s="22"/>
      <c r="D59" s="22"/>
      <c r="E59" s="22"/>
      <c r="F59" s="22"/>
      <c r="G59" s="22"/>
      <c r="H59" s="22"/>
      <c r="I59" s="22"/>
      <c r="J59" s="22"/>
      <c r="K59" s="22"/>
      <c r="L59" s="22"/>
      <c r="M59" s="22"/>
      <c r="N59" s="22"/>
      <c r="O59" s="23"/>
      <c r="P59" s="23"/>
      <c r="Q59" s="23"/>
      <c r="R59" s="23"/>
      <c r="S59" s="23"/>
    </row>
    <row r="60" spans="2:19" ht="12" customHeight="1" x14ac:dyDescent="0.25">
      <c r="B60" s="9" t="s">
        <v>58</v>
      </c>
      <c r="C60" s="10"/>
      <c r="D60" s="10"/>
      <c r="E60" s="10"/>
      <c r="F60" s="10"/>
      <c r="G60" s="10"/>
      <c r="H60" s="10"/>
      <c r="I60" s="10"/>
      <c r="J60" s="10"/>
      <c r="K60" s="10"/>
      <c r="L60" s="10"/>
      <c r="M60" s="10"/>
      <c r="N60" s="10"/>
      <c r="O60" s="5"/>
      <c r="P60" s="5"/>
      <c r="Q60" s="5"/>
      <c r="R60" s="5"/>
      <c r="S60" s="5"/>
    </row>
    <row r="61" spans="2:19" ht="12" customHeight="1" x14ac:dyDescent="0.25">
      <c r="B61" s="9"/>
      <c r="C61" s="10"/>
      <c r="D61" s="10"/>
      <c r="E61" s="10"/>
      <c r="F61" s="10"/>
      <c r="G61" s="10"/>
      <c r="H61" s="10"/>
      <c r="I61" s="10"/>
      <c r="J61" s="10"/>
      <c r="K61" s="10"/>
      <c r="L61" s="10"/>
      <c r="M61" s="10"/>
      <c r="N61" s="10"/>
      <c r="O61" s="5"/>
      <c r="P61" s="5"/>
      <c r="Q61" s="5"/>
      <c r="R61" s="5"/>
      <c r="S61" s="5"/>
    </row>
    <row r="62" spans="2:19" s="26" customFormat="1" ht="12" customHeight="1" x14ac:dyDescent="0.25">
      <c r="B62" s="24"/>
      <c r="C62" s="25"/>
      <c r="D62" s="25"/>
      <c r="E62" s="25"/>
      <c r="F62" s="25"/>
      <c r="G62" s="25"/>
      <c r="H62" s="25"/>
      <c r="I62" s="25"/>
      <c r="J62" s="25"/>
      <c r="K62" s="25"/>
      <c r="L62" s="25"/>
      <c r="M62" s="25"/>
      <c r="N62" s="25"/>
      <c r="O62" s="25"/>
      <c r="P62" s="25"/>
      <c r="Q62" s="25"/>
      <c r="R62" s="25"/>
      <c r="S62" s="25"/>
    </row>
  </sheetData>
  <pageMargins left="0.7" right="0.7" top="0.75" bottom="0.75" header="0.3" footer="0.3"/>
  <pageSetup paperSize="9" orientation="portrait"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382BA-8E32-4EB3-BE09-8E6DB1DBAA22}">
  <dimension ref="B1:S62"/>
  <sheetViews>
    <sheetView showGridLines="0" workbookViewId="0">
      <pane xSplit="8" ySplit="2" topLeftCell="I3" activePane="bottomRight" state="frozen"/>
      <selection pane="topRight" activeCell="I1" sqref="I1"/>
      <selection pane="bottomLeft" activeCell="A3" sqref="A3"/>
      <selection pane="bottomRight" activeCell="O16" sqref="O16"/>
    </sheetView>
  </sheetViews>
  <sheetFormatPr defaultColWidth="8.28515625" defaultRowHeight="12" customHeight="1" x14ac:dyDescent="0.25"/>
  <cols>
    <col min="1" max="1" width="3.5703125" style="2" customWidth="1"/>
    <col min="2" max="2" width="35.7109375" style="2" customWidth="1"/>
    <col min="3" max="8" width="8.28515625" style="2" hidden="1" customWidth="1"/>
    <col min="9" max="10" width="8.28515625" style="2" customWidth="1"/>
    <col min="11" max="20" width="8.28515625" style="2"/>
    <col min="21" max="21" width="10" style="2" bestFit="1" customWidth="1"/>
    <col min="22" max="16384" width="8.28515625" style="2"/>
  </cols>
  <sheetData>
    <row r="1" spans="2:19" ht="12" customHeight="1" x14ac:dyDescent="0.25">
      <c r="B1" s="1" t="s">
        <v>1589</v>
      </c>
    </row>
    <row r="2" spans="2:19" ht="12" customHeight="1" x14ac:dyDescent="0.25">
      <c r="B2" s="3" t="s">
        <v>17</v>
      </c>
      <c r="C2" s="4" t="s">
        <v>18</v>
      </c>
      <c r="D2" s="4" t="s">
        <v>19</v>
      </c>
      <c r="E2" s="4" t="s">
        <v>20</v>
      </c>
      <c r="F2" s="4" t="s">
        <v>21</v>
      </c>
      <c r="G2" s="4" t="s">
        <v>22</v>
      </c>
      <c r="H2" s="4" t="s">
        <v>23</v>
      </c>
      <c r="I2" s="4" t="s">
        <v>24</v>
      </c>
      <c r="J2" s="4" t="s">
        <v>25</v>
      </c>
      <c r="K2" s="4" t="s">
        <v>26</v>
      </c>
      <c r="L2" s="4" t="s">
        <v>27</v>
      </c>
      <c r="M2" s="4" t="s">
        <v>273</v>
      </c>
      <c r="N2" s="4" t="s">
        <v>347</v>
      </c>
      <c r="O2" s="227" t="s">
        <v>177</v>
      </c>
      <c r="P2" s="227" t="s">
        <v>178</v>
      </c>
      <c r="Q2" s="227" t="s">
        <v>179</v>
      </c>
      <c r="R2" s="227" t="s">
        <v>231</v>
      </c>
      <c r="S2" s="227" t="s">
        <v>232</v>
      </c>
    </row>
    <row r="3" spans="2:19" ht="12" customHeight="1" x14ac:dyDescent="0.25">
      <c r="B3" s="6"/>
      <c r="C3" s="7"/>
      <c r="D3" s="7"/>
      <c r="E3" s="7"/>
      <c r="F3" s="7"/>
      <c r="G3" s="7"/>
      <c r="H3" s="7"/>
      <c r="I3" s="7"/>
      <c r="J3" s="7"/>
      <c r="K3" s="7"/>
      <c r="L3" s="7"/>
      <c r="M3" s="7"/>
      <c r="N3" s="7"/>
      <c r="O3" s="8"/>
      <c r="P3" s="8"/>
      <c r="Q3" s="8"/>
      <c r="R3" s="8"/>
      <c r="S3" s="8"/>
    </row>
    <row r="4" spans="2:19" ht="12" customHeight="1" x14ac:dyDescent="0.25">
      <c r="B4" s="6" t="s">
        <v>478</v>
      </c>
      <c r="C4" s="7"/>
      <c r="D4" s="7"/>
      <c r="E4" s="7"/>
      <c r="F4" s="7"/>
      <c r="G4" s="7"/>
      <c r="H4" s="7"/>
      <c r="I4" s="123"/>
      <c r="J4" s="123"/>
      <c r="K4" s="123"/>
      <c r="L4" s="123"/>
      <c r="M4" s="123"/>
      <c r="N4" s="123"/>
      <c r="O4" s="8"/>
      <c r="P4" s="8"/>
      <c r="Q4" s="8"/>
      <c r="R4" s="8"/>
      <c r="S4" s="8"/>
    </row>
    <row r="5" spans="2:19" ht="12" customHeight="1" x14ac:dyDescent="0.25">
      <c r="B5" s="6" t="s">
        <v>479</v>
      </c>
      <c r="C5" s="7"/>
      <c r="D5" s="7"/>
      <c r="E5" s="7"/>
      <c r="F5" s="7"/>
      <c r="G5" s="7"/>
      <c r="H5" s="7"/>
      <c r="I5" s="123"/>
      <c r="J5" s="123"/>
      <c r="K5" s="123"/>
      <c r="L5" s="123"/>
      <c r="M5" s="123"/>
      <c r="N5" s="123"/>
      <c r="O5" s="8"/>
      <c r="P5" s="8"/>
      <c r="Q5" s="8"/>
      <c r="R5" s="8"/>
      <c r="S5" s="8"/>
    </row>
    <row r="6" spans="2:19" ht="12" customHeight="1" x14ac:dyDescent="0.25">
      <c r="B6" s="6" t="s">
        <v>480</v>
      </c>
      <c r="C6" s="7"/>
      <c r="D6" s="7"/>
      <c r="E6" s="7"/>
      <c r="F6" s="7"/>
      <c r="G6" s="7"/>
      <c r="H6" s="7"/>
      <c r="I6" s="123"/>
      <c r="J6" s="123"/>
      <c r="K6" s="123"/>
      <c r="L6" s="123"/>
      <c r="M6" s="123"/>
      <c r="N6" s="123"/>
      <c r="O6" s="8"/>
      <c r="P6" s="8"/>
      <c r="Q6" s="8"/>
      <c r="R6" s="8"/>
      <c r="S6" s="8"/>
    </row>
    <row r="7" spans="2:19" ht="12" customHeight="1" x14ac:dyDescent="0.25">
      <c r="B7" s="6" t="s">
        <v>481</v>
      </c>
      <c r="C7" s="7"/>
      <c r="D7" s="7"/>
      <c r="E7" s="7"/>
      <c r="F7" s="7"/>
      <c r="G7" s="7"/>
      <c r="H7" s="7"/>
      <c r="I7" s="123"/>
      <c r="J7" s="123"/>
      <c r="K7" s="123"/>
      <c r="L7" s="123">
        <v>419.21899999999999</v>
      </c>
      <c r="M7" s="123">
        <v>523.63400000000001</v>
      </c>
      <c r="N7" s="123">
        <v>484.012</v>
      </c>
      <c r="O7" s="8">
        <f>Assumptions!L880</f>
        <v>528.11759350000011</v>
      </c>
      <c r="P7" s="8">
        <f>Assumptions!M880</f>
        <v>693.15434146875009</v>
      </c>
      <c r="Q7" s="8">
        <f>Assumptions!N880</f>
        <v>800.59326439640654</v>
      </c>
      <c r="R7" s="8">
        <f>Assumptions!O880</f>
        <v>891.06030327320059</v>
      </c>
      <c r="S7" s="8">
        <f>Assumptions!P880</f>
        <v>991.75011754307218</v>
      </c>
    </row>
    <row r="8" spans="2:19" ht="12" customHeight="1" x14ac:dyDescent="0.25">
      <c r="B8" s="6" t="s">
        <v>483</v>
      </c>
      <c r="C8" s="7"/>
      <c r="D8" s="7"/>
      <c r="E8" s="7"/>
      <c r="F8" s="7"/>
      <c r="G8" s="7"/>
      <c r="H8" s="7"/>
      <c r="I8" s="123"/>
      <c r="J8" s="123"/>
      <c r="K8" s="123"/>
      <c r="L8" s="123"/>
      <c r="M8" s="123"/>
      <c r="N8" s="123"/>
      <c r="O8" s="8"/>
      <c r="P8" s="8"/>
      <c r="Q8" s="8"/>
      <c r="R8" s="8"/>
      <c r="S8" s="8"/>
    </row>
    <row r="9" spans="2:19" ht="12" customHeight="1" x14ac:dyDescent="0.25">
      <c r="B9" s="6" t="s">
        <v>482</v>
      </c>
      <c r="C9" s="7"/>
      <c r="D9" s="7"/>
      <c r="E9" s="7"/>
      <c r="F9" s="7"/>
      <c r="G9" s="7"/>
      <c r="H9" s="7"/>
      <c r="I9" s="123"/>
      <c r="J9" s="123"/>
      <c r="K9" s="123"/>
      <c r="L9" s="123">
        <v>136.303</v>
      </c>
      <c r="M9" s="123">
        <v>145.40899999999999</v>
      </c>
      <c r="N9" s="123">
        <v>112.34099999999999</v>
      </c>
      <c r="O9" s="8">
        <f>N9*(1+Assumptions!L882)</f>
        <v>117.95805</v>
      </c>
      <c r="P9" s="8">
        <f>O9*(1+Assumptions!M882)</f>
        <v>123.8559525</v>
      </c>
      <c r="Q9" s="8">
        <f>P9*(1+Assumptions!N882)</f>
        <v>130.048750125</v>
      </c>
      <c r="R9" s="8">
        <f>Q9*(1+Assumptions!O882)</f>
        <v>136.55118763125</v>
      </c>
      <c r="S9" s="8">
        <f>R9*(1+Assumptions!P882)</f>
        <v>143.37874701281251</v>
      </c>
    </row>
    <row r="10" spans="2:19" ht="12" customHeight="1" x14ac:dyDescent="0.25">
      <c r="B10" s="6" t="s">
        <v>484</v>
      </c>
      <c r="C10" s="7"/>
      <c r="D10" s="7"/>
      <c r="E10" s="7"/>
      <c r="F10" s="7"/>
      <c r="G10" s="7"/>
      <c r="H10" s="7"/>
      <c r="I10" s="123"/>
      <c r="J10" s="123"/>
      <c r="K10" s="123"/>
      <c r="L10" s="123"/>
      <c r="M10" s="123"/>
      <c r="N10" s="123"/>
      <c r="O10" s="8"/>
      <c r="P10" s="8"/>
      <c r="Q10" s="8"/>
      <c r="R10" s="8"/>
      <c r="S10" s="8"/>
    </row>
    <row r="11" spans="2:19" ht="12" customHeight="1" x14ac:dyDescent="0.25">
      <c r="B11" s="6" t="s">
        <v>485</v>
      </c>
      <c r="C11" s="7"/>
      <c r="D11" s="7"/>
      <c r="E11" s="7"/>
      <c r="F11" s="7"/>
      <c r="G11" s="7"/>
      <c r="H11" s="7"/>
      <c r="I11" s="123"/>
      <c r="J11" s="123"/>
      <c r="K11" s="123"/>
      <c r="L11" s="123"/>
      <c r="M11" s="123"/>
      <c r="N11" s="123"/>
      <c r="O11" s="8"/>
      <c r="P11" s="8"/>
      <c r="Q11" s="8"/>
      <c r="R11" s="8"/>
      <c r="S11" s="8"/>
    </row>
    <row r="12" spans="2:19" ht="12" customHeight="1" x14ac:dyDescent="0.25">
      <c r="B12" s="6" t="s">
        <v>486</v>
      </c>
      <c r="C12" s="7"/>
      <c r="D12" s="7"/>
      <c r="E12" s="7"/>
      <c r="F12" s="7"/>
      <c r="G12" s="7"/>
      <c r="H12" s="7"/>
      <c r="I12" s="123"/>
      <c r="J12" s="123"/>
      <c r="K12" s="123"/>
      <c r="L12" s="123"/>
      <c r="M12" s="123"/>
      <c r="N12" s="123"/>
      <c r="O12" s="8"/>
      <c r="P12" s="8"/>
      <c r="Q12" s="8"/>
      <c r="R12" s="8"/>
      <c r="S12" s="8"/>
    </row>
    <row r="13" spans="2:19" ht="12" customHeight="1" x14ac:dyDescent="0.25">
      <c r="B13" s="6" t="s">
        <v>487</v>
      </c>
      <c r="C13" s="7"/>
      <c r="D13" s="7"/>
      <c r="E13" s="7"/>
      <c r="F13" s="7"/>
      <c r="G13" s="7"/>
      <c r="H13" s="7"/>
      <c r="I13" s="123"/>
      <c r="J13" s="123"/>
      <c r="K13" s="123"/>
      <c r="L13" s="123"/>
      <c r="M13" s="123"/>
      <c r="N13" s="123"/>
      <c r="O13" s="8"/>
      <c r="P13" s="8"/>
      <c r="Q13" s="8"/>
      <c r="R13" s="8"/>
      <c r="S13" s="8"/>
    </row>
    <row r="14" spans="2:19" ht="12" customHeight="1" x14ac:dyDescent="0.25">
      <c r="B14" s="6" t="s">
        <v>488</v>
      </c>
      <c r="C14" s="7"/>
      <c r="D14" s="7"/>
      <c r="E14" s="7"/>
      <c r="F14" s="7"/>
      <c r="G14" s="7"/>
      <c r="H14" s="7"/>
      <c r="I14" s="123"/>
      <c r="J14" s="123"/>
      <c r="K14" s="123"/>
      <c r="L14" s="123">
        <v>187.81899999999999</v>
      </c>
      <c r="M14" s="123">
        <v>210.816</v>
      </c>
      <c r="N14" s="123">
        <v>204.23900000000003</v>
      </c>
      <c r="O14" s="8">
        <f t="shared" ref="O14:S14" si="0">N14</f>
        <v>204.23900000000003</v>
      </c>
      <c r="P14" s="8">
        <f t="shared" si="0"/>
        <v>204.23900000000003</v>
      </c>
      <c r="Q14" s="8">
        <f t="shared" si="0"/>
        <v>204.23900000000003</v>
      </c>
      <c r="R14" s="8">
        <f t="shared" si="0"/>
        <v>204.23900000000003</v>
      </c>
      <c r="S14" s="8">
        <f t="shared" si="0"/>
        <v>204.23900000000003</v>
      </c>
    </row>
    <row r="15" spans="2:19" ht="12" customHeight="1" x14ac:dyDescent="0.25">
      <c r="B15" s="6"/>
      <c r="C15" s="7"/>
      <c r="D15" s="7"/>
      <c r="E15" s="7"/>
      <c r="F15" s="7"/>
      <c r="G15" s="7"/>
      <c r="H15" s="7"/>
      <c r="I15" s="7"/>
      <c r="J15" s="7"/>
      <c r="K15" s="7"/>
      <c r="L15" s="7"/>
      <c r="M15" s="7"/>
      <c r="N15" s="7"/>
      <c r="O15" s="8"/>
      <c r="P15" s="8"/>
      <c r="Q15" s="8"/>
      <c r="R15" s="8"/>
      <c r="S15" s="8"/>
    </row>
    <row r="16" spans="2:19" ht="12" customHeight="1" x14ac:dyDescent="0.25">
      <c r="B16" s="9" t="s">
        <v>29</v>
      </c>
      <c r="C16" s="10"/>
      <c r="D16" s="10"/>
      <c r="E16" s="10"/>
      <c r="F16" s="10"/>
      <c r="G16" s="10"/>
      <c r="H16" s="10"/>
      <c r="I16" s="10">
        <f>SUM(I4:I14)</f>
        <v>0</v>
      </c>
      <c r="J16" s="10">
        <f>SUM(J4:J14)</f>
        <v>0</v>
      </c>
      <c r="K16" s="10">
        <f>SUM(K4:K14)</f>
        <v>0</v>
      </c>
      <c r="L16" s="10">
        <f>SUM(L4:L14)</f>
        <v>743.34099999999989</v>
      </c>
      <c r="M16" s="10">
        <f t="shared" ref="M16:S16" si="1">SUM(M4:M14)</f>
        <v>879.85900000000004</v>
      </c>
      <c r="N16" s="10">
        <f t="shared" ref="N16" si="2">SUM(N4:N14)</f>
        <v>800.59199999999998</v>
      </c>
      <c r="O16" s="5">
        <f t="shared" si="1"/>
        <v>850.3146435000001</v>
      </c>
      <c r="P16" s="5">
        <f t="shared" si="1"/>
        <v>1021.2492939687502</v>
      </c>
      <c r="Q16" s="5">
        <f t="shared" si="1"/>
        <v>1134.8810145214065</v>
      </c>
      <c r="R16" s="5">
        <f t="shared" si="1"/>
        <v>1231.8504909044507</v>
      </c>
      <c r="S16" s="5">
        <f t="shared" si="1"/>
        <v>1339.3678645558848</v>
      </c>
    </row>
    <row r="17" spans="2:19" s="14" customFormat="1" ht="12" customHeight="1" x14ac:dyDescent="0.25">
      <c r="B17" s="11" t="s">
        <v>30</v>
      </c>
      <c r="C17" s="12" t="str">
        <f>IF(ISERROR(C16/#REF!-1)," ",C16/#REF!-1)</f>
        <v xml:space="preserve"> </v>
      </c>
      <c r="D17" s="12" t="str">
        <f>IF(ISERROR(D16/#REF!-1)," ",D16/#REF!-1)</f>
        <v xml:space="preserve"> </v>
      </c>
      <c r="E17" s="12" t="str">
        <f>IF(ISERROR(E16/#REF!-1)," ",E16/#REF!-1)</f>
        <v xml:space="preserve"> </v>
      </c>
      <c r="F17" s="12" t="str">
        <f>IF(ISERROR(F16/#REF!-1)," ",F16/#REF!-1)</f>
        <v xml:space="preserve"> </v>
      </c>
      <c r="G17" s="12" t="str">
        <f>IF(ISERROR(G16/#REF!-1)," ",G16/#REF!-1)</f>
        <v xml:space="preserve"> </v>
      </c>
      <c r="H17" s="12" t="str">
        <f>IF(ISERROR(H16/#REF!-1)," ",H16/#REF!-1)</f>
        <v xml:space="preserve"> </v>
      </c>
      <c r="I17" s="12" t="str">
        <f>IF(ISERROR(I16/#REF!-1)," ",I16/#REF!-1)</f>
        <v xml:space="preserve"> </v>
      </c>
      <c r="J17" s="12" t="str">
        <f>IF(ISERROR(J16/I16-1)," ",J16/I16-1)</f>
        <v xml:space="preserve"> </v>
      </c>
      <c r="K17" s="12" t="str">
        <f>IF(ISERROR(K16/J16-1)," ",K16/J16-1)</f>
        <v xml:space="preserve"> </v>
      </c>
      <c r="L17" s="12" t="str">
        <f>IF(ISERROR(L16/K16-1)," ",L16/K16-1)</f>
        <v xml:space="preserve"> </v>
      </c>
      <c r="M17" s="12">
        <f t="shared" ref="M17:S17" si="3">IF(ISERROR(M16/L16-1)," ",M16/L16-1)</f>
        <v>0.18365460804664369</v>
      </c>
      <c r="N17" s="12">
        <f t="shared" si="3"/>
        <v>-9.0090571330179059E-2</v>
      </c>
      <c r="O17" s="13">
        <f t="shared" si="3"/>
        <v>6.210734493974468E-2</v>
      </c>
      <c r="P17" s="13">
        <f t="shared" si="3"/>
        <v>0.20102517553403754</v>
      </c>
      <c r="Q17" s="13">
        <f t="shared" si="3"/>
        <v>0.11126736755044786</v>
      </c>
      <c r="R17" s="13">
        <f t="shared" si="3"/>
        <v>8.5444619429057456E-2</v>
      </c>
      <c r="S17" s="13">
        <f t="shared" si="3"/>
        <v>8.728118748606617E-2</v>
      </c>
    </row>
    <row r="18" spans="2:19" ht="12" customHeight="1" x14ac:dyDescent="0.25">
      <c r="B18" s="6"/>
      <c r="C18" s="7"/>
      <c r="D18" s="7"/>
      <c r="E18" s="7"/>
      <c r="F18" s="7"/>
      <c r="G18" s="7"/>
      <c r="H18" s="7"/>
      <c r="I18" s="7"/>
      <c r="J18" s="7"/>
      <c r="K18" s="7"/>
      <c r="L18" s="7"/>
      <c r="M18" s="7"/>
      <c r="N18" s="7"/>
      <c r="O18" s="8"/>
      <c r="P18" s="8"/>
      <c r="Q18" s="8"/>
      <c r="R18" s="8"/>
      <c r="S18" s="8"/>
    </row>
    <row r="19" spans="2:19" ht="12" customHeight="1" x14ac:dyDescent="0.25">
      <c r="B19" s="6" t="s">
        <v>31</v>
      </c>
      <c r="C19" s="7"/>
      <c r="D19" s="7"/>
      <c r="E19" s="7"/>
      <c r="F19" s="7"/>
      <c r="G19" s="7"/>
      <c r="H19" s="7"/>
      <c r="I19" s="7"/>
      <c r="J19" s="7"/>
      <c r="K19" s="7"/>
      <c r="L19" s="7">
        <v>406.49799999999999</v>
      </c>
      <c r="M19" s="7">
        <v>488.01400000000001</v>
      </c>
      <c r="N19" s="7">
        <v>460.26799999999997</v>
      </c>
      <c r="O19" s="8"/>
      <c r="P19" s="8"/>
      <c r="Q19" s="8"/>
      <c r="R19" s="8"/>
      <c r="S19" s="8"/>
    </row>
    <row r="20" spans="2:19" ht="12" customHeight="1" x14ac:dyDescent="0.25">
      <c r="B20" s="6" t="s">
        <v>32</v>
      </c>
      <c r="C20" s="7"/>
      <c r="D20" s="7"/>
      <c r="E20" s="7"/>
      <c r="F20" s="7"/>
      <c r="G20" s="7"/>
      <c r="H20" s="7"/>
      <c r="I20" s="7"/>
      <c r="J20" s="7"/>
      <c r="K20" s="7"/>
      <c r="L20" s="7">
        <v>48.844000000000001</v>
      </c>
      <c r="M20" s="7">
        <v>60.466000000000001</v>
      </c>
      <c r="N20" s="7">
        <v>58.896000000000001</v>
      </c>
      <c r="O20" s="8"/>
      <c r="P20" s="8"/>
      <c r="Q20" s="8"/>
      <c r="R20" s="8"/>
      <c r="S20" s="8"/>
    </row>
    <row r="21" spans="2:19" ht="12" customHeight="1" x14ac:dyDescent="0.25">
      <c r="B21" s="6" t="s">
        <v>33</v>
      </c>
      <c r="C21" s="7"/>
      <c r="D21" s="7"/>
      <c r="E21" s="7"/>
      <c r="F21" s="7"/>
      <c r="G21" s="7"/>
      <c r="H21" s="7"/>
      <c r="I21" s="7"/>
      <c r="J21" s="7"/>
      <c r="K21" s="7"/>
      <c r="L21" s="7">
        <v>33.29</v>
      </c>
      <c r="M21" s="7">
        <v>39.893000000000001</v>
      </c>
      <c r="N21" s="7">
        <v>46.55</v>
      </c>
      <c r="O21" s="8"/>
      <c r="P21" s="8"/>
      <c r="Q21" s="8"/>
      <c r="R21" s="8"/>
      <c r="S21" s="8"/>
    </row>
    <row r="22" spans="2:19" ht="12" customHeight="1" x14ac:dyDescent="0.25">
      <c r="B22" s="6"/>
      <c r="C22" s="7"/>
      <c r="D22" s="7"/>
      <c r="E22" s="7"/>
      <c r="F22" s="7"/>
      <c r="G22" s="7"/>
      <c r="H22" s="7"/>
      <c r="I22" s="7"/>
      <c r="J22" s="7"/>
      <c r="K22" s="7"/>
      <c r="L22" s="7"/>
      <c r="M22" s="7"/>
      <c r="N22" s="7"/>
      <c r="O22" s="8"/>
      <c r="P22" s="8"/>
      <c r="Q22" s="8"/>
      <c r="R22" s="8"/>
      <c r="S22" s="8"/>
    </row>
    <row r="23" spans="2:19" ht="12" customHeight="1" x14ac:dyDescent="0.25">
      <c r="B23" s="9" t="s">
        <v>34</v>
      </c>
      <c r="C23" s="10">
        <f t="shared" ref="C23:J23" si="4">C16-SUM(C19:C21)</f>
        <v>0</v>
      </c>
      <c r="D23" s="10">
        <f t="shared" si="4"/>
        <v>0</v>
      </c>
      <c r="E23" s="10">
        <f t="shared" si="4"/>
        <v>0</v>
      </c>
      <c r="F23" s="10">
        <f t="shared" si="4"/>
        <v>0</v>
      </c>
      <c r="G23" s="10">
        <f t="shared" si="4"/>
        <v>0</v>
      </c>
      <c r="H23" s="10">
        <f t="shared" si="4"/>
        <v>0</v>
      </c>
      <c r="I23" s="10">
        <f t="shared" si="4"/>
        <v>0</v>
      </c>
      <c r="J23" s="10">
        <f t="shared" si="4"/>
        <v>0</v>
      </c>
      <c r="K23" s="10">
        <f>K16-SUM(K19:K21)</f>
        <v>0</v>
      </c>
      <c r="L23" s="10">
        <f>L16-SUM(L19:L21)</f>
        <v>254.70899999999989</v>
      </c>
      <c r="M23" s="10">
        <f>M16-SUM(M19:M21)</f>
        <v>291.48599999999999</v>
      </c>
      <c r="N23" s="10">
        <f>N16-SUM(N19:N21)</f>
        <v>234.87800000000004</v>
      </c>
      <c r="O23" s="5">
        <f t="shared" ref="O23:S23" si="5">O16*O24</f>
        <v>249.46564896475741</v>
      </c>
      <c r="P23" s="5">
        <f t="shared" si="5"/>
        <v>299.61452483761036</v>
      </c>
      <c r="Q23" s="5">
        <f t="shared" si="5"/>
        <v>332.95184429616955</v>
      </c>
      <c r="R23" s="5">
        <f t="shared" si="5"/>
        <v>361.40078792025855</v>
      </c>
      <c r="S23" s="5">
        <f t="shared" si="5"/>
        <v>392.94427784833869</v>
      </c>
    </row>
    <row r="24" spans="2:19" ht="12" customHeight="1" x14ac:dyDescent="0.25">
      <c r="B24" s="15" t="s">
        <v>35</v>
      </c>
      <c r="C24" s="16" t="str">
        <f t="shared" ref="C24:M24" si="6">IF(ISERROR(C23/C16)," ",C23/C16)</f>
        <v xml:space="preserve"> </v>
      </c>
      <c r="D24" s="16" t="str">
        <f t="shared" si="6"/>
        <v xml:space="preserve"> </v>
      </c>
      <c r="E24" s="16" t="str">
        <f t="shared" si="6"/>
        <v xml:space="preserve"> </v>
      </c>
      <c r="F24" s="16" t="str">
        <f t="shared" si="6"/>
        <v xml:space="preserve"> </v>
      </c>
      <c r="G24" s="16" t="str">
        <f t="shared" si="6"/>
        <v xml:space="preserve"> </v>
      </c>
      <c r="H24" s="16" t="str">
        <f t="shared" si="6"/>
        <v xml:space="preserve"> </v>
      </c>
      <c r="I24" s="16" t="str">
        <f t="shared" si="6"/>
        <v xml:space="preserve"> </v>
      </c>
      <c r="J24" s="16" t="str">
        <f t="shared" si="6"/>
        <v xml:space="preserve"> </v>
      </c>
      <c r="K24" s="16" t="str">
        <f t="shared" si="6"/>
        <v xml:space="preserve"> </v>
      </c>
      <c r="L24" s="16">
        <f t="shared" si="6"/>
        <v>0.3426543134308479</v>
      </c>
      <c r="M24" s="16">
        <f t="shared" si="6"/>
        <v>0.33128717214917386</v>
      </c>
      <c r="N24" s="16">
        <f t="shared" ref="N24" si="7">IF(ISERROR(N23/N16)," ",N23/N16)</f>
        <v>0.29338039850510628</v>
      </c>
      <c r="O24" s="198">
        <f t="shared" ref="O24:S24" si="8">N24</f>
        <v>0.29338039850510628</v>
      </c>
      <c r="P24" s="198">
        <f t="shared" si="8"/>
        <v>0.29338039850510628</v>
      </c>
      <c r="Q24" s="198">
        <f t="shared" si="8"/>
        <v>0.29338039850510628</v>
      </c>
      <c r="R24" s="198">
        <f t="shared" si="8"/>
        <v>0.29338039850510628</v>
      </c>
      <c r="S24" s="198">
        <f t="shared" si="8"/>
        <v>0.29338039850510628</v>
      </c>
    </row>
    <row r="25" spans="2:19"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t="str">
        <f>IF(ISERROR(F23/#REF!-1)," ",F23/#REF!-1)</f>
        <v xml:space="preserve"> </v>
      </c>
      <c r="G25" s="12" t="str">
        <f>IF(ISERROR(G23/#REF!-1)," ",G23/#REF!-1)</f>
        <v xml:space="preserve"> </v>
      </c>
      <c r="H25" s="12" t="str">
        <f>IF(ISERROR(H23/#REF!-1)," ",H23/#REF!-1)</f>
        <v xml:space="preserve"> </v>
      </c>
      <c r="I25" s="12" t="str">
        <f>IF(ISERROR(I23/#REF!-1)," ",I23/#REF!-1)</f>
        <v xml:space="preserve"> </v>
      </c>
      <c r="J25" s="12" t="str">
        <f>IF(ISERROR(J23/I23-1)," ",J23/I23-1)</f>
        <v xml:space="preserve"> </v>
      </c>
      <c r="K25" s="12" t="str">
        <f>IF(ISERROR(K23/J23-1)," ",K23/J23-1)</f>
        <v xml:space="preserve"> </v>
      </c>
      <c r="L25" s="12" t="str">
        <f>IF(ISERROR(L23/K23-1)," ",L23/K23-1)</f>
        <v xml:space="preserve"> </v>
      </c>
      <c r="M25" s="12">
        <f>IF(ISERROR(M23/L23-1)," ",M23/L23-1)</f>
        <v>0.14438830194457242</v>
      </c>
      <c r="N25" s="12">
        <f>IF(ISERROR(N23/M23-1)," ",N23/M23-1)</f>
        <v>-0.19420486747219401</v>
      </c>
      <c r="O25" s="13"/>
      <c r="P25" s="13"/>
      <c r="Q25" s="13"/>
      <c r="R25" s="13"/>
      <c r="S25" s="13"/>
    </row>
    <row r="26" spans="2:19" ht="12" customHeight="1" x14ac:dyDescent="0.25">
      <c r="B26" s="15"/>
      <c r="C26" s="16"/>
      <c r="D26" s="16"/>
      <c r="E26" s="16"/>
      <c r="F26" s="16"/>
      <c r="G26" s="16"/>
      <c r="H26" s="16"/>
      <c r="I26" s="16"/>
      <c r="J26" s="16"/>
      <c r="K26" s="16"/>
      <c r="L26" s="16"/>
      <c r="M26" s="16"/>
      <c r="N26" s="16"/>
      <c r="O26" s="17"/>
      <c r="P26" s="17"/>
      <c r="Q26" s="17"/>
      <c r="R26" s="17"/>
      <c r="S26" s="17"/>
    </row>
    <row r="27" spans="2:19" ht="12" customHeight="1" x14ac:dyDescent="0.25">
      <c r="B27" s="6" t="s">
        <v>36</v>
      </c>
      <c r="C27" s="7"/>
      <c r="D27" s="7"/>
      <c r="E27" s="7"/>
      <c r="F27" s="7"/>
      <c r="G27" s="7"/>
      <c r="H27" s="7"/>
      <c r="I27" s="7"/>
      <c r="J27" s="7"/>
      <c r="K27" s="7"/>
      <c r="L27" s="7">
        <v>11.202</v>
      </c>
      <c r="M27" s="7">
        <v>13.384</v>
      </c>
      <c r="N27" s="7">
        <v>12.611000000000001</v>
      </c>
      <c r="O27" s="8"/>
      <c r="P27" s="8"/>
      <c r="Q27" s="8"/>
      <c r="R27" s="8"/>
      <c r="S27" s="8"/>
    </row>
    <row r="28" spans="2:19" ht="12" customHeight="1" x14ac:dyDescent="0.25">
      <c r="B28" s="6" t="s">
        <v>37</v>
      </c>
      <c r="C28" s="7"/>
      <c r="D28" s="7"/>
      <c r="E28" s="7"/>
      <c r="F28" s="7"/>
      <c r="G28" s="7"/>
      <c r="H28" s="7"/>
      <c r="I28" s="7"/>
      <c r="J28" s="7"/>
      <c r="K28" s="7"/>
      <c r="L28" s="7">
        <v>118.129</v>
      </c>
      <c r="M28" s="7">
        <v>119.40300000000001</v>
      </c>
      <c r="N28" s="7">
        <v>139.94900000000001</v>
      </c>
      <c r="O28" s="8"/>
      <c r="P28" s="8"/>
      <c r="Q28" s="8"/>
      <c r="R28" s="8"/>
      <c r="S28" s="8"/>
    </row>
    <row r="29" spans="2:19" ht="12" customHeight="1" x14ac:dyDescent="0.25">
      <c r="B29" s="6"/>
      <c r="C29" s="7"/>
      <c r="D29" s="7"/>
      <c r="E29" s="7"/>
      <c r="F29" s="7"/>
      <c r="G29" s="7"/>
      <c r="H29" s="7"/>
      <c r="I29" s="7"/>
      <c r="J29" s="7"/>
      <c r="K29" s="7"/>
      <c r="L29" s="7"/>
      <c r="M29" s="7"/>
      <c r="N29" s="7"/>
      <c r="O29" s="8"/>
      <c r="P29" s="8"/>
      <c r="Q29" s="8"/>
      <c r="R29" s="8"/>
      <c r="S29" s="8"/>
    </row>
    <row r="30" spans="2:19" ht="12" customHeight="1" x14ac:dyDescent="0.25">
      <c r="B30" s="9" t="s">
        <v>38</v>
      </c>
      <c r="C30" s="10">
        <f t="shared" ref="C30:M30" si="9">C23+C27-C28</f>
        <v>0</v>
      </c>
      <c r="D30" s="10">
        <f t="shared" si="9"/>
        <v>0</v>
      </c>
      <c r="E30" s="10">
        <f t="shared" si="9"/>
        <v>0</v>
      </c>
      <c r="F30" s="10">
        <f t="shared" si="9"/>
        <v>0</v>
      </c>
      <c r="G30" s="10">
        <f t="shared" si="9"/>
        <v>0</v>
      </c>
      <c r="H30" s="10">
        <f t="shared" si="9"/>
        <v>0</v>
      </c>
      <c r="I30" s="10">
        <f t="shared" si="9"/>
        <v>0</v>
      </c>
      <c r="J30" s="10">
        <f t="shared" si="9"/>
        <v>0</v>
      </c>
      <c r="K30" s="10">
        <f t="shared" si="9"/>
        <v>0</v>
      </c>
      <c r="L30" s="10">
        <f t="shared" si="9"/>
        <v>147.78199999999987</v>
      </c>
      <c r="M30" s="10">
        <f t="shared" si="9"/>
        <v>185.46699999999998</v>
      </c>
      <c r="N30" s="10">
        <f t="shared" ref="N30" si="10">N23+N27-N28</f>
        <v>107.54000000000002</v>
      </c>
      <c r="O30" s="5"/>
      <c r="P30" s="5"/>
      <c r="Q30" s="5"/>
      <c r="R30" s="5"/>
      <c r="S30" s="5"/>
    </row>
    <row r="31" spans="2:19" ht="12" customHeight="1" x14ac:dyDescent="0.25">
      <c r="B31" s="6"/>
      <c r="C31" s="7"/>
      <c r="D31" s="7"/>
      <c r="E31" s="7"/>
      <c r="F31" s="7"/>
      <c r="G31" s="7"/>
      <c r="H31" s="7"/>
      <c r="I31" s="7"/>
      <c r="J31" s="7"/>
      <c r="K31" s="7"/>
      <c r="L31" s="7"/>
      <c r="M31" s="7"/>
      <c r="N31" s="7"/>
      <c r="O31" s="8"/>
      <c r="P31" s="8"/>
      <c r="Q31" s="8"/>
      <c r="R31" s="8"/>
      <c r="S31" s="8"/>
    </row>
    <row r="32" spans="2:19" ht="12" customHeight="1" x14ac:dyDescent="0.25">
      <c r="B32" s="6" t="s">
        <v>39</v>
      </c>
      <c r="C32" s="7"/>
      <c r="D32" s="7"/>
      <c r="E32" s="7"/>
      <c r="F32" s="7"/>
      <c r="G32" s="7"/>
      <c r="H32" s="7"/>
      <c r="I32" s="7"/>
      <c r="J32" s="7"/>
      <c r="K32" s="7"/>
      <c r="L32" s="7">
        <v>112.334</v>
      </c>
      <c r="M32" s="7">
        <v>166.298</v>
      </c>
      <c r="N32" s="7">
        <f>215.896+7.443</f>
        <v>223.339</v>
      </c>
      <c r="O32" s="8"/>
      <c r="P32" s="8"/>
      <c r="Q32" s="8"/>
      <c r="R32" s="8"/>
      <c r="S32" s="8"/>
    </row>
    <row r="33" spans="2:19" ht="12" customHeight="1" x14ac:dyDescent="0.25">
      <c r="B33" s="6" t="s">
        <v>307</v>
      </c>
      <c r="C33" s="7"/>
      <c r="D33" s="7"/>
      <c r="E33" s="7"/>
      <c r="F33" s="7"/>
      <c r="G33" s="7"/>
      <c r="H33" s="7"/>
      <c r="I33" s="7"/>
      <c r="J33" s="7"/>
      <c r="K33" s="7"/>
      <c r="L33" s="7"/>
      <c r="M33" s="7"/>
      <c r="N33" s="7"/>
      <c r="O33" s="8"/>
      <c r="P33" s="8"/>
      <c r="Q33" s="8"/>
      <c r="R33" s="8"/>
      <c r="S33" s="8"/>
    </row>
    <row r="34" spans="2:19" ht="12" customHeight="1" x14ac:dyDescent="0.25">
      <c r="B34" s="6"/>
      <c r="C34" s="7"/>
      <c r="D34" s="7"/>
      <c r="E34" s="7"/>
      <c r="F34" s="7"/>
      <c r="G34" s="7"/>
      <c r="H34" s="7"/>
      <c r="I34" s="7"/>
      <c r="J34" s="7"/>
      <c r="K34" s="7"/>
      <c r="L34" s="7"/>
      <c r="M34" s="7"/>
      <c r="N34" s="7"/>
      <c r="O34" s="8"/>
      <c r="P34" s="8"/>
      <c r="Q34" s="8"/>
      <c r="R34" s="8"/>
      <c r="S34" s="8"/>
    </row>
    <row r="35" spans="2:19" ht="12" customHeight="1" x14ac:dyDescent="0.25">
      <c r="B35" s="9" t="s">
        <v>40</v>
      </c>
      <c r="C35" s="10">
        <f t="shared" ref="C35:M35" si="11">C30-C32-C33</f>
        <v>0</v>
      </c>
      <c r="D35" s="10">
        <f t="shared" si="11"/>
        <v>0</v>
      </c>
      <c r="E35" s="10">
        <f t="shared" si="11"/>
        <v>0</v>
      </c>
      <c r="F35" s="10">
        <f t="shared" si="11"/>
        <v>0</v>
      </c>
      <c r="G35" s="10">
        <f t="shared" si="11"/>
        <v>0</v>
      </c>
      <c r="H35" s="10">
        <f t="shared" si="11"/>
        <v>0</v>
      </c>
      <c r="I35" s="10">
        <f t="shared" si="11"/>
        <v>0</v>
      </c>
      <c r="J35" s="10">
        <f t="shared" si="11"/>
        <v>0</v>
      </c>
      <c r="K35" s="10">
        <f t="shared" si="11"/>
        <v>0</v>
      </c>
      <c r="L35" s="10">
        <f t="shared" si="11"/>
        <v>35.447999999999865</v>
      </c>
      <c r="M35" s="10">
        <f t="shared" si="11"/>
        <v>19.168999999999983</v>
      </c>
      <c r="N35" s="10">
        <f t="shared" ref="N35" si="12">N30-N32-N33</f>
        <v>-115.79899999999998</v>
      </c>
      <c r="O35" s="5"/>
      <c r="P35" s="5"/>
      <c r="Q35" s="5"/>
      <c r="R35" s="5"/>
      <c r="S35" s="5"/>
    </row>
    <row r="36" spans="2:19" ht="12" customHeight="1" x14ac:dyDescent="0.25">
      <c r="B36" s="6"/>
      <c r="C36" s="7"/>
      <c r="D36" s="7"/>
      <c r="E36" s="7"/>
      <c r="F36" s="7"/>
      <c r="G36" s="7"/>
      <c r="H36" s="7"/>
      <c r="I36" s="7"/>
      <c r="J36" s="7"/>
      <c r="K36" s="7"/>
      <c r="L36" s="7"/>
      <c r="M36" s="7"/>
      <c r="N36" s="7"/>
      <c r="O36" s="8"/>
      <c r="P36" s="8"/>
      <c r="Q36" s="8"/>
      <c r="R36" s="8"/>
      <c r="S36" s="8"/>
    </row>
    <row r="37" spans="2:19" ht="12" customHeight="1" x14ac:dyDescent="0.25">
      <c r="B37" s="6" t="s">
        <v>41</v>
      </c>
      <c r="C37" s="7"/>
      <c r="D37" s="7"/>
      <c r="E37" s="7"/>
      <c r="F37" s="7"/>
      <c r="G37" s="7"/>
      <c r="H37" s="7"/>
      <c r="I37" s="7"/>
      <c r="J37" s="7"/>
      <c r="K37" s="7"/>
      <c r="L37" s="7"/>
      <c r="M37" s="7"/>
      <c r="N37" s="7"/>
      <c r="O37" s="8"/>
      <c r="P37" s="8"/>
      <c r="Q37" s="8"/>
      <c r="R37" s="8"/>
      <c r="S37" s="8"/>
    </row>
    <row r="38" spans="2:19" ht="12" customHeight="1" x14ac:dyDescent="0.25">
      <c r="B38" s="6" t="s">
        <v>42</v>
      </c>
      <c r="C38" s="7"/>
      <c r="D38" s="7"/>
      <c r="E38" s="7"/>
      <c r="F38" s="7"/>
      <c r="G38" s="7"/>
      <c r="H38" s="7"/>
      <c r="I38" s="7"/>
      <c r="J38" s="7"/>
      <c r="K38" s="7"/>
      <c r="L38" s="7">
        <v>5.9080000000000004</v>
      </c>
      <c r="M38" s="7">
        <v>3.2</v>
      </c>
      <c r="N38" s="7">
        <v>3.153</v>
      </c>
      <c r="O38" s="8"/>
      <c r="P38" s="8"/>
      <c r="Q38" s="8"/>
      <c r="R38" s="8"/>
      <c r="S38" s="8"/>
    </row>
    <row r="39" spans="2:19" ht="12" customHeight="1" x14ac:dyDescent="0.25">
      <c r="B39" s="6" t="s">
        <v>43</v>
      </c>
      <c r="C39" s="7"/>
      <c r="D39" s="7"/>
      <c r="E39" s="7"/>
      <c r="F39" s="7"/>
      <c r="G39" s="7"/>
      <c r="H39" s="7"/>
      <c r="I39" s="7"/>
      <c r="J39" s="7"/>
      <c r="K39" s="7"/>
      <c r="L39" s="7">
        <v>2.7349999999999999</v>
      </c>
      <c r="M39" s="7">
        <v>2.621</v>
      </c>
      <c r="N39" s="7">
        <v>-55.854999999999997</v>
      </c>
      <c r="O39" s="8"/>
      <c r="P39" s="8"/>
      <c r="Q39" s="8"/>
      <c r="R39" s="8"/>
      <c r="S39" s="8"/>
    </row>
    <row r="40" spans="2:19" ht="12" customHeight="1" x14ac:dyDescent="0.25">
      <c r="B40" s="6" t="s">
        <v>44</v>
      </c>
      <c r="C40" s="7"/>
      <c r="D40" s="7"/>
      <c r="E40" s="7"/>
      <c r="F40" s="7"/>
      <c r="G40" s="7"/>
      <c r="H40" s="7"/>
      <c r="I40" s="7"/>
      <c r="J40" s="7"/>
      <c r="K40" s="7"/>
      <c r="L40" s="7"/>
      <c r="M40" s="7"/>
      <c r="N40" s="7">
        <v>-17.013999999999999</v>
      </c>
      <c r="O40" s="8"/>
      <c r="P40" s="8"/>
      <c r="Q40" s="8"/>
      <c r="R40" s="8"/>
      <c r="S40" s="8"/>
    </row>
    <row r="41" spans="2:19" s="18" customFormat="1" ht="12" customHeight="1" x14ac:dyDescent="0.25">
      <c r="B41" s="9" t="s">
        <v>45</v>
      </c>
      <c r="C41" s="10">
        <f t="shared" ref="C41:L41" si="13">SUM(C38:C40)</f>
        <v>0</v>
      </c>
      <c r="D41" s="10">
        <f t="shared" si="13"/>
        <v>0</v>
      </c>
      <c r="E41" s="10">
        <f t="shared" si="13"/>
        <v>0</v>
      </c>
      <c r="F41" s="10">
        <f t="shared" si="13"/>
        <v>0</v>
      </c>
      <c r="G41" s="10">
        <f t="shared" si="13"/>
        <v>0</v>
      </c>
      <c r="H41" s="10">
        <f t="shared" si="13"/>
        <v>0</v>
      </c>
      <c r="I41" s="10">
        <f t="shared" si="13"/>
        <v>0</v>
      </c>
      <c r="J41" s="10">
        <f t="shared" si="13"/>
        <v>0</v>
      </c>
      <c r="K41" s="10">
        <f t="shared" si="13"/>
        <v>0</v>
      </c>
      <c r="L41" s="10">
        <f t="shared" si="13"/>
        <v>8.6430000000000007</v>
      </c>
      <c r="M41" s="10">
        <f>SUM(M38:M40)</f>
        <v>5.8209999999999997</v>
      </c>
      <c r="N41" s="10">
        <f>SUM(N38:N40)</f>
        <v>-69.715999999999994</v>
      </c>
      <c r="O41" s="5"/>
      <c r="P41" s="5"/>
      <c r="Q41" s="5"/>
      <c r="R41" s="5"/>
      <c r="S41" s="5"/>
    </row>
    <row r="42" spans="2:19" ht="12" customHeight="1" x14ac:dyDescent="0.25">
      <c r="B42" s="19" t="s">
        <v>46</v>
      </c>
      <c r="C42" s="12" t="str">
        <f t="shared" ref="C42:M42" si="14">IF(ISERROR(C41/C35)," ",C41/C35)</f>
        <v xml:space="preserve"> </v>
      </c>
      <c r="D42" s="12" t="str">
        <f t="shared" si="14"/>
        <v xml:space="preserve"> </v>
      </c>
      <c r="E42" s="12" t="str">
        <f t="shared" si="14"/>
        <v xml:space="preserve"> </v>
      </c>
      <c r="F42" s="12" t="str">
        <f t="shared" si="14"/>
        <v xml:space="preserve"> </v>
      </c>
      <c r="G42" s="12" t="str">
        <f t="shared" si="14"/>
        <v xml:space="preserve"> </v>
      </c>
      <c r="H42" s="12" t="str">
        <f t="shared" si="14"/>
        <v xml:space="preserve"> </v>
      </c>
      <c r="I42" s="12" t="str">
        <f t="shared" si="14"/>
        <v xml:space="preserve"> </v>
      </c>
      <c r="J42" s="12" t="str">
        <f t="shared" si="14"/>
        <v xml:space="preserve"> </v>
      </c>
      <c r="K42" s="12" t="str">
        <f t="shared" si="14"/>
        <v xml:space="preserve"> </v>
      </c>
      <c r="L42" s="12">
        <f t="shared" si="14"/>
        <v>0.24382193635748234</v>
      </c>
      <c r="M42" s="12">
        <f t="shared" si="14"/>
        <v>0.30366737962335044</v>
      </c>
      <c r="N42" s="12">
        <f t="shared" ref="N42" si="15">IF(ISERROR(N41/N35)," ",N41/N35)</f>
        <v>0.60204319553709451</v>
      </c>
      <c r="O42" s="13"/>
      <c r="P42" s="13"/>
      <c r="Q42" s="13"/>
      <c r="R42" s="13"/>
      <c r="S42" s="13"/>
    </row>
    <row r="43" spans="2:19" ht="12" customHeight="1" x14ac:dyDescent="0.25">
      <c r="B43" s="19"/>
      <c r="C43" s="12"/>
      <c r="D43" s="12"/>
      <c r="E43" s="12"/>
      <c r="F43" s="12"/>
      <c r="G43" s="12"/>
      <c r="H43" s="12"/>
      <c r="I43" s="12"/>
      <c r="J43" s="12"/>
      <c r="K43" s="12"/>
      <c r="L43" s="12"/>
      <c r="M43" s="12"/>
      <c r="N43" s="12"/>
      <c r="O43" s="13"/>
      <c r="P43" s="13"/>
      <c r="Q43" s="13"/>
      <c r="R43" s="13"/>
      <c r="S43" s="13"/>
    </row>
    <row r="44" spans="2:19" ht="12" customHeight="1" x14ac:dyDescent="0.25">
      <c r="B44" s="9" t="s">
        <v>47</v>
      </c>
      <c r="C44" s="10">
        <f t="shared" ref="C44:M44" si="16">C35-C36-C41</f>
        <v>0</v>
      </c>
      <c r="D44" s="10">
        <f t="shared" si="16"/>
        <v>0</v>
      </c>
      <c r="E44" s="10">
        <f t="shared" si="16"/>
        <v>0</v>
      </c>
      <c r="F44" s="10">
        <f t="shared" si="16"/>
        <v>0</v>
      </c>
      <c r="G44" s="10">
        <f t="shared" si="16"/>
        <v>0</v>
      </c>
      <c r="H44" s="10">
        <f t="shared" si="16"/>
        <v>0</v>
      </c>
      <c r="I44" s="10">
        <f t="shared" si="16"/>
        <v>0</v>
      </c>
      <c r="J44" s="10">
        <f t="shared" si="16"/>
        <v>0</v>
      </c>
      <c r="K44" s="10">
        <f t="shared" si="16"/>
        <v>0</v>
      </c>
      <c r="L44" s="10">
        <f t="shared" si="16"/>
        <v>26.804999999999865</v>
      </c>
      <c r="M44" s="10">
        <f t="shared" si="16"/>
        <v>13.347999999999983</v>
      </c>
      <c r="N44" s="10">
        <f t="shared" ref="N44" si="17">N35-N36-N41</f>
        <v>-46.082999999999984</v>
      </c>
      <c r="O44" s="5"/>
      <c r="P44" s="5"/>
      <c r="Q44" s="5"/>
      <c r="R44" s="5"/>
      <c r="S44" s="5"/>
    </row>
    <row r="45" spans="2:19" ht="12" customHeight="1" x14ac:dyDescent="0.25">
      <c r="B45" s="6"/>
      <c r="C45" s="7"/>
      <c r="D45" s="7"/>
      <c r="E45" s="7"/>
      <c r="F45" s="7"/>
      <c r="G45" s="7"/>
      <c r="H45" s="7"/>
      <c r="I45" s="7"/>
      <c r="J45" s="7"/>
      <c r="K45" s="7"/>
      <c r="L45" s="7"/>
      <c r="M45" s="7"/>
      <c r="N45" s="7"/>
      <c r="O45" s="8"/>
      <c r="P45" s="8"/>
      <c r="Q45" s="8"/>
      <c r="R45" s="8"/>
      <c r="S45" s="8"/>
    </row>
    <row r="46" spans="2:19" ht="12" customHeight="1" x14ac:dyDescent="0.25">
      <c r="B46" s="6" t="s">
        <v>48</v>
      </c>
      <c r="C46" s="7"/>
      <c r="D46" s="7"/>
      <c r="E46" s="7"/>
      <c r="F46" s="7"/>
      <c r="G46" s="7"/>
      <c r="H46" s="7"/>
      <c r="I46" s="7"/>
      <c r="J46" s="7"/>
      <c r="K46" s="7"/>
      <c r="L46" s="7"/>
      <c r="M46" s="7"/>
      <c r="N46" s="7"/>
      <c r="O46" s="8"/>
      <c r="P46" s="8"/>
      <c r="Q46" s="8"/>
      <c r="R46" s="8"/>
      <c r="S46" s="8"/>
    </row>
    <row r="47" spans="2:19" ht="12" customHeight="1" x14ac:dyDescent="0.25">
      <c r="B47" s="6" t="s">
        <v>49</v>
      </c>
      <c r="C47" s="7"/>
      <c r="D47" s="7"/>
      <c r="E47" s="7"/>
      <c r="F47" s="7"/>
      <c r="G47" s="7"/>
      <c r="H47" s="7"/>
      <c r="I47" s="7"/>
      <c r="J47" s="7"/>
      <c r="K47" s="7"/>
      <c r="L47" s="7"/>
      <c r="M47" s="7"/>
      <c r="N47" s="7"/>
      <c r="O47" s="8"/>
      <c r="P47" s="8"/>
      <c r="Q47" s="8"/>
      <c r="R47" s="8"/>
      <c r="S47" s="8"/>
    </row>
    <row r="48" spans="2:19" ht="12" customHeight="1" x14ac:dyDescent="0.25">
      <c r="B48" s="6"/>
      <c r="C48" s="7"/>
      <c r="D48" s="7"/>
      <c r="E48" s="7"/>
      <c r="F48" s="7"/>
      <c r="G48" s="7"/>
      <c r="H48" s="7"/>
      <c r="I48" s="7"/>
      <c r="J48" s="7"/>
      <c r="K48" s="7"/>
      <c r="L48" s="7"/>
      <c r="M48" s="7"/>
      <c r="N48" s="7"/>
      <c r="O48" s="8"/>
      <c r="P48" s="8"/>
      <c r="Q48" s="8"/>
      <c r="R48" s="8"/>
      <c r="S48" s="8"/>
    </row>
    <row r="49" spans="2:19" ht="12" customHeight="1" x14ac:dyDescent="0.25">
      <c r="B49" s="9" t="s">
        <v>50</v>
      </c>
      <c r="C49" s="10">
        <f t="shared" ref="C49:M49" si="18">C44-C46+C47</f>
        <v>0</v>
      </c>
      <c r="D49" s="10">
        <f t="shared" si="18"/>
        <v>0</v>
      </c>
      <c r="E49" s="10">
        <f t="shared" si="18"/>
        <v>0</v>
      </c>
      <c r="F49" s="10">
        <f t="shared" si="18"/>
        <v>0</v>
      </c>
      <c r="G49" s="10">
        <f t="shared" si="18"/>
        <v>0</v>
      </c>
      <c r="H49" s="10">
        <f t="shared" si="18"/>
        <v>0</v>
      </c>
      <c r="I49" s="10">
        <f t="shared" si="18"/>
        <v>0</v>
      </c>
      <c r="J49" s="10">
        <f t="shared" si="18"/>
        <v>0</v>
      </c>
      <c r="K49" s="10">
        <f t="shared" si="18"/>
        <v>0</v>
      </c>
      <c r="L49" s="10">
        <f t="shared" si="18"/>
        <v>26.804999999999865</v>
      </c>
      <c r="M49" s="10">
        <f t="shared" si="18"/>
        <v>13.347999999999983</v>
      </c>
      <c r="N49" s="10">
        <f t="shared" ref="N49" si="19">N44-N46+N47</f>
        <v>-46.082999999999984</v>
      </c>
      <c r="O49" s="5"/>
      <c r="P49" s="5"/>
      <c r="Q49" s="5"/>
      <c r="R49" s="5"/>
      <c r="S49" s="5"/>
    </row>
    <row r="50" spans="2:19" ht="12" customHeight="1" x14ac:dyDescent="0.25">
      <c r="B50" s="15" t="s">
        <v>35</v>
      </c>
      <c r="C50" s="16" t="str">
        <f t="shared" ref="C50:M50" si="20">IF(ISERROR(C49/C16)," ",C49/C16)</f>
        <v xml:space="preserve"> </v>
      </c>
      <c r="D50" s="16" t="str">
        <f t="shared" si="20"/>
        <v xml:space="preserve"> </v>
      </c>
      <c r="E50" s="16" t="str">
        <f t="shared" si="20"/>
        <v xml:space="preserve"> </v>
      </c>
      <c r="F50" s="16" t="str">
        <f t="shared" si="20"/>
        <v xml:space="preserve"> </v>
      </c>
      <c r="G50" s="16" t="str">
        <f t="shared" si="20"/>
        <v xml:space="preserve"> </v>
      </c>
      <c r="H50" s="16" t="str">
        <f t="shared" si="20"/>
        <v xml:space="preserve"> </v>
      </c>
      <c r="I50" s="16" t="str">
        <f t="shared" si="20"/>
        <v xml:space="preserve"> </v>
      </c>
      <c r="J50" s="16" t="str">
        <f t="shared" si="20"/>
        <v xml:space="preserve"> </v>
      </c>
      <c r="K50" s="16" t="str">
        <f t="shared" si="20"/>
        <v xml:space="preserve"> </v>
      </c>
      <c r="L50" s="16">
        <f t="shared" si="20"/>
        <v>3.6060166195595114E-2</v>
      </c>
      <c r="M50" s="16">
        <f t="shared" si="20"/>
        <v>1.5170612564058539E-2</v>
      </c>
      <c r="N50" s="16">
        <f t="shared" ref="N50" si="21">IF(ISERROR(N49/N16)," ",N49/N16)</f>
        <v>-5.756115474548832E-2</v>
      </c>
      <c r="O50" s="17"/>
      <c r="P50" s="17"/>
      <c r="Q50" s="17"/>
      <c r="R50" s="17"/>
      <c r="S50" s="17"/>
    </row>
    <row r="51" spans="2:19" s="14" customFormat="1" ht="12" customHeight="1" x14ac:dyDescent="0.25">
      <c r="B51" s="11" t="s">
        <v>30</v>
      </c>
      <c r="C51" s="12" t="str">
        <f t="shared" ref="C51:K51" si="22">IF(ISERROR(C49/B49-1)," ",C49/B49-1)</f>
        <v xml:space="preserve"> </v>
      </c>
      <c r="D51" s="12" t="str">
        <f t="shared" si="22"/>
        <v xml:space="preserve"> </v>
      </c>
      <c r="E51" s="12" t="str">
        <f t="shared" si="22"/>
        <v xml:space="preserve"> </v>
      </c>
      <c r="F51" s="12" t="str">
        <f t="shared" si="22"/>
        <v xml:space="preserve"> </v>
      </c>
      <c r="G51" s="12" t="str">
        <f t="shared" si="22"/>
        <v xml:space="preserve"> </v>
      </c>
      <c r="H51" s="12" t="str">
        <f t="shared" si="22"/>
        <v xml:space="preserve"> </v>
      </c>
      <c r="I51" s="12" t="str">
        <f t="shared" si="22"/>
        <v xml:space="preserve"> </v>
      </c>
      <c r="J51" s="12" t="str">
        <f t="shared" si="22"/>
        <v xml:space="preserve"> </v>
      </c>
      <c r="K51" s="12" t="str">
        <f t="shared" si="22"/>
        <v xml:space="preserve"> </v>
      </c>
      <c r="L51" s="12" t="str">
        <f>IF(ISERROR(L49/K49-1)," ",L49/K49-1)</f>
        <v xml:space="preserve"> </v>
      </c>
      <c r="M51" s="12">
        <f>IF(ISERROR(M49/L49-1)," ",M49/L49-1)</f>
        <v>-0.50203320276067709</v>
      </c>
      <c r="N51" s="12">
        <f>IF(ISERROR(N49/M49-1)," ",N49/M49-1)</f>
        <v>-4.4524273299370725</v>
      </c>
      <c r="O51" s="13"/>
      <c r="P51" s="13"/>
      <c r="Q51" s="13"/>
      <c r="R51" s="13"/>
      <c r="S51" s="13"/>
    </row>
    <row r="52" spans="2:19" ht="12" customHeight="1" x14ac:dyDescent="0.25">
      <c r="B52" s="15"/>
      <c r="C52" s="16"/>
      <c r="D52" s="16"/>
      <c r="E52" s="16"/>
      <c r="F52" s="16"/>
      <c r="G52" s="16"/>
      <c r="H52" s="16"/>
      <c r="I52" s="16"/>
      <c r="J52" s="16"/>
      <c r="K52" s="16"/>
      <c r="L52" s="16"/>
      <c r="M52" s="16"/>
      <c r="N52" s="16"/>
      <c r="O52" s="17"/>
      <c r="P52" s="17"/>
      <c r="Q52" s="17"/>
      <c r="R52" s="17"/>
      <c r="S52" s="17"/>
    </row>
    <row r="53" spans="2:19" ht="12" customHeight="1" x14ac:dyDescent="0.25">
      <c r="B53" s="9" t="s">
        <v>51</v>
      </c>
      <c r="C53" s="10"/>
      <c r="D53" s="10"/>
      <c r="E53" s="10"/>
      <c r="F53" s="10"/>
      <c r="G53" s="10"/>
      <c r="H53" s="10"/>
      <c r="I53" s="10"/>
      <c r="J53" s="10"/>
      <c r="K53" s="10"/>
      <c r="L53" s="10"/>
      <c r="M53" s="10"/>
      <c r="N53" s="10"/>
      <c r="O53" s="5"/>
      <c r="P53" s="5"/>
      <c r="Q53" s="5"/>
      <c r="R53" s="5"/>
      <c r="S53" s="5"/>
    </row>
    <row r="54" spans="2:19" ht="12" customHeight="1" x14ac:dyDescent="0.25">
      <c r="B54" s="9" t="s">
        <v>52</v>
      </c>
      <c r="C54" s="20"/>
      <c r="D54" s="20"/>
      <c r="E54" s="20"/>
      <c r="F54" s="20"/>
      <c r="G54" s="20"/>
      <c r="H54" s="20"/>
      <c r="I54" s="20"/>
      <c r="J54" s="20"/>
      <c r="K54" s="20"/>
      <c r="L54" s="20"/>
      <c r="M54" s="20"/>
      <c r="N54" s="20"/>
      <c r="O54" s="21"/>
      <c r="P54" s="21"/>
      <c r="Q54" s="21"/>
      <c r="R54" s="21"/>
      <c r="S54" s="21"/>
    </row>
    <row r="55" spans="2:19" ht="12" customHeight="1" x14ac:dyDescent="0.25">
      <c r="B55" s="9" t="s">
        <v>53</v>
      </c>
      <c r="C55" s="20"/>
      <c r="D55" s="20"/>
      <c r="E55" s="20"/>
      <c r="F55" s="20"/>
      <c r="G55" s="20"/>
      <c r="H55" s="20"/>
      <c r="I55" s="20"/>
      <c r="J55" s="20"/>
      <c r="K55" s="20"/>
      <c r="L55" s="20"/>
      <c r="M55" s="20"/>
      <c r="N55" s="20"/>
      <c r="O55" s="21"/>
      <c r="P55" s="21"/>
      <c r="Q55" s="21"/>
      <c r="R55" s="21"/>
      <c r="S55" s="21"/>
    </row>
    <row r="56" spans="2:19" ht="12" customHeight="1" x14ac:dyDescent="0.25">
      <c r="B56" s="9" t="s">
        <v>54</v>
      </c>
      <c r="C56" s="20"/>
      <c r="D56" s="20"/>
      <c r="E56" s="20"/>
      <c r="F56" s="20"/>
      <c r="G56" s="20"/>
      <c r="H56" s="20"/>
      <c r="I56" s="20"/>
      <c r="J56" s="20"/>
      <c r="K56" s="20"/>
      <c r="L56" s="20"/>
      <c r="M56" s="20"/>
      <c r="N56" s="20"/>
      <c r="O56" s="21"/>
      <c r="P56" s="21"/>
      <c r="Q56" s="21"/>
      <c r="R56" s="21"/>
      <c r="S56" s="21"/>
    </row>
    <row r="57" spans="2:19" ht="12" customHeight="1" x14ac:dyDescent="0.25">
      <c r="B57" s="9" t="s">
        <v>55</v>
      </c>
      <c r="C57" s="20"/>
      <c r="D57" s="20"/>
      <c r="E57" s="20"/>
      <c r="F57" s="20"/>
      <c r="G57" s="20"/>
      <c r="H57" s="20"/>
      <c r="I57" s="20"/>
      <c r="J57" s="20"/>
      <c r="K57" s="20"/>
      <c r="L57" s="20"/>
      <c r="M57" s="20"/>
      <c r="N57" s="20"/>
      <c r="O57" s="21"/>
      <c r="P57" s="21"/>
      <c r="Q57" s="21"/>
      <c r="R57" s="21"/>
      <c r="S57" s="21"/>
    </row>
    <row r="58" spans="2:19" ht="12" customHeight="1" x14ac:dyDescent="0.25">
      <c r="B58" s="9" t="s">
        <v>56</v>
      </c>
      <c r="C58" s="20"/>
      <c r="D58" s="20"/>
      <c r="E58" s="20"/>
      <c r="F58" s="20"/>
      <c r="G58" s="20"/>
      <c r="H58" s="20"/>
      <c r="I58" s="20"/>
      <c r="J58" s="20"/>
      <c r="K58" s="20"/>
      <c r="L58" s="20"/>
      <c r="M58" s="20"/>
      <c r="N58" s="20"/>
      <c r="O58" s="21"/>
      <c r="P58" s="21"/>
      <c r="Q58" s="21"/>
      <c r="R58" s="21"/>
      <c r="S58" s="21"/>
    </row>
    <row r="59" spans="2:19" ht="12" customHeight="1" x14ac:dyDescent="0.25">
      <c r="B59" s="9" t="s">
        <v>57</v>
      </c>
      <c r="C59" s="22"/>
      <c r="D59" s="22"/>
      <c r="E59" s="22"/>
      <c r="F59" s="22"/>
      <c r="G59" s="22"/>
      <c r="H59" s="22"/>
      <c r="I59" s="22"/>
      <c r="J59" s="22"/>
      <c r="K59" s="22"/>
      <c r="L59" s="22"/>
      <c r="M59" s="22"/>
      <c r="N59" s="22"/>
      <c r="O59" s="23"/>
      <c r="P59" s="23"/>
      <c r="Q59" s="23"/>
      <c r="R59" s="23"/>
      <c r="S59" s="23"/>
    </row>
    <row r="60" spans="2:19" ht="12" customHeight="1" x14ac:dyDescent="0.25">
      <c r="B60" s="9" t="s">
        <v>58</v>
      </c>
      <c r="C60" s="10"/>
      <c r="D60" s="10"/>
      <c r="E60" s="10"/>
      <c r="F60" s="10"/>
      <c r="G60" s="10"/>
      <c r="H60" s="10"/>
      <c r="I60" s="10"/>
      <c r="J60" s="10"/>
      <c r="K60" s="10"/>
      <c r="L60" s="10"/>
      <c r="M60" s="10"/>
      <c r="N60" s="10"/>
      <c r="O60" s="5"/>
      <c r="P60" s="5"/>
      <c r="Q60" s="5"/>
      <c r="R60" s="5"/>
      <c r="S60" s="5"/>
    </row>
    <row r="61" spans="2:19" ht="12" customHeight="1" x14ac:dyDescent="0.25">
      <c r="B61" s="9"/>
      <c r="C61" s="10"/>
      <c r="D61" s="10"/>
      <c r="E61" s="10"/>
      <c r="F61" s="10"/>
      <c r="G61" s="10"/>
      <c r="H61" s="10"/>
      <c r="I61" s="10"/>
      <c r="J61" s="10"/>
      <c r="K61" s="10"/>
      <c r="L61" s="10"/>
      <c r="M61" s="10"/>
      <c r="N61" s="10"/>
      <c r="O61" s="5"/>
      <c r="P61" s="5"/>
      <c r="Q61" s="5"/>
      <c r="R61" s="5"/>
      <c r="S61" s="5"/>
    </row>
    <row r="62" spans="2:19" s="26" customFormat="1" ht="12" customHeight="1" x14ac:dyDescent="0.25">
      <c r="B62" s="24"/>
      <c r="C62" s="25"/>
      <c r="D62" s="25"/>
      <c r="E62" s="25"/>
      <c r="F62" s="25"/>
      <c r="G62" s="25"/>
      <c r="H62" s="25"/>
      <c r="I62" s="25"/>
      <c r="J62" s="25"/>
      <c r="K62" s="25"/>
      <c r="L62" s="25"/>
      <c r="M62" s="25"/>
      <c r="N62" s="25"/>
      <c r="O62" s="25"/>
      <c r="P62" s="25"/>
      <c r="Q62" s="25"/>
      <c r="R62" s="25"/>
      <c r="S62" s="25"/>
    </row>
  </sheetData>
  <pageMargins left="0.7" right="0.7" top="0.75" bottom="0.75" header="0.3" footer="0.3"/>
  <pageSetup paperSize="9" orientation="portrait"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2BA47-D5C7-4843-B16F-0F25FA37D7A0}">
  <dimension ref="B1:AE62"/>
  <sheetViews>
    <sheetView showGridLines="0" workbookViewId="0">
      <selection activeCell="O7" sqref="O7"/>
    </sheetView>
  </sheetViews>
  <sheetFormatPr defaultColWidth="8.28515625" defaultRowHeight="12" customHeight="1" x14ac:dyDescent="0.25"/>
  <cols>
    <col min="1" max="1" width="3.5703125" style="2" customWidth="1"/>
    <col min="2" max="2" width="35.7109375" style="2" customWidth="1"/>
    <col min="3" max="8" width="8.28515625" style="2" hidden="1" customWidth="1"/>
    <col min="9" max="10" width="8.28515625" style="2" customWidth="1"/>
    <col min="11" max="20" width="8.28515625" style="2"/>
    <col min="21" max="21" width="10" style="2" bestFit="1" customWidth="1"/>
    <col min="22" max="22" width="8.28515625" style="2"/>
    <col min="23" max="23" width="11.7109375" style="2" bestFit="1" customWidth="1"/>
    <col min="24" max="16384" width="8.28515625" style="2"/>
  </cols>
  <sheetData>
    <row r="1" spans="2:19" ht="12" customHeight="1" x14ac:dyDescent="0.25">
      <c r="B1" s="1" t="s">
        <v>1590</v>
      </c>
    </row>
    <row r="2" spans="2:19" ht="12" customHeight="1" x14ac:dyDescent="0.25">
      <c r="B2" s="3" t="s">
        <v>17</v>
      </c>
      <c r="C2" s="4" t="s">
        <v>18</v>
      </c>
      <c r="D2" s="4" t="s">
        <v>19</v>
      </c>
      <c r="E2" s="4" t="s">
        <v>20</v>
      </c>
      <c r="F2" s="4" t="s">
        <v>21</v>
      </c>
      <c r="G2" s="4" t="s">
        <v>22</v>
      </c>
      <c r="H2" s="4" t="s">
        <v>23</v>
      </c>
      <c r="I2" s="4" t="s">
        <v>24</v>
      </c>
      <c r="J2" s="4" t="s">
        <v>25</v>
      </c>
      <c r="K2" s="4" t="s">
        <v>26</v>
      </c>
      <c r="L2" s="4" t="s">
        <v>27</v>
      </c>
      <c r="M2" s="4" t="s">
        <v>273</v>
      </c>
      <c r="N2" s="4" t="s">
        <v>347</v>
      </c>
      <c r="O2" s="227" t="s">
        <v>177</v>
      </c>
      <c r="P2" s="227" t="s">
        <v>178</v>
      </c>
      <c r="Q2" s="227" t="s">
        <v>179</v>
      </c>
      <c r="R2" s="227" t="s">
        <v>231</v>
      </c>
      <c r="S2" s="227" t="s">
        <v>232</v>
      </c>
    </row>
    <row r="3" spans="2:19" ht="12" customHeight="1" x14ac:dyDescent="0.25">
      <c r="B3" s="6"/>
      <c r="C3" s="7"/>
      <c r="D3" s="7"/>
      <c r="E3" s="7"/>
      <c r="F3" s="7"/>
      <c r="G3" s="7"/>
      <c r="H3" s="7"/>
      <c r="I3" s="7"/>
      <c r="J3" s="7"/>
      <c r="K3" s="7"/>
      <c r="L3" s="7"/>
      <c r="M3" s="7"/>
      <c r="N3" s="7"/>
      <c r="O3" s="8"/>
      <c r="P3" s="8"/>
      <c r="Q3" s="8"/>
      <c r="R3" s="8"/>
      <c r="S3" s="8"/>
    </row>
    <row r="4" spans="2:19" ht="12" customHeight="1" x14ac:dyDescent="0.25">
      <c r="B4" s="6" t="s">
        <v>478</v>
      </c>
      <c r="C4" s="7"/>
      <c r="D4" s="7"/>
      <c r="E4" s="7"/>
      <c r="F4" s="7"/>
      <c r="G4" s="7"/>
      <c r="H4" s="7"/>
      <c r="I4" s="123"/>
      <c r="J4" s="123"/>
      <c r="K4" s="123"/>
      <c r="L4" s="123"/>
      <c r="M4" s="123"/>
      <c r="N4" s="123"/>
      <c r="O4" s="8"/>
      <c r="P4" s="8"/>
      <c r="Q4" s="8"/>
      <c r="R4" s="8"/>
      <c r="S4" s="8"/>
    </row>
    <row r="5" spans="2:19" ht="12" customHeight="1" x14ac:dyDescent="0.25">
      <c r="B5" s="6" t="s">
        <v>479</v>
      </c>
      <c r="C5" s="7"/>
      <c r="D5" s="7"/>
      <c r="E5" s="7"/>
      <c r="F5" s="7"/>
      <c r="G5" s="7"/>
      <c r="H5" s="7"/>
      <c r="I5" s="123"/>
      <c r="J5" s="123"/>
      <c r="K5" s="123"/>
      <c r="L5" s="123"/>
      <c r="M5" s="123"/>
      <c r="N5" s="123"/>
      <c r="O5" s="8"/>
      <c r="P5" s="8"/>
      <c r="Q5" s="8"/>
      <c r="R5" s="8"/>
      <c r="S5" s="8"/>
    </row>
    <row r="6" spans="2:19" ht="12" customHeight="1" x14ac:dyDescent="0.25">
      <c r="B6" s="6" t="s">
        <v>480</v>
      </c>
      <c r="C6" s="7"/>
      <c r="D6" s="7"/>
      <c r="E6" s="7"/>
      <c r="F6" s="7"/>
      <c r="G6" s="7"/>
      <c r="H6" s="7"/>
      <c r="I6" s="123"/>
      <c r="J6" s="123"/>
      <c r="K6" s="123"/>
      <c r="L6" s="123"/>
      <c r="M6" s="123"/>
      <c r="N6" s="123"/>
      <c r="O6" s="8"/>
      <c r="P6" s="8"/>
      <c r="Q6" s="8"/>
      <c r="R6" s="8"/>
      <c r="S6" s="8"/>
    </row>
    <row r="7" spans="2:19" ht="12" customHeight="1" x14ac:dyDescent="0.25">
      <c r="B7" s="6" t="s">
        <v>481</v>
      </c>
      <c r="C7" s="7"/>
      <c r="D7" s="7"/>
      <c r="E7" s="7"/>
      <c r="F7" s="7"/>
      <c r="G7" s="7"/>
      <c r="H7" s="7"/>
      <c r="I7" s="123"/>
      <c r="J7" s="123"/>
      <c r="K7" s="123"/>
      <c r="L7" s="123">
        <v>1789.038</v>
      </c>
      <c r="M7" s="123">
        <v>2053.0279999999998</v>
      </c>
      <c r="N7" s="123">
        <v>2368.1660000000002</v>
      </c>
      <c r="O7" s="8">
        <f>Assumptions!L977</f>
        <v>2758.3750851345453</v>
      </c>
      <c r="P7" s="8">
        <f>Assumptions!M977</f>
        <v>3203.8526613837748</v>
      </c>
      <c r="Q7" s="8">
        <f>Assumptions!N977</f>
        <v>3300.6090117575645</v>
      </c>
      <c r="R7" s="8">
        <f>Assumptions!O977</f>
        <v>3500.2958569688972</v>
      </c>
      <c r="S7" s="8">
        <f>Assumptions!P977</f>
        <v>3712.063756315516</v>
      </c>
    </row>
    <row r="8" spans="2:19" ht="12" customHeight="1" x14ac:dyDescent="0.25">
      <c r="B8" s="6" t="s">
        <v>483</v>
      </c>
      <c r="C8" s="7"/>
      <c r="D8" s="7"/>
      <c r="E8" s="7"/>
      <c r="F8" s="7"/>
      <c r="G8" s="7"/>
      <c r="H8" s="7"/>
      <c r="I8" s="123"/>
      <c r="J8" s="123"/>
      <c r="K8" s="123"/>
      <c r="L8" s="123"/>
      <c r="M8" s="123"/>
      <c r="N8" s="123"/>
      <c r="O8" s="8"/>
      <c r="P8" s="8"/>
      <c r="Q8" s="8"/>
      <c r="R8" s="8"/>
      <c r="S8" s="8"/>
    </row>
    <row r="9" spans="2:19" ht="12" customHeight="1" x14ac:dyDescent="0.25">
      <c r="B9" s="6" t="s">
        <v>482</v>
      </c>
      <c r="C9" s="7"/>
      <c r="D9" s="7"/>
      <c r="E9" s="7"/>
      <c r="F9" s="7"/>
      <c r="G9" s="7"/>
      <c r="H9" s="7"/>
      <c r="I9" s="123"/>
      <c r="J9" s="123"/>
      <c r="K9" s="123"/>
      <c r="L9" s="123">
        <v>33.637</v>
      </c>
      <c r="M9" s="123">
        <v>48.476999999999997</v>
      </c>
      <c r="N9" s="123">
        <v>78.034999999999997</v>
      </c>
      <c r="O9" s="8">
        <f t="shared" ref="O9:S9" si="0">N9</f>
        <v>78.034999999999997</v>
      </c>
      <c r="P9" s="8">
        <f t="shared" si="0"/>
        <v>78.034999999999997</v>
      </c>
      <c r="Q9" s="8">
        <f t="shared" si="0"/>
        <v>78.034999999999997</v>
      </c>
      <c r="R9" s="8">
        <f t="shared" si="0"/>
        <v>78.034999999999997</v>
      </c>
      <c r="S9" s="8">
        <f t="shared" si="0"/>
        <v>78.034999999999997</v>
      </c>
    </row>
    <row r="10" spans="2:19" ht="12" customHeight="1" x14ac:dyDescent="0.25">
      <c r="B10" s="6" t="s">
        <v>484</v>
      </c>
      <c r="C10" s="7"/>
      <c r="D10" s="7"/>
      <c r="E10" s="7"/>
      <c r="F10" s="7"/>
      <c r="G10" s="7"/>
      <c r="H10" s="7"/>
      <c r="I10" s="123"/>
      <c r="J10" s="123"/>
      <c r="K10" s="123"/>
      <c r="L10" s="123"/>
      <c r="M10" s="123"/>
      <c r="N10" s="123"/>
      <c r="O10" s="8"/>
      <c r="P10" s="8"/>
      <c r="Q10" s="8"/>
      <c r="R10" s="8"/>
      <c r="S10" s="8"/>
    </row>
    <row r="11" spans="2:19" ht="12" customHeight="1" x14ac:dyDescent="0.25">
      <c r="B11" s="6" t="s">
        <v>485</v>
      </c>
      <c r="C11" s="7"/>
      <c r="D11" s="7"/>
      <c r="E11" s="7"/>
      <c r="F11" s="7"/>
      <c r="G11" s="7"/>
      <c r="H11" s="7"/>
      <c r="I11" s="123"/>
      <c r="J11" s="123"/>
      <c r="K11" s="123"/>
      <c r="L11" s="123"/>
      <c r="M11" s="123"/>
      <c r="N11" s="123"/>
      <c r="O11" s="8"/>
      <c r="P11" s="8"/>
      <c r="Q11" s="8"/>
      <c r="R11" s="8"/>
      <c r="S11" s="8"/>
    </row>
    <row r="12" spans="2:19" ht="12" customHeight="1" x14ac:dyDescent="0.25">
      <c r="B12" s="6" t="s">
        <v>486</v>
      </c>
      <c r="C12" s="7"/>
      <c r="D12" s="7"/>
      <c r="E12" s="7"/>
      <c r="F12" s="7"/>
      <c r="G12" s="7"/>
      <c r="H12" s="7"/>
      <c r="I12" s="123"/>
      <c r="J12" s="123"/>
      <c r="K12" s="123"/>
      <c r="L12" s="123"/>
      <c r="M12" s="123"/>
      <c r="N12" s="123"/>
      <c r="O12" s="8"/>
      <c r="P12" s="8"/>
      <c r="Q12" s="8"/>
      <c r="R12" s="8"/>
      <c r="S12" s="8"/>
    </row>
    <row r="13" spans="2:19" ht="12" customHeight="1" x14ac:dyDescent="0.25">
      <c r="B13" s="6" t="s">
        <v>487</v>
      </c>
      <c r="C13" s="7"/>
      <c r="D13" s="7"/>
      <c r="E13" s="7"/>
      <c r="F13" s="7"/>
      <c r="G13" s="7"/>
      <c r="H13" s="7"/>
      <c r="I13" s="123"/>
      <c r="J13" s="123"/>
      <c r="K13" s="123"/>
      <c r="L13" s="123"/>
      <c r="M13" s="123"/>
      <c r="N13" s="123"/>
      <c r="O13" s="8"/>
      <c r="P13" s="8"/>
      <c r="Q13" s="8"/>
      <c r="R13" s="8"/>
      <c r="S13" s="8"/>
    </row>
    <row r="14" spans="2:19" ht="12" customHeight="1" x14ac:dyDescent="0.25">
      <c r="B14" s="6" t="s">
        <v>488</v>
      </c>
      <c r="C14" s="7"/>
      <c r="D14" s="7"/>
      <c r="E14" s="7"/>
      <c r="F14" s="7"/>
      <c r="G14" s="7"/>
      <c r="H14" s="7"/>
      <c r="I14" s="123"/>
      <c r="J14" s="123"/>
      <c r="K14" s="123"/>
      <c r="L14" s="123">
        <v>293.60899999999998</v>
      </c>
      <c r="M14" s="123">
        <v>345.827</v>
      </c>
      <c r="N14" s="123">
        <v>367.74700000000001</v>
      </c>
      <c r="O14" s="8">
        <f t="shared" ref="O14:S14" si="1">N14</f>
        <v>367.74700000000001</v>
      </c>
      <c r="P14" s="8">
        <f t="shared" si="1"/>
        <v>367.74700000000001</v>
      </c>
      <c r="Q14" s="8">
        <f t="shared" si="1"/>
        <v>367.74700000000001</v>
      </c>
      <c r="R14" s="8">
        <f t="shared" si="1"/>
        <v>367.74700000000001</v>
      </c>
      <c r="S14" s="8">
        <f t="shared" si="1"/>
        <v>367.74700000000001</v>
      </c>
    </row>
    <row r="15" spans="2:19" ht="12" customHeight="1" x14ac:dyDescent="0.25">
      <c r="B15" s="6"/>
      <c r="C15" s="7"/>
      <c r="D15" s="7"/>
      <c r="E15" s="7"/>
      <c r="F15" s="7"/>
      <c r="G15" s="7"/>
      <c r="H15" s="7"/>
      <c r="I15" s="7"/>
      <c r="J15" s="7"/>
      <c r="K15" s="7"/>
      <c r="L15" s="7"/>
      <c r="M15" s="7"/>
      <c r="N15" s="7"/>
      <c r="O15" s="8"/>
      <c r="P15" s="8"/>
      <c r="Q15" s="8"/>
      <c r="R15" s="8"/>
      <c r="S15" s="8"/>
    </row>
    <row r="16" spans="2:19" ht="12" customHeight="1" x14ac:dyDescent="0.25">
      <c r="B16" s="9" t="s">
        <v>29</v>
      </c>
      <c r="C16" s="10"/>
      <c r="D16" s="10"/>
      <c r="E16" s="10"/>
      <c r="F16" s="10"/>
      <c r="G16" s="10"/>
      <c r="H16" s="10"/>
      <c r="I16" s="10">
        <f>SUM(I4:I14)</f>
        <v>0</v>
      </c>
      <c r="J16" s="10">
        <f>SUM(J4:J14)</f>
        <v>0</v>
      </c>
      <c r="K16" s="10">
        <f>SUM(K4:K14)</f>
        <v>0</v>
      </c>
      <c r="L16" s="10">
        <f>SUM(L4:L14)</f>
        <v>2116.2840000000001</v>
      </c>
      <c r="M16" s="10">
        <f t="shared" ref="M16:S16" si="2">SUM(M4:M14)</f>
        <v>2447.3319999999994</v>
      </c>
      <c r="N16" s="10">
        <f t="shared" ref="N16" si="3">SUM(N4:N14)</f>
        <v>2813.9479999999999</v>
      </c>
      <c r="O16" s="5">
        <f t="shared" si="2"/>
        <v>3204.157085134545</v>
      </c>
      <c r="P16" s="5">
        <f t="shared" si="2"/>
        <v>3649.6346613837745</v>
      </c>
      <c r="Q16" s="5">
        <f t="shared" si="2"/>
        <v>3746.3910117575642</v>
      </c>
      <c r="R16" s="5">
        <f t="shared" si="2"/>
        <v>3946.0778569688969</v>
      </c>
      <c r="S16" s="5">
        <f t="shared" si="2"/>
        <v>4157.8457563155162</v>
      </c>
    </row>
    <row r="17" spans="2:31" s="14" customFormat="1" ht="12" customHeight="1" thickBot="1" x14ac:dyDescent="0.3">
      <c r="B17" s="11" t="s">
        <v>30</v>
      </c>
      <c r="C17" s="12" t="str">
        <f>IF(ISERROR(C16/#REF!-1)," ",C16/#REF!-1)</f>
        <v xml:space="preserve"> </v>
      </c>
      <c r="D17" s="12" t="str">
        <f>IF(ISERROR(D16/#REF!-1)," ",D16/#REF!-1)</f>
        <v xml:space="preserve"> </v>
      </c>
      <c r="E17" s="12" t="str">
        <f>IF(ISERROR(E16/#REF!-1)," ",E16/#REF!-1)</f>
        <v xml:space="preserve"> </v>
      </c>
      <c r="F17" s="12" t="str">
        <f>IF(ISERROR(F16/#REF!-1)," ",F16/#REF!-1)</f>
        <v xml:space="preserve"> </v>
      </c>
      <c r="G17" s="12" t="str">
        <f>IF(ISERROR(G16/#REF!-1)," ",G16/#REF!-1)</f>
        <v xml:space="preserve"> </v>
      </c>
      <c r="H17" s="12" t="str">
        <f>IF(ISERROR(H16/#REF!-1)," ",H16/#REF!-1)</f>
        <v xml:space="preserve"> </v>
      </c>
      <c r="I17" s="12" t="str">
        <f>IF(ISERROR(I16/#REF!-1)," ",I16/#REF!-1)</f>
        <v xml:space="preserve"> </v>
      </c>
      <c r="J17" s="12" t="str">
        <f>IF(ISERROR(J16/I16-1)," ",J16/I16-1)</f>
        <v xml:space="preserve"> </v>
      </c>
      <c r="K17" s="12" t="str">
        <f>IF(ISERROR(K16/J16-1)," ",K16/J16-1)</f>
        <v xml:space="preserve"> </v>
      </c>
      <c r="L17" s="12" t="str">
        <f>IF(ISERROR(L16/K16-1)," ",L16/K16-1)</f>
        <v xml:space="preserve"> </v>
      </c>
      <c r="M17" s="12">
        <f t="shared" ref="M17:S17" si="4">IF(ISERROR(M16/L16-1)," ",M16/L16-1)</f>
        <v>0.1564289102974834</v>
      </c>
      <c r="N17" s="12">
        <f t="shared" si="4"/>
        <v>0.14980231533768218</v>
      </c>
      <c r="O17" s="13">
        <f t="shared" si="4"/>
        <v>0.1386696147670623</v>
      </c>
      <c r="P17" s="13">
        <f t="shared" si="4"/>
        <v>0.13903112875332813</v>
      </c>
      <c r="Q17" s="13">
        <f t="shared" si="4"/>
        <v>2.6511242727266238E-2</v>
      </c>
      <c r="R17" s="13">
        <f t="shared" si="4"/>
        <v>5.3301122222598085E-2</v>
      </c>
      <c r="S17" s="13">
        <f t="shared" si="4"/>
        <v>5.3665413360415748E-2</v>
      </c>
      <c r="W17" s="970" t="s">
        <v>1738</v>
      </c>
      <c r="X17" s="984" t="s">
        <v>23</v>
      </c>
      <c r="Y17" s="984" t="s">
        <v>24</v>
      </c>
      <c r="Z17" s="984" t="s">
        <v>25</v>
      </c>
      <c r="AA17" s="984" t="s">
        <v>26</v>
      </c>
      <c r="AB17" s="984" t="s">
        <v>27</v>
      </c>
      <c r="AC17" s="984" t="s">
        <v>273</v>
      </c>
      <c r="AD17" s="984" t="s">
        <v>28</v>
      </c>
      <c r="AE17" s="984" t="s">
        <v>177</v>
      </c>
    </row>
    <row r="18" spans="2:31" ht="12" customHeight="1" x14ac:dyDescent="0.25">
      <c r="B18" s="6"/>
      <c r="C18" s="7"/>
      <c r="D18" s="7"/>
      <c r="E18" s="7"/>
      <c r="F18" s="7"/>
      <c r="G18" s="7"/>
      <c r="H18" s="7"/>
      <c r="I18" s="7"/>
      <c r="J18" s="7"/>
      <c r="K18" s="7"/>
      <c r="L18" s="7"/>
      <c r="M18" s="7"/>
      <c r="N18" s="7"/>
      <c r="O18" s="8"/>
      <c r="P18" s="8"/>
      <c r="Q18" s="8"/>
      <c r="R18" s="8"/>
      <c r="S18" s="8"/>
      <c r="W18" s="972" t="s">
        <v>797</v>
      </c>
      <c r="X18" s="985">
        <v>1692</v>
      </c>
      <c r="Y18" s="985">
        <v>2007</v>
      </c>
      <c r="Z18" s="985">
        <v>1641</v>
      </c>
      <c r="AA18" s="985">
        <v>1952</v>
      </c>
      <c r="AB18" s="985">
        <f>L16</f>
        <v>2116.2840000000001</v>
      </c>
      <c r="AC18" s="985">
        <f>M16</f>
        <v>2447.3319999999994</v>
      </c>
      <c r="AD18" s="985">
        <f>N16</f>
        <v>2813.9479999999999</v>
      </c>
      <c r="AE18" s="985">
        <f>O16</f>
        <v>3204.157085134545</v>
      </c>
    </row>
    <row r="19" spans="2:31" ht="12" customHeight="1" x14ac:dyDescent="0.25">
      <c r="B19" s="6" t="s">
        <v>31</v>
      </c>
      <c r="C19" s="7"/>
      <c r="D19" s="7"/>
      <c r="E19" s="7"/>
      <c r="F19" s="7"/>
      <c r="G19" s="7"/>
      <c r="H19" s="7"/>
      <c r="I19" s="7"/>
      <c r="J19" s="7"/>
      <c r="K19" s="7"/>
      <c r="L19" s="7">
        <v>1491.769</v>
      </c>
      <c r="M19" s="7">
        <v>1717.345</v>
      </c>
      <c r="N19" s="7">
        <v>1897.1010000000001</v>
      </c>
      <c r="O19" s="8"/>
      <c r="P19" s="8"/>
      <c r="Q19" s="8"/>
      <c r="R19" s="8"/>
      <c r="S19" s="8"/>
      <c r="W19" s="972" t="s">
        <v>1739</v>
      </c>
      <c r="X19" s="987">
        <v>9.8000000000000004E-2</v>
      </c>
      <c r="Y19" s="987">
        <f>+Y18/X18-1</f>
        <v>0.18617021276595747</v>
      </c>
      <c r="Z19" s="987">
        <v>-0.183</v>
      </c>
      <c r="AA19" s="987">
        <v>0.19</v>
      </c>
      <c r="AB19" s="987">
        <v>8.4000000000000005E-2</v>
      </c>
      <c r="AC19" s="987">
        <v>8.4000000000000005E-2</v>
      </c>
      <c r="AD19" s="987">
        <v>8.4000000000000005E-2</v>
      </c>
      <c r="AE19" s="987">
        <v>8.4000000000000005E-2</v>
      </c>
    </row>
    <row r="20" spans="2:31" ht="12" customHeight="1" x14ac:dyDescent="0.25">
      <c r="B20" s="6" t="s">
        <v>32</v>
      </c>
      <c r="C20" s="7"/>
      <c r="D20" s="7"/>
      <c r="E20" s="7"/>
      <c r="F20" s="7"/>
      <c r="G20" s="7"/>
      <c r="H20" s="7"/>
      <c r="I20" s="7"/>
      <c r="J20" s="7"/>
      <c r="K20" s="7"/>
      <c r="L20" s="7">
        <v>117.76900000000001</v>
      </c>
      <c r="M20" s="7">
        <v>132.983</v>
      </c>
      <c r="N20" s="7">
        <v>143.995</v>
      </c>
      <c r="O20" s="8"/>
      <c r="P20" s="8"/>
      <c r="Q20" s="8"/>
      <c r="R20" s="8"/>
      <c r="S20" s="8"/>
      <c r="W20" s="972" t="s">
        <v>34</v>
      </c>
      <c r="X20" s="986">
        <v>342</v>
      </c>
      <c r="Y20" s="986">
        <v>330</v>
      </c>
      <c r="Z20" s="986">
        <v>280</v>
      </c>
      <c r="AA20" s="986">
        <v>368</v>
      </c>
      <c r="AB20" s="988">
        <f>L23</f>
        <v>348.27200000000016</v>
      </c>
      <c r="AC20" s="988">
        <f>M23</f>
        <v>354.24899999999934</v>
      </c>
      <c r="AD20" s="988">
        <f>N23</f>
        <v>379.86199999999963</v>
      </c>
      <c r="AE20" s="988">
        <f>O23</f>
        <v>752.95302571809987</v>
      </c>
    </row>
    <row r="21" spans="2:31" ht="12" customHeight="1" x14ac:dyDescent="0.25">
      <c r="B21" s="6" t="s">
        <v>33</v>
      </c>
      <c r="C21" s="7"/>
      <c r="D21" s="7"/>
      <c r="E21" s="7"/>
      <c r="F21" s="7"/>
      <c r="G21" s="7"/>
      <c r="H21" s="7"/>
      <c r="I21" s="7"/>
      <c r="J21" s="7"/>
      <c r="K21" s="7"/>
      <c r="L21" s="7">
        <v>158.47399999999999</v>
      </c>
      <c r="M21" s="7">
        <v>242.755</v>
      </c>
      <c r="N21" s="7">
        <v>392.99</v>
      </c>
      <c r="O21" s="8"/>
      <c r="P21" s="8"/>
      <c r="Q21" s="8"/>
      <c r="R21" s="8"/>
      <c r="S21" s="8"/>
      <c r="W21" s="972" t="s">
        <v>1512</v>
      </c>
      <c r="X21" s="987">
        <v>0.20200000000000001</v>
      </c>
      <c r="Y21" s="987">
        <f>+Y20/Y18</f>
        <v>0.16442451420029897</v>
      </c>
      <c r="Z21" s="987">
        <v>0.17100000000000001</v>
      </c>
      <c r="AA21" s="987">
        <v>0.188</v>
      </c>
      <c r="AB21" s="987">
        <v>0.16500000000000001</v>
      </c>
      <c r="AC21" s="987">
        <v>0.16500000000000001</v>
      </c>
      <c r="AD21" s="987">
        <v>0.16500000000000001</v>
      </c>
      <c r="AE21" s="987">
        <v>0.16500000000000001</v>
      </c>
    </row>
    <row r="22" spans="2:31" ht="12" customHeight="1" x14ac:dyDescent="0.25">
      <c r="B22" s="6"/>
      <c r="C22" s="7"/>
      <c r="D22" s="7"/>
      <c r="E22" s="7"/>
      <c r="F22" s="7"/>
      <c r="G22" s="7"/>
      <c r="H22" s="7"/>
      <c r="I22" s="7"/>
      <c r="J22" s="7"/>
      <c r="K22" s="7"/>
      <c r="L22" s="7"/>
      <c r="M22" s="7"/>
      <c r="N22" s="7"/>
      <c r="O22" s="8"/>
      <c r="P22" s="8"/>
      <c r="Q22" s="8"/>
      <c r="R22" s="8"/>
      <c r="S22" s="8"/>
      <c r="W22" s="972" t="s">
        <v>798</v>
      </c>
      <c r="X22" s="986">
        <v>20</v>
      </c>
      <c r="Y22" s="986">
        <v>34</v>
      </c>
      <c r="Z22" s="986">
        <v>107</v>
      </c>
      <c r="AA22" s="986">
        <v>66</v>
      </c>
      <c r="AB22" s="988">
        <f>L49</f>
        <v>104.73700000000017</v>
      </c>
      <c r="AC22" s="988">
        <f>M49</f>
        <v>57.415999999999315</v>
      </c>
      <c r="AD22" s="988">
        <f>N49</f>
        <v>47.232999999999585</v>
      </c>
      <c r="AE22" s="988">
        <f>O49</f>
        <v>0</v>
      </c>
    </row>
    <row r="23" spans="2:31" ht="12" customHeight="1" x14ac:dyDescent="0.25">
      <c r="B23" s="9" t="s">
        <v>34</v>
      </c>
      <c r="C23" s="10">
        <f t="shared" ref="C23:J23" si="5">C16-SUM(C19:C21)</f>
        <v>0</v>
      </c>
      <c r="D23" s="10">
        <f t="shared" si="5"/>
        <v>0</v>
      </c>
      <c r="E23" s="10">
        <f t="shared" si="5"/>
        <v>0</v>
      </c>
      <c r="F23" s="10">
        <f t="shared" si="5"/>
        <v>0</v>
      </c>
      <c r="G23" s="10">
        <f t="shared" si="5"/>
        <v>0</v>
      </c>
      <c r="H23" s="10">
        <f t="shared" si="5"/>
        <v>0</v>
      </c>
      <c r="I23" s="10">
        <f t="shared" si="5"/>
        <v>0</v>
      </c>
      <c r="J23" s="10">
        <f t="shared" si="5"/>
        <v>0</v>
      </c>
      <c r="K23" s="10">
        <f>K16-SUM(K19:K21)</f>
        <v>0</v>
      </c>
      <c r="L23" s="10">
        <f>L16-SUM(L19:L21)</f>
        <v>348.27200000000016</v>
      </c>
      <c r="M23" s="10">
        <f>M16-SUM(M19:M21)</f>
        <v>354.24899999999934</v>
      </c>
      <c r="N23" s="10">
        <f>N16-SUM(N19:N21)</f>
        <v>379.86199999999963</v>
      </c>
      <c r="O23" s="5">
        <f t="shared" ref="O23:S23" si="6">O16*O24</f>
        <v>752.95302571809987</v>
      </c>
      <c r="P23" s="5">
        <f t="shared" si="6"/>
        <v>857.63693478192101</v>
      </c>
      <c r="Q23" s="5">
        <f t="shared" si="6"/>
        <v>1067.6935063196715</v>
      </c>
      <c r="R23" s="5">
        <f t="shared" si="6"/>
        <v>1124.6027683962905</v>
      </c>
      <c r="S23" s="5">
        <f t="shared" si="6"/>
        <v>1184.9550408285454</v>
      </c>
      <c r="W23" s="972" t="s">
        <v>1739</v>
      </c>
      <c r="X23"/>
      <c r="Y23" s="967">
        <f>+Y22/X22-1</f>
        <v>0.7</v>
      </c>
      <c r="Z23" s="967">
        <f t="shared" ref="Z23:AC23" si="7">+Z22/Y22-1</f>
        <v>2.1470588235294117</v>
      </c>
      <c r="AA23" s="967">
        <f t="shared" si="7"/>
        <v>-0.38317757009345799</v>
      </c>
      <c r="AB23" s="967">
        <f t="shared" si="7"/>
        <v>0.5869242424242449</v>
      </c>
      <c r="AC23" s="967">
        <f t="shared" si="7"/>
        <v>-0.4518078615961959</v>
      </c>
      <c r="AD23" s="967"/>
      <c r="AE23" s="967"/>
    </row>
    <row r="24" spans="2:31" ht="12" customHeight="1" x14ac:dyDescent="0.2">
      <c r="B24" s="15" t="s">
        <v>35</v>
      </c>
      <c r="C24" s="16" t="str">
        <f t="shared" ref="C24:M24" si="8">IF(ISERROR(C23/C16)," ",C23/C16)</f>
        <v xml:space="preserve"> </v>
      </c>
      <c r="D24" s="16" t="str">
        <f t="shared" si="8"/>
        <v xml:space="preserve"> </v>
      </c>
      <c r="E24" s="16" t="str">
        <f t="shared" si="8"/>
        <v xml:space="preserve"> </v>
      </c>
      <c r="F24" s="16" t="str">
        <f t="shared" si="8"/>
        <v xml:space="preserve"> </v>
      </c>
      <c r="G24" s="16" t="str">
        <f t="shared" si="8"/>
        <v xml:space="preserve"> </v>
      </c>
      <c r="H24" s="16" t="str">
        <f t="shared" si="8"/>
        <v xml:space="preserve"> </v>
      </c>
      <c r="I24" s="16" t="str">
        <f t="shared" si="8"/>
        <v xml:space="preserve"> </v>
      </c>
      <c r="J24" s="16" t="str">
        <f t="shared" si="8"/>
        <v xml:space="preserve"> </v>
      </c>
      <c r="K24" s="16" t="str">
        <f t="shared" si="8"/>
        <v xml:space="preserve"> </v>
      </c>
      <c r="L24" s="16">
        <f t="shared" si="8"/>
        <v>0.16456770452358954</v>
      </c>
      <c r="M24" s="16">
        <f t="shared" si="8"/>
        <v>0.14474905734081009</v>
      </c>
      <c r="N24" s="16">
        <f t="shared" ref="N24" si="9">IF(ISERROR(N23/N16)," ",N23/N16)</f>
        <v>0.1349925442829788</v>
      </c>
      <c r="O24" s="198">
        <f>N24+10%</f>
        <v>0.2349925442829788</v>
      </c>
      <c r="P24" s="198">
        <f>O24</f>
        <v>0.2349925442829788</v>
      </c>
      <c r="Q24" s="198">
        <f>P24+5%</f>
        <v>0.28499254428297882</v>
      </c>
      <c r="R24" s="198">
        <f>Q24</f>
        <v>0.28499254428297882</v>
      </c>
      <c r="S24" s="198">
        <f>R24</f>
        <v>0.28499254428297882</v>
      </c>
      <c r="W24" s="991" t="s">
        <v>1740</v>
      </c>
    </row>
    <row r="25" spans="2:31"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t="str">
        <f>IF(ISERROR(F23/#REF!-1)," ",F23/#REF!-1)</f>
        <v xml:space="preserve"> </v>
      </c>
      <c r="G25" s="12" t="str">
        <f>IF(ISERROR(G23/#REF!-1)," ",G23/#REF!-1)</f>
        <v xml:space="preserve"> </v>
      </c>
      <c r="H25" s="12" t="str">
        <f>IF(ISERROR(H23/#REF!-1)," ",H23/#REF!-1)</f>
        <v xml:space="preserve"> </v>
      </c>
      <c r="I25" s="12" t="str">
        <f>IF(ISERROR(I23/#REF!-1)," ",I23/#REF!-1)</f>
        <v xml:space="preserve"> </v>
      </c>
      <c r="J25" s="12" t="str">
        <f>IF(ISERROR(J23/I23-1)," ",J23/I23-1)</f>
        <v xml:space="preserve"> </v>
      </c>
      <c r="K25" s="12" t="str">
        <f>IF(ISERROR(K23/J23-1)," ",K23/J23-1)</f>
        <v xml:space="preserve"> </v>
      </c>
      <c r="L25" s="12" t="str">
        <f>IF(ISERROR(L23/K23-1)," ",L23/K23-1)</f>
        <v xml:space="preserve"> </v>
      </c>
      <c r="M25" s="12">
        <f>IF(ISERROR(M23/L23-1)," ",M23/L23-1)</f>
        <v>1.7161873478198642E-2</v>
      </c>
      <c r="N25" s="12">
        <f>IF(ISERROR(N23/M23-1)," ",N23/M23-1)</f>
        <v>7.2302250676784752E-2</v>
      </c>
      <c r="O25" s="13"/>
      <c r="P25" s="13"/>
      <c r="Q25" s="13"/>
      <c r="R25" s="13"/>
      <c r="S25" s="13"/>
    </row>
    <row r="26" spans="2:31" ht="12" customHeight="1" x14ac:dyDescent="0.25">
      <c r="B26" s="15"/>
      <c r="C26" s="16"/>
      <c r="D26" s="16"/>
      <c r="E26" s="16"/>
      <c r="F26" s="16"/>
      <c r="G26" s="16"/>
      <c r="H26" s="16"/>
      <c r="I26" s="16"/>
      <c r="J26" s="16"/>
      <c r="K26" s="16"/>
      <c r="L26" s="16"/>
      <c r="M26" s="16"/>
      <c r="N26" s="16"/>
      <c r="O26" s="17"/>
      <c r="P26" s="17"/>
      <c r="Q26" s="17"/>
      <c r="R26" s="17"/>
      <c r="S26" s="17"/>
    </row>
    <row r="27" spans="2:31" ht="12" customHeight="1" x14ac:dyDescent="0.25">
      <c r="B27" s="6" t="s">
        <v>36</v>
      </c>
      <c r="C27" s="7"/>
      <c r="D27" s="7"/>
      <c r="E27" s="7"/>
      <c r="F27" s="7"/>
      <c r="G27" s="7"/>
      <c r="H27" s="7"/>
      <c r="I27" s="7"/>
      <c r="J27" s="7"/>
      <c r="K27" s="7"/>
      <c r="L27" s="7">
        <v>82.319000000000003</v>
      </c>
      <c r="M27" s="7">
        <v>28.428999999999998</v>
      </c>
      <c r="N27" s="7">
        <v>21.335000000000001</v>
      </c>
      <c r="O27" s="8"/>
      <c r="P27" s="8"/>
      <c r="Q27" s="8"/>
      <c r="R27" s="8"/>
      <c r="S27" s="8"/>
      <c r="W27" s="992" t="s">
        <v>1741</v>
      </c>
      <c r="X27"/>
    </row>
    <row r="28" spans="2:31" ht="12" customHeight="1" thickBot="1" x14ac:dyDescent="0.3">
      <c r="B28" s="6" t="s">
        <v>37</v>
      </c>
      <c r="C28" s="7"/>
      <c r="D28" s="7"/>
      <c r="E28" s="7"/>
      <c r="F28" s="7"/>
      <c r="G28" s="7"/>
      <c r="H28" s="7"/>
      <c r="I28" s="7"/>
      <c r="J28" s="7"/>
      <c r="K28" s="7"/>
      <c r="L28" s="7">
        <v>150.59</v>
      </c>
      <c r="M28" s="7">
        <v>160.15299999999999</v>
      </c>
      <c r="N28" s="7">
        <v>211.19900000000001</v>
      </c>
      <c r="O28" s="8"/>
      <c r="P28" s="8"/>
      <c r="Q28" s="8"/>
      <c r="R28" s="8"/>
      <c r="S28" s="8"/>
      <c r="W28" s="993" t="s">
        <v>1738</v>
      </c>
      <c r="X28" s="994" t="s">
        <v>1704</v>
      </c>
    </row>
    <row r="29" spans="2:31" ht="12" customHeight="1" x14ac:dyDescent="0.25">
      <c r="B29" s="6"/>
      <c r="C29" s="7"/>
      <c r="D29" s="7"/>
      <c r="E29" s="7"/>
      <c r="F29" s="7"/>
      <c r="G29" s="7"/>
      <c r="H29" s="7"/>
      <c r="I29" s="7"/>
      <c r="J29" s="7"/>
      <c r="K29" s="7"/>
      <c r="L29" s="7"/>
      <c r="M29" s="7"/>
      <c r="N29" s="7"/>
      <c r="O29" s="8"/>
      <c r="P29" s="8"/>
      <c r="Q29" s="8"/>
      <c r="R29" s="8"/>
      <c r="S29" s="8"/>
      <c r="W29" s="995" t="s">
        <v>1742</v>
      </c>
      <c r="X29" s="996">
        <v>7000</v>
      </c>
    </row>
    <row r="30" spans="2:31" ht="12" customHeight="1" x14ac:dyDescent="0.25">
      <c r="B30" s="9" t="s">
        <v>38</v>
      </c>
      <c r="C30" s="10">
        <f t="shared" ref="C30:M30" si="10">C23+C27-C28</f>
        <v>0</v>
      </c>
      <c r="D30" s="10">
        <f t="shared" si="10"/>
        <v>0</v>
      </c>
      <c r="E30" s="10">
        <f t="shared" si="10"/>
        <v>0</v>
      </c>
      <c r="F30" s="10">
        <f t="shared" si="10"/>
        <v>0</v>
      </c>
      <c r="G30" s="10">
        <f t="shared" si="10"/>
        <v>0</v>
      </c>
      <c r="H30" s="10">
        <f t="shared" si="10"/>
        <v>0</v>
      </c>
      <c r="I30" s="10">
        <f t="shared" si="10"/>
        <v>0</v>
      </c>
      <c r="J30" s="10">
        <f t="shared" si="10"/>
        <v>0</v>
      </c>
      <c r="K30" s="10">
        <f t="shared" si="10"/>
        <v>0</v>
      </c>
      <c r="L30" s="10">
        <f t="shared" si="10"/>
        <v>280.0010000000002</v>
      </c>
      <c r="M30" s="10">
        <f t="shared" si="10"/>
        <v>222.52499999999932</v>
      </c>
      <c r="N30" s="10">
        <f t="shared" ref="N30" si="11">N23+N27-N28</f>
        <v>189.99799999999959</v>
      </c>
      <c r="O30" s="5"/>
      <c r="P30" s="5"/>
      <c r="Q30" s="5"/>
      <c r="R30" s="5"/>
      <c r="S30" s="5"/>
      <c r="W30" s="995" t="s">
        <v>601</v>
      </c>
      <c r="X30" s="996">
        <v>1600</v>
      </c>
    </row>
    <row r="31" spans="2:31" ht="12" customHeight="1" x14ac:dyDescent="0.25">
      <c r="B31" s="6"/>
      <c r="C31" s="7"/>
      <c r="D31" s="7"/>
      <c r="E31" s="7"/>
      <c r="F31" s="7"/>
      <c r="G31" s="7"/>
      <c r="H31" s="7"/>
      <c r="I31" s="7"/>
      <c r="J31" s="7"/>
      <c r="K31" s="7"/>
      <c r="L31" s="7"/>
      <c r="M31" s="7"/>
      <c r="N31" s="7"/>
      <c r="O31" s="8"/>
      <c r="P31" s="8"/>
      <c r="Q31" s="8"/>
      <c r="R31" s="8"/>
      <c r="S31" s="8"/>
      <c r="W31" s="995" t="s">
        <v>1743</v>
      </c>
      <c r="X31" s="996">
        <v>5400</v>
      </c>
    </row>
    <row r="32" spans="2:31" ht="12" customHeight="1" x14ac:dyDescent="0.25">
      <c r="B32" s="6" t="s">
        <v>39</v>
      </c>
      <c r="C32" s="7"/>
      <c r="D32" s="7"/>
      <c r="E32" s="7"/>
      <c r="F32" s="7"/>
      <c r="G32" s="7"/>
      <c r="H32" s="7"/>
      <c r="I32" s="7"/>
      <c r="J32" s="7"/>
      <c r="K32" s="7"/>
      <c r="L32" s="7">
        <v>109.55200000000001</v>
      </c>
      <c r="M32" s="7">
        <v>77.789000000000001</v>
      </c>
      <c r="N32" s="7">
        <v>109.79</v>
      </c>
      <c r="O32" s="8"/>
      <c r="P32" s="8"/>
      <c r="Q32" s="8"/>
      <c r="R32" s="8"/>
      <c r="S32" s="8"/>
      <c r="W32" s="997" t="s">
        <v>1744</v>
      </c>
      <c r="X32" s="998">
        <v>2700</v>
      </c>
    </row>
    <row r="33" spans="2:24" ht="12" customHeight="1" x14ac:dyDescent="0.25">
      <c r="B33" s="6" t="s">
        <v>307</v>
      </c>
      <c r="C33" s="7"/>
      <c r="D33" s="7"/>
      <c r="E33" s="7"/>
      <c r="F33" s="7"/>
      <c r="G33" s="7"/>
      <c r="H33" s="7"/>
      <c r="I33" s="7"/>
      <c r="J33" s="7"/>
      <c r="K33" s="7"/>
      <c r="L33" s="7">
        <v>31.437000000000001</v>
      </c>
      <c r="M33" s="7"/>
      <c r="N33" s="7"/>
      <c r="O33" s="8"/>
      <c r="P33" s="8"/>
      <c r="Q33" s="8"/>
      <c r="R33" s="8"/>
      <c r="S33" s="8"/>
      <c r="W33" s="972" t="s">
        <v>1745</v>
      </c>
      <c r="X33"/>
    </row>
    <row r="34" spans="2:24" ht="12" customHeight="1" x14ac:dyDescent="0.25">
      <c r="B34" s="6"/>
      <c r="C34" s="7"/>
      <c r="D34" s="7"/>
      <c r="E34" s="7"/>
      <c r="F34" s="7"/>
      <c r="G34" s="7"/>
      <c r="H34" s="7"/>
      <c r="I34" s="7"/>
      <c r="J34" s="7"/>
      <c r="K34" s="7"/>
      <c r="L34" s="7"/>
      <c r="M34" s="7"/>
      <c r="N34" s="7"/>
      <c r="O34" s="8"/>
      <c r="P34" s="8"/>
      <c r="Q34" s="8"/>
      <c r="R34" s="8"/>
      <c r="S34" s="8"/>
    </row>
    <row r="35" spans="2:24" ht="12" customHeight="1" x14ac:dyDescent="0.25">
      <c r="B35" s="9" t="s">
        <v>40</v>
      </c>
      <c r="C35" s="10">
        <f t="shared" ref="C35:M35" si="12">C30-C32-C33</f>
        <v>0</v>
      </c>
      <c r="D35" s="10">
        <f t="shared" si="12"/>
        <v>0</v>
      </c>
      <c r="E35" s="10">
        <f t="shared" si="12"/>
        <v>0</v>
      </c>
      <c r="F35" s="10">
        <f t="shared" si="12"/>
        <v>0</v>
      </c>
      <c r="G35" s="10">
        <f t="shared" si="12"/>
        <v>0</v>
      </c>
      <c r="H35" s="10">
        <f t="shared" si="12"/>
        <v>0</v>
      </c>
      <c r="I35" s="10">
        <f t="shared" si="12"/>
        <v>0</v>
      </c>
      <c r="J35" s="10">
        <f t="shared" si="12"/>
        <v>0</v>
      </c>
      <c r="K35" s="10">
        <f t="shared" si="12"/>
        <v>0</v>
      </c>
      <c r="L35" s="10">
        <f t="shared" si="12"/>
        <v>139.01200000000017</v>
      </c>
      <c r="M35" s="10">
        <f t="shared" si="12"/>
        <v>144.73599999999931</v>
      </c>
      <c r="N35" s="10">
        <f t="shared" ref="N35" si="13">N30-N32-N33</f>
        <v>80.207999999999586</v>
      </c>
      <c r="O35" s="5"/>
      <c r="P35" s="5"/>
      <c r="Q35" s="5"/>
      <c r="R35" s="5"/>
      <c r="S35" s="5"/>
    </row>
    <row r="36" spans="2:24" ht="12" customHeight="1" x14ac:dyDescent="0.25">
      <c r="B36" s="6"/>
      <c r="C36" s="7"/>
      <c r="D36" s="7"/>
      <c r="E36" s="7"/>
      <c r="F36" s="7"/>
      <c r="G36" s="7"/>
      <c r="H36" s="7"/>
      <c r="I36" s="7"/>
      <c r="J36" s="7"/>
      <c r="K36" s="7"/>
      <c r="L36" s="7"/>
      <c r="M36" s="7"/>
      <c r="N36" s="7"/>
      <c r="O36" s="8"/>
      <c r="P36" s="8"/>
      <c r="Q36" s="8"/>
      <c r="R36" s="8"/>
      <c r="S36" s="8"/>
    </row>
    <row r="37" spans="2:24" ht="12" customHeight="1" x14ac:dyDescent="0.25">
      <c r="B37" s="6" t="s">
        <v>41</v>
      </c>
      <c r="C37" s="7"/>
      <c r="D37" s="7"/>
      <c r="E37" s="7"/>
      <c r="F37" s="7"/>
      <c r="G37" s="7"/>
      <c r="H37" s="7"/>
      <c r="I37" s="7"/>
      <c r="J37" s="7"/>
      <c r="K37" s="7"/>
      <c r="L37" s="7"/>
      <c r="M37" s="7"/>
      <c r="N37" s="7"/>
      <c r="O37" s="8"/>
      <c r="P37" s="8"/>
      <c r="Q37" s="8"/>
      <c r="R37" s="8"/>
      <c r="S37" s="8"/>
    </row>
    <row r="38" spans="2:24" ht="12" customHeight="1" x14ac:dyDescent="0.25">
      <c r="B38" s="6" t="s">
        <v>42</v>
      </c>
      <c r="C38" s="7"/>
      <c r="D38" s="7"/>
      <c r="E38" s="7"/>
      <c r="F38" s="7"/>
      <c r="G38" s="7"/>
      <c r="H38" s="7"/>
      <c r="I38" s="7"/>
      <c r="J38" s="7"/>
      <c r="K38" s="7"/>
      <c r="L38" s="7">
        <v>27.876999999999999</v>
      </c>
      <c r="M38" s="7">
        <v>26.658999999999999</v>
      </c>
      <c r="N38" s="7">
        <v>25.620999999999999</v>
      </c>
      <c r="O38" s="8"/>
      <c r="P38" s="8"/>
      <c r="Q38" s="8"/>
      <c r="R38" s="8"/>
      <c r="S38" s="8"/>
    </row>
    <row r="39" spans="2:24" ht="12" customHeight="1" x14ac:dyDescent="0.25">
      <c r="B39" s="6" t="s">
        <v>43</v>
      </c>
      <c r="C39" s="7"/>
      <c r="D39" s="7"/>
      <c r="E39" s="7"/>
      <c r="F39" s="7"/>
      <c r="G39" s="7"/>
      <c r="H39" s="7"/>
      <c r="I39" s="7"/>
      <c r="J39" s="7"/>
      <c r="K39" s="7"/>
      <c r="L39" s="7">
        <v>6.3979999999999997</v>
      </c>
      <c r="M39" s="7">
        <v>67.792000000000002</v>
      </c>
      <c r="N39" s="7">
        <v>4.6950000000000003</v>
      </c>
      <c r="O39" s="8"/>
      <c r="P39" s="8"/>
      <c r="Q39" s="8"/>
      <c r="R39" s="8"/>
      <c r="S39" s="8"/>
    </row>
    <row r="40" spans="2:24" ht="12" customHeight="1" x14ac:dyDescent="0.25">
      <c r="B40" s="6" t="s">
        <v>44</v>
      </c>
      <c r="C40" s="7"/>
      <c r="D40" s="7"/>
      <c r="E40" s="7"/>
      <c r="F40" s="7"/>
      <c r="G40" s="7"/>
      <c r="H40" s="7"/>
      <c r="I40" s="7"/>
      <c r="J40" s="7"/>
      <c r="K40" s="7"/>
      <c r="L40" s="7"/>
      <c r="M40" s="7">
        <v>-7.1310000000000002</v>
      </c>
      <c r="N40" s="7">
        <v>2.6589999999999998</v>
      </c>
      <c r="O40" s="8"/>
      <c r="P40" s="8"/>
      <c r="Q40" s="8"/>
      <c r="R40" s="8"/>
      <c r="S40" s="8"/>
    </row>
    <row r="41" spans="2:24" s="18" customFormat="1" ht="12" customHeight="1" x14ac:dyDescent="0.25">
      <c r="B41" s="9" t="s">
        <v>45</v>
      </c>
      <c r="C41" s="10">
        <f t="shared" ref="C41:L41" si="14">SUM(C38:C40)</f>
        <v>0</v>
      </c>
      <c r="D41" s="10">
        <f t="shared" si="14"/>
        <v>0</v>
      </c>
      <c r="E41" s="10">
        <f t="shared" si="14"/>
        <v>0</v>
      </c>
      <c r="F41" s="10">
        <f t="shared" si="14"/>
        <v>0</v>
      </c>
      <c r="G41" s="10">
        <f t="shared" si="14"/>
        <v>0</v>
      </c>
      <c r="H41" s="10">
        <f t="shared" si="14"/>
        <v>0</v>
      </c>
      <c r="I41" s="10">
        <f t="shared" si="14"/>
        <v>0</v>
      </c>
      <c r="J41" s="10">
        <f t="shared" si="14"/>
        <v>0</v>
      </c>
      <c r="K41" s="10">
        <f t="shared" si="14"/>
        <v>0</v>
      </c>
      <c r="L41" s="10">
        <f t="shared" si="14"/>
        <v>34.274999999999999</v>
      </c>
      <c r="M41" s="10">
        <f>SUM(M38:M40)</f>
        <v>87.32</v>
      </c>
      <c r="N41" s="10">
        <f>SUM(N38:N40)</f>
        <v>32.975000000000001</v>
      </c>
      <c r="O41" s="5"/>
      <c r="P41" s="5"/>
      <c r="Q41" s="5"/>
      <c r="R41" s="5"/>
      <c r="S41" s="5"/>
    </row>
    <row r="42" spans="2:24" ht="12" customHeight="1" x14ac:dyDescent="0.25">
      <c r="B42" s="19" t="s">
        <v>46</v>
      </c>
      <c r="C42" s="12" t="str">
        <f t="shared" ref="C42:M42" si="15">IF(ISERROR(C41/C35)," ",C41/C35)</f>
        <v xml:space="preserve"> </v>
      </c>
      <c r="D42" s="12" t="str">
        <f t="shared" si="15"/>
        <v xml:space="preserve"> </v>
      </c>
      <c r="E42" s="12" t="str">
        <f t="shared" si="15"/>
        <v xml:space="preserve"> </v>
      </c>
      <c r="F42" s="12" t="str">
        <f t="shared" si="15"/>
        <v xml:space="preserve"> </v>
      </c>
      <c r="G42" s="12" t="str">
        <f t="shared" si="15"/>
        <v xml:space="preserve"> </v>
      </c>
      <c r="H42" s="12" t="str">
        <f t="shared" si="15"/>
        <v xml:space="preserve"> </v>
      </c>
      <c r="I42" s="12" t="str">
        <f t="shared" si="15"/>
        <v xml:space="preserve"> </v>
      </c>
      <c r="J42" s="12" t="str">
        <f t="shared" si="15"/>
        <v xml:space="preserve"> </v>
      </c>
      <c r="K42" s="12" t="str">
        <f t="shared" si="15"/>
        <v xml:space="preserve"> </v>
      </c>
      <c r="L42" s="12">
        <f t="shared" si="15"/>
        <v>0.24656144793255227</v>
      </c>
      <c r="M42" s="12">
        <f t="shared" si="15"/>
        <v>0.60330532832191308</v>
      </c>
      <c r="N42" s="12">
        <f t="shared" ref="N42" si="16">IF(ISERROR(N41/N35)," ",N41/N35)</f>
        <v>0.4111185916616818</v>
      </c>
      <c r="O42" s="13"/>
      <c r="P42" s="13"/>
      <c r="Q42" s="13"/>
      <c r="R42" s="13"/>
      <c r="S42" s="13"/>
    </row>
    <row r="43" spans="2:24" ht="12" customHeight="1" x14ac:dyDescent="0.25">
      <c r="B43" s="19"/>
      <c r="C43" s="12"/>
      <c r="D43" s="12"/>
      <c r="E43" s="12"/>
      <c r="F43" s="12"/>
      <c r="G43" s="12"/>
      <c r="H43" s="12"/>
      <c r="I43" s="12"/>
      <c r="J43" s="12"/>
      <c r="K43" s="12"/>
      <c r="L43" s="12"/>
      <c r="M43" s="12"/>
      <c r="N43" s="12"/>
      <c r="O43" s="13"/>
      <c r="P43" s="13"/>
      <c r="Q43" s="13"/>
      <c r="R43" s="13"/>
      <c r="S43" s="13"/>
    </row>
    <row r="44" spans="2:24" ht="12" customHeight="1" x14ac:dyDescent="0.25">
      <c r="B44" s="9" t="s">
        <v>47</v>
      </c>
      <c r="C44" s="10">
        <f t="shared" ref="C44:M44" si="17">C35-C36-C41</f>
        <v>0</v>
      </c>
      <c r="D44" s="10">
        <f t="shared" si="17"/>
        <v>0</v>
      </c>
      <c r="E44" s="10">
        <f t="shared" si="17"/>
        <v>0</v>
      </c>
      <c r="F44" s="10">
        <f t="shared" si="17"/>
        <v>0</v>
      </c>
      <c r="G44" s="10">
        <f t="shared" si="17"/>
        <v>0</v>
      </c>
      <c r="H44" s="10">
        <f t="shared" si="17"/>
        <v>0</v>
      </c>
      <c r="I44" s="10">
        <f t="shared" si="17"/>
        <v>0</v>
      </c>
      <c r="J44" s="10">
        <f t="shared" si="17"/>
        <v>0</v>
      </c>
      <c r="K44" s="10">
        <f t="shared" si="17"/>
        <v>0</v>
      </c>
      <c r="L44" s="10">
        <f t="shared" si="17"/>
        <v>104.73700000000017</v>
      </c>
      <c r="M44" s="10">
        <f t="shared" si="17"/>
        <v>57.415999999999315</v>
      </c>
      <c r="N44" s="10">
        <f t="shared" ref="N44" si="18">N35-N36-N41</f>
        <v>47.232999999999585</v>
      </c>
      <c r="O44" s="5"/>
      <c r="P44" s="5"/>
      <c r="Q44" s="5"/>
      <c r="R44" s="5"/>
      <c r="S44" s="5"/>
    </row>
    <row r="45" spans="2:24" ht="12" customHeight="1" x14ac:dyDescent="0.25">
      <c r="B45" s="6"/>
      <c r="C45" s="7"/>
      <c r="D45" s="7"/>
      <c r="E45" s="7"/>
      <c r="F45" s="7"/>
      <c r="G45" s="7"/>
      <c r="H45" s="7"/>
      <c r="I45" s="7"/>
      <c r="J45" s="7"/>
      <c r="K45" s="7"/>
      <c r="L45" s="7"/>
      <c r="M45" s="7"/>
      <c r="N45" s="7"/>
      <c r="O45" s="8"/>
      <c r="P45" s="8"/>
      <c r="Q45" s="8"/>
      <c r="R45" s="8"/>
      <c r="S45" s="8"/>
    </row>
    <row r="46" spans="2:24" ht="12" customHeight="1" x14ac:dyDescent="0.25">
      <c r="B46" s="6" t="s">
        <v>48</v>
      </c>
      <c r="C46" s="7"/>
      <c r="D46" s="7"/>
      <c r="E46" s="7"/>
      <c r="F46" s="7"/>
      <c r="G46" s="7"/>
      <c r="H46" s="7"/>
      <c r="I46" s="7"/>
      <c r="J46" s="7"/>
      <c r="K46" s="7"/>
      <c r="L46" s="7"/>
      <c r="M46" s="7"/>
      <c r="N46" s="7"/>
      <c r="O46" s="8"/>
      <c r="P46" s="8"/>
      <c r="Q46" s="8"/>
      <c r="R46" s="8"/>
      <c r="S46" s="8"/>
    </row>
    <row r="47" spans="2:24" ht="12" customHeight="1" x14ac:dyDescent="0.25">
      <c r="B47" s="6" t="s">
        <v>49</v>
      </c>
      <c r="C47" s="7"/>
      <c r="D47" s="7"/>
      <c r="E47" s="7"/>
      <c r="F47" s="7"/>
      <c r="G47" s="7"/>
      <c r="H47" s="7"/>
      <c r="I47" s="7"/>
      <c r="J47" s="7"/>
      <c r="K47" s="7"/>
      <c r="L47" s="7"/>
      <c r="M47" s="7"/>
      <c r="N47" s="7"/>
      <c r="O47" s="8"/>
      <c r="P47" s="8"/>
      <c r="Q47" s="8"/>
      <c r="R47" s="8"/>
      <c r="S47" s="8"/>
    </row>
    <row r="48" spans="2:24" ht="12" customHeight="1" x14ac:dyDescent="0.25">
      <c r="B48" s="6"/>
      <c r="C48" s="7"/>
      <c r="D48" s="7"/>
      <c r="E48" s="7"/>
      <c r="F48" s="7"/>
      <c r="G48" s="7"/>
      <c r="H48" s="7"/>
      <c r="I48" s="7"/>
      <c r="J48" s="7"/>
      <c r="K48" s="7"/>
      <c r="L48" s="7"/>
      <c r="M48" s="7"/>
      <c r="N48" s="7"/>
      <c r="O48" s="8"/>
      <c r="P48" s="8"/>
      <c r="Q48" s="8"/>
      <c r="R48" s="8"/>
      <c r="S48" s="8"/>
    </row>
    <row r="49" spans="2:19" ht="12" customHeight="1" x14ac:dyDescent="0.25">
      <c r="B49" s="9" t="s">
        <v>50</v>
      </c>
      <c r="C49" s="10">
        <f t="shared" ref="C49:M49" si="19">C44-C46+C47</f>
        <v>0</v>
      </c>
      <c r="D49" s="10">
        <f t="shared" si="19"/>
        <v>0</v>
      </c>
      <c r="E49" s="10">
        <f t="shared" si="19"/>
        <v>0</v>
      </c>
      <c r="F49" s="10">
        <f t="shared" si="19"/>
        <v>0</v>
      </c>
      <c r="G49" s="10">
        <f t="shared" si="19"/>
        <v>0</v>
      </c>
      <c r="H49" s="10">
        <f t="shared" si="19"/>
        <v>0</v>
      </c>
      <c r="I49" s="10">
        <f t="shared" si="19"/>
        <v>0</v>
      </c>
      <c r="J49" s="10">
        <f t="shared" si="19"/>
        <v>0</v>
      </c>
      <c r="K49" s="10">
        <f t="shared" si="19"/>
        <v>0</v>
      </c>
      <c r="L49" s="10">
        <f t="shared" si="19"/>
        <v>104.73700000000017</v>
      </c>
      <c r="M49" s="10">
        <f t="shared" si="19"/>
        <v>57.415999999999315</v>
      </c>
      <c r="N49" s="10">
        <f t="shared" ref="N49" si="20">N44-N46+N47</f>
        <v>47.232999999999585</v>
      </c>
      <c r="O49" s="5"/>
      <c r="P49" s="5"/>
      <c r="Q49" s="5"/>
      <c r="R49" s="5"/>
      <c r="S49" s="5"/>
    </row>
    <row r="50" spans="2:19" ht="12" customHeight="1" x14ac:dyDescent="0.25">
      <c r="B50" s="15" t="s">
        <v>35</v>
      </c>
      <c r="C50" s="16" t="str">
        <f t="shared" ref="C50:M50" si="21">IF(ISERROR(C49/C16)," ",C49/C16)</f>
        <v xml:space="preserve"> </v>
      </c>
      <c r="D50" s="16" t="str">
        <f t="shared" si="21"/>
        <v xml:space="preserve"> </v>
      </c>
      <c r="E50" s="16" t="str">
        <f t="shared" si="21"/>
        <v xml:space="preserve"> </v>
      </c>
      <c r="F50" s="16" t="str">
        <f t="shared" si="21"/>
        <v xml:space="preserve"> </v>
      </c>
      <c r="G50" s="16" t="str">
        <f t="shared" si="21"/>
        <v xml:space="preserve"> </v>
      </c>
      <c r="H50" s="16" t="str">
        <f t="shared" si="21"/>
        <v xml:space="preserve"> </v>
      </c>
      <c r="I50" s="16" t="str">
        <f t="shared" si="21"/>
        <v xml:space="preserve"> </v>
      </c>
      <c r="J50" s="16" t="str">
        <f t="shared" si="21"/>
        <v xml:space="preserve"> </v>
      </c>
      <c r="K50" s="16" t="str">
        <f t="shared" si="21"/>
        <v xml:space="preserve"> </v>
      </c>
      <c r="L50" s="16">
        <f t="shared" si="21"/>
        <v>4.9490994592408279E-2</v>
      </c>
      <c r="M50" s="16">
        <f t="shared" si="21"/>
        <v>2.3460650210106078E-2</v>
      </c>
      <c r="N50" s="16">
        <f t="shared" ref="N50" si="22">IF(ISERROR(N49/N16)," ",N49/N16)</f>
        <v>1.6785313730033245E-2</v>
      </c>
      <c r="O50" s="17"/>
      <c r="P50" s="17"/>
      <c r="Q50" s="17"/>
      <c r="R50" s="17"/>
      <c r="S50" s="17"/>
    </row>
    <row r="51" spans="2:19" s="14" customFormat="1" ht="12" customHeight="1" x14ac:dyDescent="0.25">
      <c r="B51" s="11" t="s">
        <v>30</v>
      </c>
      <c r="C51" s="12" t="str">
        <f t="shared" ref="C51:K51" si="23">IF(ISERROR(C49/B49-1)," ",C49/B49-1)</f>
        <v xml:space="preserve"> </v>
      </c>
      <c r="D51" s="12" t="str">
        <f t="shared" si="23"/>
        <v xml:space="preserve"> </v>
      </c>
      <c r="E51" s="12" t="str">
        <f t="shared" si="23"/>
        <v xml:space="preserve"> </v>
      </c>
      <c r="F51" s="12" t="str">
        <f t="shared" si="23"/>
        <v xml:space="preserve"> </v>
      </c>
      <c r="G51" s="12" t="str">
        <f t="shared" si="23"/>
        <v xml:space="preserve"> </v>
      </c>
      <c r="H51" s="12" t="str">
        <f t="shared" si="23"/>
        <v xml:space="preserve"> </v>
      </c>
      <c r="I51" s="12" t="str">
        <f t="shared" si="23"/>
        <v xml:space="preserve"> </v>
      </c>
      <c r="J51" s="12" t="str">
        <f t="shared" si="23"/>
        <v xml:space="preserve"> </v>
      </c>
      <c r="K51" s="12" t="str">
        <f t="shared" si="23"/>
        <v xml:space="preserve"> </v>
      </c>
      <c r="L51" s="12" t="str">
        <f>IF(ISERROR(L49/K49-1)," ",L49/K49-1)</f>
        <v xml:space="preserve"> </v>
      </c>
      <c r="M51" s="12">
        <f>IF(ISERROR(M49/L49-1)," ",M49/L49-1)</f>
        <v>-0.4518078615961959</v>
      </c>
      <c r="N51" s="12">
        <f>IF(ISERROR(N49/M49-1)," ",N49/M49-1)</f>
        <v>-0.1773547443221376</v>
      </c>
      <c r="O51" s="13"/>
      <c r="P51" s="13"/>
      <c r="Q51" s="13"/>
      <c r="R51" s="13"/>
      <c r="S51" s="13"/>
    </row>
    <row r="52" spans="2:19" ht="12" customHeight="1" x14ac:dyDescent="0.25">
      <c r="B52" s="15"/>
      <c r="C52" s="16"/>
      <c r="D52" s="16"/>
      <c r="E52" s="16"/>
      <c r="F52" s="16"/>
      <c r="G52" s="16"/>
      <c r="H52" s="16"/>
      <c r="I52" s="16"/>
      <c r="J52" s="16"/>
      <c r="K52" s="16"/>
      <c r="L52" s="16"/>
      <c r="M52" s="16"/>
      <c r="N52" s="16"/>
      <c r="O52" s="17"/>
      <c r="P52" s="17"/>
      <c r="Q52" s="17"/>
      <c r="R52" s="17"/>
      <c r="S52" s="17"/>
    </row>
    <row r="53" spans="2:19" ht="12" customHeight="1" x14ac:dyDescent="0.25">
      <c r="B53" s="9" t="s">
        <v>51</v>
      </c>
      <c r="C53" s="10"/>
      <c r="D53" s="10"/>
      <c r="E53" s="10"/>
      <c r="F53" s="10"/>
      <c r="G53" s="10"/>
      <c r="H53" s="10"/>
      <c r="I53" s="10"/>
      <c r="J53" s="10"/>
      <c r="K53" s="10"/>
      <c r="L53" s="10"/>
      <c r="M53" s="10"/>
      <c r="N53" s="10"/>
      <c r="O53" s="5"/>
      <c r="P53" s="5"/>
      <c r="Q53" s="5"/>
      <c r="R53" s="5"/>
      <c r="S53" s="5"/>
    </row>
    <row r="54" spans="2:19" ht="12" customHeight="1" x14ac:dyDescent="0.25">
      <c r="B54" s="9" t="s">
        <v>52</v>
      </c>
      <c r="C54" s="20"/>
      <c r="D54" s="20"/>
      <c r="E54" s="20"/>
      <c r="F54" s="20"/>
      <c r="G54" s="20"/>
      <c r="H54" s="20"/>
      <c r="I54" s="20"/>
      <c r="J54" s="20"/>
      <c r="K54" s="20"/>
      <c r="L54" s="20"/>
      <c r="M54" s="20"/>
      <c r="N54" s="20"/>
      <c r="O54" s="21"/>
      <c r="P54" s="21"/>
      <c r="Q54" s="21"/>
      <c r="R54" s="21"/>
      <c r="S54" s="21"/>
    </row>
    <row r="55" spans="2:19" ht="12" customHeight="1" x14ac:dyDescent="0.25">
      <c r="B55" s="9" t="s">
        <v>53</v>
      </c>
      <c r="C55" s="20"/>
      <c r="D55" s="20"/>
      <c r="E55" s="20"/>
      <c r="F55" s="20"/>
      <c r="G55" s="20"/>
      <c r="H55" s="20"/>
      <c r="I55" s="20"/>
      <c r="J55" s="20"/>
      <c r="K55" s="20"/>
      <c r="L55" s="20"/>
      <c r="M55" s="20"/>
      <c r="N55" s="20"/>
      <c r="O55" s="21"/>
      <c r="P55" s="21"/>
      <c r="Q55" s="21"/>
      <c r="R55" s="21"/>
      <c r="S55" s="21"/>
    </row>
    <row r="56" spans="2:19" ht="12" customHeight="1" x14ac:dyDescent="0.25">
      <c r="B56" s="9" t="s">
        <v>54</v>
      </c>
      <c r="C56" s="20"/>
      <c r="D56" s="20"/>
      <c r="E56" s="20"/>
      <c r="F56" s="20"/>
      <c r="G56" s="20"/>
      <c r="H56" s="20"/>
      <c r="I56" s="20"/>
      <c r="J56" s="20"/>
      <c r="K56" s="20"/>
      <c r="L56" s="20"/>
      <c r="M56" s="20"/>
      <c r="N56" s="20"/>
      <c r="O56" s="21"/>
      <c r="P56" s="21"/>
      <c r="Q56" s="21"/>
      <c r="R56" s="21"/>
      <c r="S56" s="21"/>
    </row>
    <row r="57" spans="2:19" ht="12" customHeight="1" x14ac:dyDescent="0.25">
      <c r="B57" s="9" t="s">
        <v>55</v>
      </c>
      <c r="C57" s="20"/>
      <c r="D57" s="20"/>
      <c r="E57" s="20"/>
      <c r="F57" s="20"/>
      <c r="G57" s="20"/>
      <c r="H57" s="20"/>
      <c r="I57" s="20"/>
      <c r="J57" s="20"/>
      <c r="K57" s="20"/>
      <c r="L57" s="20"/>
      <c r="M57" s="20"/>
      <c r="N57" s="20"/>
      <c r="O57" s="21"/>
      <c r="P57" s="21"/>
      <c r="Q57" s="21"/>
      <c r="R57" s="21"/>
      <c r="S57" s="21"/>
    </row>
    <row r="58" spans="2:19" ht="12" customHeight="1" x14ac:dyDescent="0.25">
      <c r="B58" s="9" t="s">
        <v>56</v>
      </c>
      <c r="C58" s="20"/>
      <c r="D58" s="20"/>
      <c r="E58" s="20"/>
      <c r="F58" s="20"/>
      <c r="G58" s="20"/>
      <c r="H58" s="20"/>
      <c r="I58" s="20"/>
      <c r="J58" s="20"/>
      <c r="K58" s="20"/>
      <c r="L58" s="20"/>
      <c r="M58" s="20"/>
      <c r="N58" s="20"/>
      <c r="O58" s="21"/>
      <c r="P58" s="21"/>
      <c r="Q58" s="21"/>
      <c r="R58" s="21"/>
      <c r="S58" s="21"/>
    </row>
    <row r="59" spans="2:19" ht="12" customHeight="1" x14ac:dyDescent="0.25">
      <c r="B59" s="9" t="s">
        <v>57</v>
      </c>
      <c r="C59" s="22"/>
      <c r="D59" s="22"/>
      <c r="E59" s="22"/>
      <c r="F59" s="22"/>
      <c r="G59" s="22"/>
      <c r="H59" s="22"/>
      <c r="I59" s="22"/>
      <c r="J59" s="22"/>
      <c r="K59" s="22"/>
      <c r="L59" s="22"/>
      <c r="M59" s="22"/>
      <c r="N59" s="22"/>
      <c r="O59" s="23"/>
      <c r="P59" s="23"/>
      <c r="Q59" s="23"/>
      <c r="R59" s="23"/>
      <c r="S59" s="23"/>
    </row>
    <row r="60" spans="2:19" ht="12" customHeight="1" x14ac:dyDescent="0.25">
      <c r="B60" s="9" t="s">
        <v>58</v>
      </c>
      <c r="C60" s="10"/>
      <c r="D60" s="10"/>
      <c r="E60" s="10"/>
      <c r="F60" s="10"/>
      <c r="G60" s="10"/>
      <c r="H60" s="10"/>
      <c r="I60" s="10"/>
      <c r="J60" s="10"/>
      <c r="K60" s="10"/>
      <c r="L60" s="10"/>
      <c r="M60" s="10"/>
      <c r="N60" s="10"/>
      <c r="O60" s="5"/>
      <c r="P60" s="5"/>
      <c r="Q60" s="5"/>
      <c r="R60" s="5"/>
      <c r="S60" s="5"/>
    </row>
    <row r="61" spans="2:19" ht="12" customHeight="1" x14ac:dyDescent="0.25">
      <c r="B61" s="9"/>
      <c r="C61" s="10"/>
      <c r="D61" s="10"/>
      <c r="E61" s="10"/>
      <c r="F61" s="10"/>
      <c r="G61" s="10"/>
      <c r="H61" s="10"/>
      <c r="I61" s="10"/>
      <c r="J61" s="10"/>
      <c r="K61" s="10"/>
      <c r="L61" s="10"/>
      <c r="M61" s="10"/>
      <c r="N61" s="10"/>
      <c r="O61" s="5"/>
      <c r="P61" s="5"/>
      <c r="Q61" s="5"/>
      <c r="R61" s="5"/>
      <c r="S61" s="5"/>
    </row>
    <row r="62" spans="2:19" s="26" customFormat="1" ht="12" customHeight="1" x14ac:dyDescent="0.25">
      <c r="B62" s="24"/>
      <c r="C62" s="25"/>
      <c r="D62" s="25"/>
      <c r="E62" s="25"/>
      <c r="F62" s="25"/>
      <c r="G62" s="25"/>
      <c r="H62" s="25"/>
      <c r="I62" s="25"/>
      <c r="J62" s="25"/>
      <c r="K62" s="25"/>
      <c r="L62" s="25"/>
      <c r="M62" s="25"/>
      <c r="N62" s="25"/>
      <c r="O62" s="25"/>
      <c r="P62" s="25"/>
      <c r="Q62" s="25"/>
      <c r="R62" s="25"/>
      <c r="S62" s="25"/>
    </row>
  </sheetData>
  <phoneticPr fontId="24" type="noConversion"/>
  <pageMargins left="0.7" right="0.7" top="0.75" bottom="0.75" header="0.3" footer="0.3"/>
  <pageSetup paperSize="9" orientation="portrait" verticalDpi="30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743E1-82E5-4830-AB6B-BA5DE2D698C0}">
  <dimension ref="B1:AF62"/>
  <sheetViews>
    <sheetView showGridLines="0" workbookViewId="0">
      <selection activeCell="Y15" sqref="Y15"/>
    </sheetView>
  </sheetViews>
  <sheetFormatPr defaultColWidth="8.28515625" defaultRowHeight="12" customHeight="1" x14ac:dyDescent="0.25"/>
  <cols>
    <col min="1" max="1" width="3.5703125" style="2" customWidth="1"/>
    <col min="2" max="2" width="35.7109375" style="2" customWidth="1"/>
    <col min="3" max="8" width="8.28515625" style="2" hidden="1" customWidth="1"/>
    <col min="9" max="10" width="8.28515625" style="2" customWidth="1"/>
    <col min="11" max="20" width="8.28515625" style="2"/>
    <col min="21" max="21" width="10" style="2" bestFit="1" customWidth="1"/>
    <col min="22" max="22" width="8.28515625" style="2"/>
    <col min="23" max="23" width="11.7109375" style="2" bestFit="1" customWidth="1"/>
    <col min="24" max="16384" width="8.28515625" style="2"/>
  </cols>
  <sheetData>
    <row r="1" spans="2:19" ht="12" customHeight="1" x14ac:dyDescent="0.25">
      <c r="B1" s="1" t="s">
        <v>1590</v>
      </c>
    </row>
    <row r="2" spans="2:19" ht="12" customHeight="1" x14ac:dyDescent="0.25">
      <c r="B2" s="3" t="s">
        <v>17</v>
      </c>
      <c r="C2" s="4" t="s">
        <v>18</v>
      </c>
      <c r="D2" s="4" t="s">
        <v>19</v>
      </c>
      <c r="E2" s="4" t="s">
        <v>20</v>
      </c>
      <c r="F2" s="4" t="s">
        <v>21</v>
      </c>
      <c r="G2" s="4" t="s">
        <v>22</v>
      </c>
      <c r="H2" s="4" t="s">
        <v>23</v>
      </c>
      <c r="I2" s="4" t="s">
        <v>24</v>
      </c>
      <c r="J2" s="4" t="s">
        <v>25</v>
      </c>
      <c r="K2" s="4" t="s">
        <v>26</v>
      </c>
      <c r="L2" s="4" t="s">
        <v>27</v>
      </c>
      <c r="M2" s="4" t="s">
        <v>273</v>
      </c>
      <c r="N2" s="4" t="s">
        <v>347</v>
      </c>
      <c r="O2" s="227" t="s">
        <v>177</v>
      </c>
      <c r="P2" s="227" t="s">
        <v>178</v>
      </c>
      <c r="Q2" s="227" t="s">
        <v>179</v>
      </c>
      <c r="R2" s="227" t="s">
        <v>231</v>
      </c>
      <c r="S2" s="227" t="s">
        <v>232</v>
      </c>
    </row>
    <row r="3" spans="2:19" ht="12" customHeight="1" x14ac:dyDescent="0.25">
      <c r="B3" s="6"/>
      <c r="C3" s="7"/>
      <c r="D3" s="7"/>
      <c r="E3" s="7"/>
      <c r="F3" s="7"/>
      <c r="G3" s="7"/>
      <c r="H3" s="7"/>
      <c r="I3" s="7"/>
      <c r="J3" s="7"/>
      <c r="K3" s="7"/>
      <c r="L3" s="7"/>
      <c r="M3" s="7"/>
      <c r="N3" s="7"/>
      <c r="O3" s="8"/>
      <c r="P3" s="8"/>
      <c r="Q3" s="8"/>
      <c r="R3" s="8"/>
      <c r="S3" s="8"/>
    </row>
    <row r="4" spans="2:19" ht="12" customHeight="1" x14ac:dyDescent="0.25">
      <c r="B4" s="6" t="s">
        <v>478</v>
      </c>
      <c r="C4" s="7"/>
      <c r="D4" s="7"/>
      <c r="E4" s="7"/>
      <c r="F4" s="7"/>
      <c r="G4" s="7"/>
      <c r="H4" s="7"/>
      <c r="I4" s="123"/>
      <c r="J4" s="123"/>
      <c r="K4" s="123"/>
      <c r="L4" s="123"/>
      <c r="M4" s="123"/>
      <c r="N4" s="123"/>
      <c r="O4" s="8"/>
      <c r="P4" s="8"/>
      <c r="Q4" s="8"/>
      <c r="R4" s="8"/>
      <c r="S4" s="8"/>
    </row>
    <row r="5" spans="2:19" ht="12" customHeight="1" x14ac:dyDescent="0.25">
      <c r="B5" s="6" t="s">
        <v>479</v>
      </c>
      <c r="C5" s="7"/>
      <c r="D5" s="7"/>
      <c r="E5" s="7"/>
      <c r="F5" s="7"/>
      <c r="G5" s="7"/>
      <c r="H5" s="7"/>
      <c r="I5" s="123"/>
      <c r="J5" s="123"/>
      <c r="K5" s="123"/>
      <c r="L5" s="123"/>
      <c r="M5" s="123"/>
      <c r="N5" s="123"/>
      <c r="O5" s="8"/>
      <c r="P5" s="8"/>
      <c r="Q5" s="8"/>
      <c r="R5" s="8"/>
      <c r="S5" s="8"/>
    </row>
    <row r="6" spans="2:19" ht="12" customHeight="1" x14ac:dyDescent="0.25">
      <c r="B6" s="6" t="s">
        <v>480</v>
      </c>
      <c r="C6" s="7"/>
      <c r="D6" s="7"/>
      <c r="E6" s="7"/>
      <c r="F6" s="7"/>
      <c r="G6" s="7"/>
      <c r="H6" s="7"/>
      <c r="I6" s="123"/>
      <c r="J6" s="123"/>
      <c r="K6" s="123"/>
      <c r="L6" s="123"/>
      <c r="M6" s="123"/>
      <c r="N6" s="123"/>
      <c r="O6" s="8"/>
      <c r="P6" s="8"/>
      <c r="Q6" s="8"/>
      <c r="R6" s="8"/>
      <c r="S6" s="8"/>
    </row>
    <row r="7" spans="2:19" ht="12" customHeight="1" x14ac:dyDescent="0.25">
      <c r="B7" s="6" t="s">
        <v>481</v>
      </c>
      <c r="C7" s="7"/>
      <c r="D7" s="7"/>
      <c r="E7" s="7"/>
      <c r="F7" s="7"/>
      <c r="G7" s="7"/>
      <c r="H7" s="7"/>
      <c r="I7" s="123"/>
      <c r="J7" s="123"/>
      <c r="K7" s="123"/>
      <c r="L7" s="123"/>
      <c r="M7" s="123"/>
      <c r="N7" s="123"/>
      <c r="O7" s="8"/>
      <c r="P7" s="8"/>
      <c r="Q7" s="8"/>
      <c r="R7" s="8"/>
      <c r="S7" s="8"/>
    </row>
    <row r="8" spans="2:19" ht="12" customHeight="1" x14ac:dyDescent="0.25">
      <c r="B8" s="6" t="s">
        <v>483</v>
      </c>
      <c r="C8" s="7"/>
      <c r="D8" s="7"/>
      <c r="E8" s="7"/>
      <c r="F8" s="7"/>
      <c r="G8" s="7"/>
      <c r="H8" s="7"/>
      <c r="I8" s="123"/>
      <c r="J8" s="123"/>
      <c r="K8" s="123"/>
      <c r="L8" s="123"/>
      <c r="M8" s="123"/>
      <c r="N8" s="123"/>
      <c r="O8" s="8"/>
      <c r="P8" s="8"/>
      <c r="Q8" s="8"/>
      <c r="R8" s="8"/>
      <c r="S8" s="8"/>
    </row>
    <row r="9" spans="2:19" ht="12" customHeight="1" x14ac:dyDescent="0.25">
      <c r="B9" s="6" t="s">
        <v>482</v>
      </c>
      <c r="C9" s="7"/>
      <c r="D9" s="7"/>
      <c r="E9" s="7"/>
      <c r="F9" s="7"/>
      <c r="G9" s="7"/>
      <c r="H9" s="7"/>
      <c r="I9" s="123"/>
      <c r="J9" s="123"/>
      <c r="K9" s="123"/>
      <c r="L9" s="123"/>
      <c r="M9" s="123"/>
      <c r="N9" s="123"/>
      <c r="O9" s="8"/>
      <c r="P9" s="8"/>
      <c r="Q9" s="8"/>
      <c r="R9" s="8"/>
      <c r="S9" s="8"/>
    </row>
    <row r="10" spans="2:19" ht="12" customHeight="1" x14ac:dyDescent="0.25">
      <c r="B10" s="6" t="s">
        <v>484</v>
      </c>
      <c r="C10" s="7"/>
      <c r="D10" s="7"/>
      <c r="E10" s="7"/>
      <c r="F10" s="7"/>
      <c r="G10" s="7"/>
      <c r="H10" s="7"/>
      <c r="I10" s="123"/>
      <c r="J10" s="123"/>
      <c r="K10" s="123"/>
      <c r="L10" s="123"/>
      <c r="M10" s="123"/>
      <c r="N10" s="123"/>
      <c r="O10" s="8"/>
      <c r="P10" s="8"/>
      <c r="Q10" s="8"/>
      <c r="R10" s="8"/>
      <c r="S10" s="8"/>
    </row>
    <row r="11" spans="2:19" ht="12" customHeight="1" x14ac:dyDescent="0.25">
      <c r="B11" s="6" t="s">
        <v>485</v>
      </c>
      <c r="C11" s="7"/>
      <c r="D11" s="7"/>
      <c r="E11" s="7"/>
      <c r="F11" s="7"/>
      <c r="G11" s="7"/>
      <c r="H11" s="7"/>
      <c r="I11" s="123"/>
      <c r="J11" s="123"/>
      <c r="K11" s="123"/>
      <c r="L11" s="123"/>
      <c r="M11" s="123"/>
      <c r="N11" s="123"/>
      <c r="O11" s="8"/>
      <c r="P11" s="8"/>
      <c r="Q11" s="8"/>
      <c r="R11" s="8"/>
      <c r="S11" s="8"/>
    </row>
    <row r="12" spans="2:19" ht="12" customHeight="1" x14ac:dyDescent="0.25">
      <c r="B12" s="6" t="s">
        <v>486</v>
      </c>
      <c r="C12" s="7"/>
      <c r="D12" s="7"/>
      <c r="E12" s="7"/>
      <c r="F12" s="7"/>
      <c r="G12" s="7"/>
      <c r="H12" s="7"/>
      <c r="I12" s="123"/>
      <c r="J12" s="123"/>
      <c r="K12" s="123"/>
      <c r="L12" s="123"/>
      <c r="M12" s="123"/>
      <c r="N12" s="123"/>
      <c r="O12" s="8"/>
      <c r="P12" s="8"/>
      <c r="Q12" s="8"/>
      <c r="R12" s="8"/>
      <c r="S12" s="8"/>
    </row>
    <row r="13" spans="2:19" ht="12" customHeight="1" x14ac:dyDescent="0.25">
      <c r="B13" s="6" t="s">
        <v>487</v>
      </c>
      <c r="C13" s="7"/>
      <c r="D13" s="7"/>
      <c r="E13" s="7"/>
      <c r="F13" s="7"/>
      <c r="G13" s="7"/>
      <c r="H13" s="7"/>
      <c r="I13" s="123"/>
      <c r="J13" s="123"/>
      <c r="K13" s="123"/>
      <c r="L13" s="123"/>
      <c r="M13" s="123"/>
      <c r="N13" s="123"/>
      <c r="O13" s="8"/>
      <c r="P13" s="8"/>
      <c r="Q13" s="8"/>
      <c r="R13" s="8"/>
      <c r="S13" s="8"/>
    </row>
    <row r="14" spans="2:19" ht="12" customHeight="1" x14ac:dyDescent="0.25">
      <c r="B14" s="6" t="s">
        <v>488</v>
      </c>
      <c r="C14" s="7"/>
      <c r="D14" s="7"/>
      <c r="E14" s="7"/>
      <c r="F14" s="7"/>
      <c r="G14" s="7"/>
      <c r="H14" s="7"/>
      <c r="I14" s="123"/>
      <c r="J14" s="123"/>
      <c r="K14" s="123"/>
      <c r="L14" s="123"/>
      <c r="M14" s="123"/>
      <c r="N14" s="123"/>
      <c r="O14" s="8"/>
      <c r="P14" s="8"/>
      <c r="Q14" s="8"/>
      <c r="R14" s="8"/>
      <c r="S14" s="8"/>
    </row>
    <row r="15" spans="2:19" ht="12" customHeight="1" x14ac:dyDescent="0.25">
      <c r="B15" s="6"/>
      <c r="C15" s="7"/>
      <c r="D15" s="7"/>
      <c r="E15" s="7"/>
      <c r="F15" s="7"/>
      <c r="G15" s="7"/>
      <c r="H15" s="7"/>
      <c r="I15" s="7"/>
      <c r="J15" s="7"/>
      <c r="K15" s="7"/>
      <c r="L15" s="7"/>
      <c r="M15" s="7"/>
      <c r="N15" s="7"/>
      <c r="O15" s="8"/>
      <c r="P15" s="8"/>
      <c r="Q15" s="8"/>
      <c r="R15" s="8"/>
      <c r="S15" s="8"/>
    </row>
    <row r="16" spans="2:19" ht="12" customHeight="1" x14ac:dyDescent="0.25">
      <c r="B16" s="9" t="s">
        <v>29</v>
      </c>
      <c r="C16" s="10"/>
      <c r="D16" s="10"/>
      <c r="E16" s="10"/>
      <c r="F16" s="10"/>
      <c r="G16" s="10"/>
      <c r="H16" s="10"/>
      <c r="I16" s="10">
        <f>SUM(I4:I14)</f>
        <v>0</v>
      </c>
      <c r="J16" s="10">
        <f>SUM(J4:J14)</f>
        <v>0</v>
      </c>
      <c r="K16" s="10">
        <f>SUM(K4:K14)</f>
        <v>0</v>
      </c>
      <c r="L16" s="10">
        <f>SUM(L4:L14)</f>
        <v>0</v>
      </c>
      <c r="M16" s="10">
        <f t="shared" ref="M16:N16" si="0">SUM(M4:M14)</f>
        <v>0</v>
      </c>
      <c r="N16" s="10">
        <f t="shared" si="0"/>
        <v>0</v>
      </c>
      <c r="O16" s="5"/>
      <c r="P16" s="5"/>
      <c r="Q16" s="5"/>
      <c r="R16" s="5"/>
      <c r="S16" s="5"/>
    </row>
    <row r="17" spans="2:32" s="14" customFormat="1" ht="12" customHeight="1" x14ac:dyDescent="0.25">
      <c r="B17" s="11" t="s">
        <v>30</v>
      </c>
      <c r="C17" s="12" t="str">
        <f>IF(ISERROR(C16/#REF!-1)," ",C16/#REF!-1)</f>
        <v xml:space="preserve"> </v>
      </c>
      <c r="D17" s="12" t="str">
        <f>IF(ISERROR(D16/#REF!-1)," ",D16/#REF!-1)</f>
        <v xml:space="preserve"> </v>
      </c>
      <c r="E17" s="12" t="str">
        <f>IF(ISERROR(E16/#REF!-1)," ",E16/#REF!-1)</f>
        <v xml:space="preserve"> </v>
      </c>
      <c r="F17" s="12" t="str">
        <f>IF(ISERROR(F16/#REF!-1)," ",F16/#REF!-1)</f>
        <v xml:space="preserve"> </v>
      </c>
      <c r="G17" s="12" t="str">
        <f>IF(ISERROR(G16/#REF!-1)," ",G16/#REF!-1)</f>
        <v xml:space="preserve"> </v>
      </c>
      <c r="H17" s="12" t="str">
        <f>IF(ISERROR(H16/#REF!-1)," ",H16/#REF!-1)</f>
        <v xml:space="preserve"> </v>
      </c>
      <c r="I17" s="12" t="str">
        <f>IF(ISERROR(I16/#REF!-1)," ",I16/#REF!-1)</f>
        <v xml:space="preserve"> </v>
      </c>
      <c r="J17" s="12" t="str">
        <f>IF(ISERROR(J16/I16-1)," ",J16/I16-1)</f>
        <v xml:space="preserve"> </v>
      </c>
      <c r="K17" s="12" t="str">
        <f>IF(ISERROR(K16/J16-1)," ",K16/J16-1)</f>
        <v xml:space="preserve"> </v>
      </c>
      <c r="L17" s="12" t="str">
        <f>IF(ISERROR(L16/K16-1)," ",L16/K16-1)</f>
        <v xml:space="preserve"> </v>
      </c>
      <c r="M17" s="12" t="str">
        <f t="shared" ref="M17:N17" si="1">IF(ISERROR(M16/L16-1)," ",M16/L16-1)</f>
        <v xml:space="preserve"> </v>
      </c>
      <c r="N17" s="12" t="str">
        <f t="shared" si="1"/>
        <v xml:space="preserve"> </v>
      </c>
      <c r="O17" s="13"/>
      <c r="P17" s="13"/>
      <c r="Q17" s="13"/>
      <c r="R17" s="13"/>
      <c r="S17" s="13"/>
      <c r="W17" s="2"/>
      <c r="X17" s="2"/>
      <c r="Y17" s="2"/>
      <c r="Z17" s="2"/>
      <c r="AA17" s="2"/>
      <c r="AB17" s="2"/>
      <c r="AC17" s="2"/>
      <c r="AD17" s="2"/>
      <c r="AE17" s="2"/>
      <c r="AF17" s="2"/>
    </row>
    <row r="18" spans="2:32" ht="12" customHeight="1" x14ac:dyDescent="0.25">
      <c r="B18" s="6"/>
      <c r="C18" s="7"/>
      <c r="D18" s="7"/>
      <c r="E18" s="7"/>
      <c r="F18" s="7"/>
      <c r="G18" s="7"/>
      <c r="H18" s="7"/>
      <c r="I18" s="7"/>
      <c r="J18" s="7"/>
      <c r="K18" s="7"/>
      <c r="L18" s="7"/>
      <c r="M18" s="7"/>
      <c r="N18" s="7"/>
      <c r="O18" s="8"/>
      <c r="P18" s="8"/>
      <c r="Q18" s="8"/>
      <c r="R18" s="8"/>
      <c r="S18" s="8"/>
    </row>
    <row r="19" spans="2:32" ht="12" customHeight="1" x14ac:dyDescent="0.25">
      <c r="B19" s="6" t="s">
        <v>31</v>
      </c>
      <c r="C19" s="7"/>
      <c r="D19" s="7"/>
      <c r="E19" s="7"/>
      <c r="F19" s="7"/>
      <c r="G19" s="7"/>
      <c r="H19" s="7"/>
      <c r="I19" s="7"/>
      <c r="J19" s="7"/>
      <c r="K19" s="7"/>
      <c r="L19" s="7"/>
      <c r="M19" s="7"/>
      <c r="N19" s="7"/>
      <c r="O19" s="8"/>
      <c r="P19" s="8"/>
      <c r="Q19" s="8"/>
      <c r="R19" s="8"/>
      <c r="S19" s="8"/>
    </row>
    <row r="20" spans="2:32" ht="12" customHeight="1" x14ac:dyDescent="0.25">
      <c r="B20" s="6" t="s">
        <v>32</v>
      </c>
      <c r="C20" s="7"/>
      <c r="D20" s="7"/>
      <c r="E20" s="7"/>
      <c r="F20" s="7"/>
      <c r="G20" s="7"/>
      <c r="H20" s="7"/>
      <c r="I20" s="7"/>
      <c r="J20" s="7"/>
      <c r="K20" s="7"/>
      <c r="L20" s="7"/>
      <c r="M20" s="7"/>
      <c r="N20" s="7"/>
      <c r="O20" s="8"/>
      <c r="P20" s="8"/>
      <c r="Q20" s="8"/>
      <c r="R20" s="8"/>
      <c r="S20" s="8"/>
    </row>
    <row r="21" spans="2:32" ht="12" customHeight="1" x14ac:dyDescent="0.25">
      <c r="B21" s="6" t="s">
        <v>33</v>
      </c>
      <c r="C21" s="7"/>
      <c r="D21" s="7"/>
      <c r="E21" s="7"/>
      <c r="F21" s="7"/>
      <c r="G21" s="7"/>
      <c r="H21" s="7"/>
      <c r="I21" s="7"/>
      <c r="J21" s="7"/>
      <c r="K21" s="7"/>
      <c r="L21" s="7"/>
      <c r="M21" s="7">
        <v>7.0999999999999994E-2</v>
      </c>
      <c r="N21" s="7">
        <v>0.13500000000000001</v>
      </c>
      <c r="O21" s="8"/>
      <c r="P21" s="8"/>
      <c r="Q21" s="8"/>
      <c r="R21" s="8"/>
      <c r="S21" s="8"/>
    </row>
    <row r="22" spans="2:32" ht="12" customHeight="1" x14ac:dyDescent="0.25">
      <c r="B22" s="6"/>
      <c r="C22" s="7"/>
      <c r="D22" s="7"/>
      <c r="E22" s="7"/>
      <c r="F22" s="7"/>
      <c r="G22" s="7"/>
      <c r="H22" s="7"/>
      <c r="I22" s="7"/>
      <c r="J22" s="7"/>
      <c r="K22" s="7"/>
      <c r="L22" s="7"/>
      <c r="M22" s="7"/>
      <c r="N22" s="7"/>
      <c r="O22" s="8"/>
      <c r="P22" s="8"/>
      <c r="Q22" s="8"/>
      <c r="R22" s="8"/>
      <c r="S22" s="8"/>
    </row>
    <row r="23" spans="2:32" ht="12" customHeight="1" x14ac:dyDescent="0.25">
      <c r="B23" s="9" t="s">
        <v>34</v>
      </c>
      <c r="C23" s="10">
        <f t="shared" ref="C23:J23" si="2">C16-SUM(C19:C21)</f>
        <v>0</v>
      </c>
      <c r="D23" s="10">
        <f t="shared" si="2"/>
        <v>0</v>
      </c>
      <c r="E23" s="10">
        <f t="shared" si="2"/>
        <v>0</v>
      </c>
      <c r="F23" s="10">
        <f t="shared" si="2"/>
        <v>0</v>
      </c>
      <c r="G23" s="10">
        <f t="shared" si="2"/>
        <v>0</v>
      </c>
      <c r="H23" s="10">
        <f t="shared" si="2"/>
        <v>0</v>
      </c>
      <c r="I23" s="10">
        <f t="shared" si="2"/>
        <v>0</v>
      </c>
      <c r="J23" s="10">
        <f t="shared" si="2"/>
        <v>0</v>
      </c>
      <c r="K23" s="10">
        <f>K16-SUM(K19:K21)</f>
        <v>0</v>
      </c>
      <c r="L23" s="10">
        <f>L16-SUM(L19:L21)</f>
        <v>0</v>
      </c>
      <c r="M23" s="10">
        <f>M16-SUM(M19:M21)</f>
        <v>-7.0999999999999994E-2</v>
      </c>
      <c r="N23" s="10">
        <f>N16-SUM(N19:N21)</f>
        <v>-0.13500000000000001</v>
      </c>
      <c r="O23" s="5"/>
      <c r="P23" s="5"/>
      <c r="Q23" s="5"/>
      <c r="R23" s="5"/>
      <c r="S23" s="5"/>
    </row>
    <row r="24" spans="2:32" ht="12" customHeight="1" x14ac:dyDescent="0.25">
      <c r="B24" s="15" t="s">
        <v>35</v>
      </c>
      <c r="C24" s="16" t="str">
        <f t="shared" ref="C24:N24" si="3">IF(ISERROR(C23/C16)," ",C23/C16)</f>
        <v xml:space="preserve"> </v>
      </c>
      <c r="D24" s="16" t="str">
        <f t="shared" si="3"/>
        <v xml:space="preserve"> </v>
      </c>
      <c r="E24" s="16" t="str">
        <f t="shared" si="3"/>
        <v xml:space="preserve"> </v>
      </c>
      <c r="F24" s="16" t="str">
        <f t="shared" si="3"/>
        <v xml:space="preserve"> </v>
      </c>
      <c r="G24" s="16" t="str">
        <f t="shared" si="3"/>
        <v xml:space="preserve"> </v>
      </c>
      <c r="H24" s="16" t="str">
        <f t="shared" si="3"/>
        <v xml:space="preserve"> </v>
      </c>
      <c r="I24" s="16" t="str">
        <f t="shared" si="3"/>
        <v xml:space="preserve"> </v>
      </c>
      <c r="J24" s="16" t="str">
        <f t="shared" si="3"/>
        <v xml:space="preserve"> </v>
      </c>
      <c r="K24" s="16" t="str">
        <f t="shared" si="3"/>
        <v xml:space="preserve"> </v>
      </c>
      <c r="L24" s="16" t="str">
        <f t="shared" si="3"/>
        <v xml:space="preserve"> </v>
      </c>
      <c r="M24" s="16" t="str">
        <f t="shared" si="3"/>
        <v xml:space="preserve"> </v>
      </c>
      <c r="N24" s="16" t="str">
        <f t="shared" si="3"/>
        <v xml:space="preserve"> </v>
      </c>
      <c r="O24" s="198"/>
      <c r="P24" s="198"/>
      <c r="Q24" s="198"/>
      <c r="R24" s="198"/>
      <c r="S24" s="198"/>
    </row>
    <row r="25" spans="2:32"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t="str">
        <f>IF(ISERROR(F23/#REF!-1)," ",F23/#REF!-1)</f>
        <v xml:space="preserve"> </v>
      </c>
      <c r="G25" s="12" t="str">
        <f>IF(ISERROR(G23/#REF!-1)," ",G23/#REF!-1)</f>
        <v xml:space="preserve"> </v>
      </c>
      <c r="H25" s="12" t="str">
        <f>IF(ISERROR(H23/#REF!-1)," ",H23/#REF!-1)</f>
        <v xml:space="preserve"> </v>
      </c>
      <c r="I25" s="12" t="str">
        <f>IF(ISERROR(I23/#REF!-1)," ",I23/#REF!-1)</f>
        <v xml:space="preserve"> </v>
      </c>
      <c r="J25" s="12" t="str">
        <f>IF(ISERROR(J23/I23-1)," ",J23/I23-1)</f>
        <v xml:space="preserve"> </v>
      </c>
      <c r="K25" s="12" t="str">
        <f>IF(ISERROR(K23/J23-1)," ",K23/J23-1)</f>
        <v xml:space="preserve"> </v>
      </c>
      <c r="L25" s="12" t="str">
        <f>IF(ISERROR(L23/K23-1)," ",L23/K23-1)</f>
        <v xml:space="preserve"> </v>
      </c>
      <c r="M25" s="12" t="str">
        <f>IF(ISERROR(M23/L23-1)," ",M23/L23-1)</f>
        <v xml:space="preserve"> </v>
      </c>
      <c r="N25" s="12">
        <f>IF(ISERROR(N23/M23-1)," ",N23/M23-1)</f>
        <v>0.90140845070422571</v>
      </c>
      <c r="O25" s="13"/>
      <c r="P25" s="13"/>
      <c r="Q25" s="13"/>
      <c r="R25" s="13"/>
      <c r="S25" s="13"/>
      <c r="W25" s="2"/>
      <c r="X25" s="2"/>
      <c r="Y25" s="2"/>
      <c r="Z25" s="2"/>
      <c r="AA25" s="2"/>
      <c r="AB25" s="2"/>
      <c r="AC25" s="2"/>
      <c r="AD25" s="2"/>
      <c r="AE25" s="2"/>
      <c r="AF25" s="2"/>
    </row>
    <row r="26" spans="2:32" ht="12" customHeight="1" x14ac:dyDescent="0.25">
      <c r="B26" s="15"/>
      <c r="C26" s="16"/>
      <c r="D26" s="16"/>
      <c r="E26" s="16"/>
      <c r="F26" s="16"/>
      <c r="G26" s="16"/>
      <c r="H26" s="16"/>
      <c r="I26" s="16"/>
      <c r="J26" s="16"/>
      <c r="K26" s="16"/>
      <c r="L26" s="16"/>
      <c r="M26" s="16"/>
      <c r="N26" s="16"/>
      <c r="O26" s="17"/>
      <c r="P26" s="17"/>
      <c r="Q26" s="17"/>
      <c r="R26" s="17"/>
      <c r="S26" s="17"/>
    </row>
    <row r="27" spans="2:32" ht="12" customHeight="1" x14ac:dyDescent="0.25">
      <c r="B27" s="6" t="s">
        <v>36</v>
      </c>
      <c r="C27" s="7"/>
      <c r="D27" s="7"/>
      <c r="E27" s="7"/>
      <c r="F27" s="7"/>
      <c r="G27" s="7"/>
      <c r="H27" s="7"/>
      <c r="I27" s="7"/>
      <c r="J27" s="7"/>
      <c r="K27" s="7"/>
      <c r="L27" s="7"/>
      <c r="M27" s="7"/>
      <c r="N27" s="7"/>
      <c r="O27" s="8"/>
      <c r="P27" s="8"/>
      <c r="Q27" s="8"/>
      <c r="R27" s="8"/>
      <c r="S27" s="8"/>
    </row>
    <row r="28" spans="2:32" ht="12" customHeight="1" x14ac:dyDescent="0.25">
      <c r="B28" s="6" t="s">
        <v>37</v>
      </c>
      <c r="C28" s="7"/>
      <c r="D28" s="7"/>
      <c r="E28" s="7"/>
      <c r="F28" s="7"/>
      <c r="G28" s="7"/>
      <c r="H28" s="7"/>
      <c r="I28" s="7"/>
      <c r="J28" s="7"/>
      <c r="K28" s="7"/>
      <c r="L28" s="7"/>
      <c r="M28" s="7">
        <v>0</v>
      </c>
      <c r="N28" s="7">
        <v>0.113</v>
      </c>
      <c r="O28" s="8"/>
      <c r="P28" s="8"/>
      <c r="Q28" s="8"/>
      <c r="R28" s="8"/>
      <c r="S28" s="8"/>
    </row>
    <row r="29" spans="2:32" ht="12" customHeight="1" x14ac:dyDescent="0.25">
      <c r="B29" s="6"/>
      <c r="C29" s="7"/>
      <c r="D29" s="7"/>
      <c r="E29" s="7"/>
      <c r="F29" s="7"/>
      <c r="G29" s="7"/>
      <c r="H29" s="7"/>
      <c r="I29" s="7"/>
      <c r="J29" s="7"/>
      <c r="K29" s="7"/>
      <c r="L29" s="7"/>
      <c r="M29" s="7"/>
      <c r="N29" s="7"/>
      <c r="O29" s="8"/>
      <c r="P29" s="8"/>
      <c r="Q29" s="8"/>
      <c r="R29" s="8"/>
      <c r="S29" s="8"/>
    </row>
    <row r="30" spans="2:32" ht="12" customHeight="1" x14ac:dyDescent="0.25">
      <c r="B30" s="9" t="s">
        <v>38</v>
      </c>
      <c r="C30" s="10">
        <f t="shared" ref="C30:N30" si="4">C23+C27-C28</f>
        <v>0</v>
      </c>
      <c r="D30" s="10">
        <f t="shared" si="4"/>
        <v>0</v>
      </c>
      <c r="E30" s="10">
        <f t="shared" si="4"/>
        <v>0</v>
      </c>
      <c r="F30" s="10">
        <f t="shared" si="4"/>
        <v>0</v>
      </c>
      <c r="G30" s="10">
        <f t="shared" si="4"/>
        <v>0</v>
      </c>
      <c r="H30" s="10">
        <f t="shared" si="4"/>
        <v>0</v>
      </c>
      <c r="I30" s="10">
        <f t="shared" si="4"/>
        <v>0</v>
      </c>
      <c r="J30" s="10">
        <f t="shared" si="4"/>
        <v>0</v>
      </c>
      <c r="K30" s="10">
        <f t="shared" si="4"/>
        <v>0</v>
      </c>
      <c r="L30" s="10">
        <f t="shared" si="4"/>
        <v>0</v>
      </c>
      <c r="M30" s="10">
        <f t="shared" si="4"/>
        <v>-7.0999999999999994E-2</v>
      </c>
      <c r="N30" s="10">
        <f t="shared" si="4"/>
        <v>-0.248</v>
      </c>
      <c r="O30" s="5"/>
      <c r="P30" s="5"/>
      <c r="Q30" s="5"/>
      <c r="R30" s="5"/>
      <c r="S30" s="5"/>
    </row>
    <row r="31" spans="2:32" ht="12" customHeight="1" x14ac:dyDescent="0.25">
      <c r="B31" s="6"/>
      <c r="C31" s="7"/>
      <c r="D31" s="7"/>
      <c r="E31" s="7"/>
      <c r="F31" s="7"/>
      <c r="G31" s="7"/>
      <c r="H31" s="7"/>
      <c r="I31" s="7"/>
      <c r="J31" s="7"/>
      <c r="K31" s="7"/>
      <c r="L31" s="7"/>
      <c r="M31" s="7"/>
      <c r="N31" s="7"/>
      <c r="O31" s="8"/>
      <c r="P31" s="8"/>
      <c r="Q31" s="8"/>
      <c r="R31" s="8"/>
      <c r="S31" s="8"/>
    </row>
    <row r="32" spans="2:32" ht="12" customHeight="1" x14ac:dyDescent="0.25">
      <c r="B32" s="6" t="s">
        <v>39</v>
      </c>
      <c r="C32" s="7"/>
      <c r="D32" s="7"/>
      <c r="E32" s="7"/>
      <c r="F32" s="7"/>
      <c r="G32" s="7"/>
      <c r="H32" s="7"/>
      <c r="I32" s="7"/>
      <c r="J32" s="7"/>
      <c r="K32" s="7"/>
      <c r="L32" s="7"/>
      <c r="M32" s="7">
        <v>1E-3</v>
      </c>
      <c r="N32" s="7">
        <v>3.0000000000000001E-3</v>
      </c>
      <c r="O32" s="8"/>
      <c r="P32" s="8"/>
      <c r="Q32" s="8"/>
      <c r="R32" s="8"/>
      <c r="S32" s="8"/>
    </row>
    <row r="33" spans="2:32" ht="12" customHeight="1" x14ac:dyDescent="0.25">
      <c r="B33" s="6" t="s">
        <v>307</v>
      </c>
      <c r="C33" s="7"/>
      <c r="D33" s="7"/>
      <c r="E33" s="7"/>
      <c r="F33" s="7"/>
      <c r="G33" s="7"/>
      <c r="H33" s="7"/>
      <c r="I33" s="7"/>
      <c r="J33" s="7"/>
      <c r="K33" s="7"/>
      <c r="L33" s="7"/>
      <c r="M33" s="7"/>
      <c r="N33" s="7"/>
      <c r="O33" s="8"/>
      <c r="P33" s="8"/>
      <c r="Q33" s="8"/>
      <c r="R33" s="8"/>
      <c r="S33" s="8"/>
    </row>
    <row r="34" spans="2:32" ht="12" customHeight="1" x14ac:dyDescent="0.25">
      <c r="B34" s="6"/>
      <c r="C34" s="7"/>
      <c r="D34" s="7"/>
      <c r="E34" s="7"/>
      <c r="F34" s="7"/>
      <c r="G34" s="7"/>
      <c r="H34" s="7"/>
      <c r="I34" s="7"/>
      <c r="J34" s="7"/>
      <c r="K34" s="7"/>
      <c r="L34" s="7"/>
      <c r="M34" s="7"/>
      <c r="N34" s="7"/>
      <c r="O34" s="8"/>
      <c r="P34" s="8"/>
      <c r="Q34" s="8"/>
      <c r="R34" s="8"/>
      <c r="S34" s="8"/>
    </row>
    <row r="35" spans="2:32" ht="12" customHeight="1" x14ac:dyDescent="0.25">
      <c r="B35" s="9" t="s">
        <v>40</v>
      </c>
      <c r="C35" s="10">
        <f t="shared" ref="C35:N35" si="5">C30-C32-C33</f>
        <v>0</v>
      </c>
      <c r="D35" s="10">
        <f t="shared" si="5"/>
        <v>0</v>
      </c>
      <c r="E35" s="10">
        <f t="shared" si="5"/>
        <v>0</v>
      </c>
      <c r="F35" s="10">
        <f t="shared" si="5"/>
        <v>0</v>
      </c>
      <c r="G35" s="10">
        <f t="shared" si="5"/>
        <v>0</v>
      </c>
      <c r="H35" s="10">
        <f t="shared" si="5"/>
        <v>0</v>
      </c>
      <c r="I35" s="10">
        <f t="shared" si="5"/>
        <v>0</v>
      </c>
      <c r="J35" s="10">
        <f t="shared" si="5"/>
        <v>0</v>
      </c>
      <c r="K35" s="10">
        <f t="shared" si="5"/>
        <v>0</v>
      </c>
      <c r="L35" s="10">
        <f t="shared" si="5"/>
        <v>0</v>
      </c>
      <c r="M35" s="1043">
        <f t="shared" si="5"/>
        <v>-7.1999999999999995E-2</v>
      </c>
      <c r="N35" s="1043">
        <f t="shared" si="5"/>
        <v>-0.251</v>
      </c>
      <c r="O35" s="5"/>
      <c r="P35" s="5"/>
      <c r="Q35" s="5"/>
      <c r="R35" s="5"/>
      <c r="S35" s="5"/>
    </row>
    <row r="36" spans="2:32" ht="12" customHeight="1" x14ac:dyDescent="0.25">
      <c r="B36" s="6"/>
      <c r="C36" s="7"/>
      <c r="D36" s="7"/>
      <c r="E36" s="7"/>
      <c r="F36" s="7"/>
      <c r="G36" s="7"/>
      <c r="H36" s="7"/>
      <c r="I36" s="7"/>
      <c r="J36" s="7"/>
      <c r="K36" s="7"/>
      <c r="L36" s="7"/>
      <c r="M36" s="7"/>
      <c r="N36" s="7"/>
      <c r="O36" s="8"/>
      <c r="P36" s="8"/>
      <c r="Q36" s="8"/>
      <c r="R36" s="8"/>
      <c r="S36" s="8"/>
    </row>
    <row r="37" spans="2:32" ht="12" customHeight="1" x14ac:dyDescent="0.25">
      <c r="B37" s="6" t="s">
        <v>41</v>
      </c>
      <c r="C37" s="7"/>
      <c r="D37" s="7"/>
      <c r="E37" s="7"/>
      <c r="F37" s="7"/>
      <c r="G37" s="7"/>
      <c r="H37" s="7"/>
      <c r="I37" s="7"/>
      <c r="J37" s="7"/>
      <c r="K37" s="7"/>
      <c r="L37" s="7"/>
      <c r="M37" s="7"/>
      <c r="N37" s="7"/>
      <c r="O37" s="8"/>
      <c r="P37" s="8"/>
      <c r="Q37" s="8"/>
      <c r="R37" s="8"/>
      <c r="S37" s="8"/>
    </row>
    <row r="38" spans="2:32" ht="12" customHeight="1" x14ac:dyDescent="0.25">
      <c r="B38" s="6" t="s">
        <v>42</v>
      </c>
      <c r="C38" s="7"/>
      <c r="D38" s="7"/>
      <c r="E38" s="7"/>
      <c r="F38" s="7"/>
      <c r="G38" s="7"/>
      <c r="H38" s="7"/>
      <c r="I38" s="7"/>
      <c r="J38" s="7"/>
      <c r="K38" s="7"/>
      <c r="L38" s="7"/>
      <c r="M38" s="7"/>
      <c r="N38" s="7"/>
      <c r="O38" s="8"/>
      <c r="P38" s="8"/>
      <c r="Q38" s="8"/>
      <c r="R38" s="8"/>
      <c r="S38" s="8"/>
    </row>
    <row r="39" spans="2:32" ht="12" customHeight="1" x14ac:dyDescent="0.25">
      <c r="B39" s="6" t="s">
        <v>43</v>
      </c>
      <c r="C39" s="7"/>
      <c r="D39" s="7"/>
      <c r="E39" s="7"/>
      <c r="F39" s="7"/>
      <c r="G39" s="7"/>
      <c r="H39" s="7"/>
      <c r="I39" s="7"/>
      <c r="J39" s="7"/>
      <c r="K39" s="7"/>
      <c r="L39" s="7"/>
      <c r="M39" s="7"/>
      <c r="N39" s="7"/>
      <c r="O39" s="8"/>
      <c r="P39" s="8"/>
      <c r="Q39" s="8"/>
      <c r="R39" s="8"/>
      <c r="S39" s="8"/>
    </row>
    <row r="40" spans="2:32" ht="12" customHeight="1" x14ac:dyDescent="0.25">
      <c r="B40" s="6" t="s">
        <v>44</v>
      </c>
      <c r="C40" s="7"/>
      <c r="D40" s="7"/>
      <c r="E40" s="7"/>
      <c r="F40" s="7"/>
      <c r="G40" s="7"/>
      <c r="H40" s="7"/>
      <c r="I40" s="7"/>
      <c r="J40" s="7"/>
      <c r="K40" s="7"/>
      <c r="L40" s="7"/>
      <c r="M40" s="7"/>
      <c r="N40" s="7">
        <v>-4.0279999999999996</v>
      </c>
      <c r="O40" s="8"/>
      <c r="P40" s="8"/>
      <c r="Q40" s="8"/>
      <c r="R40" s="8"/>
      <c r="S40" s="8"/>
    </row>
    <row r="41" spans="2:32" s="18" customFormat="1" ht="12" customHeight="1" x14ac:dyDescent="0.25">
      <c r="B41" s="9" t="s">
        <v>45</v>
      </c>
      <c r="C41" s="10">
        <f t="shared" ref="C41:L41" si="6">SUM(C38:C40)</f>
        <v>0</v>
      </c>
      <c r="D41" s="10">
        <f t="shared" si="6"/>
        <v>0</v>
      </c>
      <c r="E41" s="10">
        <f t="shared" si="6"/>
        <v>0</v>
      </c>
      <c r="F41" s="10">
        <f t="shared" si="6"/>
        <v>0</v>
      </c>
      <c r="G41" s="10">
        <f t="shared" si="6"/>
        <v>0</v>
      </c>
      <c r="H41" s="10">
        <f t="shared" si="6"/>
        <v>0</v>
      </c>
      <c r="I41" s="10">
        <f t="shared" si="6"/>
        <v>0</v>
      </c>
      <c r="J41" s="10">
        <f t="shared" si="6"/>
        <v>0</v>
      </c>
      <c r="K41" s="10">
        <f t="shared" si="6"/>
        <v>0</v>
      </c>
      <c r="L41" s="10">
        <f t="shared" si="6"/>
        <v>0</v>
      </c>
      <c r="M41" s="10">
        <f>SUM(M38:M40)</f>
        <v>0</v>
      </c>
      <c r="N41" s="10">
        <f>SUM(N38:N40)</f>
        <v>-4.0279999999999996</v>
      </c>
      <c r="O41" s="5"/>
      <c r="P41" s="5"/>
      <c r="Q41" s="5"/>
      <c r="R41" s="5"/>
      <c r="S41" s="5"/>
      <c r="W41" s="2"/>
      <c r="X41" s="2"/>
      <c r="Y41" s="2"/>
      <c r="Z41" s="2"/>
      <c r="AA41" s="2"/>
      <c r="AB41" s="2"/>
      <c r="AC41" s="2"/>
      <c r="AD41" s="2"/>
      <c r="AE41" s="2"/>
      <c r="AF41" s="2"/>
    </row>
    <row r="42" spans="2:32" ht="12" customHeight="1" x14ac:dyDescent="0.25">
      <c r="B42" s="19" t="s">
        <v>46</v>
      </c>
      <c r="C42" s="12" t="str">
        <f t="shared" ref="C42:L42" si="7">IF(ISERROR(C41/C35)," ",C41/C35)</f>
        <v xml:space="preserve"> </v>
      </c>
      <c r="D42" s="12" t="str">
        <f t="shared" si="7"/>
        <v xml:space="preserve"> </v>
      </c>
      <c r="E42" s="12" t="str">
        <f t="shared" si="7"/>
        <v xml:space="preserve"> </v>
      </c>
      <c r="F42" s="12" t="str">
        <f t="shared" si="7"/>
        <v xml:space="preserve"> </v>
      </c>
      <c r="G42" s="12" t="str">
        <f t="shared" si="7"/>
        <v xml:space="preserve"> </v>
      </c>
      <c r="H42" s="12" t="str">
        <f t="shared" si="7"/>
        <v xml:space="preserve"> </v>
      </c>
      <c r="I42" s="12" t="str">
        <f t="shared" si="7"/>
        <v xml:space="preserve"> </v>
      </c>
      <c r="J42" s="12" t="str">
        <f t="shared" si="7"/>
        <v xml:space="preserve"> </v>
      </c>
      <c r="K42" s="12" t="str">
        <f t="shared" si="7"/>
        <v xml:space="preserve"> </v>
      </c>
      <c r="L42" s="12" t="str">
        <f t="shared" si="7"/>
        <v xml:space="preserve"> </v>
      </c>
      <c r="M42" s="12"/>
      <c r="N42" s="12"/>
      <c r="O42" s="13"/>
      <c r="P42" s="13"/>
      <c r="Q42" s="13"/>
      <c r="R42" s="13"/>
      <c r="S42" s="13"/>
    </row>
    <row r="43" spans="2:32" ht="12" customHeight="1" x14ac:dyDescent="0.25">
      <c r="B43" s="19"/>
      <c r="C43" s="12"/>
      <c r="D43" s="12"/>
      <c r="E43" s="12"/>
      <c r="F43" s="12"/>
      <c r="G43" s="12"/>
      <c r="H43" s="12"/>
      <c r="I43" s="12"/>
      <c r="J43" s="12"/>
      <c r="K43" s="12"/>
      <c r="L43" s="12"/>
      <c r="M43" s="12"/>
      <c r="N43" s="12"/>
      <c r="O43" s="13"/>
      <c r="P43" s="13"/>
      <c r="Q43" s="13"/>
      <c r="R43" s="13"/>
      <c r="S43" s="13"/>
    </row>
    <row r="44" spans="2:32" ht="12" customHeight="1" x14ac:dyDescent="0.25">
      <c r="B44" s="9" t="s">
        <v>47</v>
      </c>
      <c r="C44" s="10">
        <f t="shared" ref="C44:N44" si="8">C35-C36-C41</f>
        <v>0</v>
      </c>
      <c r="D44" s="10">
        <f t="shared" si="8"/>
        <v>0</v>
      </c>
      <c r="E44" s="10">
        <f t="shared" si="8"/>
        <v>0</v>
      </c>
      <c r="F44" s="10">
        <f t="shared" si="8"/>
        <v>0</v>
      </c>
      <c r="G44" s="10">
        <f t="shared" si="8"/>
        <v>0</v>
      </c>
      <c r="H44" s="10">
        <f t="shared" si="8"/>
        <v>0</v>
      </c>
      <c r="I44" s="10">
        <f t="shared" si="8"/>
        <v>0</v>
      </c>
      <c r="J44" s="10">
        <f t="shared" si="8"/>
        <v>0</v>
      </c>
      <c r="K44" s="10">
        <f t="shared" si="8"/>
        <v>0</v>
      </c>
      <c r="L44" s="10">
        <f t="shared" si="8"/>
        <v>0</v>
      </c>
      <c r="M44" s="10">
        <f t="shared" si="8"/>
        <v>-7.1999999999999995E-2</v>
      </c>
      <c r="N44" s="10">
        <f t="shared" si="8"/>
        <v>3.7769999999999997</v>
      </c>
      <c r="O44" s="5"/>
      <c r="P44" s="5"/>
      <c r="Q44" s="5"/>
      <c r="R44" s="5"/>
      <c r="S44" s="5"/>
    </row>
    <row r="45" spans="2:32" ht="12" customHeight="1" x14ac:dyDescent="0.25">
      <c r="B45" s="6"/>
      <c r="C45" s="7"/>
      <c r="D45" s="7"/>
      <c r="E45" s="7"/>
      <c r="F45" s="7"/>
      <c r="G45" s="7"/>
      <c r="H45" s="7"/>
      <c r="I45" s="7"/>
      <c r="J45" s="7"/>
      <c r="K45" s="7"/>
      <c r="L45" s="7"/>
      <c r="M45" s="7"/>
      <c r="N45" s="7"/>
      <c r="O45" s="8"/>
      <c r="P45" s="8"/>
      <c r="Q45" s="8"/>
      <c r="R45" s="8"/>
      <c r="S45" s="8"/>
    </row>
    <row r="46" spans="2:32" ht="12" customHeight="1" x14ac:dyDescent="0.25">
      <c r="B46" s="6" t="s">
        <v>48</v>
      </c>
      <c r="C46" s="7"/>
      <c r="D46" s="7"/>
      <c r="E46" s="7"/>
      <c r="F46" s="7"/>
      <c r="G46" s="7"/>
      <c r="H46" s="7"/>
      <c r="I46" s="7"/>
      <c r="J46" s="7"/>
      <c r="K46" s="7"/>
      <c r="L46" s="7"/>
      <c r="M46" s="7"/>
      <c r="N46" s="7"/>
      <c r="O46" s="8"/>
      <c r="P46" s="8"/>
      <c r="Q46" s="8"/>
      <c r="R46" s="8"/>
      <c r="S46" s="8"/>
    </row>
    <row r="47" spans="2:32" ht="12" customHeight="1" x14ac:dyDescent="0.25">
      <c r="B47" s="6" t="s">
        <v>49</v>
      </c>
      <c r="C47" s="7"/>
      <c r="D47" s="7"/>
      <c r="E47" s="7"/>
      <c r="F47" s="7"/>
      <c r="G47" s="7"/>
      <c r="H47" s="7"/>
      <c r="I47" s="7"/>
      <c r="J47" s="7"/>
      <c r="K47" s="7"/>
      <c r="L47" s="7"/>
      <c r="M47" s="7"/>
      <c r="N47" s="7"/>
      <c r="O47" s="8"/>
      <c r="P47" s="8"/>
      <c r="Q47" s="8"/>
      <c r="R47" s="8"/>
      <c r="S47" s="8"/>
    </row>
    <row r="48" spans="2:32" ht="12" customHeight="1" x14ac:dyDescent="0.25">
      <c r="B48" s="6"/>
      <c r="C48" s="7"/>
      <c r="D48" s="7"/>
      <c r="E48" s="7"/>
      <c r="F48" s="7"/>
      <c r="G48" s="7"/>
      <c r="H48" s="7"/>
      <c r="I48" s="7"/>
      <c r="J48" s="7"/>
      <c r="K48" s="7"/>
      <c r="L48" s="7"/>
      <c r="M48" s="7"/>
      <c r="N48" s="7"/>
      <c r="O48" s="8"/>
      <c r="P48" s="8"/>
      <c r="Q48" s="8"/>
      <c r="R48" s="8"/>
      <c r="S48" s="8"/>
    </row>
    <row r="49" spans="2:32" ht="12" customHeight="1" x14ac:dyDescent="0.25">
      <c r="B49" s="9" t="s">
        <v>50</v>
      </c>
      <c r="C49" s="10">
        <f t="shared" ref="C49:N49" si="9">C44-C46+C47</f>
        <v>0</v>
      </c>
      <c r="D49" s="10">
        <f t="shared" si="9"/>
        <v>0</v>
      </c>
      <c r="E49" s="10">
        <f t="shared" si="9"/>
        <v>0</v>
      </c>
      <c r="F49" s="10">
        <f t="shared" si="9"/>
        <v>0</v>
      </c>
      <c r="G49" s="10">
        <f t="shared" si="9"/>
        <v>0</v>
      </c>
      <c r="H49" s="10">
        <f t="shared" si="9"/>
        <v>0</v>
      </c>
      <c r="I49" s="10">
        <f t="shared" si="9"/>
        <v>0</v>
      </c>
      <c r="J49" s="10">
        <f t="shared" si="9"/>
        <v>0</v>
      </c>
      <c r="K49" s="10">
        <f t="shared" si="9"/>
        <v>0</v>
      </c>
      <c r="L49" s="10">
        <f t="shared" si="9"/>
        <v>0</v>
      </c>
      <c r="M49" s="10">
        <f t="shared" si="9"/>
        <v>-7.1999999999999995E-2</v>
      </c>
      <c r="N49" s="10">
        <f t="shared" si="9"/>
        <v>3.7769999999999997</v>
      </c>
      <c r="O49" s="5"/>
      <c r="P49" s="5"/>
      <c r="Q49" s="5"/>
      <c r="R49" s="5"/>
      <c r="S49" s="5"/>
    </row>
    <row r="50" spans="2:32" ht="12" customHeight="1" x14ac:dyDescent="0.25">
      <c r="B50" s="15" t="s">
        <v>35</v>
      </c>
      <c r="C50" s="16" t="str">
        <f t="shared" ref="C50:N50" si="10">IF(ISERROR(C49/C16)," ",C49/C16)</f>
        <v xml:space="preserve"> </v>
      </c>
      <c r="D50" s="16" t="str">
        <f t="shared" si="10"/>
        <v xml:space="preserve"> </v>
      </c>
      <c r="E50" s="16" t="str">
        <f t="shared" si="10"/>
        <v xml:space="preserve"> </v>
      </c>
      <c r="F50" s="16" t="str">
        <f t="shared" si="10"/>
        <v xml:space="preserve"> </v>
      </c>
      <c r="G50" s="16" t="str">
        <f t="shared" si="10"/>
        <v xml:space="preserve"> </v>
      </c>
      <c r="H50" s="16" t="str">
        <f t="shared" si="10"/>
        <v xml:space="preserve"> </v>
      </c>
      <c r="I50" s="16" t="str">
        <f t="shared" si="10"/>
        <v xml:space="preserve"> </v>
      </c>
      <c r="J50" s="16" t="str">
        <f t="shared" si="10"/>
        <v xml:space="preserve"> </v>
      </c>
      <c r="K50" s="16" t="str">
        <f t="shared" si="10"/>
        <v xml:space="preserve"> </v>
      </c>
      <c r="L50" s="16" t="str">
        <f t="shared" si="10"/>
        <v xml:space="preserve"> </v>
      </c>
      <c r="M50" s="16" t="str">
        <f t="shared" si="10"/>
        <v xml:space="preserve"> </v>
      </c>
      <c r="N50" s="16" t="str">
        <f t="shared" si="10"/>
        <v xml:space="preserve"> </v>
      </c>
      <c r="O50" s="17"/>
      <c r="P50" s="17"/>
      <c r="Q50" s="17"/>
      <c r="R50" s="17"/>
      <c r="S50" s="17"/>
    </row>
    <row r="51" spans="2:32" s="14" customFormat="1" ht="12" customHeight="1" x14ac:dyDescent="0.25">
      <c r="B51" s="11" t="s">
        <v>30</v>
      </c>
      <c r="C51" s="12" t="str">
        <f t="shared" ref="C51:K51" si="11">IF(ISERROR(C49/B49-1)," ",C49/B49-1)</f>
        <v xml:space="preserve"> </v>
      </c>
      <c r="D51" s="12" t="str">
        <f t="shared" si="11"/>
        <v xml:space="preserve"> </v>
      </c>
      <c r="E51" s="12" t="str">
        <f t="shared" si="11"/>
        <v xml:space="preserve"> </v>
      </c>
      <c r="F51" s="12" t="str">
        <f t="shared" si="11"/>
        <v xml:space="preserve"> </v>
      </c>
      <c r="G51" s="12" t="str">
        <f t="shared" si="11"/>
        <v xml:space="preserve"> </v>
      </c>
      <c r="H51" s="12" t="str">
        <f t="shared" si="11"/>
        <v xml:space="preserve"> </v>
      </c>
      <c r="I51" s="12" t="str">
        <f t="shared" si="11"/>
        <v xml:space="preserve"> </v>
      </c>
      <c r="J51" s="12" t="str">
        <f t="shared" si="11"/>
        <v xml:space="preserve"> </v>
      </c>
      <c r="K51" s="12" t="str">
        <f t="shared" si="11"/>
        <v xml:space="preserve"> </v>
      </c>
      <c r="L51" s="12" t="str">
        <f>IF(ISERROR(L49/K49-1)," ",L49/K49-1)</f>
        <v xml:space="preserve"> </v>
      </c>
      <c r="M51" s="12" t="str">
        <f>IF(ISERROR(M49/L49-1)," ",M49/L49-1)</f>
        <v xml:space="preserve"> </v>
      </c>
      <c r="N51" s="12">
        <f>IF(ISERROR(N49/M49-1)," ",N49/M49-1)</f>
        <v>-53.458333333333336</v>
      </c>
      <c r="O51" s="13"/>
      <c r="P51" s="13"/>
      <c r="Q51" s="13"/>
      <c r="R51" s="13"/>
      <c r="S51" s="13"/>
      <c r="W51" s="2"/>
      <c r="X51" s="2"/>
      <c r="Y51" s="2"/>
      <c r="Z51" s="2"/>
      <c r="AA51" s="2"/>
      <c r="AB51" s="2"/>
      <c r="AC51" s="2"/>
      <c r="AD51" s="2"/>
      <c r="AE51" s="2"/>
      <c r="AF51" s="2"/>
    </row>
    <row r="52" spans="2:32" ht="12" customHeight="1" x14ac:dyDescent="0.25">
      <c r="B52" s="15"/>
      <c r="C52" s="16"/>
      <c r="D52" s="16"/>
      <c r="E52" s="16"/>
      <c r="F52" s="16"/>
      <c r="G52" s="16"/>
      <c r="H52" s="16"/>
      <c r="I52" s="16"/>
      <c r="J52" s="16"/>
      <c r="K52" s="16"/>
      <c r="L52" s="16"/>
      <c r="M52" s="16"/>
      <c r="N52" s="16"/>
      <c r="O52" s="17"/>
      <c r="P52" s="17"/>
      <c r="Q52" s="17"/>
      <c r="R52" s="17"/>
      <c r="S52" s="17"/>
    </row>
    <row r="53" spans="2:32" ht="12" customHeight="1" x14ac:dyDescent="0.25">
      <c r="B53" s="9" t="s">
        <v>51</v>
      </c>
      <c r="C53" s="10"/>
      <c r="D53" s="10"/>
      <c r="E53" s="10"/>
      <c r="F53" s="10"/>
      <c r="G53" s="10"/>
      <c r="H53" s="10"/>
      <c r="I53" s="10"/>
      <c r="J53" s="10"/>
      <c r="K53" s="10"/>
      <c r="L53" s="10"/>
      <c r="M53" s="10"/>
      <c r="N53" s="10"/>
      <c r="O53" s="5"/>
      <c r="P53" s="5"/>
      <c r="Q53" s="5"/>
      <c r="R53" s="5"/>
      <c r="S53" s="5"/>
    </row>
    <row r="54" spans="2:32" ht="12" customHeight="1" x14ac:dyDescent="0.25">
      <c r="B54" s="9" t="s">
        <v>52</v>
      </c>
      <c r="C54" s="20"/>
      <c r="D54" s="20"/>
      <c r="E54" s="20"/>
      <c r="F54" s="20"/>
      <c r="G54" s="20"/>
      <c r="H54" s="20"/>
      <c r="I54" s="20"/>
      <c r="J54" s="20"/>
      <c r="K54" s="20"/>
      <c r="L54" s="20"/>
      <c r="M54" s="20"/>
      <c r="N54" s="20"/>
      <c r="O54" s="21"/>
      <c r="P54" s="21"/>
      <c r="Q54" s="21"/>
      <c r="R54" s="21"/>
      <c r="S54" s="21"/>
    </row>
    <row r="55" spans="2:32" ht="12" customHeight="1" x14ac:dyDescent="0.25">
      <c r="B55" s="9" t="s">
        <v>53</v>
      </c>
      <c r="C55" s="20"/>
      <c r="D55" s="20"/>
      <c r="E55" s="20"/>
      <c r="F55" s="20"/>
      <c r="G55" s="20"/>
      <c r="H55" s="20"/>
      <c r="I55" s="20"/>
      <c r="J55" s="20"/>
      <c r="K55" s="20"/>
      <c r="L55" s="20"/>
      <c r="M55" s="20"/>
      <c r="N55" s="20"/>
      <c r="O55" s="21"/>
      <c r="P55" s="21"/>
      <c r="Q55" s="21"/>
      <c r="R55" s="21"/>
      <c r="S55" s="21"/>
    </row>
    <row r="56" spans="2:32" ht="12" customHeight="1" x14ac:dyDescent="0.25">
      <c r="B56" s="9" t="s">
        <v>54</v>
      </c>
      <c r="C56" s="20"/>
      <c r="D56" s="20"/>
      <c r="E56" s="20"/>
      <c r="F56" s="20"/>
      <c r="G56" s="20"/>
      <c r="H56" s="20"/>
      <c r="I56" s="20"/>
      <c r="J56" s="20"/>
      <c r="K56" s="20"/>
      <c r="L56" s="20"/>
      <c r="M56" s="20"/>
      <c r="N56" s="20"/>
      <c r="O56" s="21"/>
      <c r="P56" s="21"/>
      <c r="Q56" s="21"/>
      <c r="R56" s="21"/>
      <c r="S56" s="21"/>
    </row>
    <row r="57" spans="2:32" ht="12" customHeight="1" x14ac:dyDescent="0.25">
      <c r="B57" s="9" t="s">
        <v>55</v>
      </c>
      <c r="C57" s="20"/>
      <c r="D57" s="20"/>
      <c r="E57" s="20"/>
      <c r="F57" s="20"/>
      <c r="G57" s="20"/>
      <c r="H57" s="20"/>
      <c r="I57" s="20"/>
      <c r="J57" s="20"/>
      <c r="K57" s="20"/>
      <c r="L57" s="20"/>
      <c r="M57" s="20"/>
      <c r="N57" s="20"/>
      <c r="O57" s="21"/>
      <c r="P57" s="21"/>
      <c r="Q57" s="21"/>
      <c r="R57" s="21"/>
      <c r="S57" s="21"/>
    </row>
    <row r="58" spans="2:32" ht="12" customHeight="1" x14ac:dyDescent="0.25">
      <c r="B58" s="9" t="s">
        <v>56</v>
      </c>
      <c r="C58" s="20"/>
      <c r="D58" s="20"/>
      <c r="E58" s="20"/>
      <c r="F58" s="20"/>
      <c r="G58" s="20"/>
      <c r="H58" s="20"/>
      <c r="I58" s="20"/>
      <c r="J58" s="20"/>
      <c r="K58" s="20"/>
      <c r="L58" s="20"/>
      <c r="M58" s="20"/>
      <c r="N58" s="20"/>
      <c r="O58" s="21"/>
      <c r="P58" s="21"/>
      <c r="Q58" s="21"/>
      <c r="R58" s="21"/>
      <c r="S58" s="21"/>
    </row>
    <row r="59" spans="2:32" ht="12" customHeight="1" x14ac:dyDescent="0.25">
      <c r="B59" s="9" t="s">
        <v>57</v>
      </c>
      <c r="C59" s="22"/>
      <c r="D59" s="22"/>
      <c r="E59" s="22"/>
      <c r="F59" s="22"/>
      <c r="G59" s="22"/>
      <c r="H59" s="22"/>
      <c r="I59" s="22"/>
      <c r="J59" s="22"/>
      <c r="K59" s="22"/>
      <c r="L59" s="22"/>
      <c r="M59" s="22"/>
      <c r="N59" s="22"/>
      <c r="O59" s="23"/>
      <c r="P59" s="23"/>
      <c r="Q59" s="23"/>
      <c r="R59" s="23"/>
      <c r="S59" s="23"/>
    </row>
    <row r="60" spans="2:32" ht="12" customHeight="1" x14ac:dyDescent="0.25">
      <c r="B60" s="9" t="s">
        <v>58</v>
      </c>
      <c r="C60" s="10"/>
      <c r="D60" s="10"/>
      <c r="E60" s="10"/>
      <c r="F60" s="10"/>
      <c r="G60" s="10"/>
      <c r="H60" s="10"/>
      <c r="I60" s="10"/>
      <c r="J60" s="10"/>
      <c r="K60" s="10"/>
      <c r="L60" s="10"/>
      <c r="M60" s="10"/>
      <c r="N60" s="10"/>
      <c r="O60" s="5"/>
      <c r="P60" s="5"/>
      <c r="Q60" s="5"/>
      <c r="R60" s="5"/>
      <c r="S60" s="5"/>
    </row>
    <row r="61" spans="2:32" ht="12" customHeight="1" x14ac:dyDescent="0.25">
      <c r="B61" s="9"/>
      <c r="C61" s="10"/>
      <c r="D61" s="10"/>
      <c r="E61" s="10"/>
      <c r="F61" s="10"/>
      <c r="G61" s="10"/>
      <c r="H61" s="10"/>
      <c r="I61" s="10"/>
      <c r="J61" s="10"/>
      <c r="K61" s="10"/>
      <c r="L61" s="10"/>
      <c r="M61" s="10"/>
      <c r="N61" s="10"/>
      <c r="O61" s="5"/>
      <c r="P61" s="5"/>
      <c r="Q61" s="5"/>
      <c r="R61" s="5"/>
      <c r="S61" s="5"/>
    </row>
    <row r="62" spans="2:32" s="26" customFormat="1" ht="12" customHeight="1" x14ac:dyDescent="0.25">
      <c r="B62" s="24"/>
      <c r="C62" s="25"/>
      <c r="D62" s="25"/>
      <c r="E62" s="25"/>
      <c r="F62" s="25"/>
      <c r="G62" s="25"/>
      <c r="H62" s="25"/>
      <c r="I62" s="25"/>
      <c r="J62" s="25"/>
      <c r="K62" s="25"/>
      <c r="L62" s="25"/>
      <c r="M62" s="25"/>
      <c r="N62" s="25"/>
      <c r="O62" s="25"/>
      <c r="P62" s="25"/>
      <c r="Q62" s="25"/>
      <c r="R62" s="25"/>
      <c r="S62" s="25"/>
    </row>
  </sheetData>
  <pageMargins left="0.7" right="0.7" top="0.75" bottom="0.75" header="0.3" footer="0.3"/>
  <pageSetup paperSize="9" orientation="portrait"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0F340-AD97-4A63-87A5-0B87E227600B}">
  <dimension ref="B1:AF62"/>
  <sheetViews>
    <sheetView showGridLines="0" topLeftCell="B1" workbookViewId="0">
      <selection activeCell="N15" sqref="N15"/>
    </sheetView>
  </sheetViews>
  <sheetFormatPr defaultColWidth="8.28515625" defaultRowHeight="12" customHeight="1" x14ac:dyDescent="0.25"/>
  <cols>
    <col min="1" max="1" width="3.5703125" style="2" customWidth="1"/>
    <col min="2" max="2" width="35.7109375" style="2" customWidth="1"/>
    <col min="3" max="8" width="8.28515625" style="2" hidden="1" customWidth="1"/>
    <col min="9" max="10" width="8.28515625" style="2" customWidth="1"/>
    <col min="11" max="20" width="8.28515625" style="2"/>
    <col min="21" max="21" width="10" style="2" bestFit="1" customWidth="1"/>
    <col min="22" max="22" width="8.28515625" style="2"/>
    <col min="23" max="23" width="11.7109375" style="2" bestFit="1" customWidth="1"/>
    <col min="24" max="16384" width="8.28515625" style="2"/>
  </cols>
  <sheetData>
    <row r="1" spans="2:21" ht="12" customHeight="1" x14ac:dyDescent="0.25">
      <c r="B1" s="1" t="s">
        <v>1590</v>
      </c>
    </row>
    <row r="2" spans="2:21" ht="12" customHeight="1" x14ac:dyDescent="0.25">
      <c r="B2" s="3" t="s">
        <v>17</v>
      </c>
      <c r="C2" s="4" t="s">
        <v>18</v>
      </c>
      <c r="D2" s="4" t="s">
        <v>19</v>
      </c>
      <c r="E2" s="4" t="s">
        <v>20</v>
      </c>
      <c r="F2" s="4" t="s">
        <v>21</v>
      </c>
      <c r="G2" s="4" t="s">
        <v>22</v>
      </c>
      <c r="H2" s="4" t="s">
        <v>23</v>
      </c>
      <c r="I2" s="4" t="s">
        <v>24</v>
      </c>
      <c r="J2" s="4" t="s">
        <v>25</v>
      </c>
      <c r="K2" s="4" t="s">
        <v>26</v>
      </c>
      <c r="L2" s="4" t="s">
        <v>27</v>
      </c>
      <c r="M2" s="4" t="s">
        <v>273</v>
      </c>
      <c r="N2" s="4" t="s">
        <v>347</v>
      </c>
      <c r="O2" s="227" t="s">
        <v>177</v>
      </c>
      <c r="P2" s="227" t="s">
        <v>178</v>
      </c>
      <c r="Q2" s="227" t="s">
        <v>179</v>
      </c>
      <c r="R2" s="227" t="s">
        <v>231</v>
      </c>
      <c r="S2" s="227" t="s">
        <v>232</v>
      </c>
    </row>
    <row r="3" spans="2:21" ht="12" customHeight="1" x14ac:dyDescent="0.25">
      <c r="B3" s="6"/>
      <c r="C3" s="7"/>
      <c r="D3" s="7"/>
      <c r="E3" s="7"/>
      <c r="F3" s="7"/>
      <c r="G3" s="7"/>
      <c r="H3" s="7"/>
      <c r="I3" s="7"/>
      <c r="J3" s="7"/>
      <c r="K3" s="7"/>
      <c r="L3" s="7"/>
      <c r="M3" s="7"/>
      <c r="N3" s="7"/>
      <c r="O3" s="8"/>
      <c r="P3" s="8"/>
      <c r="Q3" s="8"/>
      <c r="R3" s="8"/>
      <c r="S3" s="8"/>
      <c r="U3" s="1044"/>
    </row>
    <row r="4" spans="2:21" ht="12" customHeight="1" x14ac:dyDescent="0.25">
      <c r="B4" s="6" t="s">
        <v>478</v>
      </c>
      <c r="C4" s="7"/>
      <c r="D4" s="7"/>
      <c r="E4" s="7"/>
      <c r="F4" s="7"/>
      <c r="G4" s="7"/>
      <c r="H4" s="7"/>
      <c r="I4" s="123"/>
      <c r="J4" s="123"/>
      <c r="K4" s="123"/>
      <c r="L4" s="123"/>
      <c r="M4" s="123"/>
      <c r="N4" s="123"/>
      <c r="O4" s="8"/>
      <c r="P4" s="8"/>
      <c r="Q4" s="8"/>
      <c r="R4" s="8"/>
      <c r="S4" s="8"/>
    </row>
    <row r="5" spans="2:21" ht="12" customHeight="1" x14ac:dyDescent="0.25">
      <c r="B5" s="6" t="s">
        <v>479</v>
      </c>
      <c r="C5" s="7"/>
      <c r="D5" s="7"/>
      <c r="E5" s="7"/>
      <c r="F5" s="7"/>
      <c r="G5" s="7"/>
      <c r="H5" s="7"/>
      <c r="I5" s="123"/>
      <c r="J5" s="123"/>
      <c r="K5" s="123"/>
      <c r="L5" s="123"/>
      <c r="M5" s="123"/>
      <c r="N5" s="123"/>
      <c r="O5" s="8"/>
      <c r="P5" s="8"/>
      <c r="Q5" s="8"/>
      <c r="R5" s="8"/>
      <c r="S5" s="8"/>
    </row>
    <row r="6" spans="2:21" ht="12" customHeight="1" x14ac:dyDescent="0.25">
      <c r="B6" s="6" t="s">
        <v>480</v>
      </c>
      <c r="C6" s="7"/>
      <c r="D6" s="7"/>
      <c r="E6" s="7"/>
      <c r="F6" s="7"/>
      <c r="G6" s="7"/>
      <c r="H6" s="7"/>
      <c r="I6" s="123"/>
      <c r="J6" s="123"/>
      <c r="K6" s="123"/>
      <c r="L6" s="123"/>
      <c r="M6" s="123"/>
      <c r="N6" s="123"/>
      <c r="O6" s="8"/>
      <c r="P6" s="8"/>
      <c r="Q6" s="8"/>
      <c r="R6" s="8"/>
      <c r="S6" s="8"/>
    </row>
    <row r="7" spans="2:21" ht="12" customHeight="1" x14ac:dyDescent="0.25">
      <c r="B7" s="6" t="s">
        <v>481</v>
      </c>
      <c r="C7" s="7"/>
      <c r="D7" s="7"/>
      <c r="E7" s="7"/>
      <c r="F7" s="7"/>
      <c r="G7" s="7"/>
      <c r="H7" s="7"/>
      <c r="I7" s="123"/>
      <c r="J7" s="123"/>
      <c r="K7" s="123"/>
      <c r="L7" s="123"/>
      <c r="M7" s="123"/>
      <c r="N7" s="123"/>
      <c r="O7" s="8"/>
      <c r="P7" s="8"/>
      <c r="Q7" s="8"/>
      <c r="R7" s="8"/>
      <c r="S7" s="8"/>
    </row>
    <row r="8" spans="2:21" ht="12" customHeight="1" x14ac:dyDescent="0.25">
      <c r="B8" s="6" t="s">
        <v>483</v>
      </c>
      <c r="C8" s="7"/>
      <c r="D8" s="7"/>
      <c r="E8" s="7"/>
      <c r="F8" s="7"/>
      <c r="G8" s="7"/>
      <c r="H8" s="7"/>
      <c r="I8" s="123"/>
      <c r="J8" s="123"/>
      <c r="K8" s="123"/>
      <c r="L8" s="123"/>
      <c r="M8" s="123"/>
      <c r="N8" s="123"/>
      <c r="O8" s="8"/>
      <c r="P8" s="8"/>
      <c r="Q8" s="8"/>
      <c r="R8" s="8"/>
      <c r="S8" s="8"/>
    </row>
    <row r="9" spans="2:21" ht="12" customHeight="1" x14ac:dyDescent="0.25">
      <c r="B9" s="6" t="s">
        <v>482</v>
      </c>
      <c r="C9" s="7"/>
      <c r="D9" s="7"/>
      <c r="E9" s="7"/>
      <c r="F9" s="7"/>
      <c r="G9" s="7"/>
      <c r="H9" s="7"/>
      <c r="I9" s="123"/>
      <c r="J9" s="123"/>
      <c r="K9" s="123"/>
      <c r="L9" s="123"/>
      <c r="M9" s="123"/>
      <c r="N9" s="123"/>
      <c r="O9" s="8"/>
      <c r="P9" s="8"/>
      <c r="Q9" s="8"/>
      <c r="R9" s="8"/>
      <c r="S9" s="8"/>
    </row>
    <row r="10" spans="2:21" ht="12" customHeight="1" x14ac:dyDescent="0.25">
      <c r="B10" s="6" t="s">
        <v>484</v>
      </c>
      <c r="C10" s="7"/>
      <c r="D10" s="7"/>
      <c r="E10" s="7"/>
      <c r="F10" s="7"/>
      <c r="G10" s="7"/>
      <c r="H10" s="7"/>
      <c r="I10" s="123"/>
      <c r="J10" s="123"/>
      <c r="K10" s="123"/>
      <c r="L10" s="123"/>
      <c r="M10" s="123"/>
      <c r="N10" s="123"/>
      <c r="O10" s="8"/>
      <c r="P10" s="8"/>
      <c r="Q10" s="8"/>
      <c r="R10" s="8"/>
      <c r="S10" s="8"/>
    </row>
    <row r="11" spans="2:21" ht="12" customHeight="1" x14ac:dyDescent="0.25">
      <c r="B11" s="6" t="s">
        <v>485</v>
      </c>
      <c r="C11" s="7"/>
      <c r="D11" s="7"/>
      <c r="E11" s="7"/>
      <c r="F11" s="7"/>
      <c r="G11" s="7"/>
      <c r="H11" s="7"/>
      <c r="I11" s="123"/>
      <c r="J11" s="123"/>
      <c r="K11" s="123"/>
      <c r="L11" s="123"/>
      <c r="M11" s="123"/>
      <c r="N11" s="123"/>
      <c r="O11" s="8"/>
      <c r="P11" s="8"/>
      <c r="Q11" s="8"/>
      <c r="R11" s="8"/>
      <c r="S11" s="8"/>
    </row>
    <row r="12" spans="2:21" ht="12" customHeight="1" x14ac:dyDescent="0.25">
      <c r="B12" s="6" t="s">
        <v>486</v>
      </c>
      <c r="C12" s="7"/>
      <c r="D12" s="7"/>
      <c r="E12" s="7"/>
      <c r="F12" s="7"/>
      <c r="G12" s="7"/>
      <c r="H12" s="7"/>
      <c r="I12" s="123"/>
      <c r="J12" s="123"/>
      <c r="K12" s="123"/>
      <c r="L12" s="123"/>
      <c r="M12" s="123"/>
      <c r="N12" s="123"/>
      <c r="O12" s="8"/>
      <c r="P12" s="8"/>
      <c r="Q12" s="8"/>
      <c r="R12" s="8"/>
      <c r="S12" s="8"/>
    </row>
    <row r="13" spans="2:21" ht="12" customHeight="1" x14ac:dyDescent="0.25">
      <c r="B13" s="6" t="s">
        <v>487</v>
      </c>
      <c r="C13" s="7"/>
      <c r="D13" s="7"/>
      <c r="E13" s="7"/>
      <c r="F13" s="7"/>
      <c r="G13" s="7"/>
      <c r="H13" s="7"/>
      <c r="I13" s="123"/>
      <c r="J13" s="123"/>
      <c r="K13" s="123"/>
      <c r="L13" s="123"/>
      <c r="M13" s="123"/>
      <c r="N13" s="123"/>
      <c r="O13" s="8"/>
      <c r="P13" s="8"/>
      <c r="Q13" s="8"/>
      <c r="R13" s="8"/>
      <c r="S13" s="8"/>
    </row>
    <row r="14" spans="2:21" ht="12" customHeight="1" x14ac:dyDescent="0.25">
      <c r="B14" s="6" t="s">
        <v>488</v>
      </c>
      <c r="C14" s="7"/>
      <c r="D14" s="7"/>
      <c r="E14" s="7"/>
      <c r="F14" s="7"/>
      <c r="G14" s="7"/>
      <c r="H14" s="7"/>
      <c r="I14" s="123"/>
      <c r="J14" s="123"/>
      <c r="K14" s="123"/>
      <c r="L14" s="123"/>
      <c r="M14" s="123"/>
      <c r="N14" s="123"/>
      <c r="O14" s="8"/>
      <c r="P14" s="8"/>
      <c r="Q14" s="8"/>
      <c r="R14" s="8"/>
      <c r="S14" s="8"/>
    </row>
    <row r="15" spans="2:21" ht="12" customHeight="1" x14ac:dyDescent="0.25">
      <c r="B15" s="6"/>
      <c r="C15" s="7"/>
      <c r="D15" s="7"/>
      <c r="E15" s="7"/>
      <c r="F15" s="7"/>
      <c r="G15" s="7"/>
      <c r="H15" s="7"/>
      <c r="I15" s="7"/>
      <c r="J15" s="7"/>
      <c r="K15" s="7"/>
      <c r="L15" s="7"/>
      <c r="M15" s="7"/>
      <c r="N15" s="7"/>
      <c r="O15" s="8"/>
      <c r="P15" s="8"/>
      <c r="Q15" s="8"/>
      <c r="R15" s="8"/>
      <c r="S15" s="8"/>
    </row>
    <row r="16" spans="2:21" ht="12" customHeight="1" x14ac:dyDescent="0.25">
      <c r="B16" s="9" t="s">
        <v>29</v>
      </c>
      <c r="C16" s="10"/>
      <c r="D16" s="10"/>
      <c r="E16" s="10"/>
      <c r="F16" s="10"/>
      <c r="G16" s="10"/>
      <c r="H16" s="10"/>
      <c r="I16" s="10">
        <f>SUM(I4:I14)</f>
        <v>0</v>
      </c>
      <c r="J16" s="10">
        <f>SUM(J4:J14)</f>
        <v>0</v>
      </c>
      <c r="K16" s="10">
        <f>SUM(K4:K14)</f>
        <v>0</v>
      </c>
      <c r="L16" s="10">
        <f>SUM(L4:L14)</f>
        <v>0</v>
      </c>
      <c r="M16" s="10">
        <f t="shared" ref="M16" si="0">SUM(M4:M14)</f>
        <v>0</v>
      </c>
      <c r="N16" s="10">
        <v>72.610740000000007</v>
      </c>
      <c r="O16" s="5"/>
      <c r="P16" s="5"/>
      <c r="Q16" s="5"/>
      <c r="R16" s="5"/>
      <c r="S16" s="5"/>
    </row>
    <row r="17" spans="2:32" s="14" customFormat="1" ht="12" customHeight="1" x14ac:dyDescent="0.25">
      <c r="B17" s="11" t="s">
        <v>30</v>
      </c>
      <c r="C17" s="12" t="str">
        <f>IF(ISERROR(C16/#REF!-1)," ",C16/#REF!-1)</f>
        <v xml:space="preserve"> </v>
      </c>
      <c r="D17" s="12" t="str">
        <f>IF(ISERROR(D16/#REF!-1)," ",D16/#REF!-1)</f>
        <v xml:space="preserve"> </v>
      </c>
      <c r="E17" s="12" t="str">
        <f>IF(ISERROR(E16/#REF!-1)," ",E16/#REF!-1)</f>
        <v xml:space="preserve"> </v>
      </c>
      <c r="F17" s="12" t="str">
        <f>IF(ISERROR(F16/#REF!-1)," ",F16/#REF!-1)</f>
        <v xml:space="preserve"> </v>
      </c>
      <c r="G17" s="12" t="str">
        <f>IF(ISERROR(G16/#REF!-1)," ",G16/#REF!-1)</f>
        <v xml:space="preserve"> </v>
      </c>
      <c r="H17" s="12" t="str">
        <f>IF(ISERROR(H16/#REF!-1)," ",H16/#REF!-1)</f>
        <v xml:space="preserve"> </v>
      </c>
      <c r="I17" s="12" t="str">
        <f>IF(ISERROR(I16/#REF!-1)," ",I16/#REF!-1)</f>
        <v xml:space="preserve"> </v>
      </c>
      <c r="J17" s="12" t="str">
        <f>IF(ISERROR(J16/I16-1)," ",J16/I16-1)</f>
        <v xml:space="preserve"> </v>
      </c>
      <c r="K17" s="12" t="str">
        <f>IF(ISERROR(K16/J16-1)," ",K16/J16-1)</f>
        <v xml:space="preserve"> </v>
      </c>
      <c r="L17" s="12" t="str">
        <f>IF(ISERROR(L16/K16-1)," ",L16/K16-1)</f>
        <v xml:space="preserve"> </v>
      </c>
      <c r="M17" s="12" t="str">
        <f t="shared" ref="M17:N17" si="1">IF(ISERROR(M16/L16-1)," ",M16/L16-1)</f>
        <v xml:space="preserve"> </v>
      </c>
      <c r="N17" s="12" t="str">
        <f t="shared" si="1"/>
        <v xml:space="preserve"> </v>
      </c>
      <c r="O17" s="13"/>
      <c r="P17" s="13"/>
      <c r="Q17" s="13"/>
      <c r="R17" s="13"/>
      <c r="S17" s="13"/>
      <c r="W17" s="2"/>
      <c r="X17" s="2"/>
      <c r="Y17" s="2"/>
      <c r="Z17" s="2"/>
      <c r="AA17" s="2"/>
      <c r="AB17" s="2"/>
      <c r="AC17" s="2"/>
      <c r="AD17" s="2"/>
      <c r="AE17" s="2"/>
      <c r="AF17" s="2"/>
    </row>
    <row r="18" spans="2:32" ht="12" customHeight="1" x14ac:dyDescent="0.25">
      <c r="B18" s="6"/>
      <c r="C18" s="7"/>
      <c r="D18" s="7"/>
      <c r="E18" s="7"/>
      <c r="F18" s="7"/>
      <c r="G18" s="7"/>
      <c r="H18" s="7"/>
      <c r="I18" s="7"/>
      <c r="J18" s="7"/>
      <c r="K18" s="7"/>
      <c r="L18" s="7"/>
      <c r="M18" s="7"/>
      <c r="N18" s="7"/>
      <c r="O18" s="8"/>
      <c r="P18" s="8"/>
      <c r="Q18" s="8"/>
      <c r="R18" s="8"/>
      <c r="S18" s="8"/>
    </row>
    <row r="19" spans="2:32" ht="12" customHeight="1" x14ac:dyDescent="0.25">
      <c r="B19" s="6" t="s">
        <v>31</v>
      </c>
      <c r="C19" s="7"/>
      <c r="D19" s="7"/>
      <c r="E19" s="7"/>
      <c r="F19" s="7"/>
      <c r="G19" s="7"/>
      <c r="H19" s="7"/>
      <c r="I19" s="7"/>
      <c r="J19" s="7"/>
      <c r="K19" s="7"/>
      <c r="L19" s="7"/>
      <c r="M19" s="7"/>
      <c r="N19" s="7">
        <v>52.12274</v>
      </c>
      <c r="O19" s="8"/>
      <c r="P19" s="8"/>
      <c r="Q19" s="8"/>
      <c r="R19" s="8"/>
      <c r="S19" s="8"/>
    </row>
    <row r="20" spans="2:32" ht="12" customHeight="1" x14ac:dyDescent="0.25">
      <c r="B20" s="6" t="s">
        <v>32</v>
      </c>
      <c r="C20" s="7"/>
      <c r="D20" s="7"/>
      <c r="E20" s="7"/>
      <c r="F20" s="7"/>
      <c r="G20" s="7"/>
      <c r="H20" s="7"/>
      <c r="I20" s="7"/>
      <c r="J20" s="7"/>
      <c r="K20" s="7"/>
      <c r="L20" s="7"/>
      <c r="M20" s="7"/>
      <c r="N20" s="7">
        <v>0.31262000000000001</v>
      </c>
      <c r="O20" s="8"/>
      <c r="P20" s="8"/>
      <c r="Q20" s="8"/>
      <c r="R20" s="8"/>
      <c r="S20" s="8"/>
    </row>
    <row r="21" spans="2:32" ht="12" customHeight="1" x14ac:dyDescent="0.25">
      <c r="B21" s="6" t="s">
        <v>33</v>
      </c>
      <c r="C21" s="7"/>
      <c r="D21" s="7"/>
      <c r="E21" s="7"/>
      <c r="F21" s="7"/>
      <c r="G21" s="7"/>
      <c r="H21" s="7"/>
      <c r="I21" s="7"/>
      <c r="J21" s="7"/>
      <c r="K21" s="7"/>
      <c r="L21" s="7"/>
      <c r="M21" s="7"/>
      <c r="N21" s="7">
        <v>2.8535699999999999</v>
      </c>
      <c r="O21" s="8"/>
      <c r="P21" s="8"/>
      <c r="Q21" s="8"/>
      <c r="R21" s="8"/>
      <c r="S21" s="8"/>
    </row>
    <row r="22" spans="2:32" ht="12" customHeight="1" x14ac:dyDescent="0.25">
      <c r="B22" s="6"/>
      <c r="C22" s="7"/>
      <c r="D22" s="7"/>
      <c r="E22" s="7"/>
      <c r="F22" s="7"/>
      <c r="G22" s="7"/>
      <c r="H22" s="7"/>
      <c r="I22" s="7"/>
      <c r="J22" s="7"/>
      <c r="K22" s="7"/>
      <c r="L22" s="7"/>
      <c r="M22" s="7"/>
      <c r="N22" s="7"/>
      <c r="O22" s="8"/>
      <c r="P22" s="8"/>
      <c r="Q22" s="8"/>
      <c r="R22" s="8"/>
      <c r="S22" s="8"/>
    </row>
    <row r="23" spans="2:32" ht="12" customHeight="1" x14ac:dyDescent="0.25">
      <c r="B23" s="9" t="s">
        <v>34</v>
      </c>
      <c r="C23" s="10">
        <f t="shared" ref="C23:J23" si="2">C16-SUM(C19:C21)</f>
        <v>0</v>
      </c>
      <c r="D23" s="10">
        <f t="shared" si="2"/>
        <v>0</v>
      </c>
      <c r="E23" s="10">
        <f t="shared" si="2"/>
        <v>0</v>
      </c>
      <c r="F23" s="10">
        <f t="shared" si="2"/>
        <v>0</v>
      </c>
      <c r="G23" s="10">
        <f t="shared" si="2"/>
        <v>0</v>
      </c>
      <c r="H23" s="10">
        <f t="shared" si="2"/>
        <v>0</v>
      </c>
      <c r="I23" s="10">
        <f t="shared" si="2"/>
        <v>0</v>
      </c>
      <c r="J23" s="10">
        <f t="shared" si="2"/>
        <v>0</v>
      </c>
      <c r="K23" s="10">
        <f>K16-SUM(K19:K21)</f>
        <v>0</v>
      </c>
      <c r="L23" s="10">
        <f>L16-SUM(L19:L21)</f>
        <v>0</v>
      </c>
      <c r="M23" s="10">
        <f>M16-SUM(M19:M21)</f>
        <v>0</v>
      </c>
      <c r="N23" s="10">
        <f>N16-SUM(N19:N21)</f>
        <v>17.321810000000006</v>
      </c>
      <c r="O23" s="5"/>
      <c r="P23" s="5"/>
      <c r="Q23" s="5"/>
      <c r="R23" s="5"/>
      <c r="S23" s="5"/>
    </row>
    <row r="24" spans="2:32" ht="12" customHeight="1" x14ac:dyDescent="0.25">
      <c r="B24" s="15" t="s">
        <v>35</v>
      </c>
      <c r="C24" s="16" t="str">
        <f t="shared" ref="C24:N24" si="3">IF(ISERROR(C23/C16)," ",C23/C16)</f>
        <v xml:space="preserve"> </v>
      </c>
      <c r="D24" s="16" t="str">
        <f t="shared" si="3"/>
        <v xml:space="preserve"> </v>
      </c>
      <c r="E24" s="16" t="str">
        <f t="shared" si="3"/>
        <v xml:space="preserve"> </v>
      </c>
      <c r="F24" s="16" t="str">
        <f t="shared" si="3"/>
        <v xml:space="preserve"> </v>
      </c>
      <c r="G24" s="16" t="str">
        <f t="shared" si="3"/>
        <v xml:space="preserve"> </v>
      </c>
      <c r="H24" s="16" t="str">
        <f t="shared" si="3"/>
        <v xml:space="preserve"> </v>
      </c>
      <c r="I24" s="16" t="str">
        <f t="shared" si="3"/>
        <v xml:space="preserve"> </v>
      </c>
      <c r="J24" s="16" t="str">
        <f t="shared" si="3"/>
        <v xml:space="preserve"> </v>
      </c>
      <c r="K24" s="16" t="str">
        <f t="shared" si="3"/>
        <v xml:space="preserve"> </v>
      </c>
      <c r="L24" s="16" t="str">
        <f t="shared" si="3"/>
        <v xml:space="preserve"> </v>
      </c>
      <c r="M24" s="16" t="str">
        <f t="shared" si="3"/>
        <v xml:space="preserve"> </v>
      </c>
      <c r="N24" s="16">
        <f t="shared" si="3"/>
        <v>0.23855713355903005</v>
      </c>
      <c r="O24" s="198"/>
      <c r="P24" s="198"/>
      <c r="Q24" s="198"/>
      <c r="R24" s="198"/>
      <c r="S24" s="198"/>
    </row>
    <row r="25" spans="2:32" s="14" customFormat="1" ht="12" customHeight="1" x14ac:dyDescent="0.25">
      <c r="B25" s="11" t="s">
        <v>30</v>
      </c>
      <c r="C25" s="12" t="str">
        <f>IF(ISERROR(C23/#REF!-1)," ",C23/#REF!-1)</f>
        <v xml:space="preserve"> </v>
      </c>
      <c r="D25" s="12" t="str">
        <f>IF(ISERROR(D23/#REF!-1)," ",D23/#REF!-1)</f>
        <v xml:space="preserve"> </v>
      </c>
      <c r="E25" s="12" t="str">
        <f>IF(ISERROR(E23/#REF!-1)," ",E23/#REF!-1)</f>
        <v xml:space="preserve"> </v>
      </c>
      <c r="F25" s="12" t="str">
        <f>IF(ISERROR(F23/#REF!-1)," ",F23/#REF!-1)</f>
        <v xml:space="preserve"> </v>
      </c>
      <c r="G25" s="12" t="str">
        <f>IF(ISERROR(G23/#REF!-1)," ",G23/#REF!-1)</f>
        <v xml:space="preserve"> </v>
      </c>
      <c r="H25" s="12" t="str">
        <f>IF(ISERROR(H23/#REF!-1)," ",H23/#REF!-1)</f>
        <v xml:space="preserve"> </v>
      </c>
      <c r="I25" s="12" t="str">
        <f>IF(ISERROR(I23/#REF!-1)," ",I23/#REF!-1)</f>
        <v xml:space="preserve"> </v>
      </c>
      <c r="J25" s="12" t="str">
        <f>IF(ISERROR(J23/I23-1)," ",J23/I23-1)</f>
        <v xml:space="preserve"> </v>
      </c>
      <c r="K25" s="12" t="str">
        <f>IF(ISERROR(K23/J23-1)," ",K23/J23-1)</f>
        <v xml:space="preserve"> </v>
      </c>
      <c r="L25" s="12" t="str">
        <f>IF(ISERROR(L23/K23-1)," ",L23/K23-1)</f>
        <v xml:space="preserve"> </v>
      </c>
      <c r="M25" s="12" t="str">
        <f>IF(ISERROR(M23/L23-1)," ",M23/L23-1)</f>
        <v xml:space="preserve"> </v>
      </c>
      <c r="N25" s="12" t="str">
        <f>IF(ISERROR(N23/M23-1)," ",N23/M23-1)</f>
        <v xml:space="preserve"> </v>
      </c>
      <c r="O25" s="13"/>
      <c r="P25" s="13"/>
      <c r="Q25" s="13"/>
      <c r="R25" s="13"/>
      <c r="S25" s="13"/>
      <c r="W25" s="2"/>
      <c r="X25" s="2"/>
      <c r="Y25" s="2"/>
      <c r="Z25" s="2"/>
      <c r="AA25" s="2"/>
      <c r="AB25" s="2"/>
      <c r="AC25" s="2"/>
      <c r="AD25" s="2"/>
      <c r="AE25" s="2"/>
      <c r="AF25" s="2"/>
    </row>
    <row r="26" spans="2:32" ht="12" customHeight="1" x14ac:dyDescent="0.25">
      <c r="B26" s="15"/>
      <c r="C26" s="16"/>
      <c r="D26" s="16"/>
      <c r="E26" s="16"/>
      <c r="F26" s="16"/>
      <c r="G26" s="16"/>
      <c r="H26" s="16"/>
      <c r="I26" s="16"/>
      <c r="J26" s="16"/>
      <c r="K26" s="16"/>
      <c r="L26" s="16"/>
      <c r="M26" s="16"/>
      <c r="N26" s="16"/>
      <c r="O26" s="17"/>
      <c r="P26" s="17"/>
      <c r="Q26" s="17"/>
      <c r="R26" s="17"/>
      <c r="S26" s="17"/>
    </row>
    <row r="27" spans="2:32" ht="12" customHeight="1" x14ac:dyDescent="0.25">
      <c r="B27" s="6" t="s">
        <v>36</v>
      </c>
      <c r="C27" s="7"/>
      <c r="D27" s="7"/>
      <c r="E27" s="7"/>
      <c r="F27" s="7"/>
      <c r="G27" s="7"/>
      <c r="H27" s="7"/>
      <c r="I27" s="7"/>
      <c r="J27" s="7"/>
      <c r="K27" s="7"/>
      <c r="L27" s="7"/>
      <c r="M27" s="7"/>
      <c r="N27" s="7">
        <v>0.57828999999999997</v>
      </c>
      <c r="O27" s="8"/>
      <c r="P27" s="8"/>
      <c r="Q27" s="8"/>
      <c r="R27" s="8"/>
      <c r="S27" s="8"/>
    </row>
    <row r="28" spans="2:32" ht="12" customHeight="1" x14ac:dyDescent="0.25">
      <c r="B28" s="6" t="s">
        <v>37</v>
      </c>
      <c r="C28" s="7"/>
      <c r="D28" s="7"/>
      <c r="E28" s="7"/>
      <c r="F28" s="7"/>
      <c r="G28" s="7"/>
      <c r="H28" s="7"/>
      <c r="I28" s="7"/>
      <c r="J28" s="7"/>
      <c r="K28" s="7"/>
      <c r="L28" s="7"/>
      <c r="M28" s="7"/>
      <c r="N28" s="7">
        <v>0.32738</v>
      </c>
      <c r="O28" s="8"/>
      <c r="P28" s="8"/>
      <c r="Q28" s="8"/>
      <c r="R28" s="8"/>
      <c r="S28" s="8"/>
    </row>
    <row r="29" spans="2:32" ht="12" customHeight="1" x14ac:dyDescent="0.25">
      <c r="B29" s="6"/>
      <c r="C29" s="7"/>
      <c r="D29" s="7"/>
      <c r="E29" s="7"/>
      <c r="F29" s="7"/>
      <c r="G29" s="7"/>
      <c r="H29" s="7"/>
      <c r="I29" s="7"/>
      <c r="J29" s="7"/>
      <c r="K29" s="7"/>
      <c r="L29" s="7"/>
      <c r="M29" s="7"/>
      <c r="N29" s="7"/>
      <c r="O29" s="8"/>
      <c r="P29" s="8"/>
      <c r="Q29" s="8"/>
      <c r="R29" s="8"/>
      <c r="S29" s="8"/>
    </row>
    <row r="30" spans="2:32" ht="12" customHeight="1" x14ac:dyDescent="0.25">
      <c r="B30" s="9" t="s">
        <v>38</v>
      </c>
      <c r="C30" s="10">
        <f t="shared" ref="C30:N30" si="4">C23+C27-C28</f>
        <v>0</v>
      </c>
      <c r="D30" s="10">
        <f t="shared" si="4"/>
        <v>0</v>
      </c>
      <c r="E30" s="10">
        <f t="shared" si="4"/>
        <v>0</v>
      </c>
      <c r="F30" s="10">
        <f t="shared" si="4"/>
        <v>0</v>
      </c>
      <c r="G30" s="10">
        <f t="shared" si="4"/>
        <v>0</v>
      </c>
      <c r="H30" s="10">
        <f t="shared" si="4"/>
        <v>0</v>
      </c>
      <c r="I30" s="10">
        <f t="shared" si="4"/>
        <v>0</v>
      </c>
      <c r="J30" s="10">
        <f t="shared" si="4"/>
        <v>0</v>
      </c>
      <c r="K30" s="10">
        <f t="shared" si="4"/>
        <v>0</v>
      </c>
      <c r="L30" s="10">
        <f t="shared" si="4"/>
        <v>0</v>
      </c>
      <c r="M30" s="10">
        <f t="shared" si="4"/>
        <v>0</v>
      </c>
      <c r="N30" s="10">
        <f t="shared" si="4"/>
        <v>17.572720000000004</v>
      </c>
      <c r="O30" s="5"/>
      <c r="P30" s="5"/>
      <c r="Q30" s="5"/>
      <c r="R30" s="5"/>
      <c r="S30" s="5"/>
    </row>
    <row r="31" spans="2:32" ht="12" customHeight="1" x14ac:dyDescent="0.25">
      <c r="B31" s="6"/>
      <c r="C31" s="7"/>
      <c r="D31" s="7"/>
      <c r="E31" s="7"/>
      <c r="F31" s="7"/>
      <c r="G31" s="7"/>
      <c r="H31" s="7"/>
      <c r="I31" s="7"/>
      <c r="J31" s="7"/>
      <c r="K31" s="7"/>
      <c r="L31" s="7"/>
      <c r="M31" s="7"/>
      <c r="N31" s="7"/>
      <c r="O31" s="8"/>
      <c r="P31" s="8"/>
      <c r="Q31" s="8"/>
      <c r="R31" s="8"/>
      <c r="S31" s="8"/>
    </row>
    <row r="32" spans="2:32" ht="12" customHeight="1" x14ac:dyDescent="0.25">
      <c r="B32" s="6" t="s">
        <v>39</v>
      </c>
      <c r="C32" s="7"/>
      <c r="D32" s="7"/>
      <c r="E32" s="7"/>
      <c r="F32" s="7"/>
      <c r="G32" s="7"/>
      <c r="H32" s="7"/>
      <c r="I32" s="7"/>
      <c r="J32" s="7"/>
      <c r="K32" s="7"/>
      <c r="L32" s="7"/>
      <c r="M32" s="7"/>
      <c r="N32" s="7">
        <v>1.1946099999999999</v>
      </c>
      <c r="O32" s="8"/>
      <c r="P32" s="8"/>
      <c r="Q32" s="8"/>
      <c r="R32" s="8"/>
      <c r="S32" s="8"/>
    </row>
    <row r="33" spans="2:32" ht="12" customHeight="1" x14ac:dyDescent="0.25">
      <c r="B33" s="6" t="s">
        <v>307</v>
      </c>
      <c r="C33" s="7"/>
      <c r="D33" s="7"/>
      <c r="E33" s="7"/>
      <c r="F33" s="7"/>
      <c r="G33" s="7"/>
      <c r="H33" s="7"/>
      <c r="I33" s="7"/>
      <c r="J33" s="7"/>
      <c r="K33" s="7"/>
      <c r="L33" s="7"/>
      <c r="M33" s="7"/>
      <c r="N33" s="7"/>
      <c r="O33" s="8"/>
      <c r="P33" s="8"/>
      <c r="Q33" s="8"/>
      <c r="R33" s="8"/>
      <c r="S33" s="8"/>
    </row>
    <row r="34" spans="2:32" ht="12" customHeight="1" x14ac:dyDescent="0.25">
      <c r="B34" s="6"/>
      <c r="C34" s="7"/>
      <c r="D34" s="7"/>
      <c r="E34" s="7"/>
      <c r="F34" s="7"/>
      <c r="G34" s="7"/>
      <c r="H34" s="7"/>
      <c r="I34" s="7"/>
      <c r="J34" s="7"/>
      <c r="K34" s="7"/>
      <c r="L34" s="7"/>
      <c r="M34" s="7"/>
      <c r="N34" s="7"/>
      <c r="O34" s="8"/>
      <c r="P34" s="8"/>
      <c r="Q34" s="8"/>
      <c r="R34" s="8"/>
      <c r="S34" s="8"/>
    </row>
    <row r="35" spans="2:32" ht="12" customHeight="1" x14ac:dyDescent="0.25">
      <c r="B35" s="9" t="s">
        <v>40</v>
      </c>
      <c r="C35" s="10">
        <f t="shared" ref="C35:N35" si="5">C30-C32-C33</f>
        <v>0</v>
      </c>
      <c r="D35" s="10">
        <f t="shared" si="5"/>
        <v>0</v>
      </c>
      <c r="E35" s="10">
        <f t="shared" si="5"/>
        <v>0</v>
      </c>
      <c r="F35" s="10">
        <f t="shared" si="5"/>
        <v>0</v>
      </c>
      <c r="G35" s="10">
        <f t="shared" si="5"/>
        <v>0</v>
      </c>
      <c r="H35" s="10">
        <f t="shared" si="5"/>
        <v>0</v>
      </c>
      <c r="I35" s="10">
        <f t="shared" si="5"/>
        <v>0</v>
      </c>
      <c r="J35" s="10">
        <f t="shared" si="5"/>
        <v>0</v>
      </c>
      <c r="K35" s="10">
        <f t="shared" si="5"/>
        <v>0</v>
      </c>
      <c r="L35" s="10">
        <f t="shared" si="5"/>
        <v>0</v>
      </c>
      <c r="M35" s="1043">
        <f t="shared" si="5"/>
        <v>0</v>
      </c>
      <c r="N35" s="1043">
        <f t="shared" si="5"/>
        <v>16.378110000000003</v>
      </c>
      <c r="O35" s="5"/>
      <c r="P35" s="5"/>
      <c r="Q35" s="5"/>
      <c r="R35" s="5"/>
      <c r="S35" s="5"/>
    </row>
    <row r="36" spans="2:32" ht="12" customHeight="1" x14ac:dyDescent="0.25">
      <c r="B36" s="6"/>
      <c r="C36" s="7"/>
      <c r="D36" s="7"/>
      <c r="E36" s="7"/>
      <c r="F36" s="7"/>
      <c r="G36" s="7"/>
      <c r="H36" s="7"/>
      <c r="I36" s="7"/>
      <c r="J36" s="7"/>
      <c r="K36" s="7"/>
      <c r="L36" s="7"/>
      <c r="M36" s="7"/>
      <c r="N36" s="7"/>
      <c r="O36" s="8"/>
      <c r="P36" s="8"/>
      <c r="Q36" s="8"/>
      <c r="R36" s="8"/>
      <c r="S36" s="8"/>
    </row>
    <row r="37" spans="2:32" ht="12" customHeight="1" x14ac:dyDescent="0.25">
      <c r="B37" s="6" t="s">
        <v>41</v>
      </c>
      <c r="C37" s="7"/>
      <c r="D37" s="7"/>
      <c r="E37" s="7"/>
      <c r="F37" s="7"/>
      <c r="G37" s="7"/>
      <c r="H37" s="7"/>
      <c r="I37" s="7"/>
      <c r="J37" s="7"/>
      <c r="K37" s="7"/>
      <c r="L37" s="7"/>
      <c r="M37" s="7"/>
      <c r="N37" s="7"/>
      <c r="O37" s="8"/>
      <c r="P37" s="8"/>
      <c r="Q37" s="8"/>
      <c r="R37" s="8"/>
      <c r="S37" s="8"/>
    </row>
    <row r="38" spans="2:32" ht="12" customHeight="1" x14ac:dyDescent="0.25">
      <c r="B38" s="6" t="s">
        <v>42</v>
      </c>
      <c r="C38" s="7"/>
      <c r="D38" s="7"/>
      <c r="E38" s="7"/>
      <c r="F38" s="7"/>
      <c r="G38" s="7"/>
      <c r="H38" s="7"/>
      <c r="I38" s="7"/>
      <c r="J38" s="7"/>
      <c r="K38" s="7"/>
      <c r="L38" s="7"/>
      <c r="M38" s="7"/>
      <c r="N38" s="7">
        <v>4.3018999999999998</v>
      </c>
      <c r="O38" s="8"/>
      <c r="P38" s="8"/>
      <c r="Q38" s="8"/>
      <c r="R38" s="8"/>
      <c r="S38" s="8"/>
    </row>
    <row r="39" spans="2:32" ht="12" customHeight="1" x14ac:dyDescent="0.25">
      <c r="B39" s="6" t="s">
        <v>43</v>
      </c>
      <c r="C39" s="7"/>
      <c r="D39" s="7"/>
      <c r="E39" s="7"/>
      <c r="F39" s="7"/>
      <c r="G39" s="7"/>
      <c r="H39" s="7"/>
      <c r="I39" s="7"/>
      <c r="J39" s="7"/>
      <c r="K39" s="7"/>
      <c r="L39" s="7"/>
      <c r="M39" s="7"/>
      <c r="N39" s="7">
        <v>-0.17985999999999999</v>
      </c>
      <c r="O39" s="8"/>
      <c r="P39" s="8"/>
      <c r="Q39" s="8"/>
      <c r="R39" s="8"/>
      <c r="S39" s="8"/>
    </row>
    <row r="40" spans="2:32" ht="12" customHeight="1" x14ac:dyDescent="0.25">
      <c r="B40" s="6" t="s">
        <v>44</v>
      </c>
      <c r="C40" s="7"/>
      <c r="D40" s="7"/>
      <c r="E40" s="7"/>
      <c r="F40" s="7"/>
      <c r="G40" s="7"/>
      <c r="H40" s="7"/>
      <c r="I40" s="7"/>
      <c r="J40" s="7"/>
      <c r="K40" s="7"/>
      <c r="L40" s="7"/>
      <c r="M40" s="7"/>
      <c r="N40" s="7"/>
      <c r="O40" s="8"/>
      <c r="P40" s="8"/>
      <c r="Q40" s="8"/>
      <c r="R40" s="8"/>
      <c r="S40" s="8"/>
    </row>
    <row r="41" spans="2:32" s="18" customFormat="1" ht="12" customHeight="1" x14ac:dyDescent="0.25">
      <c r="B41" s="9" t="s">
        <v>45</v>
      </c>
      <c r="C41" s="10">
        <f t="shared" ref="C41:L41" si="6">SUM(C38:C40)</f>
        <v>0</v>
      </c>
      <c r="D41" s="10">
        <f t="shared" si="6"/>
        <v>0</v>
      </c>
      <c r="E41" s="10">
        <f t="shared" si="6"/>
        <v>0</v>
      </c>
      <c r="F41" s="10">
        <f t="shared" si="6"/>
        <v>0</v>
      </c>
      <c r="G41" s="10">
        <f t="shared" si="6"/>
        <v>0</v>
      </c>
      <c r="H41" s="10">
        <f t="shared" si="6"/>
        <v>0</v>
      </c>
      <c r="I41" s="10">
        <f t="shared" si="6"/>
        <v>0</v>
      </c>
      <c r="J41" s="10">
        <f t="shared" si="6"/>
        <v>0</v>
      </c>
      <c r="K41" s="10">
        <f t="shared" si="6"/>
        <v>0</v>
      </c>
      <c r="L41" s="10">
        <f t="shared" si="6"/>
        <v>0</v>
      </c>
      <c r="M41" s="10">
        <f>SUM(M38:M40)</f>
        <v>0</v>
      </c>
      <c r="N41" s="10">
        <f>SUM(N38:N40)</f>
        <v>4.1220400000000001</v>
      </c>
      <c r="O41" s="5"/>
      <c r="P41" s="5"/>
      <c r="Q41" s="5"/>
      <c r="R41" s="5"/>
      <c r="S41" s="5"/>
      <c r="W41" s="2"/>
      <c r="X41" s="2"/>
      <c r="Y41" s="2"/>
      <c r="Z41" s="2"/>
      <c r="AA41" s="2"/>
      <c r="AB41" s="2"/>
      <c r="AC41" s="2"/>
      <c r="AD41" s="2"/>
      <c r="AE41" s="2"/>
      <c r="AF41" s="2"/>
    </row>
    <row r="42" spans="2:32" ht="12" customHeight="1" x14ac:dyDescent="0.25">
      <c r="B42" s="19" t="s">
        <v>46</v>
      </c>
      <c r="C42" s="12" t="str">
        <f t="shared" ref="C42:L42" si="7">IF(ISERROR(C41/C35)," ",C41/C35)</f>
        <v xml:space="preserve"> </v>
      </c>
      <c r="D42" s="12" t="str">
        <f t="shared" si="7"/>
        <v xml:space="preserve"> </v>
      </c>
      <c r="E42" s="12" t="str">
        <f t="shared" si="7"/>
        <v xml:space="preserve"> </v>
      </c>
      <c r="F42" s="12" t="str">
        <f t="shared" si="7"/>
        <v xml:space="preserve"> </v>
      </c>
      <c r="G42" s="12" t="str">
        <f t="shared" si="7"/>
        <v xml:space="preserve"> </v>
      </c>
      <c r="H42" s="12" t="str">
        <f t="shared" si="7"/>
        <v xml:space="preserve"> </v>
      </c>
      <c r="I42" s="12" t="str">
        <f t="shared" si="7"/>
        <v xml:space="preserve"> </v>
      </c>
      <c r="J42" s="12" t="str">
        <f t="shared" si="7"/>
        <v xml:space="preserve"> </v>
      </c>
      <c r="K42" s="12" t="str">
        <f t="shared" si="7"/>
        <v xml:space="preserve"> </v>
      </c>
      <c r="L42" s="12" t="str">
        <f t="shared" si="7"/>
        <v xml:space="preserve"> </v>
      </c>
      <c r="M42" s="12"/>
      <c r="N42" s="12"/>
      <c r="O42" s="13"/>
      <c r="P42" s="13"/>
      <c r="Q42" s="13"/>
      <c r="R42" s="13"/>
      <c r="S42" s="13"/>
    </row>
    <row r="43" spans="2:32" ht="12" customHeight="1" x14ac:dyDescent="0.25">
      <c r="B43" s="19"/>
      <c r="C43" s="12"/>
      <c r="D43" s="12"/>
      <c r="E43" s="12"/>
      <c r="F43" s="12"/>
      <c r="G43" s="12"/>
      <c r="H43" s="12"/>
      <c r="I43" s="12"/>
      <c r="J43" s="12"/>
      <c r="K43" s="12"/>
      <c r="L43" s="12"/>
      <c r="M43" s="12"/>
      <c r="N43" s="12"/>
      <c r="O43" s="13"/>
      <c r="P43" s="13"/>
      <c r="Q43" s="13"/>
      <c r="R43" s="13"/>
      <c r="S43" s="13"/>
    </row>
    <row r="44" spans="2:32" ht="12" customHeight="1" x14ac:dyDescent="0.25">
      <c r="B44" s="9" t="s">
        <v>47</v>
      </c>
      <c r="C44" s="10">
        <f t="shared" ref="C44:N44" si="8">C35-C36-C41</f>
        <v>0</v>
      </c>
      <c r="D44" s="10">
        <f t="shared" si="8"/>
        <v>0</v>
      </c>
      <c r="E44" s="10">
        <f t="shared" si="8"/>
        <v>0</v>
      </c>
      <c r="F44" s="10">
        <f t="shared" si="8"/>
        <v>0</v>
      </c>
      <c r="G44" s="10">
        <f t="shared" si="8"/>
        <v>0</v>
      </c>
      <c r="H44" s="10">
        <f t="shared" si="8"/>
        <v>0</v>
      </c>
      <c r="I44" s="10">
        <f t="shared" si="8"/>
        <v>0</v>
      </c>
      <c r="J44" s="10">
        <f t="shared" si="8"/>
        <v>0</v>
      </c>
      <c r="K44" s="10">
        <f t="shared" si="8"/>
        <v>0</v>
      </c>
      <c r="L44" s="10">
        <f t="shared" si="8"/>
        <v>0</v>
      </c>
      <c r="M44" s="10">
        <f t="shared" si="8"/>
        <v>0</v>
      </c>
      <c r="N44" s="10">
        <f t="shared" si="8"/>
        <v>12.256070000000003</v>
      </c>
      <c r="O44" s="5"/>
      <c r="P44" s="5"/>
      <c r="Q44" s="5"/>
      <c r="R44" s="5"/>
      <c r="S44" s="5"/>
    </row>
    <row r="45" spans="2:32" ht="12" customHeight="1" x14ac:dyDescent="0.25">
      <c r="B45" s="6"/>
      <c r="C45" s="7"/>
      <c r="D45" s="7"/>
      <c r="E45" s="7"/>
      <c r="F45" s="7"/>
      <c r="G45" s="7"/>
      <c r="H45" s="7"/>
      <c r="I45" s="7"/>
      <c r="J45" s="7"/>
      <c r="K45" s="7"/>
      <c r="L45" s="7"/>
      <c r="M45" s="7"/>
      <c r="N45" s="7"/>
      <c r="O45" s="8"/>
      <c r="P45" s="8"/>
      <c r="Q45" s="8"/>
      <c r="R45" s="8"/>
      <c r="S45" s="8"/>
    </row>
    <row r="46" spans="2:32" ht="12" customHeight="1" x14ac:dyDescent="0.25">
      <c r="B46" s="6" t="s">
        <v>48</v>
      </c>
      <c r="C46" s="7"/>
      <c r="D46" s="7"/>
      <c r="E46" s="7"/>
      <c r="F46" s="7"/>
      <c r="G46" s="7"/>
      <c r="H46" s="7"/>
      <c r="I46" s="7"/>
      <c r="J46" s="7"/>
      <c r="K46" s="7"/>
      <c r="L46" s="7"/>
      <c r="M46" s="7"/>
      <c r="N46" s="7"/>
      <c r="O46" s="8"/>
      <c r="P46" s="8"/>
      <c r="Q46" s="8"/>
      <c r="R46" s="8"/>
      <c r="S46" s="8"/>
    </row>
    <row r="47" spans="2:32" ht="12" customHeight="1" x14ac:dyDescent="0.25">
      <c r="B47" s="6" t="s">
        <v>49</v>
      </c>
      <c r="C47" s="7"/>
      <c r="D47" s="7"/>
      <c r="E47" s="7"/>
      <c r="F47" s="7"/>
      <c r="G47" s="7"/>
      <c r="H47" s="7"/>
      <c r="I47" s="7"/>
      <c r="J47" s="7"/>
      <c r="K47" s="7"/>
      <c r="L47" s="7"/>
      <c r="M47" s="7"/>
      <c r="N47" s="7"/>
      <c r="O47" s="8"/>
      <c r="P47" s="8"/>
      <c r="Q47" s="8"/>
      <c r="R47" s="8"/>
      <c r="S47" s="8"/>
    </row>
    <row r="48" spans="2:32" ht="12" customHeight="1" x14ac:dyDescent="0.25">
      <c r="B48" s="6"/>
      <c r="C48" s="7"/>
      <c r="D48" s="7"/>
      <c r="E48" s="7"/>
      <c r="F48" s="7"/>
      <c r="G48" s="7"/>
      <c r="H48" s="7"/>
      <c r="I48" s="7"/>
      <c r="J48" s="7"/>
      <c r="K48" s="7"/>
      <c r="L48" s="7"/>
      <c r="M48" s="7"/>
      <c r="N48" s="7"/>
      <c r="O48" s="8"/>
      <c r="P48" s="8"/>
      <c r="Q48" s="8"/>
      <c r="R48" s="8"/>
      <c r="S48" s="8"/>
    </row>
    <row r="49" spans="2:32" ht="12" customHeight="1" x14ac:dyDescent="0.25">
      <c r="B49" s="9" t="s">
        <v>50</v>
      </c>
      <c r="C49" s="10">
        <f t="shared" ref="C49:N49" si="9">C44-C46+C47</f>
        <v>0</v>
      </c>
      <c r="D49" s="10">
        <f t="shared" si="9"/>
        <v>0</v>
      </c>
      <c r="E49" s="10">
        <f t="shared" si="9"/>
        <v>0</v>
      </c>
      <c r="F49" s="10">
        <f t="shared" si="9"/>
        <v>0</v>
      </c>
      <c r="G49" s="10">
        <f t="shared" si="9"/>
        <v>0</v>
      </c>
      <c r="H49" s="10">
        <f t="shared" si="9"/>
        <v>0</v>
      </c>
      <c r="I49" s="10">
        <f t="shared" si="9"/>
        <v>0</v>
      </c>
      <c r="J49" s="10">
        <f t="shared" si="9"/>
        <v>0</v>
      </c>
      <c r="K49" s="10">
        <f t="shared" si="9"/>
        <v>0</v>
      </c>
      <c r="L49" s="10">
        <f t="shared" si="9"/>
        <v>0</v>
      </c>
      <c r="M49" s="10">
        <f t="shared" si="9"/>
        <v>0</v>
      </c>
      <c r="N49" s="10">
        <f t="shared" si="9"/>
        <v>12.256070000000003</v>
      </c>
      <c r="O49" s="5"/>
      <c r="P49" s="5"/>
      <c r="Q49" s="5"/>
      <c r="R49" s="5"/>
      <c r="S49" s="5"/>
    </row>
    <row r="50" spans="2:32" ht="12" customHeight="1" x14ac:dyDescent="0.25">
      <c r="B50" s="15" t="s">
        <v>35</v>
      </c>
      <c r="C50" s="16" t="str">
        <f t="shared" ref="C50:N50" si="10">IF(ISERROR(C49/C16)," ",C49/C16)</f>
        <v xml:space="preserve"> </v>
      </c>
      <c r="D50" s="16" t="str">
        <f t="shared" si="10"/>
        <v xml:space="preserve"> </v>
      </c>
      <c r="E50" s="16" t="str">
        <f t="shared" si="10"/>
        <v xml:space="preserve"> </v>
      </c>
      <c r="F50" s="16" t="str">
        <f t="shared" si="10"/>
        <v xml:space="preserve"> </v>
      </c>
      <c r="G50" s="16" t="str">
        <f t="shared" si="10"/>
        <v xml:space="preserve"> </v>
      </c>
      <c r="H50" s="16" t="str">
        <f t="shared" si="10"/>
        <v xml:space="preserve"> </v>
      </c>
      <c r="I50" s="16" t="str">
        <f t="shared" si="10"/>
        <v xml:space="preserve"> </v>
      </c>
      <c r="J50" s="16" t="str">
        <f t="shared" si="10"/>
        <v xml:space="preserve"> </v>
      </c>
      <c r="K50" s="16" t="str">
        <f t="shared" si="10"/>
        <v xml:space="preserve"> </v>
      </c>
      <c r="L50" s="16" t="str">
        <f t="shared" si="10"/>
        <v xml:space="preserve"> </v>
      </c>
      <c r="M50" s="16" t="str">
        <f t="shared" si="10"/>
        <v xml:space="preserve"> </v>
      </c>
      <c r="N50" s="16">
        <f t="shared" si="10"/>
        <v>0.16879142121399673</v>
      </c>
      <c r="O50" s="17"/>
      <c r="P50" s="17"/>
      <c r="Q50" s="17"/>
      <c r="R50" s="17"/>
      <c r="S50" s="17"/>
    </row>
    <row r="51" spans="2:32" s="14" customFormat="1" ht="12" customHeight="1" x14ac:dyDescent="0.25">
      <c r="B51" s="11" t="s">
        <v>30</v>
      </c>
      <c r="C51" s="12" t="str">
        <f t="shared" ref="C51:K51" si="11">IF(ISERROR(C49/B49-1)," ",C49/B49-1)</f>
        <v xml:space="preserve"> </v>
      </c>
      <c r="D51" s="12" t="str">
        <f t="shared" si="11"/>
        <v xml:space="preserve"> </v>
      </c>
      <c r="E51" s="12" t="str">
        <f t="shared" si="11"/>
        <v xml:space="preserve"> </v>
      </c>
      <c r="F51" s="12" t="str">
        <f t="shared" si="11"/>
        <v xml:space="preserve"> </v>
      </c>
      <c r="G51" s="12" t="str">
        <f t="shared" si="11"/>
        <v xml:space="preserve"> </v>
      </c>
      <c r="H51" s="12" t="str">
        <f t="shared" si="11"/>
        <v xml:space="preserve"> </v>
      </c>
      <c r="I51" s="12" t="str">
        <f t="shared" si="11"/>
        <v xml:space="preserve"> </v>
      </c>
      <c r="J51" s="12" t="str">
        <f t="shared" si="11"/>
        <v xml:space="preserve"> </v>
      </c>
      <c r="K51" s="12" t="str">
        <f t="shared" si="11"/>
        <v xml:space="preserve"> </v>
      </c>
      <c r="L51" s="12" t="str">
        <f>IF(ISERROR(L49/K49-1)," ",L49/K49-1)</f>
        <v xml:space="preserve"> </v>
      </c>
      <c r="M51" s="12" t="str">
        <f>IF(ISERROR(M49/L49-1)," ",M49/L49-1)</f>
        <v xml:space="preserve"> </v>
      </c>
      <c r="N51" s="12" t="str">
        <f>IF(ISERROR(N49/M49-1)," ",N49/M49-1)</f>
        <v xml:space="preserve"> </v>
      </c>
      <c r="O51" s="13"/>
      <c r="P51" s="13"/>
      <c r="Q51" s="13"/>
      <c r="R51" s="13"/>
      <c r="S51" s="13"/>
      <c r="W51" s="2"/>
      <c r="X51" s="2"/>
      <c r="Y51" s="2"/>
      <c r="Z51" s="2"/>
      <c r="AA51" s="2"/>
      <c r="AB51" s="2"/>
      <c r="AC51" s="2"/>
      <c r="AD51" s="2"/>
      <c r="AE51" s="2"/>
      <c r="AF51" s="2"/>
    </row>
    <row r="52" spans="2:32" ht="12" customHeight="1" x14ac:dyDescent="0.25">
      <c r="B52" s="15"/>
      <c r="C52" s="16"/>
      <c r="D52" s="16"/>
      <c r="E52" s="16"/>
      <c r="F52" s="16"/>
      <c r="G52" s="16"/>
      <c r="H52" s="16"/>
      <c r="I52" s="16"/>
      <c r="J52" s="16"/>
      <c r="K52" s="16"/>
      <c r="L52" s="16"/>
      <c r="M52" s="16"/>
      <c r="N52" s="16"/>
      <c r="O52" s="17"/>
      <c r="P52" s="17"/>
      <c r="Q52" s="17"/>
      <c r="R52" s="17"/>
      <c r="S52" s="17"/>
    </row>
    <row r="53" spans="2:32" ht="12" customHeight="1" x14ac:dyDescent="0.25">
      <c r="B53" s="9" t="s">
        <v>51</v>
      </c>
      <c r="C53" s="10"/>
      <c r="D53" s="10"/>
      <c r="E53" s="10"/>
      <c r="F53" s="10"/>
      <c r="G53" s="10"/>
      <c r="H53" s="10"/>
      <c r="I53" s="10"/>
      <c r="J53" s="10"/>
      <c r="K53" s="10"/>
      <c r="L53" s="10"/>
      <c r="M53" s="10"/>
      <c r="N53" s="10"/>
      <c r="O53" s="5"/>
      <c r="P53" s="5"/>
      <c r="Q53" s="5"/>
      <c r="R53" s="5"/>
      <c r="S53" s="5"/>
    </row>
    <row r="54" spans="2:32" ht="12" customHeight="1" x14ac:dyDescent="0.25">
      <c r="B54" s="9" t="s">
        <v>52</v>
      </c>
      <c r="C54" s="20"/>
      <c r="D54" s="20"/>
      <c r="E54" s="20"/>
      <c r="F54" s="20"/>
      <c r="G54" s="20"/>
      <c r="H54" s="20"/>
      <c r="I54" s="20"/>
      <c r="J54" s="20"/>
      <c r="K54" s="20"/>
      <c r="L54" s="20"/>
      <c r="M54" s="20"/>
      <c r="N54" s="20"/>
      <c r="O54" s="21"/>
      <c r="P54" s="21"/>
      <c r="Q54" s="21"/>
      <c r="R54" s="21"/>
      <c r="S54" s="21"/>
    </row>
    <row r="55" spans="2:32" ht="12" customHeight="1" x14ac:dyDescent="0.25">
      <c r="B55" s="9" t="s">
        <v>53</v>
      </c>
      <c r="C55" s="20"/>
      <c r="D55" s="20"/>
      <c r="E55" s="20"/>
      <c r="F55" s="20"/>
      <c r="G55" s="20"/>
      <c r="H55" s="20"/>
      <c r="I55" s="20"/>
      <c r="J55" s="20"/>
      <c r="K55" s="20"/>
      <c r="L55" s="20"/>
      <c r="M55" s="20"/>
      <c r="N55" s="20"/>
      <c r="O55" s="21"/>
      <c r="P55" s="21"/>
      <c r="Q55" s="21"/>
      <c r="R55" s="21"/>
      <c r="S55" s="21"/>
    </row>
    <row r="56" spans="2:32" ht="12" customHeight="1" x14ac:dyDescent="0.25">
      <c r="B56" s="9" t="s">
        <v>54</v>
      </c>
      <c r="C56" s="20"/>
      <c r="D56" s="20"/>
      <c r="E56" s="20"/>
      <c r="F56" s="20"/>
      <c r="G56" s="20"/>
      <c r="H56" s="20"/>
      <c r="I56" s="20"/>
      <c r="J56" s="20"/>
      <c r="K56" s="20"/>
      <c r="L56" s="20"/>
      <c r="M56" s="20"/>
      <c r="N56" s="20"/>
      <c r="O56" s="21"/>
      <c r="P56" s="21"/>
      <c r="Q56" s="21"/>
      <c r="R56" s="21"/>
      <c r="S56" s="21"/>
    </row>
    <row r="57" spans="2:32" ht="12" customHeight="1" x14ac:dyDescent="0.25">
      <c r="B57" s="9" t="s">
        <v>55</v>
      </c>
      <c r="C57" s="20"/>
      <c r="D57" s="20"/>
      <c r="E57" s="20"/>
      <c r="F57" s="20"/>
      <c r="G57" s="20"/>
      <c r="H57" s="20"/>
      <c r="I57" s="20"/>
      <c r="J57" s="20"/>
      <c r="K57" s="20"/>
      <c r="L57" s="20"/>
      <c r="M57" s="20"/>
      <c r="N57" s="20"/>
      <c r="O57" s="21"/>
      <c r="P57" s="21"/>
      <c r="Q57" s="21"/>
      <c r="R57" s="21"/>
      <c r="S57" s="21"/>
    </row>
    <row r="58" spans="2:32" ht="12" customHeight="1" x14ac:dyDescent="0.25">
      <c r="B58" s="9" t="s">
        <v>56</v>
      </c>
      <c r="C58" s="20"/>
      <c r="D58" s="20"/>
      <c r="E58" s="20"/>
      <c r="F58" s="20"/>
      <c r="G58" s="20"/>
      <c r="H58" s="20"/>
      <c r="I58" s="20"/>
      <c r="J58" s="20"/>
      <c r="K58" s="20"/>
      <c r="L58" s="20"/>
      <c r="M58" s="20"/>
      <c r="N58" s="20"/>
      <c r="O58" s="21"/>
      <c r="P58" s="21"/>
      <c r="Q58" s="21"/>
      <c r="R58" s="21"/>
      <c r="S58" s="21"/>
    </row>
    <row r="59" spans="2:32" ht="12" customHeight="1" x14ac:dyDescent="0.25">
      <c r="B59" s="9" t="s">
        <v>57</v>
      </c>
      <c r="C59" s="22"/>
      <c r="D59" s="22"/>
      <c r="E59" s="22"/>
      <c r="F59" s="22"/>
      <c r="G59" s="22"/>
      <c r="H59" s="22"/>
      <c r="I59" s="22"/>
      <c r="J59" s="22"/>
      <c r="K59" s="22"/>
      <c r="L59" s="22"/>
      <c r="M59" s="22"/>
      <c r="N59" s="22"/>
      <c r="O59" s="23"/>
      <c r="P59" s="23"/>
      <c r="Q59" s="23"/>
      <c r="R59" s="23"/>
      <c r="S59" s="23"/>
    </row>
    <row r="60" spans="2:32" ht="12" customHeight="1" x14ac:dyDescent="0.25">
      <c r="B60" s="9" t="s">
        <v>58</v>
      </c>
      <c r="C60" s="10"/>
      <c r="D60" s="10"/>
      <c r="E60" s="10"/>
      <c r="F60" s="10"/>
      <c r="G60" s="10"/>
      <c r="H60" s="10"/>
      <c r="I60" s="10"/>
      <c r="J60" s="10"/>
      <c r="K60" s="10"/>
      <c r="L60" s="10"/>
      <c r="M60" s="10"/>
      <c r="N60" s="10"/>
      <c r="O60" s="5"/>
      <c r="P60" s="5"/>
      <c r="Q60" s="5"/>
      <c r="R60" s="5"/>
      <c r="S60" s="5"/>
    </row>
    <row r="61" spans="2:32" ht="12" customHeight="1" x14ac:dyDescent="0.25">
      <c r="B61" s="9"/>
      <c r="C61" s="10"/>
      <c r="D61" s="10"/>
      <c r="E61" s="10"/>
      <c r="F61" s="10"/>
      <c r="G61" s="10"/>
      <c r="H61" s="10"/>
      <c r="I61" s="10"/>
      <c r="J61" s="10"/>
      <c r="K61" s="10"/>
      <c r="L61" s="10"/>
      <c r="M61" s="10"/>
      <c r="N61" s="10"/>
      <c r="O61" s="5"/>
      <c r="P61" s="5"/>
      <c r="Q61" s="5"/>
      <c r="R61" s="5"/>
      <c r="S61" s="5"/>
    </row>
    <row r="62" spans="2:32" s="26" customFormat="1" ht="12" customHeight="1" x14ac:dyDescent="0.25">
      <c r="B62" s="24"/>
      <c r="C62" s="25"/>
      <c r="D62" s="25"/>
      <c r="E62" s="25"/>
      <c r="F62" s="25"/>
      <c r="G62" s="25"/>
      <c r="H62" s="25"/>
      <c r="I62" s="25"/>
      <c r="J62" s="25"/>
      <c r="K62" s="25"/>
      <c r="L62" s="25"/>
      <c r="M62" s="25"/>
      <c r="N62" s="25"/>
      <c r="O62" s="25"/>
      <c r="P62" s="25"/>
      <c r="Q62" s="25"/>
      <c r="R62" s="25"/>
      <c r="S62" s="25"/>
    </row>
  </sheetData>
  <pageMargins left="0.7" right="0.7" top="0.75" bottom="0.75" header="0.3" footer="0.3"/>
  <pageSetup paperSize="9" orientation="portrait"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CE65D-CAA9-450A-8A40-41C72DAF7D9F}">
  <dimension ref="C5:F13"/>
  <sheetViews>
    <sheetView zoomScale="90" zoomScaleNormal="90" workbookViewId="0">
      <selection activeCell="D7" sqref="D7"/>
    </sheetView>
  </sheetViews>
  <sheetFormatPr defaultRowHeight="15" x14ac:dyDescent="0.25"/>
  <cols>
    <col min="4" max="4" width="28.28515625" customWidth="1"/>
  </cols>
  <sheetData>
    <row r="5" spans="3:6" x14ac:dyDescent="0.25">
      <c r="D5" t="s">
        <v>1770</v>
      </c>
    </row>
    <row r="6" spans="3:6" x14ac:dyDescent="0.25">
      <c r="F6" t="s">
        <v>1768</v>
      </c>
    </row>
    <row r="7" spans="3:6" x14ac:dyDescent="0.25">
      <c r="C7">
        <v>1</v>
      </c>
      <c r="D7" t="s">
        <v>1774</v>
      </c>
      <c r="F7" s="967">
        <v>-0.05</v>
      </c>
    </row>
    <row r="8" spans="3:6" x14ac:dyDescent="0.25">
      <c r="C8">
        <v>2</v>
      </c>
      <c r="D8" t="s">
        <v>1769</v>
      </c>
      <c r="F8" s="967">
        <v>-0.04</v>
      </c>
    </row>
    <row r="9" spans="3:6" x14ac:dyDescent="0.25">
      <c r="C9">
        <v>3</v>
      </c>
      <c r="D9" t="s">
        <v>1773</v>
      </c>
    </row>
    <row r="12" spans="3:6" x14ac:dyDescent="0.25">
      <c r="D12" t="s">
        <v>1771</v>
      </c>
    </row>
    <row r="13" spans="3:6" x14ac:dyDescent="0.25">
      <c r="D13" t="s">
        <v>1772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E41F-507F-45BF-ADB6-A410A8170CD4}">
  <dimension ref="A2:AC171"/>
  <sheetViews>
    <sheetView showGridLines="0" topLeftCell="B1" zoomScaleNormal="100" workbookViewId="0">
      <selection activeCell="S13" sqref="S13"/>
    </sheetView>
  </sheetViews>
  <sheetFormatPr defaultColWidth="9.28515625" defaultRowHeight="13.15" customHeight="1" x14ac:dyDescent="0.2"/>
  <cols>
    <col min="1" max="1" width="9.28515625" style="991"/>
    <col min="2" max="2" width="26.7109375" style="991" customWidth="1"/>
    <col min="3" max="8" width="10.5703125" style="991" customWidth="1"/>
    <col min="9" max="9" width="9.28515625" style="991"/>
    <col min="10" max="10" width="13.7109375" style="991" customWidth="1"/>
    <col min="11" max="11" width="17.7109375" style="991" bestFit="1" customWidth="1"/>
    <col min="12" max="12" width="15" style="991" bestFit="1" customWidth="1"/>
    <col min="13" max="13" width="17.7109375" style="991" bestFit="1" customWidth="1"/>
    <col min="14" max="14" width="14.28515625" style="991" bestFit="1" customWidth="1"/>
    <col min="15" max="15" width="12" style="991" customWidth="1"/>
    <col min="16" max="16" width="10.5703125" style="991" bestFit="1" customWidth="1"/>
    <col min="17" max="17" width="8.5703125" style="991" customWidth="1"/>
    <col min="18" max="18" width="7.42578125" style="991" bestFit="1" customWidth="1"/>
    <col min="19" max="19" width="31.28515625" style="991" bestFit="1" customWidth="1"/>
    <col min="20" max="22" width="10.5703125" style="991" customWidth="1"/>
    <col min="23" max="23" width="9.28515625" style="991"/>
    <col min="24" max="24" width="15.28515625" style="1082" customWidth="1"/>
    <col min="25" max="25" width="9.42578125" style="991" customWidth="1"/>
    <col min="26" max="16384" width="9.28515625" style="991"/>
  </cols>
  <sheetData>
    <row r="2" spans="2:9" ht="13.15" customHeight="1" x14ac:dyDescent="0.2">
      <c r="B2" s="991" t="s">
        <v>1832</v>
      </c>
      <c r="C2" s="46" t="s">
        <v>193</v>
      </c>
      <c r="D2" s="46" t="s">
        <v>194</v>
      </c>
      <c r="E2" s="46" t="s">
        <v>195</v>
      </c>
      <c r="F2" s="46" t="s">
        <v>196</v>
      </c>
      <c r="G2" s="46" t="s">
        <v>1556</v>
      </c>
      <c r="H2" s="46" t="s">
        <v>1557</v>
      </c>
      <c r="I2" s="46" t="s">
        <v>1558</v>
      </c>
    </row>
    <row r="3" spans="2:9" ht="13.15" customHeight="1" x14ac:dyDescent="0.2">
      <c r="B3" s="991" t="s">
        <v>1831</v>
      </c>
      <c r="C3" s="42">
        <v>28.1</v>
      </c>
      <c r="D3" s="42">
        <f>27.5</f>
        <v>27.5</v>
      </c>
      <c r="E3" s="42">
        <v>29.4</v>
      </c>
      <c r="F3" s="42">
        <v>31.2</v>
      </c>
      <c r="G3" s="42">
        <v>29.4</v>
      </c>
      <c r="H3" s="42">
        <v>28.87</v>
      </c>
      <c r="I3" s="42">
        <v>31.7</v>
      </c>
    </row>
    <row r="4" spans="2:9" ht="13.15" customHeight="1" x14ac:dyDescent="0.2">
      <c r="B4" s="991" t="s">
        <v>911</v>
      </c>
      <c r="C4" s="1132">
        <f>Qtrly!Q62</f>
        <v>0.10629921259842523</v>
      </c>
      <c r="D4" s="1132">
        <f>Qtrly!R62</f>
        <v>0.16033755274261607</v>
      </c>
      <c r="E4" s="1132">
        <f>Qtrly!S62</f>
        <v>4.6263345195729499E-2</v>
      </c>
      <c r="F4" s="1132">
        <f>Qtrly!T62</f>
        <v>4.3478260869565188E-2</v>
      </c>
      <c r="G4" s="1132">
        <f>Qtrly!U62</f>
        <v>4.6263345195729499E-2</v>
      </c>
      <c r="H4" s="1132">
        <f>Qtrly!V62</f>
        <v>4.9818181818181761E-2</v>
      </c>
      <c r="I4" s="1132">
        <f>Qtrly!W62</f>
        <v>7.8231292517006779E-2</v>
      </c>
    </row>
    <row r="7" spans="2:9" ht="13.15" customHeight="1" x14ac:dyDescent="0.2">
      <c r="B7" s="991" t="s">
        <v>1832</v>
      </c>
      <c r="C7" s="46" t="s">
        <v>193</v>
      </c>
      <c r="D7" s="46" t="s">
        <v>194</v>
      </c>
      <c r="E7" s="46" t="s">
        <v>195</v>
      </c>
      <c r="F7" s="46" t="s">
        <v>196</v>
      </c>
      <c r="G7" s="46" t="s">
        <v>1556</v>
      </c>
      <c r="H7" s="46" t="s">
        <v>1557</v>
      </c>
      <c r="I7" s="46" t="s">
        <v>1558</v>
      </c>
    </row>
    <row r="8" spans="2:9" ht="13.15" customHeight="1" x14ac:dyDescent="0.2">
      <c r="B8" s="991" t="s">
        <v>1833</v>
      </c>
      <c r="C8" s="1132">
        <f>1-C9</f>
        <v>0.49822064056939508</v>
      </c>
      <c r="D8" s="1132">
        <f t="shared" ref="D8:I8" si="0">1-D9</f>
        <v>0.5127272727272727</v>
      </c>
      <c r="E8" s="1132">
        <f t="shared" si="0"/>
        <v>0.51360544217687076</v>
      </c>
      <c r="F8" s="1132">
        <f t="shared" si="0"/>
        <v>0.50320512820512819</v>
      </c>
      <c r="G8" s="1132">
        <f t="shared" si="0"/>
        <v>0.47959183673469385</v>
      </c>
      <c r="H8" s="1132">
        <f t="shared" si="0"/>
        <v>0.54277797021129204</v>
      </c>
      <c r="I8" s="1132">
        <f t="shared" si="0"/>
        <v>0.50473186119873814</v>
      </c>
    </row>
    <row r="9" spans="2:9" ht="13.15" customHeight="1" x14ac:dyDescent="0.2">
      <c r="B9" s="991" t="s">
        <v>762</v>
      </c>
      <c r="C9" s="1132">
        <f>Qtrly!Q32</f>
        <v>0.50177935943060492</v>
      </c>
      <c r="D9" s="1132">
        <f>Qtrly!R32</f>
        <v>0.4872727272727273</v>
      </c>
      <c r="E9" s="1132">
        <f>Qtrly!S32</f>
        <v>0.48639455782312929</v>
      </c>
      <c r="F9" s="1132">
        <f>Qtrly!T32</f>
        <v>0.49679487179487181</v>
      </c>
      <c r="G9" s="1132">
        <f>Qtrly!U32</f>
        <v>0.52040816326530615</v>
      </c>
      <c r="H9" s="1132">
        <f>Qtrly!V32</f>
        <v>0.45722202978870796</v>
      </c>
      <c r="I9" s="1132">
        <f>Qtrly!W32</f>
        <v>0.4952681388012618</v>
      </c>
    </row>
    <row r="12" spans="2:9" ht="13.15" customHeight="1" x14ac:dyDescent="0.2">
      <c r="B12" s="991" t="s">
        <v>1834</v>
      </c>
      <c r="C12" s="46" t="s">
        <v>193</v>
      </c>
      <c r="D12" s="46" t="s">
        <v>194</v>
      </c>
      <c r="E12" s="46" t="s">
        <v>195</v>
      </c>
      <c r="F12" s="46" t="s">
        <v>196</v>
      </c>
      <c r="G12" s="46" t="s">
        <v>1556</v>
      </c>
      <c r="H12" s="46" t="s">
        <v>1557</v>
      </c>
      <c r="I12" s="46" t="s">
        <v>1558</v>
      </c>
    </row>
    <row r="13" spans="2:9" ht="13.15" customHeight="1" x14ac:dyDescent="0.2">
      <c r="B13" s="991" t="s">
        <v>1001</v>
      </c>
      <c r="C13" s="1133">
        <f>Qtrly!Q107/1000</f>
        <v>10.097700000000001</v>
      </c>
      <c r="D13" s="1133">
        <f>Qtrly!R107/1000</f>
        <v>10.0136</v>
      </c>
      <c r="E13" s="1133">
        <f>Qtrly!S107/1000</f>
        <v>10.630100000000001</v>
      </c>
      <c r="F13" s="1133">
        <f>Qtrly!T107/1000</f>
        <v>11.5227</v>
      </c>
      <c r="G13" s="1133">
        <f>Qtrly!U107/1000</f>
        <v>10.857100000000001</v>
      </c>
      <c r="H13" s="1133">
        <f>Qtrly!V107/1000</f>
        <v>11.0289</v>
      </c>
      <c r="I13" s="1133">
        <f>Qtrly!W107/1000</f>
        <v>11.6381</v>
      </c>
    </row>
    <row r="14" spans="2:9" ht="13.15" customHeight="1" x14ac:dyDescent="0.2">
      <c r="B14" s="991" t="s">
        <v>1656</v>
      </c>
      <c r="C14" s="1133">
        <f>Qtrly!Q108/1000</f>
        <v>0</v>
      </c>
      <c r="D14" s="1133">
        <f>Qtrly!R108/1000</f>
        <v>0</v>
      </c>
      <c r="E14" s="1133">
        <f>Qtrly!S108/1000</f>
        <v>1.1882000000000001</v>
      </c>
      <c r="F14" s="1133">
        <f>Qtrly!T108/1000</f>
        <v>1.3090999999999999</v>
      </c>
      <c r="G14" s="1133">
        <f>Qtrly!U108/1000</f>
        <v>1.3814000000000002</v>
      </c>
      <c r="H14" s="1133">
        <f>Qtrly!V108/1000</f>
        <v>1.627</v>
      </c>
      <c r="I14" s="1133">
        <f>Qtrly!W108/1000</f>
        <v>1.8585</v>
      </c>
    </row>
    <row r="15" spans="2:9" ht="13.15" customHeight="1" x14ac:dyDescent="0.2">
      <c r="C15" s="1134">
        <f>SUM(C13:C14)</f>
        <v>10.097700000000001</v>
      </c>
      <c r="D15" s="1134">
        <f t="shared" ref="D15:I15" si="1">SUM(D13:D14)</f>
        <v>10.0136</v>
      </c>
      <c r="E15" s="1134">
        <f t="shared" si="1"/>
        <v>11.818300000000001</v>
      </c>
      <c r="F15" s="1134">
        <f t="shared" si="1"/>
        <v>12.831800000000001</v>
      </c>
      <c r="G15" s="1134">
        <f t="shared" si="1"/>
        <v>12.238500000000002</v>
      </c>
      <c r="H15" s="1134">
        <f t="shared" si="1"/>
        <v>12.655900000000001</v>
      </c>
      <c r="I15" s="1134">
        <f t="shared" si="1"/>
        <v>13.496599999999999</v>
      </c>
    </row>
    <row r="17" spans="2:9" ht="13.15" customHeight="1" x14ac:dyDescent="0.2">
      <c r="B17" s="991" t="s">
        <v>1835</v>
      </c>
      <c r="C17" s="46" t="s">
        <v>193</v>
      </c>
      <c r="D17" s="46" t="s">
        <v>194</v>
      </c>
      <c r="E17" s="46" t="s">
        <v>195</v>
      </c>
      <c r="F17" s="46" t="s">
        <v>196</v>
      </c>
      <c r="G17" s="46" t="s">
        <v>1556</v>
      </c>
      <c r="H17" s="46" t="s">
        <v>1557</v>
      </c>
      <c r="I17" s="46" t="s">
        <v>1558</v>
      </c>
    </row>
    <row r="18" spans="2:9" ht="13.15" customHeight="1" x14ac:dyDescent="0.2">
      <c r="B18" s="991" t="s">
        <v>1001</v>
      </c>
      <c r="C18" s="1081">
        <f>C13/C15</f>
        <v>1</v>
      </c>
      <c r="D18" s="1081">
        <f t="shared" ref="D18:I18" si="2">D13/D15</f>
        <v>1</v>
      </c>
      <c r="E18" s="1081">
        <f t="shared" si="2"/>
        <v>0.89946100538994611</v>
      </c>
      <c r="F18" s="1081">
        <f t="shared" si="2"/>
        <v>0.89798001839180774</v>
      </c>
      <c r="G18" s="1081">
        <f t="shared" si="2"/>
        <v>0.8871266903623809</v>
      </c>
      <c r="H18" s="1081">
        <f t="shared" si="2"/>
        <v>0.87144335843361587</v>
      </c>
      <c r="I18" s="1081">
        <f t="shared" si="2"/>
        <v>0.86229865299408748</v>
      </c>
    </row>
    <row r="19" spans="2:9" ht="13.15" customHeight="1" x14ac:dyDescent="0.2">
      <c r="B19" s="991" t="s">
        <v>1656</v>
      </c>
      <c r="C19" s="1133">
        <f>1-C18</f>
        <v>0</v>
      </c>
      <c r="D19" s="1081">
        <f t="shared" ref="D19:I19" si="3">1-D18</f>
        <v>0</v>
      </c>
      <c r="E19" s="1081">
        <f t="shared" si="3"/>
        <v>0.10053899461005389</v>
      </c>
      <c r="F19" s="1081">
        <f t="shared" si="3"/>
        <v>0.10201998160819226</v>
      </c>
      <c r="G19" s="1081">
        <f t="shared" si="3"/>
        <v>0.1128733096376191</v>
      </c>
      <c r="H19" s="1081">
        <f t="shared" si="3"/>
        <v>0.12855664156638413</v>
      </c>
      <c r="I19" s="1081">
        <f t="shared" si="3"/>
        <v>0.13770134700591252</v>
      </c>
    </row>
    <row r="20" spans="2:9" ht="13.15" customHeight="1" x14ac:dyDescent="0.2">
      <c r="C20" s="1134"/>
      <c r="D20" s="1134"/>
      <c r="E20" s="1134"/>
      <c r="F20" s="1134"/>
      <c r="G20" s="1134"/>
      <c r="H20" s="1134"/>
      <c r="I20" s="1134"/>
    </row>
    <row r="21" spans="2:9" ht="13.15" customHeight="1" x14ac:dyDescent="0.2">
      <c r="B21" s="991" t="s">
        <v>1836</v>
      </c>
      <c r="C21" s="46" t="s">
        <v>193</v>
      </c>
      <c r="D21" s="46" t="s">
        <v>194</v>
      </c>
      <c r="E21" s="46" t="s">
        <v>195</v>
      </c>
      <c r="F21" s="46" t="s">
        <v>196</v>
      </c>
      <c r="G21" s="46" t="s">
        <v>1556</v>
      </c>
      <c r="H21" s="46" t="s">
        <v>1557</v>
      </c>
      <c r="I21" s="46" t="s">
        <v>1558</v>
      </c>
    </row>
    <row r="22" spans="2:9" ht="13.15" customHeight="1" x14ac:dyDescent="0.2">
      <c r="B22" s="991" t="s">
        <v>1001</v>
      </c>
      <c r="C22" s="1133">
        <f>Qtrly!Q118/1000</f>
        <v>5.1464000000000016</v>
      </c>
      <c r="D22" s="1133">
        <f>Qtrly!R118/1000</f>
        <v>5.2054000000000009</v>
      </c>
      <c r="E22" s="1133">
        <f>Qtrly!S118/1000</f>
        <v>5.6908000000000012</v>
      </c>
      <c r="F22" s="1133">
        <f>Qtrly!T118/1000</f>
        <v>6.268200000000002</v>
      </c>
      <c r="G22" s="1133">
        <f>Qtrly!U118/1000</f>
        <v>5.61</v>
      </c>
      <c r="H22" s="1133">
        <f>Qtrly!V118/1000</f>
        <v>5.8498000000000001</v>
      </c>
      <c r="I22" s="1133">
        <f>Qtrly!W118/1000</f>
        <v>6.11</v>
      </c>
    </row>
    <row r="23" spans="2:9" ht="13.15" customHeight="1" x14ac:dyDescent="0.2">
      <c r="B23" s="991" t="s">
        <v>1656</v>
      </c>
      <c r="C23" s="1133">
        <f>Qtrly!Q119/1000</f>
        <v>0</v>
      </c>
      <c r="D23" s="1133">
        <f>Qtrly!R119/1000</f>
        <v>0</v>
      </c>
      <c r="E23" s="1133">
        <f>Qtrly!S119/1000</f>
        <v>0.17</v>
      </c>
      <c r="F23" s="1133">
        <f>Qtrly!T119/1000</f>
        <v>0.14099999999999999</v>
      </c>
      <c r="G23" s="1133">
        <f>Qtrly!U119/1000</f>
        <v>0.20160000000000036</v>
      </c>
      <c r="H23" s="1133">
        <f>Qtrly!V119/1000</f>
        <v>0.247</v>
      </c>
      <c r="I23" s="1133">
        <f>Qtrly!W119/1000</f>
        <v>0.32700000000000001</v>
      </c>
    </row>
    <row r="24" spans="2:9" ht="13.15" customHeight="1" x14ac:dyDescent="0.2">
      <c r="B24" s="991" t="s">
        <v>551</v>
      </c>
      <c r="C24" s="1134">
        <f>SUM(C22:C23)</f>
        <v>5.1464000000000016</v>
      </c>
      <c r="D24" s="1134">
        <f t="shared" ref="D24" si="4">SUM(D22:D23)</f>
        <v>5.2054000000000009</v>
      </c>
      <c r="E24" s="1134">
        <f t="shared" ref="E24" si="5">SUM(E22:E23)</f>
        <v>5.8608000000000011</v>
      </c>
      <c r="F24" s="1134">
        <f t="shared" ref="F24" si="6">SUM(F22:F23)</f>
        <v>6.409200000000002</v>
      </c>
      <c r="G24" s="1134">
        <f t="shared" ref="G24" si="7">SUM(G22:G23)</f>
        <v>5.8116000000000003</v>
      </c>
      <c r="H24" s="1134">
        <f t="shared" ref="H24" si="8">SUM(H22:H23)</f>
        <v>6.0968</v>
      </c>
      <c r="I24" s="1134">
        <f t="shared" ref="I24" si="9">SUM(I22:I23)</f>
        <v>6.4370000000000003</v>
      </c>
    </row>
    <row r="25" spans="2:9" ht="13.15" customHeight="1" x14ac:dyDescent="0.2">
      <c r="B25" s="991" t="s">
        <v>1837</v>
      </c>
      <c r="C25" s="1081">
        <f>C24/C15</f>
        <v>0.5096606157837924</v>
      </c>
      <c r="D25" s="1081">
        <f t="shared" ref="D25:I25" si="10">D24/D15</f>
        <v>0.51983302708316692</v>
      </c>
      <c r="E25" s="1081">
        <f t="shared" si="10"/>
        <v>0.49590888706497555</v>
      </c>
      <c r="F25" s="1081">
        <f t="shared" si="10"/>
        <v>0.499477859692327</v>
      </c>
      <c r="G25" s="1081">
        <f t="shared" si="10"/>
        <v>0.47486211545532536</v>
      </c>
      <c r="H25" s="1081">
        <f t="shared" si="10"/>
        <v>0.48173579121200388</v>
      </c>
      <c r="I25" s="1081">
        <f t="shared" si="10"/>
        <v>0.4769349317605916</v>
      </c>
    </row>
    <row r="27" spans="2:9" ht="13.15" customHeight="1" x14ac:dyDescent="0.2">
      <c r="B27" s="991" t="s">
        <v>1838</v>
      </c>
      <c r="C27" s="46" t="s">
        <v>193</v>
      </c>
      <c r="D27" s="46" t="s">
        <v>194</v>
      </c>
      <c r="E27" s="46" t="s">
        <v>195</v>
      </c>
      <c r="F27" s="46" t="s">
        <v>196</v>
      </c>
      <c r="G27" s="46" t="s">
        <v>1556</v>
      </c>
      <c r="H27" s="46" t="s">
        <v>1557</v>
      </c>
      <c r="I27" s="46" t="s">
        <v>1558</v>
      </c>
    </row>
    <row r="28" spans="2:9" ht="13.15" customHeight="1" x14ac:dyDescent="0.2">
      <c r="B28" s="991" t="s">
        <v>1001</v>
      </c>
      <c r="C28" s="1081">
        <f t="shared" ref="C28:I28" si="11">C22/C24</f>
        <v>1</v>
      </c>
      <c r="D28" s="1081">
        <f t="shared" si="11"/>
        <v>1</v>
      </c>
      <c r="E28" s="1081">
        <f t="shared" si="11"/>
        <v>0.97099372099372105</v>
      </c>
      <c r="F28" s="1081">
        <f t="shared" si="11"/>
        <v>0.97800037446171129</v>
      </c>
      <c r="G28" s="1081">
        <f t="shared" si="11"/>
        <v>0.96531075779475528</v>
      </c>
      <c r="H28" s="1081">
        <f t="shared" si="11"/>
        <v>0.95948694397060752</v>
      </c>
      <c r="I28" s="1081">
        <f t="shared" si="11"/>
        <v>0.94919993785925116</v>
      </c>
    </row>
    <row r="29" spans="2:9" ht="13.15" customHeight="1" x14ac:dyDescent="0.2">
      <c r="B29" s="991" t="s">
        <v>1656</v>
      </c>
      <c r="C29" s="1133">
        <f>1-C28</f>
        <v>0</v>
      </c>
      <c r="D29" s="1081">
        <f t="shared" ref="D29" si="12">1-D28</f>
        <v>0</v>
      </c>
      <c r="E29" s="1081">
        <f t="shared" ref="E29" si="13">1-E28</f>
        <v>2.9006279006278946E-2</v>
      </c>
      <c r="F29" s="1081">
        <f t="shared" ref="F29" si="14">1-F28</f>
        <v>2.1999625538288714E-2</v>
      </c>
      <c r="G29" s="1081">
        <f t="shared" ref="G29" si="15">1-G28</f>
        <v>3.4689242205244719E-2</v>
      </c>
      <c r="H29" s="1081">
        <f t="shared" ref="H29" si="16">1-H28</f>
        <v>4.051305602939248E-2</v>
      </c>
      <c r="I29" s="1081">
        <f t="shared" ref="I29" si="17">1-I28</f>
        <v>5.0800062140748836E-2</v>
      </c>
    </row>
    <row r="33" spans="2:9" ht="13.15" customHeight="1" x14ac:dyDescent="0.2">
      <c r="B33" s="505" t="s">
        <v>1840</v>
      </c>
      <c r="C33" s="1137" t="s">
        <v>193</v>
      </c>
      <c r="D33" s="1137" t="s">
        <v>194</v>
      </c>
      <c r="E33" s="1137" t="s">
        <v>195</v>
      </c>
      <c r="F33" s="1137" t="s">
        <v>196</v>
      </c>
      <c r="G33" s="1137" t="s">
        <v>1556</v>
      </c>
      <c r="H33" s="1137" t="s">
        <v>1557</v>
      </c>
      <c r="I33" s="1137" t="s">
        <v>1558</v>
      </c>
    </row>
    <row r="34" spans="2:9" ht="13.15" customHeight="1" x14ac:dyDescent="0.2">
      <c r="B34" s="527" t="s">
        <v>3</v>
      </c>
      <c r="C34" s="1135">
        <f>Qtrly!Q5</f>
        <v>4.5999999999999996</v>
      </c>
      <c r="D34" s="1135">
        <f>Qtrly!R5</f>
        <v>5.2</v>
      </c>
      <c r="E34" s="1135">
        <f>Qtrly!S5</f>
        <v>5.0999999999999996</v>
      </c>
      <c r="F34" s="1135">
        <f>Qtrly!T5</f>
        <v>4.92</v>
      </c>
      <c r="G34" s="1135">
        <f>Qtrly!U5</f>
        <v>4.3</v>
      </c>
      <c r="H34" s="1135">
        <f>Qtrly!V5</f>
        <v>5.46</v>
      </c>
      <c r="I34" s="1135">
        <f>Qtrly!W5</f>
        <v>5.27</v>
      </c>
    </row>
    <row r="35" spans="2:9" ht="13.15" customHeight="1" x14ac:dyDescent="0.2">
      <c r="B35" s="528" t="s">
        <v>790</v>
      </c>
      <c r="C35" s="1012">
        <f>Qtrly!Q6</f>
        <v>5.0999999999999996</v>
      </c>
      <c r="D35" s="1012">
        <f>Qtrly!R6</f>
        <v>5.9</v>
      </c>
      <c r="E35" s="1012">
        <f>Qtrly!S6</f>
        <v>6</v>
      </c>
      <c r="F35" s="1012">
        <f>Qtrly!T6</f>
        <v>6.12</v>
      </c>
      <c r="G35" s="1012">
        <f>Qtrly!U6</f>
        <v>5.5</v>
      </c>
      <c r="H35" s="1012">
        <f>Qtrly!V6</f>
        <v>6.15</v>
      </c>
      <c r="I35" s="1012">
        <f>Qtrly!W6</f>
        <v>6.48</v>
      </c>
    </row>
    <row r="36" spans="2:9" ht="13.15" customHeight="1" x14ac:dyDescent="0.2">
      <c r="B36" s="528" t="s">
        <v>214</v>
      </c>
      <c r="C36" s="1012">
        <f>Qtrly!Q7</f>
        <v>1.7</v>
      </c>
      <c r="D36" s="1012">
        <f>Qtrly!R7</f>
        <v>1.3</v>
      </c>
      <c r="E36" s="1012">
        <f>Qtrly!S7</f>
        <v>1.7</v>
      </c>
      <c r="F36" s="1012">
        <f>Qtrly!T7</f>
        <v>1.8</v>
      </c>
      <c r="G36" s="1012">
        <f>Qtrly!U7</f>
        <v>1.9</v>
      </c>
      <c r="H36" s="1012">
        <f>Qtrly!V7</f>
        <v>2.2200000000000002</v>
      </c>
      <c r="I36" s="1012">
        <f>Qtrly!W7</f>
        <v>2.25</v>
      </c>
    </row>
    <row r="37" spans="2:9" ht="13.15" customHeight="1" x14ac:dyDescent="0.2">
      <c r="B37" s="528" t="s">
        <v>10</v>
      </c>
      <c r="C37" s="1012">
        <f>Qtrly!Q8</f>
        <v>3.4</v>
      </c>
      <c r="D37" s="1012">
        <f>Qtrly!R8</f>
        <v>3.1</v>
      </c>
      <c r="E37" s="1012">
        <f>Qtrly!S8</f>
        <v>2.8</v>
      </c>
      <c r="F37" s="1012">
        <f>Qtrly!T8</f>
        <v>2.21</v>
      </c>
      <c r="G37" s="1012">
        <f>Qtrly!U8</f>
        <v>2.1</v>
      </c>
      <c r="H37" s="1012">
        <f>Qtrly!V8</f>
        <v>0.96</v>
      </c>
      <c r="I37" s="1012">
        <f>Qtrly!W8</f>
        <v>2.2799999999999998</v>
      </c>
    </row>
    <row r="38" spans="2:9" ht="13.15" customHeight="1" x14ac:dyDescent="0.2">
      <c r="B38" s="528" t="s">
        <v>568</v>
      </c>
      <c r="C38" s="1012">
        <f>Qtrly!Q9</f>
        <v>4.5</v>
      </c>
      <c r="D38" s="1012">
        <f>Qtrly!R9</f>
        <v>4.2</v>
      </c>
      <c r="E38" s="1012">
        <f>Qtrly!S9</f>
        <v>4.9000000000000004</v>
      </c>
      <c r="F38" s="1012">
        <f>Qtrly!T9</f>
        <v>5.35</v>
      </c>
      <c r="G38" s="1012">
        <f>Qtrly!U9</f>
        <v>4.9000000000000004</v>
      </c>
      <c r="H38" s="1012">
        <f>Qtrly!V9</f>
        <v>4.1900000000000004</v>
      </c>
      <c r="I38" s="1012">
        <f>Qtrly!W9</f>
        <v>4.28</v>
      </c>
    </row>
    <row r="39" spans="2:9" ht="13.15" customHeight="1" x14ac:dyDescent="0.2">
      <c r="B39" s="528" t="s">
        <v>8</v>
      </c>
      <c r="C39" s="1012">
        <f>Qtrly!Q10</f>
        <v>2.4</v>
      </c>
      <c r="D39" s="1012">
        <f>Qtrly!R10</f>
        <v>2.6</v>
      </c>
      <c r="E39" s="1012">
        <f>Qtrly!S10</f>
        <v>2.2999999999999998</v>
      </c>
      <c r="F39" s="1012">
        <f>Qtrly!T10</f>
        <v>2.94</v>
      </c>
      <c r="G39" s="1012">
        <f>Qtrly!U10</f>
        <v>3</v>
      </c>
      <c r="H39" s="1012">
        <f>Qtrly!V10</f>
        <v>2.4300000000000002</v>
      </c>
      <c r="I39" s="1012">
        <f>Qtrly!W10</f>
        <v>2.25</v>
      </c>
    </row>
    <row r="40" spans="2:9" ht="13.15" customHeight="1" x14ac:dyDescent="0.2">
      <c r="B40" s="528" t="s">
        <v>9</v>
      </c>
      <c r="C40" s="1012">
        <f>Qtrly!Q11</f>
        <v>0.4</v>
      </c>
      <c r="D40" s="1012">
        <f>Qtrly!R11</f>
        <v>0.3</v>
      </c>
      <c r="E40" s="1012">
        <f>Qtrly!S11</f>
        <v>0.5</v>
      </c>
      <c r="F40" s="1012">
        <f>Qtrly!T11</f>
        <v>0.95</v>
      </c>
      <c r="G40" s="1012">
        <f>Qtrly!U11</f>
        <v>0.4</v>
      </c>
      <c r="H40" s="1012">
        <f>Qtrly!V11</f>
        <v>0.32</v>
      </c>
      <c r="I40" s="1012">
        <f>Qtrly!W11</f>
        <v>0.41</v>
      </c>
    </row>
    <row r="41" spans="2:9" ht="13.15" customHeight="1" x14ac:dyDescent="0.2">
      <c r="B41" s="528" t="s">
        <v>215</v>
      </c>
      <c r="C41" s="1012">
        <f>Qtrly!Q12</f>
        <v>1.7</v>
      </c>
      <c r="D41" s="1012">
        <f>Qtrly!R12</f>
        <v>1.1000000000000001</v>
      </c>
      <c r="E41" s="1012">
        <f>Qtrly!S12</f>
        <v>1.7</v>
      </c>
      <c r="F41" s="1012">
        <f>Qtrly!T12</f>
        <v>1.71</v>
      </c>
      <c r="G41" s="1012">
        <f>Qtrly!U12</f>
        <v>1.6</v>
      </c>
      <c r="H41" s="1012">
        <f>Qtrly!V12</f>
        <v>1.22</v>
      </c>
      <c r="I41" s="1012">
        <f>Qtrly!W12</f>
        <v>1.43</v>
      </c>
    </row>
    <row r="42" spans="2:9" ht="13.15" customHeight="1" x14ac:dyDescent="0.2">
      <c r="B42" s="528" t="s">
        <v>216</v>
      </c>
      <c r="C42" s="1012">
        <f>Qtrly!Q13</f>
        <v>0.6</v>
      </c>
      <c r="D42" s="1012">
        <f>Qtrly!R13</f>
        <v>0.6</v>
      </c>
      <c r="E42" s="1012">
        <f>Qtrly!S13</f>
        <v>0.6</v>
      </c>
      <c r="F42" s="1012">
        <f>Qtrly!T13</f>
        <v>0.54</v>
      </c>
      <c r="G42" s="1012">
        <f>Qtrly!U13</f>
        <v>0.7</v>
      </c>
      <c r="H42" s="1012">
        <f>Qtrly!V13</f>
        <v>0.63</v>
      </c>
      <c r="I42" s="1012">
        <f>Qtrly!W13</f>
        <v>0.62</v>
      </c>
    </row>
    <row r="43" spans="2:9" ht="13.15" customHeight="1" x14ac:dyDescent="0.2">
      <c r="B43" s="528" t="s">
        <v>2</v>
      </c>
      <c r="C43" s="1012">
        <f>Qtrly!Q14</f>
        <v>1.5</v>
      </c>
      <c r="D43" s="1012">
        <f>Qtrly!R14</f>
        <v>1.2</v>
      </c>
      <c r="E43" s="1012">
        <f>Qtrly!S14</f>
        <v>1.5</v>
      </c>
      <c r="F43" s="1012">
        <f>Qtrly!T14</f>
        <v>1.34</v>
      </c>
      <c r="G43" s="1012">
        <f>Qtrly!U14</f>
        <v>1.6</v>
      </c>
      <c r="H43" s="1012">
        <f>Qtrly!V14</f>
        <v>1.33</v>
      </c>
      <c r="I43" s="1012">
        <f>Qtrly!W14</f>
        <v>1.3</v>
      </c>
    </row>
    <row r="44" spans="2:9" ht="13.15" customHeight="1" x14ac:dyDescent="0.2">
      <c r="B44" s="528" t="s">
        <v>791</v>
      </c>
      <c r="C44" s="1012">
        <f>Qtrly!Q15</f>
        <v>1.6</v>
      </c>
      <c r="D44" s="1012">
        <f>Qtrly!R15</f>
        <v>1.3</v>
      </c>
      <c r="E44" s="1012">
        <f>Qtrly!S15</f>
        <v>2</v>
      </c>
      <c r="F44" s="1012">
        <f>Qtrly!T15</f>
        <v>1.89</v>
      </c>
      <c r="G44" s="1012">
        <f>Qtrly!U15</f>
        <v>1.6</v>
      </c>
      <c r="H44" s="1012">
        <f>Qtrly!V15</f>
        <v>1.63</v>
      </c>
      <c r="I44" s="1012">
        <f>Qtrly!W15</f>
        <v>2.6</v>
      </c>
    </row>
    <row r="45" spans="2:9" ht="13.15" customHeight="1" x14ac:dyDescent="0.2">
      <c r="B45" s="1138" t="s">
        <v>111</v>
      </c>
      <c r="C45" s="1012">
        <f t="shared" ref="C45:H45" si="18">C46-SUM(C34:C44)</f>
        <v>0.60000000000000497</v>
      </c>
      <c r="D45" s="1012">
        <f t="shared" si="18"/>
        <v>0.69999999999999218</v>
      </c>
      <c r="E45" s="1012">
        <f t="shared" si="18"/>
        <v>0.29999999999999716</v>
      </c>
      <c r="F45" s="1012">
        <f t="shared" si="18"/>
        <v>1.4299999999999997</v>
      </c>
      <c r="G45" s="1012">
        <f t="shared" si="18"/>
        <v>1.7999999999999936</v>
      </c>
      <c r="H45" s="1012">
        <f t="shared" si="18"/>
        <v>2.3300000000000054</v>
      </c>
      <c r="I45" s="1012">
        <f>I46-SUM(I34:I44)</f>
        <v>2.529999999999994</v>
      </c>
    </row>
    <row r="46" spans="2:9" ht="13.15" customHeight="1" x14ac:dyDescent="0.2">
      <c r="B46" s="1136" t="s">
        <v>226</v>
      </c>
      <c r="C46" s="1145">
        <f>Qtrly!Q29</f>
        <v>28.1</v>
      </c>
      <c r="D46" s="1145">
        <f>Qtrly!R29</f>
        <v>27.5</v>
      </c>
      <c r="E46" s="1145">
        <f>Qtrly!S29</f>
        <v>29.4</v>
      </c>
      <c r="F46" s="1145">
        <f>Qtrly!T29</f>
        <v>31.2</v>
      </c>
      <c r="G46" s="1145">
        <f>Qtrly!U29</f>
        <v>29.4</v>
      </c>
      <c r="H46" s="1145">
        <f>Qtrly!V29</f>
        <v>28.87</v>
      </c>
      <c r="I46" s="1145">
        <f>Qtrly!W29</f>
        <v>31.7</v>
      </c>
    </row>
    <row r="47" spans="2:9" ht="13.15" customHeight="1" x14ac:dyDescent="0.2">
      <c r="B47" s="1136"/>
      <c r="C47" s="503"/>
      <c r="D47" s="503"/>
      <c r="E47" s="503"/>
      <c r="F47" s="503"/>
      <c r="G47" s="503"/>
      <c r="H47" s="503"/>
      <c r="I47" s="503"/>
    </row>
    <row r="48" spans="2:9" ht="13.15" customHeight="1" x14ac:dyDescent="0.2">
      <c r="B48" s="1142" t="s">
        <v>1839</v>
      </c>
      <c r="C48" s="1140"/>
      <c r="D48" s="1140"/>
      <c r="E48" s="1140"/>
      <c r="F48" s="1140"/>
      <c r="G48" s="1140"/>
      <c r="H48" s="1140"/>
      <c r="I48" s="1140"/>
    </row>
    <row r="49" spans="2:9" ht="13.15" customHeight="1" x14ac:dyDescent="0.2">
      <c r="B49" s="1143" t="s">
        <v>3</v>
      </c>
      <c r="C49" s="1139">
        <f>Qtrly!Q38</f>
        <v>-0.22033898305084754</v>
      </c>
      <c r="D49" s="1139">
        <f>Qtrly!R38</f>
        <v>1.9607843137255054E-2</v>
      </c>
      <c r="E49" s="1139">
        <f>Qtrly!S38</f>
        <v>-0.10526315789473695</v>
      </c>
      <c r="F49" s="1139">
        <f>Qtrly!T38</f>
        <v>4.0816326530610514E-3</v>
      </c>
      <c r="G49" s="1139">
        <f>Qtrly!U38</f>
        <v>-6.5217391304347783E-2</v>
      </c>
      <c r="H49" s="1139">
        <f>Qtrly!V38</f>
        <v>5.0000000000000044E-2</v>
      </c>
      <c r="I49" s="1139">
        <f>Qtrly!W38</f>
        <v>3.3333333333333215E-2</v>
      </c>
    </row>
    <row r="50" spans="2:9" ht="13.15" customHeight="1" x14ac:dyDescent="0.2">
      <c r="B50" s="1143" t="s">
        <v>790</v>
      </c>
      <c r="C50" s="1139">
        <f>Qtrly!Q39</f>
        <v>-0.22727272727272729</v>
      </c>
      <c r="D50" s="1139">
        <f>Qtrly!R39</f>
        <v>-3.2786885245901565E-2</v>
      </c>
      <c r="E50" s="1139">
        <f>Qtrly!S39</f>
        <v>-4.7619047619047561E-2</v>
      </c>
      <c r="F50" s="1139">
        <f>Qtrly!T39</f>
        <v>3.2786885245903452E-3</v>
      </c>
      <c r="G50" s="1139">
        <f>Qtrly!U39</f>
        <v>7.8431372549019773E-2</v>
      </c>
      <c r="H50" s="1139">
        <f>Qtrly!V39</f>
        <v>4.237288135593209E-2</v>
      </c>
      <c r="I50" s="1139">
        <f>Qtrly!W39</f>
        <v>8.0000000000000071E-2</v>
      </c>
    </row>
    <row r="51" spans="2:9" ht="13.15" customHeight="1" x14ac:dyDescent="0.2">
      <c r="B51" s="1143" t="s">
        <v>214</v>
      </c>
      <c r="C51" s="1139">
        <f>Qtrly!Q40</f>
        <v>-5.5555555555555469E-2</v>
      </c>
      <c r="D51" s="1139">
        <f>Qtrly!R40</f>
        <v>-0.1875</v>
      </c>
      <c r="E51" s="1139">
        <f>Qtrly!S40</f>
        <v>-0.10526315789473684</v>
      </c>
      <c r="F51" s="1139">
        <f>Qtrly!T40</f>
        <v>0</v>
      </c>
      <c r="G51" s="1139">
        <f>Qtrly!U40</f>
        <v>0.11764705882352944</v>
      </c>
      <c r="H51" s="1139">
        <f>Qtrly!V40</f>
        <v>0.70769230769230784</v>
      </c>
      <c r="I51" s="1139">
        <f>Qtrly!W40</f>
        <v>0.32352941176470584</v>
      </c>
    </row>
    <row r="52" spans="2:9" ht="13.15" customHeight="1" x14ac:dyDescent="0.2">
      <c r="B52" s="1143" t="s">
        <v>10</v>
      </c>
      <c r="C52" s="1139">
        <f>Qtrly!Q41</f>
        <v>0.54545454545454564</v>
      </c>
      <c r="D52" s="1139">
        <f>Qtrly!R41</f>
        <v>6.8965517241379448E-2</v>
      </c>
      <c r="E52" s="1139">
        <f>Qtrly!S41</f>
        <v>-0.28205128205128205</v>
      </c>
      <c r="F52" s="1139">
        <f>Qtrly!T41</f>
        <v>-0.33030303030303032</v>
      </c>
      <c r="G52" s="1139">
        <f>Qtrly!U41</f>
        <v>-0.38235294117647056</v>
      </c>
      <c r="H52" s="1139">
        <f>Qtrly!V41</f>
        <v>-0.69032258064516139</v>
      </c>
      <c r="I52" s="1139">
        <f>Qtrly!W41</f>
        <v>-0.18571428571428572</v>
      </c>
    </row>
    <row r="53" spans="2:9" ht="13.15" customHeight="1" x14ac:dyDescent="0.2">
      <c r="B53" s="1143" t="s">
        <v>568</v>
      </c>
      <c r="C53" s="1139">
        <f>Qtrly!Q42</f>
        <v>0.15384615384615397</v>
      </c>
      <c r="D53" s="1139">
        <f>Qtrly!R42</f>
        <v>0.16666666666666674</v>
      </c>
      <c r="E53" s="1139">
        <f>Qtrly!S42</f>
        <v>0.19512195121951237</v>
      </c>
      <c r="F53" s="1139">
        <f>Qtrly!T42</f>
        <v>4.9019607843137303E-2</v>
      </c>
      <c r="G53" s="1139">
        <f>Qtrly!U42</f>
        <v>8.8888888888889017E-2</v>
      </c>
      <c r="H53" s="1139">
        <f>Qtrly!V42</f>
        <v>-2.3809523809523725E-3</v>
      </c>
      <c r="I53" s="1139">
        <f>Qtrly!W42</f>
        <v>-0.12653061224489792</v>
      </c>
    </row>
    <row r="54" spans="2:9" ht="13.15" customHeight="1" x14ac:dyDescent="0.2">
      <c r="B54" s="1143" t="s">
        <v>8</v>
      </c>
      <c r="C54" s="1139">
        <f>Qtrly!Q43</f>
        <v>4.3478260869565188E-2</v>
      </c>
      <c r="D54" s="1139">
        <f>Qtrly!R43</f>
        <v>0.18181818181818166</v>
      </c>
      <c r="E54" s="1139">
        <f>Qtrly!S43</f>
        <v>0</v>
      </c>
      <c r="F54" s="1139">
        <f>Qtrly!T43</f>
        <v>0.13076923076923075</v>
      </c>
      <c r="G54" s="1139">
        <f>Qtrly!U43</f>
        <v>0.25</v>
      </c>
      <c r="H54" s="1139">
        <f>Qtrly!V43</f>
        <v>-6.5384615384615374E-2</v>
      </c>
      <c r="I54" s="1139">
        <f>Qtrly!W43</f>
        <v>-2.1739130434782483E-2</v>
      </c>
    </row>
    <row r="55" spans="2:9" ht="13.15" customHeight="1" x14ac:dyDescent="0.2">
      <c r="B55" s="1143" t="s">
        <v>9</v>
      </c>
      <c r="C55" s="1139">
        <f>Qtrly!Q44</f>
        <v>2.2204460492503131E-16</v>
      </c>
      <c r="D55" s="1139">
        <f>Qtrly!R44</f>
        <v>0</v>
      </c>
      <c r="E55" s="1139">
        <f>Qtrly!S44</f>
        <v>0.25</v>
      </c>
      <c r="F55" s="1139">
        <f>Qtrly!T44</f>
        <v>1.3749999999999996</v>
      </c>
      <c r="G55" s="1139">
        <f>Qtrly!U44</f>
        <v>0</v>
      </c>
      <c r="H55" s="1139">
        <f>Qtrly!V44</f>
        <v>6.6666666666666652E-2</v>
      </c>
      <c r="I55" s="1139">
        <f>Qtrly!W44</f>
        <v>-0.18000000000000005</v>
      </c>
    </row>
    <row r="56" spans="2:9" ht="13.15" customHeight="1" x14ac:dyDescent="0.2">
      <c r="B56" s="1143" t="s">
        <v>215</v>
      </c>
      <c r="C56" s="1139">
        <f>Qtrly!Q45</f>
        <v>0.41666666666666652</v>
      </c>
      <c r="D56" s="1139">
        <f>Qtrly!R45</f>
        <v>0.83333333333333348</v>
      </c>
      <c r="E56" s="1139">
        <f>Qtrly!S45</f>
        <v>-5.555555555555558E-2</v>
      </c>
      <c r="F56" s="1139">
        <f>Qtrly!T45</f>
        <v>0.42500000000000004</v>
      </c>
      <c r="G56" s="1139">
        <f>Qtrly!U45</f>
        <v>-5.8823529411764608E-2</v>
      </c>
      <c r="H56" s="1139">
        <f>Qtrly!V45</f>
        <v>0.10909090909090891</v>
      </c>
      <c r="I56" s="1139">
        <f>Qtrly!W45</f>
        <v>-0.1588235294117647</v>
      </c>
    </row>
    <row r="57" spans="2:9" ht="13.15" customHeight="1" x14ac:dyDescent="0.2">
      <c r="B57" s="1143" t="s">
        <v>216</v>
      </c>
      <c r="C57" s="1139">
        <f>Qtrly!Q46</f>
        <v>-2.2204460492503131E-16</v>
      </c>
      <c r="D57" s="1139">
        <f>Qtrly!R46</f>
        <v>-0.14285714285714279</v>
      </c>
      <c r="E57" s="1139">
        <f>Qtrly!S46</f>
        <v>0</v>
      </c>
      <c r="F57" s="1139">
        <f>Qtrly!T46</f>
        <v>-9.9999999999999867E-2</v>
      </c>
      <c r="G57" s="1139">
        <f>Qtrly!U46</f>
        <v>0.16666666666666674</v>
      </c>
      <c r="H57" s="1139">
        <f>Qtrly!V46</f>
        <v>5.0000000000000044E-2</v>
      </c>
      <c r="I57" s="1139">
        <f>Qtrly!W46</f>
        <v>3.3333333333333437E-2</v>
      </c>
    </row>
    <row r="58" spans="2:9" ht="13.15" customHeight="1" x14ac:dyDescent="0.2">
      <c r="B58" s="1143" t="s">
        <v>2</v>
      </c>
      <c r="C58" s="1139" t="str">
        <f>Qtrly!Q47</f>
        <v xml:space="preserve"> </v>
      </c>
      <c r="D58" s="1139" t="str">
        <f>Qtrly!R47</f>
        <v xml:space="preserve"> </v>
      </c>
      <c r="E58" s="1139" t="str">
        <f>Qtrly!S47</f>
        <v xml:space="preserve"> </v>
      </c>
      <c r="F58" s="1139">
        <f>Qtrly!T47</f>
        <v>0.1166666666666667</v>
      </c>
      <c r="G58" s="1139">
        <f>Qtrly!U47</f>
        <v>6.6666666666666652E-2</v>
      </c>
      <c r="H58" s="1139">
        <f>Qtrly!V47</f>
        <v>0.10833333333333339</v>
      </c>
      <c r="I58" s="1139">
        <f>Qtrly!W47</f>
        <v>-0.1333333333333333</v>
      </c>
    </row>
    <row r="59" spans="2:9" ht="13.15" customHeight="1" x14ac:dyDescent="0.2">
      <c r="B59" s="1143" t="s">
        <v>791</v>
      </c>
      <c r="C59" s="1139" t="str">
        <f>Qtrly!Q48</f>
        <v xml:space="preserve"> </v>
      </c>
      <c r="D59" s="1139">
        <f>Qtrly!R48</f>
        <v>0</v>
      </c>
      <c r="E59" s="1139">
        <f>Qtrly!S48</f>
        <v>0</v>
      </c>
      <c r="F59" s="1139">
        <f>Qtrly!T48</f>
        <v>-5.2631578947368585E-3</v>
      </c>
      <c r="G59" s="1139">
        <f>Qtrly!U48</f>
        <v>0</v>
      </c>
      <c r="H59" s="1139">
        <f>Qtrly!V48</f>
        <v>0</v>
      </c>
      <c r="I59" s="1139">
        <f>Qtrly!W48</f>
        <v>0</v>
      </c>
    </row>
    <row r="60" spans="2:9" ht="13.15" customHeight="1" x14ac:dyDescent="0.2">
      <c r="B60" s="1144" t="s">
        <v>111</v>
      </c>
      <c r="C60" s="1140"/>
      <c r="D60" s="1140"/>
      <c r="E60" s="1140"/>
      <c r="F60" s="1140"/>
      <c r="G60" s="1141">
        <f>G45/C45-1</f>
        <v>1.9999999999999645</v>
      </c>
      <c r="H60" s="1141">
        <f>H45/D45-1</f>
        <v>2.3285714285714736</v>
      </c>
      <c r="I60" s="1141">
        <f>I45/E45-1</f>
        <v>7.433333333333394</v>
      </c>
    </row>
    <row r="61" spans="2:9" ht="13.15" customHeight="1" x14ac:dyDescent="0.2">
      <c r="B61" s="1142" t="s">
        <v>226</v>
      </c>
      <c r="C61" s="1146">
        <f>C4</f>
        <v>0.10629921259842523</v>
      </c>
      <c r="D61" s="1146">
        <f t="shared" ref="D61:I61" si="19">D4</f>
        <v>0.16033755274261607</v>
      </c>
      <c r="E61" s="1146">
        <f t="shared" si="19"/>
        <v>4.6263345195729499E-2</v>
      </c>
      <c r="F61" s="1146">
        <f t="shared" si="19"/>
        <v>4.3478260869565188E-2</v>
      </c>
      <c r="G61" s="1146">
        <f t="shared" si="19"/>
        <v>4.6263345195729499E-2</v>
      </c>
      <c r="H61" s="1146">
        <f t="shared" si="19"/>
        <v>4.9818181818181761E-2</v>
      </c>
      <c r="I61" s="1146">
        <f t="shared" si="19"/>
        <v>7.8231292517006779E-2</v>
      </c>
    </row>
    <row r="65" spans="2:10" ht="13.15" customHeight="1" x14ac:dyDescent="0.2">
      <c r="B65" s="991" t="s">
        <v>1841</v>
      </c>
      <c r="C65" s="991">
        <v>653</v>
      </c>
    </row>
    <row r="66" spans="2:10" ht="13.15" customHeight="1" x14ac:dyDescent="0.2">
      <c r="B66" s="991" t="s">
        <v>1842</v>
      </c>
      <c r="C66" s="991">
        <v>181</v>
      </c>
    </row>
    <row r="67" spans="2:10" ht="13.15" customHeight="1" x14ac:dyDescent="0.2">
      <c r="B67" s="991" t="s">
        <v>1843</v>
      </c>
      <c r="C67" s="991">
        <v>86</v>
      </c>
    </row>
    <row r="68" spans="2:10" ht="13.15" customHeight="1" x14ac:dyDescent="0.2">
      <c r="B68" s="991" t="s">
        <v>1844</v>
      </c>
      <c r="C68" s="991">
        <v>63</v>
      </c>
    </row>
    <row r="69" spans="2:10" ht="13.15" customHeight="1" x14ac:dyDescent="0.2">
      <c r="B69" s="991" t="s">
        <v>1846</v>
      </c>
      <c r="C69" s="991">
        <v>48</v>
      </c>
    </row>
    <row r="70" spans="2:10" ht="13.15" customHeight="1" x14ac:dyDescent="0.2">
      <c r="B70" s="991" t="s">
        <v>1845</v>
      </c>
      <c r="C70" s="991">
        <v>42</v>
      </c>
    </row>
    <row r="73" spans="2:10" ht="13.15" customHeight="1" x14ac:dyDescent="0.2">
      <c r="C73" s="51" t="s">
        <v>25</v>
      </c>
      <c r="D73" s="51" t="s">
        <v>26</v>
      </c>
      <c r="E73" s="51" t="s">
        <v>27</v>
      </c>
      <c r="F73" s="51" t="s">
        <v>273</v>
      </c>
      <c r="G73" s="51" t="s">
        <v>347</v>
      </c>
      <c r="H73" s="1147" t="s">
        <v>1847</v>
      </c>
      <c r="I73" s="1147" t="s">
        <v>1848</v>
      </c>
    </row>
    <row r="74" spans="2:10" ht="13.15" customHeight="1" x14ac:dyDescent="0.2">
      <c r="B74" s="991" t="s">
        <v>1849</v>
      </c>
      <c r="C74" s="1133">
        <f>Assumptions!G192</f>
        <v>34.240000000000009</v>
      </c>
      <c r="D74" s="1133">
        <f>Assumptions!H192</f>
        <v>43.325000000000003</v>
      </c>
      <c r="E74" s="1133">
        <f>Assumptions!I192</f>
        <v>61.830000000000013</v>
      </c>
      <c r="F74" s="1133">
        <f>Assumptions!J192</f>
        <v>64.480897466710957</v>
      </c>
      <c r="G74" s="1133">
        <f ca="1">Assumptions!K192</f>
        <v>59.67</v>
      </c>
      <c r="H74" s="1133">
        <f>SUM(Qtrly!Q29:S29)-SUM(Qtrly!Q31:S31)</f>
        <v>43.2</v>
      </c>
      <c r="I74" s="1133">
        <f>SUM(Qtrly!U29:W29)-SUM(Qtrly!U31:W31)</f>
        <v>45.769999999999996</v>
      </c>
      <c r="J74" s="1081">
        <f ca="1">(G74/C74)^(1/4)-1</f>
        <v>0.14896174893128666</v>
      </c>
    </row>
    <row r="87" spans="2:25" ht="13.15" customHeight="1" thickBot="1" x14ac:dyDescent="0.25">
      <c r="S87" s="970" t="s">
        <v>1704</v>
      </c>
      <c r="T87" s="971" t="s">
        <v>273</v>
      </c>
      <c r="U87" s="971" t="s">
        <v>347</v>
      </c>
      <c r="V87" s="971" t="s">
        <v>177</v>
      </c>
      <c r="X87" s="1085" t="s">
        <v>1691</v>
      </c>
      <c r="Y87" s="1086" t="s">
        <v>1747</v>
      </c>
    </row>
    <row r="88" spans="2:25" ht="13.15" customHeight="1" thickBot="1" x14ac:dyDescent="0.25">
      <c r="B88" s="1087" t="s">
        <v>1667</v>
      </c>
      <c r="C88" s="1126" t="s">
        <v>25</v>
      </c>
      <c r="D88" s="1126" t="s">
        <v>26</v>
      </c>
      <c r="E88" s="1126" t="s">
        <v>27</v>
      </c>
      <c r="F88" s="1126" t="s">
        <v>273</v>
      </c>
      <c r="G88" s="1126" t="s">
        <v>347</v>
      </c>
      <c r="H88" s="1126" t="s">
        <v>177</v>
      </c>
      <c r="I88" s="1126" t="s">
        <v>178</v>
      </c>
      <c r="S88" s="972" t="s">
        <v>1705</v>
      </c>
      <c r="T88" s="973">
        <f>Consol!M77</f>
        <v>43806.8</v>
      </c>
      <c r="U88" s="973">
        <f>Consol!N77</f>
        <v>46588.299999999996</v>
      </c>
      <c r="V88" s="973">
        <f>Consol!O77</f>
        <v>64098.5</v>
      </c>
      <c r="X88" s="1085" t="s">
        <v>1692</v>
      </c>
      <c r="Y88" s="1092">
        <v>10</v>
      </c>
    </row>
    <row r="89" spans="2:25" ht="13.15" customHeight="1" thickBot="1" x14ac:dyDescent="0.25">
      <c r="B89" s="1093"/>
      <c r="C89" s="1094"/>
      <c r="D89" s="1094"/>
      <c r="E89" s="1094"/>
      <c r="F89" s="1094"/>
      <c r="G89" s="1094"/>
      <c r="H89" s="1094"/>
      <c r="I89" s="1094"/>
      <c r="S89" s="972" t="s">
        <v>1706</v>
      </c>
      <c r="T89" s="973">
        <f>Consol!M105</f>
        <v>40902.200000000004</v>
      </c>
      <c r="U89" s="973">
        <f>Consol!N105</f>
        <v>24820.7</v>
      </c>
      <c r="V89" s="973">
        <f>Consol!O105</f>
        <v>23177</v>
      </c>
      <c r="X89" s="1085" t="s">
        <v>1693</v>
      </c>
      <c r="Y89" s="1092">
        <v>13.5</v>
      </c>
    </row>
    <row r="90" spans="2:25" ht="13.15" customHeight="1" thickBot="1" x14ac:dyDescent="0.25">
      <c r="B90" s="1093" t="s">
        <v>1668</v>
      </c>
      <c r="C90" s="1095">
        <f>Consol!J16</f>
        <v>16035.705</v>
      </c>
      <c r="D90" s="1095">
        <f>Consol!K16</f>
        <v>22730.587999999996</v>
      </c>
      <c r="E90" s="1095">
        <f>Consol!L16</f>
        <v>31947.396000000001</v>
      </c>
      <c r="F90" s="1095">
        <f>Consol!M16</f>
        <v>37628.899999999994</v>
      </c>
      <c r="G90" s="1095">
        <f>Consol!N16</f>
        <v>44761.4</v>
      </c>
      <c r="H90" s="1095">
        <f>Consol!O16</f>
        <v>53614.400000000001</v>
      </c>
      <c r="I90" s="1095">
        <f ca="1">Consol!P16</f>
        <v>72935.367693299719</v>
      </c>
      <c r="S90" s="974" t="s">
        <v>603</v>
      </c>
      <c r="T90" s="975">
        <f>T88-T89</f>
        <v>2904.5999999999985</v>
      </c>
      <c r="U90" s="975">
        <f t="shared" ref="U90:V90" si="20">U88-U89</f>
        <v>21767.599999999995</v>
      </c>
      <c r="V90" s="975">
        <f t="shared" si="20"/>
        <v>40921.5</v>
      </c>
      <c r="X90" s="1085" t="s">
        <v>1694</v>
      </c>
      <c r="Y90" s="1092">
        <v>3.5</v>
      </c>
    </row>
    <row r="91" spans="2:25" ht="13.15" customHeight="1" thickBot="1" x14ac:dyDescent="0.25">
      <c r="B91" s="1096" t="s">
        <v>1580</v>
      </c>
      <c r="C91" s="1097">
        <f>+C90/Consol!I16-1</f>
        <v>0.40277049645395047</v>
      </c>
      <c r="D91" s="1097">
        <f t="shared" ref="D91:I91" si="21">+D90/C90-1</f>
        <v>0.41749851347352651</v>
      </c>
      <c r="E91" s="1097">
        <f t="shared" si="21"/>
        <v>0.40548040376254257</v>
      </c>
      <c r="F91" s="1097">
        <f t="shared" si="21"/>
        <v>0.17783934565433723</v>
      </c>
      <c r="G91" s="1097">
        <f t="shared" si="21"/>
        <v>0.1895484587644074</v>
      </c>
      <c r="H91" s="1097">
        <f t="shared" si="21"/>
        <v>0.19778201754189983</v>
      </c>
      <c r="I91" s="1097">
        <f t="shared" ca="1" si="21"/>
        <v>0.36036899962136504</v>
      </c>
      <c r="S91" s="972" t="s">
        <v>1707</v>
      </c>
      <c r="T91" s="973">
        <f>Consol!M23</f>
        <v>19645.599999999995</v>
      </c>
      <c r="U91" s="973">
        <f>Consol!N23</f>
        <v>22621.8</v>
      </c>
      <c r="V91" s="973">
        <f>Consol!O23</f>
        <v>26037.3</v>
      </c>
      <c r="X91" s="1085" t="s">
        <v>1695</v>
      </c>
      <c r="Y91" s="1092">
        <v>1</v>
      </c>
    </row>
    <row r="92" spans="2:25" ht="13.15" customHeight="1" thickBot="1" x14ac:dyDescent="0.25">
      <c r="B92" s="1093" t="s">
        <v>31</v>
      </c>
      <c r="C92" s="1095">
        <f>Consol!J19</f>
        <v>5746.02</v>
      </c>
      <c r="D92" s="1095">
        <f>Consol!K19</f>
        <v>8581.91</v>
      </c>
      <c r="E92" s="1095">
        <f>Consol!L19</f>
        <v>12065.7</v>
      </c>
      <c r="F92" s="1095">
        <f>Consol!M19</f>
        <v>13587.3</v>
      </c>
      <c r="G92" s="1095">
        <f>Consol!N19</f>
        <v>17434.7</v>
      </c>
      <c r="H92" s="1095"/>
      <c r="I92" s="1095"/>
      <c r="S92" s="972" t="s">
        <v>1708</v>
      </c>
      <c r="T92" s="973">
        <f>Consol!M27</f>
        <v>2694.1</v>
      </c>
      <c r="U92" s="973">
        <f>Consol!N27</f>
        <v>3529.5</v>
      </c>
      <c r="V92" s="973">
        <f>Consol!O27</f>
        <v>3459.5</v>
      </c>
      <c r="X92" s="1085" t="s">
        <v>1696</v>
      </c>
      <c r="Y92" s="1092"/>
    </row>
    <row r="93" spans="2:25" ht="13.15" customHeight="1" thickBot="1" x14ac:dyDescent="0.25">
      <c r="B93" s="1093" t="s">
        <v>32</v>
      </c>
      <c r="C93" s="1095">
        <f>Consol!J20</f>
        <v>1113.5</v>
      </c>
      <c r="D93" s="1095">
        <f>Consol!K20</f>
        <v>1496.51</v>
      </c>
      <c r="E93" s="1095">
        <f>Consol!L20</f>
        <v>2299.58</v>
      </c>
      <c r="F93" s="1095">
        <f>Consol!M20</f>
        <v>2846.4</v>
      </c>
      <c r="G93" s="1095">
        <f>Consol!N20</f>
        <v>2406.5</v>
      </c>
      <c r="H93" s="1095"/>
      <c r="I93" s="1095"/>
      <c r="S93" s="18" t="s">
        <v>1709</v>
      </c>
      <c r="T93" s="976">
        <f>+T91+T92</f>
        <v>22339.699999999993</v>
      </c>
      <c r="U93" s="976">
        <f t="shared" ref="U93:V93" si="22">+U91+U92</f>
        <v>26151.3</v>
      </c>
      <c r="V93" s="976">
        <f t="shared" si="22"/>
        <v>29496.799999999999</v>
      </c>
      <c r="X93" s="1099" t="s">
        <v>1697</v>
      </c>
      <c r="Y93" s="1092" t="s">
        <v>1699</v>
      </c>
    </row>
    <row r="94" spans="2:25" ht="13.15" customHeight="1" thickBot="1" x14ac:dyDescent="0.25">
      <c r="B94" s="1093" t="s">
        <v>33</v>
      </c>
      <c r="C94" s="1095">
        <f>Consol!J21</f>
        <v>1011.79</v>
      </c>
      <c r="D94" s="1095">
        <f>Consol!K21</f>
        <v>1557.86</v>
      </c>
      <c r="E94" s="1095">
        <f>Consol!L21</f>
        <v>1380.22</v>
      </c>
      <c r="F94" s="1095">
        <f>Consol!M21</f>
        <v>1549.6</v>
      </c>
      <c r="G94" s="1095">
        <f>Consol!N21</f>
        <v>2298.4</v>
      </c>
      <c r="H94" s="1095"/>
      <c r="I94" s="1095"/>
      <c r="S94" s="972" t="s">
        <v>1710</v>
      </c>
      <c r="T94" s="978">
        <f>+T90/T93</f>
        <v>0.13001965111438379</v>
      </c>
      <c r="U94" s="978">
        <f t="shared" ref="U94:V94" si="23">+U90/U93</f>
        <v>0.83237162206085336</v>
      </c>
      <c r="V94" s="978">
        <f t="shared" si="23"/>
        <v>1.3873199804724581</v>
      </c>
    </row>
    <row r="95" spans="2:25" ht="13.15" customHeight="1" thickBot="1" x14ac:dyDescent="0.25">
      <c r="B95" s="1093" t="s">
        <v>34</v>
      </c>
      <c r="C95" s="1095">
        <f t="shared" ref="C95:F95" si="24">+C90-SUM(C92:C94)</f>
        <v>8164.3949999999995</v>
      </c>
      <c r="D95" s="1095">
        <f t="shared" si="24"/>
        <v>11094.307999999995</v>
      </c>
      <c r="E95" s="1095">
        <f t="shared" si="24"/>
        <v>16201.896000000001</v>
      </c>
      <c r="F95" s="1095">
        <f t="shared" si="24"/>
        <v>19645.599999999995</v>
      </c>
      <c r="G95" s="1095">
        <f t="shared" ref="G95" si="25">+G90-SUM(G92:G94)</f>
        <v>22621.8</v>
      </c>
      <c r="H95" s="1095">
        <f>Consol!O23</f>
        <v>26037.3</v>
      </c>
      <c r="I95" s="1095">
        <f ca="1">Consol!P23</f>
        <v>29530.876404599338</v>
      </c>
      <c r="S95" s="974" t="s">
        <v>1711</v>
      </c>
      <c r="T95" s="977">
        <v>2.5</v>
      </c>
      <c r="U95" s="977">
        <v>2.5</v>
      </c>
      <c r="V95" s="977">
        <v>2.5</v>
      </c>
    </row>
    <row r="96" spans="2:25" ht="13.15" customHeight="1" thickBot="1" x14ac:dyDescent="0.25">
      <c r="B96" s="1096" t="s">
        <v>1669</v>
      </c>
      <c r="C96" s="1100">
        <f t="shared" ref="C96:H96" si="26">C95/C90</f>
        <v>0.50913851308688951</v>
      </c>
      <c r="D96" s="1100">
        <f t="shared" si="26"/>
        <v>0.48807835503419433</v>
      </c>
      <c r="E96" s="1100">
        <f t="shared" si="26"/>
        <v>0.50714292958336882</v>
      </c>
      <c r="F96" s="1100">
        <f t="shared" si="26"/>
        <v>0.52208807592036965</v>
      </c>
      <c r="G96" s="1100">
        <f t="shared" ref="G96" si="27">G95/G90</f>
        <v>0.50538633733529337</v>
      </c>
      <c r="H96" s="1100">
        <f t="shared" si="26"/>
        <v>0.48564005192634813</v>
      </c>
      <c r="I96" s="1100">
        <f t="shared" ref="I96" ca="1" si="28">I95/I90</f>
        <v>0.40489103350763284</v>
      </c>
      <c r="S96" s="972" t="s">
        <v>1712</v>
      </c>
      <c r="T96" s="973">
        <f>T95*T93</f>
        <v>55849.249999999985</v>
      </c>
      <c r="U96" s="973">
        <f t="shared" ref="U96:V96" si="29">U95*U93</f>
        <v>65378.25</v>
      </c>
      <c r="V96" s="973">
        <f t="shared" si="29"/>
        <v>73742</v>
      </c>
    </row>
    <row r="97" spans="1:29" ht="13.15" customHeight="1" thickBot="1" x14ac:dyDescent="0.25">
      <c r="B97" s="1093" t="s">
        <v>1670</v>
      </c>
      <c r="C97" s="1095">
        <f>Consol!J28</f>
        <v>2706.55</v>
      </c>
      <c r="D97" s="1095">
        <f>Consol!K28</f>
        <v>3695.05</v>
      </c>
      <c r="E97" s="1095">
        <f>Consol!L28</f>
        <v>3912.23</v>
      </c>
      <c r="F97" s="1095">
        <f>Consol!M28</f>
        <v>4364.8</v>
      </c>
      <c r="G97" s="1095">
        <f>Consol!N28</f>
        <v>5465.5</v>
      </c>
      <c r="H97" s="1095">
        <f>Consol!O28</f>
        <v>6141.2</v>
      </c>
      <c r="I97" s="1095">
        <f>Consol!P28</f>
        <v>7453.8824749999994</v>
      </c>
      <c r="S97" s="974" t="s">
        <v>1713</v>
      </c>
      <c r="T97" s="975">
        <f>+T96-T90</f>
        <v>52944.649999999987</v>
      </c>
      <c r="U97" s="975">
        <f t="shared" ref="U97:V97" si="30">+U96-U90</f>
        <v>43610.650000000009</v>
      </c>
      <c r="V97" s="975">
        <f t="shared" si="30"/>
        <v>32820.5</v>
      </c>
    </row>
    <row r="98" spans="1:29" ht="13.15" customHeight="1" thickBot="1" x14ac:dyDescent="0.25">
      <c r="B98" s="1093" t="s">
        <v>1671</v>
      </c>
      <c r="C98" s="1101">
        <f>Consol!J27</f>
        <v>746.93</v>
      </c>
      <c r="D98" s="1101">
        <f>Consol!K27</f>
        <v>1056.79</v>
      </c>
      <c r="E98" s="1101">
        <f>Consol!L27</f>
        <v>1781.13</v>
      </c>
      <c r="F98" s="1101">
        <f>Consol!M27</f>
        <v>2694.1</v>
      </c>
      <c r="G98" s="1101">
        <f>Consol!N27</f>
        <v>3529.5</v>
      </c>
      <c r="H98" s="1101">
        <f>Consol!O27</f>
        <v>3459.5</v>
      </c>
      <c r="I98" s="1101">
        <f ca="1">Consol!P27</f>
        <v>3758.2464024573082</v>
      </c>
    </row>
    <row r="99" spans="1:29" ht="13.15" customHeight="1" thickBot="1" x14ac:dyDescent="0.25">
      <c r="B99" s="1093" t="s">
        <v>1672</v>
      </c>
      <c r="C99" s="1095">
        <f>Consol!J32</f>
        <v>2278.5700000000002</v>
      </c>
      <c r="D99" s="1095">
        <f>Consol!K32</f>
        <v>4196.22</v>
      </c>
      <c r="E99" s="1095">
        <f>Consol!L32</f>
        <v>5960.8</v>
      </c>
      <c r="F99" s="1095">
        <f>Consol!M32</f>
        <v>3324.6</v>
      </c>
      <c r="G99" s="1095">
        <f>Consol!N32</f>
        <v>2657.4</v>
      </c>
      <c r="H99" s="1095">
        <f>Consol!O32</f>
        <v>3829.9</v>
      </c>
      <c r="I99" s="1095">
        <f>Consol!P32</f>
        <v>4783.0374513424667</v>
      </c>
    </row>
    <row r="100" spans="1:29" ht="13.15" customHeight="1" thickBot="1" x14ac:dyDescent="0.25">
      <c r="B100" s="1093" t="s">
        <v>40</v>
      </c>
      <c r="C100" s="1095">
        <f t="shared" ref="C100:H100" si="31">+C95-C97+C98-C99</f>
        <v>3926.2049999999995</v>
      </c>
      <c r="D100" s="1095">
        <f t="shared" si="31"/>
        <v>4259.827999999995</v>
      </c>
      <c r="E100" s="1095">
        <f t="shared" si="31"/>
        <v>8109.9960000000019</v>
      </c>
      <c r="F100" s="1095">
        <f t="shared" si="31"/>
        <v>14650.299999999994</v>
      </c>
      <c r="G100" s="1095">
        <f t="shared" ref="G100" si="32">+G95-G97+G98-G99</f>
        <v>18028.399999999998</v>
      </c>
      <c r="H100" s="1095">
        <f t="shared" si="31"/>
        <v>19525.699999999997</v>
      </c>
      <c r="I100" s="1095">
        <f t="shared" ref="I100" ca="1" si="33">+I95-I97+I98-I99</f>
        <v>21052.202880714183</v>
      </c>
    </row>
    <row r="101" spans="1:29" ht="13.15" customHeight="1" thickBot="1" x14ac:dyDescent="0.25">
      <c r="B101" s="1093" t="s">
        <v>210</v>
      </c>
      <c r="C101" s="1095">
        <f>Consol!J41</f>
        <v>1079.95</v>
      </c>
      <c r="D101" s="1095">
        <f>Consol!K41</f>
        <v>955.45999999999992</v>
      </c>
      <c r="E101" s="1095">
        <f>Consol!L41</f>
        <v>614.79</v>
      </c>
      <c r="F101" s="1095">
        <f>Consol!M41</f>
        <v>3043.4</v>
      </c>
      <c r="G101" s="1095">
        <f>Consol!N41</f>
        <v>2813.6000000000004</v>
      </c>
      <c r="H101" s="1095">
        <f>Consol!O41</f>
        <v>3259.3999999999996</v>
      </c>
      <c r="I101" s="1095">
        <f ca="1">Consol!P41</f>
        <v>4631.4846337571189</v>
      </c>
    </row>
    <row r="102" spans="1:29" ht="13.15" customHeight="1" thickBot="1" x14ac:dyDescent="0.25">
      <c r="B102" s="1093" t="s">
        <v>1673</v>
      </c>
      <c r="C102" s="1095">
        <f>Consol!J49</f>
        <v>2913.8549999999982</v>
      </c>
      <c r="D102" s="1095">
        <f>Consol!K49</f>
        <v>3279.4579999999951</v>
      </c>
      <c r="E102" s="1095">
        <f>Consol!L49</f>
        <v>7398.376000000002</v>
      </c>
      <c r="F102" s="1095">
        <f>Consol!M49</f>
        <v>11559.099999999995</v>
      </c>
      <c r="G102" s="1095">
        <f>Consol!N49</f>
        <v>15030.799999999997</v>
      </c>
      <c r="H102" s="1095">
        <f>Consol!O49</f>
        <v>15233.099999999999</v>
      </c>
      <c r="I102" s="1095">
        <f ca="1">Consol!P49</f>
        <v>15958.309621090328</v>
      </c>
    </row>
    <row r="103" spans="1:29" ht="13.15" customHeight="1" thickBot="1" x14ac:dyDescent="0.25">
      <c r="B103" s="1096" t="s">
        <v>1669</v>
      </c>
      <c r="C103" s="1100">
        <f t="shared" ref="C103:H103" si="34">+C102/C90</f>
        <v>0.18171043929780439</v>
      </c>
      <c r="D103" s="1100">
        <f t="shared" si="34"/>
        <v>0.14427510630169338</v>
      </c>
      <c r="E103" s="1100">
        <f t="shared" si="34"/>
        <v>0.23157993847135466</v>
      </c>
      <c r="F103" s="1100">
        <f t="shared" si="34"/>
        <v>0.30718676336539191</v>
      </c>
      <c r="G103" s="1100">
        <f t="shared" ref="G103" si="35">+G102/G90</f>
        <v>0.33579825474627684</v>
      </c>
      <c r="H103" s="1100">
        <f t="shared" si="34"/>
        <v>0.28412329523411617</v>
      </c>
      <c r="I103" s="1100">
        <f t="shared" ref="I103" ca="1" si="36">+I102/I90</f>
        <v>0.21880070157727269</v>
      </c>
    </row>
    <row r="104" spans="1:29" ht="13.15" customHeight="1" thickBot="1" x14ac:dyDescent="0.25">
      <c r="B104" s="1105" t="s">
        <v>1674</v>
      </c>
      <c r="C104" s="1106">
        <f>Consol!J54</f>
        <v>1.3875499999999992</v>
      </c>
      <c r="D104" s="1106">
        <f>Consol!K54</f>
        <v>1.5616466666666644</v>
      </c>
      <c r="E104" s="1106">
        <f>Consol!L54</f>
        <v>3.5230361904761915</v>
      </c>
      <c r="F104" s="1106">
        <f>Consol!M54</f>
        <v>5.5043333333333306</v>
      </c>
      <c r="G104" s="1106">
        <f>Consol!N54</f>
        <v>7.1575238095238083</v>
      </c>
      <c r="H104" s="1106">
        <f>Consol!O54</f>
        <v>7.2538571428571421</v>
      </c>
      <c r="I104" s="1106">
        <f ca="1">Consol!P54</f>
        <v>6.8490599232147327</v>
      </c>
    </row>
    <row r="108" spans="1:29" ht="13.15" customHeight="1" x14ac:dyDescent="0.2">
      <c r="R108" s="1082"/>
      <c r="S108" s="1082"/>
    </row>
    <row r="109" spans="1:29" ht="13.15" customHeight="1" thickBot="1" x14ac:dyDescent="0.25">
      <c r="R109" s="1082"/>
      <c r="S109" s="1082"/>
    </row>
    <row r="110" spans="1:29" ht="13.15" customHeight="1" thickBot="1" x14ac:dyDescent="0.25">
      <c r="B110" s="1107" t="s">
        <v>1731</v>
      </c>
      <c r="C110" s="1108" t="s">
        <v>25</v>
      </c>
      <c r="D110" s="1108" t="s">
        <v>26</v>
      </c>
      <c r="E110" s="1108" t="s">
        <v>27</v>
      </c>
      <c r="F110" s="1108" t="s">
        <v>273</v>
      </c>
      <c r="G110" s="1108" t="s">
        <v>347</v>
      </c>
      <c r="H110" s="1108" t="s">
        <v>177</v>
      </c>
      <c r="I110" s="1108" t="s">
        <v>178</v>
      </c>
      <c r="J110" s="1108" t="s">
        <v>179</v>
      </c>
      <c r="T110" s="1148"/>
      <c r="U110" s="1307" t="s">
        <v>1850</v>
      </c>
      <c r="V110" s="1308"/>
      <c r="W110" s="1308"/>
      <c r="X110" s="1308"/>
      <c r="Y110" s="1308"/>
      <c r="Z110" s="1308"/>
      <c r="AA110" s="1308"/>
      <c r="AB110" s="1309"/>
      <c r="AC110" s="1310" t="s">
        <v>1855</v>
      </c>
    </row>
    <row r="111" spans="1:29" ht="13.15" customHeight="1" thickBot="1" x14ac:dyDescent="0.25">
      <c r="A111" s="1109"/>
      <c r="B111" s="1110" t="s">
        <v>1714</v>
      </c>
      <c r="C111" s="1109">
        <f>Consol!J16</f>
        <v>16035.705</v>
      </c>
      <c r="D111" s="1109">
        <f>Consol!K16</f>
        <v>22730.587999999996</v>
      </c>
      <c r="E111" s="1109">
        <f>Consol!L16</f>
        <v>31947.396000000001</v>
      </c>
      <c r="F111" s="1109">
        <f>Consol!M16</f>
        <v>37628.899999999994</v>
      </c>
      <c r="G111" s="1109">
        <f>Consol!N16</f>
        <v>44761.4</v>
      </c>
      <c r="H111" s="1109">
        <f>Consol!O16</f>
        <v>53614.400000000001</v>
      </c>
      <c r="I111" s="1109">
        <f ca="1">Consol!P16</f>
        <v>72935.367693299719</v>
      </c>
      <c r="J111" s="1109">
        <f ca="1">Consol!Q16</f>
        <v>108672.59111019592</v>
      </c>
      <c r="L111" s="1083" t="s">
        <v>1689</v>
      </c>
      <c r="M111" s="1083" t="s">
        <v>1675</v>
      </c>
      <c r="N111" s="1084" t="s">
        <v>1676</v>
      </c>
      <c r="O111" s="1084" t="s">
        <v>1688</v>
      </c>
      <c r="P111" s="1084" t="s">
        <v>1677</v>
      </c>
      <c r="Q111" s="1084" t="s">
        <v>1678</v>
      </c>
      <c r="R111" s="1084" t="s">
        <v>1679</v>
      </c>
      <c r="T111" s="1110" t="s">
        <v>1851</v>
      </c>
      <c r="U111" s="1149" t="s">
        <v>25</v>
      </c>
      <c r="V111" s="1149" t="s">
        <v>26</v>
      </c>
      <c r="W111" s="1149" t="s">
        <v>27</v>
      </c>
      <c r="X111" s="1149" t="s">
        <v>273</v>
      </c>
      <c r="Y111" s="1149" t="s">
        <v>347</v>
      </c>
      <c r="Z111" s="1149" t="s">
        <v>177</v>
      </c>
      <c r="AA111" s="1149" t="s">
        <v>178</v>
      </c>
      <c r="AB111" s="1149" t="s">
        <v>179</v>
      </c>
      <c r="AC111" s="1311"/>
    </row>
    <row r="112" spans="1:29" ht="13.15" customHeight="1" thickBot="1" x14ac:dyDescent="0.25">
      <c r="B112" s="1111" t="s">
        <v>1580</v>
      </c>
      <c r="C112" s="1112">
        <f>C111/Consol!I16-1</f>
        <v>0.40277049645395047</v>
      </c>
      <c r="D112" s="1112">
        <f>+D111/C111-1</f>
        <v>0.41749851347352651</v>
      </c>
      <c r="E112" s="1112">
        <f t="shared" ref="E112:H112" si="37">+E111/D111-1</f>
        <v>0.40548040376254257</v>
      </c>
      <c r="F112" s="1112">
        <f t="shared" si="37"/>
        <v>0.17783934565433723</v>
      </c>
      <c r="G112" s="1112">
        <f t="shared" si="37"/>
        <v>0.1895484587644074</v>
      </c>
      <c r="H112" s="1112">
        <f t="shared" si="37"/>
        <v>0.19778201754189983</v>
      </c>
      <c r="I112" s="1112">
        <f t="shared" ref="I112" ca="1" si="38">+I111/H111-1</f>
        <v>0.36036899962136504</v>
      </c>
      <c r="J112" s="1112">
        <f t="shared" ref="J112" ca="1" si="39">+J111/I111-1</f>
        <v>0.48998482556740774</v>
      </c>
      <c r="L112" s="1088" t="s">
        <v>1690</v>
      </c>
      <c r="M112" s="1088">
        <f>Assumptions!J88</f>
        <v>55</v>
      </c>
      <c r="N112" s="1089">
        <f t="shared" ref="N112:N121" si="40">M112/$M$122</f>
        <v>0.32352941176470595</v>
      </c>
      <c r="O112" s="1090">
        <f>Assumptions!J4</f>
        <v>21.51</v>
      </c>
      <c r="P112" s="1089">
        <f t="shared" ref="P112:P121" si="41">O112/$O$122</f>
        <v>0.20095636461574551</v>
      </c>
      <c r="Q112" s="1089">
        <f>O112/M112</f>
        <v>0.3910909090909091</v>
      </c>
      <c r="R112" s="1091">
        <v>17.5</v>
      </c>
      <c r="T112" s="1093"/>
      <c r="U112" s="1150"/>
      <c r="V112" s="1150"/>
      <c r="W112" s="1150"/>
      <c r="X112" s="1150"/>
      <c r="Y112" s="1150"/>
      <c r="Z112" s="1150"/>
      <c r="AA112" s="1150"/>
      <c r="AB112" s="1150"/>
      <c r="AC112" s="1150"/>
    </row>
    <row r="113" spans="2:29" ht="13.15" customHeight="1" thickBot="1" x14ac:dyDescent="0.25">
      <c r="B113" s="1113"/>
      <c r="C113" s="1114"/>
      <c r="D113" s="1114"/>
      <c r="E113" s="1114"/>
      <c r="F113" s="1114"/>
      <c r="G113" s="1114"/>
      <c r="H113" s="1114"/>
      <c r="I113" s="1114"/>
      <c r="J113" s="1114"/>
      <c r="L113" s="1088" t="s">
        <v>1680</v>
      </c>
      <c r="M113" s="1088">
        <f>Assumptions!J89</f>
        <v>34</v>
      </c>
      <c r="N113" s="1089">
        <f t="shared" si="40"/>
        <v>0.20000000000000004</v>
      </c>
      <c r="O113" s="1090">
        <f>Assumptions!$J$5</f>
        <v>25.14</v>
      </c>
      <c r="P113" s="1089">
        <f t="shared" si="41"/>
        <v>0.23486950285633854</v>
      </c>
      <c r="Q113" s="1089">
        <f t="shared" ref="Q113:Q122" si="42">O113/M113</f>
        <v>0.73941176470588232</v>
      </c>
      <c r="R113" s="1091">
        <v>5</v>
      </c>
      <c r="T113" s="1093" t="s">
        <v>1535</v>
      </c>
      <c r="U113" s="1151">
        <v>12549.6</v>
      </c>
      <c r="V113" s="1151">
        <v>15934.029999999999</v>
      </c>
      <c r="W113" s="1151">
        <v>20851.91</v>
      </c>
      <c r="X113" s="1151">
        <v>26710.559999999998</v>
      </c>
      <c r="Y113" s="1151">
        <v>30475.329999999998</v>
      </c>
      <c r="Z113" s="1151">
        <f>[1]Consol!T15/10</f>
        <v>38735.770000000004</v>
      </c>
      <c r="AA113" s="1151">
        <f>[1]Consol!U15/10</f>
        <v>44241.361613167763</v>
      </c>
      <c r="AB113" s="1151">
        <f>[1]Consol!V15/10</f>
        <v>50527.83312230125</v>
      </c>
      <c r="AC113" s="1152">
        <f>(AB113/Y113)^(1/3)-1</f>
        <v>0.18357037364038042</v>
      </c>
    </row>
    <row r="114" spans="2:29" ht="13.15" customHeight="1" thickBot="1" x14ac:dyDescent="0.25">
      <c r="B114" s="1115" t="s">
        <v>1715</v>
      </c>
      <c r="C114" s="1116">
        <f>Assumptions!G27</f>
        <v>45.538000000000004</v>
      </c>
      <c r="D114" s="1116">
        <f>Assumptions!H27</f>
        <v>61.962649216009993</v>
      </c>
      <c r="E114" s="1116">
        <f>Assumptions!I27</f>
        <v>92.810997683220748</v>
      </c>
      <c r="F114" s="1116">
        <f>Assumptions!J27</f>
        <v>107.03816244451822</v>
      </c>
      <c r="G114" s="1116">
        <f>Assumptions!K27</f>
        <v>117</v>
      </c>
      <c r="H114" s="1116">
        <f>Assumptions!L27</f>
        <v>120.73999999999998</v>
      </c>
      <c r="I114" s="1116">
        <f ca="1">Assumptions!M27</f>
        <v>127.95611000000002</v>
      </c>
      <c r="J114" s="1116">
        <f ca="1">Assumptions!N27</f>
        <v>168.54703450000002</v>
      </c>
      <c r="L114" s="1088" t="s">
        <v>1681</v>
      </c>
      <c r="M114" s="1088">
        <f>Assumptions!J92</f>
        <v>30</v>
      </c>
      <c r="N114" s="1089">
        <f t="shared" si="40"/>
        <v>0.17647058823529416</v>
      </c>
      <c r="O114" s="1090">
        <f>Assumptions!$J$8</f>
        <v>16.77</v>
      </c>
      <c r="P114" s="1089">
        <f t="shared" si="41"/>
        <v>0.15667309319414469</v>
      </c>
      <c r="Q114" s="1089">
        <f t="shared" si="42"/>
        <v>0.55899999999999994</v>
      </c>
      <c r="R114" s="1091">
        <v>15</v>
      </c>
      <c r="T114" s="1093" t="s">
        <v>1504</v>
      </c>
      <c r="U114" s="1151">
        <v>733.46299999999997</v>
      </c>
      <c r="V114" s="1155">
        <v>743.53800000000001</v>
      </c>
      <c r="W114" s="1155">
        <v>916.95</v>
      </c>
      <c r="X114" s="1155">
        <v>988.42900000000009</v>
      </c>
      <c r="Y114" s="1155">
        <v>987.673</v>
      </c>
      <c r="Z114" s="1155">
        <f>[6]Standalone!W10/10</f>
        <v>1158.3780000000002</v>
      </c>
      <c r="AA114" s="1155">
        <f>[6]Standalone!X10/10</f>
        <v>1085.5084385562295</v>
      </c>
      <c r="AB114" s="1155">
        <f>[6]Standalone!Y10/10</f>
        <v>1181.9985758206644</v>
      </c>
      <c r="AC114" s="1152">
        <f>(AB114/Y114)^(1/3)-1</f>
        <v>6.1698630641085828E-2</v>
      </c>
    </row>
    <row r="115" spans="2:29" ht="13.15" customHeight="1" thickBot="1" x14ac:dyDescent="0.25">
      <c r="B115" s="1115" t="s">
        <v>1580</v>
      </c>
      <c r="C115" s="1117">
        <f>C114/Assumptions!F27-1</f>
        <v>0.33894117691138015</v>
      </c>
      <c r="D115" s="1117">
        <f>D114/Assumptions!G27-1</f>
        <v>0.36068007413610581</v>
      </c>
      <c r="E115" s="1117">
        <f>E114/Assumptions!H27-1</f>
        <v>0.49785393067474137</v>
      </c>
      <c r="F115" s="1117">
        <f>F114/Assumptions!I27-1</f>
        <v>0.15329179856310926</v>
      </c>
      <c r="G115" s="1117">
        <f>G114/Assumptions!J27-1</f>
        <v>9.3068092052172258E-2</v>
      </c>
      <c r="H115" s="1117">
        <f>H114/Assumptions!K27-1</f>
        <v>3.1965811965811719E-2</v>
      </c>
      <c r="I115" s="1117">
        <f ca="1">I114/Assumptions!L27-1</f>
        <v>5.9765694881564135E-2</v>
      </c>
      <c r="J115" s="1117">
        <f ca="1">J114/Assumptions!M27-1</f>
        <v>0.31722537126206785</v>
      </c>
      <c r="L115" s="1088" t="s">
        <v>1682</v>
      </c>
      <c r="M115" s="1088">
        <f>Assumptions!J91</f>
        <v>10</v>
      </c>
      <c r="N115" s="1089">
        <f t="shared" si="40"/>
        <v>5.8823529411764719E-2</v>
      </c>
      <c r="O115" s="1090">
        <f>Assumptions!$J$7</f>
        <v>12.37</v>
      </c>
      <c r="P115" s="1089">
        <f t="shared" si="41"/>
        <v>0.11556625896312281</v>
      </c>
      <c r="Q115" s="1089">
        <v>1</v>
      </c>
      <c r="R115" s="1091">
        <v>16</v>
      </c>
      <c r="T115" s="1093" t="s">
        <v>212</v>
      </c>
      <c r="U115" s="1151">
        <f>Consol!J16/10</f>
        <v>1603.5705</v>
      </c>
      <c r="V115" s="1151">
        <f>Consol!K16/10</f>
        <v>2273.0587999999998</v>
      </c>
      <c r="W115" s="1151">
        <f>Consol!L16/10</f>
        <v>3194.7395999999999</v>
      </c>
      <c r="X115" s="1151">
        <f>Consol!M16/10</f>
        <v>3762.8899999999994</v>
      </c>
      <c r="Y115" s="1151">
        <f>Consol!N16/10</f>
        <v>4476.1400000000003</v>
      </c>
      <c r="Z115" s="1151">
        <f>Consol!O16/10</f>
        <v>5361.4400000000005</v>
      </c>
      <c r="AA115" s="1151">
        <f ca="1">Consol!P16/10</f>
        <v>7293.5367693299722</v>
      </c>
      <c r="AB115" s="1151">
        <f ca="1">Consol!Q16/10</f>
        <v>10867.259111019592</v>
      </c>
      <c r="AC115" s="1152">
        <f ca="1">(AB115/Y115)^(1/3)-1</f>
        <v>0.34401914024066849</v>
      </c>
    </row>
    <row r="116" spans="2:29" ht="13.15" customHeight="1" thickBot="1" x14ac:dyDescent="0.25">
      <c r="B116" s="1115" t="s">
        <v>1716</v>
      </c>
      <c r="C116" s="1116">
        <f>+C111/C114</f>
        <v>352.13898282752865</v>
      </c>
      <c r="D116" s="1116">
        <f t="shared" ref="D116:H116" si="43">+D111/D114</f>
        <v>366.84338529100262</v>
      </c>
      <c r="E116" s="1116">
        <f t="shared" si="43"/>
        <v>344.21993941969828</v>
      </c>
      <c r="F116" s="1116">
        <f t="shared" si="43"/>
        <v>351.54658058993141</v>
      </c>
      <c r="G116" s="1116">
        <f t="shared" si="43"/>
        <v>382.57606837606841</v>
      </c>
      <c r="H116" s="1116">
        <f t="shared" si="43"/>
        <v>444.0483683948982</v>
      </c>
      <c r="I116" s="1116">
        <f t="shared" ref="I116:J116" ca="1" si="44">+I111/I114</f>
        <v>570.00300879184044</v>
      </c>
      <c r="J116" s="1116">
        <f t="shared" ca="1" si="44"/>
        <v>644.76121714378723</v>
      </c>
      <c r="L116" s="1088" t="s">
        <v>1700</v>
      </c>
      <c r="M116" s="1091">
        <f>Assumptions!$J$90</f>
        <v>8.5</v>
      </c>
      <c r="N116" s="1089">
        <f t="shared" si="40"/>
        <v>5.000000000000001E-2</v>
      </c>
      <c r="O116" s="1090">
        <f>Assumptions!$J$6</f>
        <v>7.1559999999999997</v>
      </c>
      <c r="P116" s="1089">
        <f t="shared" si="41"/>
        <v>6.6854660399361915E-2</v>
      </c>
      <c r="Q116" s="1089">
        <f t="shared" si="42"/>
        <v>0.84188235294117642</v>
      </c>
      <c r="R116" s="1091">
        <v>14</v>
      </c>
      <c r="T116" s="1093"/>
      <c r="U116" s="1150"/>
      <c r="V116" s="1150"/>
      <c r="W116" s="1150"/>
      <c r="X116" s="1150"/>
      <c r="Y116" s="1150"/>
      <c r="Z116" s="1150"/>
      <c r="AA116" s="1150"/>
      <c r="AB116" s="1150"/>
      <c r="AC116" s="1150"/>
    </row>
    <row r="117" spans="2:29" ht="13.15" customHeight="1" thickBot="1" x14ac:dyDescent="0.25">
      <c r="B117" s="1115" t="s">
        <v>1580</v>
      </c>
      <c r="C117" s="1117">
        <f>C116/Assumptions!F28-1</f>
        <v>4.7671488966983144E-2</v>
      </c>
      <c r="D117" s="1112">
        <f>+D116/C116-1</f>
        <v>4.1757383250794256E-2</v>
      </c>
      <c r="E117" s="1112">
        <f t="shared" ref="E117" si="45">+E116/D116-1</f>
        <v>-6.167058417411031E-2</v>
      </c>
      <c r="F117" s="1112">
        <f t="shared" ref="F117" si="46">+F116/E116-1</f>
        <v>2.1284766892309293E-2</v>
      </c>
      <c r="G117" s="1112">
        <f t="shared" ref="G117" si="47">+G116/F116-1</f>
        <v>8.8265650981631749E-2</v>
      </c>
      <c r="H117" s="1112">
        <f t="shared" ref="H117" si="48">+H116/G116-1</f>
        <v>0.16067994080174186</v>
      </c>
      <c r="I117" s="1112">
        <f t="shared" ref="I117" ca="1" si="49">+I116/H116-1</f>
        <v>0.28365072222251486</v>
      </c>
      <c r="J117" s="1112">
        <f t="shared" ref="J117" ca="1" si="50">+J116/I116-1</f>
        <v>0.13115405918716427</v>
      </c>
      <c r="L117" s="1088" t="s">
        <v>1687</v>
      </c>
      <c r="M117" s="1098">
        <f>Assumptions!J93</f>
        <v>9.6</v>
      </c>
      <c r="N117" s="1089">
        <f t="shared" si="40"/>
        <v>5.6470588235294127E-2</v>
      </c>
      <c r="O117" s="1090">
        <f>Assumptions!$J$9</f>
        <v>9.31</v>
      </c>
      <c r="P117" s="1089">
        <f t="shared" si="41"/>
        <v>8.6978324247912159E-2</v>
      </c>
      <c r="Q117" s="1089">
        <f t="shared" si="42"/>
        <v>0.96979166666666672</v>
      </c>
      <c r="R117" s="1091">
        <v>16</v>
      </c>
      <c r="T117" s="1093"/>
      <c r="U117" s="1307" t="s">
        <v>1852</v>
      </c>
      <c r="V117" s="1308"/>
      <c r="W117" s="1308"/>
      <c r="X117" s="1308"/>
      <c r="Y117" s="1308"/>
      <c r="Z117" s="1308"/>
      <c r="AA117" s="1308"/>
      <c r="AB117" s="1309"/>
      <c r="AC117" s="1153"/>
    </row>
    <row r="118" spans="2:29" ht="13.15" customHeight="1" thickBot="1" x14ac:dyDescent="0.25">
      <c r="B118" s="1113" t="s">
        <v>1717</v>
      </c>
      <c r="C118" s="1118">
        <f>Consol!J19</f>
        <v>5746.02</v>
      </c>
      <c r="D118" s="1118">
        <f>Consol!K19</f>
        <v>8581.91</v>
      </c>
      <c r="E118" s="1118">
        <f>Consol!L19</f>
        <v>12065.7</v>
      </c>
      <c r="F118" s="1118">
        <f>Consol!M19</f>
        <v>13587.3</v>
      </c>
      <c r="G118" s="1118">
        <f>Consol!N19</f>
        <v>17434.7</v>
      </c>
      <c r="H118" s="1118"/>
      <c r="I118" s="1118"/>
      <c r="J118" s="1118"/>
      <c r="L118" s="1088" t="s">
        <v>1683</v>
      </c>
      <c r="M118" s="1098">
        <f>Assumptions!J94</f>
        <v>2</v>
      </c>
      <c r="N118" s="1089">
        <f t="shared" si="40"/>
        <v>1.1764705882352943E-2</v>
      </c>
      <c r="O118" s="1090">
        <f>Assumptions!$J$10</f>
        <v>1.46</v>
      </c>
      <c r="P118" s="1089">
        <f t="shared" si="41"/>
        <v>1.3639994994839071E-2</v>
      </c>
      <c r="Q118" s="1089">
        <f t="shared" si="42"/>
        <v>0.73</v>
      </c>
      <c r="R118" s="1091">
        <v>14.5</v>
      </c>
      <c r="T118" s="1093" t="s">
        <v>1535</v>
      </c>
      <c r="U118" s="1150"/>
      <c r="V118" s="1156">
        <f>V113/U113-1</f>
        <v>0.26968429272646133</v>
      </c>
      <c r="W118" s="1156">
        <f t="shared" ref="W118:AB118" si="51">W113/V113-1</f>
        <v>0.30864006155379409</v>
      </c>
      <c r="X118" s="1156">
        <f t="shared" si="51"/>
        <v>0.28096466942356835</v>
      </c>
      <c r="Y118" s="1156">
        <f t="shared" si="51"/>
        <v>0.14094687644137749</v>
      </c>
      <c r="Z118" s="1156">
        <f t="shared" si="51"/>
        <v>0.27105334052166152</v>
      </c>
      <c r="AA118" s="1156">
        <f t="shared" si="51"/>
        <v>0.14213197809589828</v>
      </c>
      <c r="AB118" s="1156">
        <f t="shared" si="51"/>
        <v>0.14209489219839955</v>
      </c>
      <c r="AC118" s="1153"/>
    </row>
    <row r="119" spans="2:29" ht="13.15" customHeight="1" thickBot="1" x14ac:dyDescent="0.25">
      <c r="B119" s="1119" t="s">
        <v>1580</v>
      </c>
      <c r="C119" s="1112">
        <f>C118/Consol!I19-1</f>
        <v>0.66339017190524685</v>
      </c>
      <c r="D119" s="1112">
        <f>+D118/C118-1</f>
        <v>0.49353987629698448</v>
      </c>
      <c r="E119" s="1112">
        <f t="shared" ref="E119" si="52">+E118/D118-1</f>
        <v>0.40594576265656501</v>
      </c>
      <c r="F119" s="1112">
        <f t="shared" ref="F119" si="53">+F118/E118-1</f>
        <v>0.12610955021258596</v>
      </c>
      <c r="G119" s="1112">
        <f t="shared" ref="G119" si="54">+G118/F118-1</f>
        <v>0.28316148167774324</v>
      </c>
      <c r="H119" s="1112"/>
      <c r="I119" s="1112"/>
      <c r="J119" s="1112"/>
      <c r="L119" s="1088" t="s">
        <v>1684</v>
      </c>
      <c r="M119" s="1091">
        <f>Assumptions!J95</f>
        <v>6.7</v>
      </c>
      <c r="N119" s="1089">
        <f t="shared" si="40"/>
        <v>3.9411764705882361E-2</v>
      </c>
      <c r="O119" s="1090">
        <f>Assumptions!$J$11</f>
        <v>4.7699999999999996</v>
      </c>
      <c r="P119" s="1089">
        <f t="shared" si="41"/>
        <v>4.4563545291357781E-2</v>
      </c>
      <c r="Q119" s="1089">
        <f t="shared" si="42"/>
        <v>0.71194029850746265</v>
      </c>
      <c r="R119" s="1091">
        <v>14</v>
      </c>
      <c r="T119" s="1093" t="s">
        <v>1504</v>
      </c>
      <c r="U119" s="1150"/>
      <c r="V119" s="1156">
        <f t="shared" ref="V119:AB119" si="55">V114/U114-1</f>
        <v>1.373620755239191E-2</v>
      </c>
      <c r="W119" s="1156">
        <f t="shared" si="55"/>
        <v>0.23322547065516486</v>
      </c>
      <c r="X119" s="1156">
        <f t="shared" si="55"/>
        <v>7.7952996346583925E-2</v>
      </c>
      <c r="Y119" s="1156">
        <f t="shared" si="55"/>
        <v>-7.6485008027904478E-4</v>
      </c>
      <c r="Z119" s="1156">
        <f t="shared" si="55"/>
        <v>0.1728355437477791</v>
      </c>
      <c r="AA119" s="1156">
        <f t="shared" si="55"/>
        <v>-6.2906548159383791E-2</v>
      </c>
      <c r="AB119" s="1156">
        <f t="shared" si="55"/>
        <v>8.8889347919552497E-2</v>
      </c>
      <c r="AC119" s="1153"/>
    </row>
    <row r="120" spans="2:29" ht="13.15" customHeight="1" thickBot="1" x14ac:dyDescent="0.25">
      <c r="B120" s="1119" t="s">
        <v>1718</v>
      </c>
      <c r="C120" s="1120">
        <f>+C118/C111</f>
        <v>0.35832662174815516</v>
      </c>
      <c r="D120" s="1120">
        <f t="shared" ref="D120:G120" si="56">+D118/D111</f>
        <v>0.37754896617720585</v>
      </c>
      <c r="E120" s="1120">
        <f t="shared" si="56"/>
        <v>0.37767397380368656</v>
      </c>
      <c r="F120" s="1120">
        <f t="shared" si="56"/>
        <v>0.36108682422287131</v>
      </c>
      <c r="G120" s="1120">
        <f t="shared" si="56"/>
        <v>0.38950300928925369</v>
      </c>
      <c r="H120" s="1120"/>
      <c r="I120" s="1120"/>
      <c r="J120" s="1120"/>
      <c r="L120" s="1088" t="s">
        <v>1685</v>
      </c>
      <c r="M120" s="1098">
        <f>Assumptions!J96</f>
        <v>4.2</v>
      </c>
      <c r="N120" s="1089">
        <f t="shared" si="40"/>
        <v>2.4705882352941182E-2</v>
      </c>
      <c r="O120" s="1090">
        <f>Assumptions!$J$12</f>
        <v>2.5821624445182496</v>
      </c>
      <c r="P120" s="1089">
        <f t="shared" si="41"/>
        <v>2.4123755355541333E-2</v>
      </c>
      <c r="Q120" s="1089">
        <f t="shared" si="42"/>
        <v>0.61480058202815469</v>
      </c>
      <c r="R120" s="1091">
        <v>14</v>
      </c>
      <c r="T120" s="1093" t="s">
        <v>212</v>
      </c>
      <c r="U120" s="1150"/>
      <c r="V120" s="1156">
        <f t="shared" ref="V120:AB120" si="57">V115/U115-1</f>
        <v>0.41749851347352651</v>
      </c>
      <c r="W120" s="1156">
        <f t="shared" si="57"/>
        <v>0.40548040376254235</v>
      </c>
      <c r="X120" s="1156">
        <f t="shared" si="57"/>
        <v>0.17783934565433746</v>
      </c>
      <c r="Y120" s="1156">
        <f t="shared" si="57"/>
        <v>0.1895484587644074</v>
      </c>
      <c r="Z120" s="1156">
        <f t="shared" si="57"/>
        <v>0.19778201754190006</v>
      </c>
      <c r="AA120" s="1156">
        <f t="shared" ca="1" si="57"/>
        <v>0.36036899962136504</v>
      </c>
      <c r="AB120" s="1156">
        <f t="shared" ca="1" si="57"/>
        <v>0.48998482556740752</v>
      </c>
      <c r="AC120" s="1153"/>
    </row>
    <row r="121" spans="2:29" ht="13.15" customHeight="1" thickBot="1" x14ac:dyDescent="0.25">
      <c r="B121" s="1113" t="s">
        <v>1719</v>
      </c>
      <c r="C121" s="1118">
        <f>Consol!J20</f>
        <v>1113.5</v>
      </c>
      <c r="D121" s="1118">
        <f>Consol!K20</f>
        <v>1496.51</v>
      </c>
      <c r="E121" s="1118">
        <f>Consol!L20</f>
        <v>2299.58</v>
      </c>
      <c r="F121" s="1118">
        <f>Consol!M20</f>
        <v>2846.4</v>
      </c>
      <c r="G121" s="1118">
        <f>Consol!N20</f>
        <v>2406.5</v>
      </c>
      <c r="H121" s="1118"/>
      <c r="I121" s="1118"/>
      <c r="J121" s="1118"/>
      <c r="L121" s="1088" t="s">
        <v>1686</v>
      </c>
      <c r="M121" s="1090">
        <f>M122-SUM(M112:M120)</f>
        <v>10</v>
      </c>
      <c r="N121" s="1089">
        <f t="shared" si="40"/>
        <v>5.8823529411764719E-2</v>
      </c>
      <c r="O121" s="1090">
        <f>O122-SUM(O112:O120)</f>
        <v>5.9699999999999704</v>
      </c>
      <c r="P121" s="1089">
        <f t="shared" si="41"/>
        <v>5.5774500081636202E-2</v>
      </c>
      <c r="Q121" s="1089">
        <f t="shared" si="42"/>
        <v>0.59699999999999709</v>
      </c>
      <c r="R121" s="1088"/>
      <c r="T121" s="1093"/>
      <c r="U121" s="1150"/>
      <c r="V121" s="1150"/>
      <c r="W121" s="1150"/>
      <c r="X121" s="1150"/>
      <c r="Y121" s="1150"/>
      <c r="Z121" s="1150"/>
      <c r="AA121" s="1150"/>
      <c r="AB121" s="1150"/>
      <c r="AC121" s="1150"/>
    </row>
    <row r="122" spans="2:29" ht="13.15" customHeight="1" thickBot="1" x14ac:dyDescent="0.25">
      <c r="B122" s="1113" t="s">
        <v>1720</v>
      </c>
      <c r="C122" s="1118">
        <f>Consol!J21</f>
        <v>1011.79</v>
      </c>
      <c r="D122" s="1118">
        <f>Consol!K21</f>
        <v>1557.86</v>
      </c>
      <c r="E122" s="1118">
        <f>Consol!L21</f>
        <v>1380.22</v>
      </c>
      <c r="F122" s="1118">
        <f>Consol!M21</f>
        <v>1549.6</v>
      </c>
      <c r="G122" s="1118">
        <f>Consol!N21</f>
        <v>2298.4</v>
      </c>
      <c r="H122" s="1118"/>
      <c r="I122" s="1118"/>
      <c r="J122" s="1118"/>
      <c r="L122" s="1102" t="s">
        <v>551</v>
      </c>
      <c r="M122" s="1103">
        <f>Assumptions!$J$111</f>
        <v>169.99999999999997</v>
      </c>
      <c r="N122" s="1104">
        <f>SUM(N112:N121)</f>
        <v>1.0000000000000002</v>
      </c>
      <c r="O122" s="1103">
        <f>Assumptions!$J$27</f>
        <v>107.03816244451822</v>
      </c>
      <c r="P122" s="1104">
        <f>SUM(P112:P121)</f>
        <v>1</v>
      </c>
      <c r="Q122" s="1104">
        <f t="shared" si="42"/>
        <v>0.62963624967363674</v>
      </c>
      <c r="R122" s="1102"/>
      <c r="T122" s="1093"/>
      <c r="U122" s="1307" t="s">
        <v>1853</v>
      </c>
      <c r="V122" s="1308"/>
      <c r="W122" s="1308"/>
      <c r="X122" s="1308"/>
      <c r="Y122" s="1308"/>
      <c r="Z122" s="1308"/>
      <c r="AA122" s="1308"/>
      <c r="AB122" s="1309"/>
      <c r="AC122" s="1150"/>
    </row>
    <row r="123" spans="2:29" ht="13.15" customHeight="1" thickBot="1" x14ac:dyDescent="0.25">
      <c r="B123" s="1113" t="s">
        <v>1721</v>
      </c>
      <c r="C123" s="1118">
        <f>+C118+C121+C122</f>
        <v>7871.31</v>
      </c>
      <c r="D123" s="1118">
        <f t="shared" ref="D123:G123" si="58">+D118+D121+D122</f>
        <v>11636.28</v>
      </c>
      <c r="E123" s="1118">
        <f t="shared" si="58"/>
        <v>15745.5</v>
      </c>
      <c r="F123" s="1118">
        <f t="shared" si="58"/>
        <v>17983.3</v>
      </c>
      <c r="G123" s="1118">
        <f t="shared" si="58"/>
        <v>22139.600000000002</v>
      </c>
      <c r="H123" s="1118"/>
      <c r="I123" s="1118"/>
      <c r="J123" s="1118"/>
      <c r="T123" s="1093" t="s">
        <v>1535</v>
      </c>
      <c r="U123" s="1151">
        <v>8698.6799999999985</v>
      </c>
      <c r="V123" s="1151">
        <v>8878.93</v>
      </c>
      <c r="W123" s="1151">
        <v>10947.130000000001</v>
      </c>
      <c r="X123" s="1151">
        <v>15751.099999999997</v>
      </c>
      <c r="Y123" s="1151">
        <v>18140.519999999997</v>
      </c>
      <c r="Z123" s="1151">
        <f>[1]Consol!T67/10</f>
        <v>22842.46</v>
      </c>
      <c r="AA123" s="1151">
        <f>[1]Consol!U67/10</f>
        <v>25538.290057225022</v>
      </c>
      <c r="AB123" s="1151">
        <f>[1]Consol!V67/10</f>
        <v>29115.005331641325</v>
      </c>
      <c r="AC123" s="1152">
        <f>(AB123/Y123)^(1/3)-1</f>
        <v>0.17081707456358952</v>
      </c>
    </row>
    <row r="124" spans="2:29" ht="13.15" customHeight="1" thickBot="1" x14ac:dyDescent="0.25">
      <c r="B124" s="1110" t="s">
        <v>34</v>
      </c>
      <c r="C124" s="1109">
        <f>+C111-C123</f>
        <v>8164.3949999999995</v>
      </c>
      <c r="D124" s="1109">
        <f t="shared" ref="D124:F124" si="59">+D111-D123</f>
        <v>11094.307999999995</v>
      </c>
      <c r="E124" s="1109">
        <f t="shared" si="59"/>
        <v>16201.896000000001</v>
      </c>
      <c r="F124" s="1109">
        <f t="shared" si="59"/>
        <v>19645.599999999995</v>
      </c>
      <c r="G124" s="1109">
        <f>Consol!N23</f>
        <v>22621.8</v>
      </c>
      <c r="H124" s="1109">
        <f>Consol!O23</f>
        <v>26037.3</v>
      </c>
      <c r="I124" s="1109">
        <f ca="1">Consol!P23</f>
        <v>29530.876404599338</v>
      </c>
      <c r="J124" s="1109">
        <f ca="1">Consol!Q23</f>
        <v>47439.420981768133</v>
      </c>
      <c r="T124" s="1093" t="s">
        <v>1504</v>
      </c>
      <c r="U124" s="1155">
        <v>422.12100000000009</v>
      </c>
      <c r="V124" s="1155">
        <v>412.55999999999983</v>
      </c>
      <c r="W124" s="1155">
        <v>502.14100000000008</v>
      </c>
      <c r="X124" s="1155">
        <v>573.05300000000011</v>
      </c>
      <c r="Y124" s="1155">
        <v>577.577</v>
      </c>
      <c r="Z124" s="1155">
        <f>[6]Standalone!W65/10</f>
        <v>708.16399999999999</v>
      </c>
      <c r="AA124" s="1155">
        <f>[6]Standalone!X65/10</f>
        <v>634.74608965595451</v>
      </c>
      <c r="AB124" s="1155">
        <f>[6]Standalone!Y65/10</f>
        <v>693.16179303426861</v>
      </c>
      <c r="AC124" s="1152">
        <f>(AB124/Y124)^(1/3)-1</f>
        <v>6.2694032776226871E-2</v>
      </c>
    </row>
    <row r="125" spans="2:29" ht="13.15" customHeight="1" thickBot="1" x14ac:dyDescent="0.25">
      <c r="B125" s="1115" t="s">
        <v>1512</v>
      </c>
      <c r="C125" s="1120">
        <f>+C124/C111</f>
        <v>0.50913851308688951</v>
      </c>
      <c r="D125" s="1120">
        <f t="shared" ref="D125:H125" si="60">+D124/D111</f>
        <v>0.48807835503419433</v>
      </c>
      <c r="E125" s="1120">
        <f t="shared" si="60"/>
        <v>0.50714292958336882</v>
      </c>
      <c r="F125" s="1120">
        <f t="shared" si="60"/>
        <v>0.52208807592036965</v>
      </c>
      <c r="G125" s="1120">
        <f t="shared" si="60"/>
        <v>0.50538633733529337</v>
      </c>
      <c r="H125" s="1120">
        <f t="shared" si="60"/>
        <v>0.48564005192634813</v>
      </c>
      <c r="I125" s="1120">
        <f t="shared" ref="I125:J125" ca="1" si="61">+I124/I111</f>
        <v>0.40489103350763284</v>
      </c>
      <c r="J125" s="1120">
        <f t="shared" ca="1" si="61"/>
        <v>0.43653528913894879</v>
      </c>
      <c r="T125" s="1093" t="s">
        <v>212</v>
      </c>
      <c r="U125" s="1151">
        <f>Consol!J23/10</f>
        <v>816.43949999999995</v>
      </c>
      <c r="V125" s="1151">
        <f>Consol!K23/10</f>
        <v>1109.4307999999996</v>
      </c>
      <c r="W125" s="1151">
        <f>Consol!L23/10</f>
        <v>1620.1896000000002</v>
      </c>
      <c r="X125" s="1151">
        <f>Consol!M23/10</f>
        <v>1964.5599999999995</v>
      </c>
      <c r="Y125" s="1151">
        <f>Consol!N23/10</f>
        <v>2262.1799999999998</v>
      </c>
      <c r="Z125" s="1151">
        <f>Consol!O23/10</f>
        <v>2603.73</v>
      </c>
      <c r="AA125" s="1151">
        <f ca="1">Consol!P23/10</f>
        <v>2953.0876404599339</v>
      </c>
      <c r="AB125" s="1151">
        <f ca="1">Consol!Q23/10</f>
        <v>4743.9420981768135</v>
      </c>
      <c r="AC125" s="1152">
        <f ca="1">(AB125/Y125)^(1/3)-1</f>
        <v>0.27998262302009125</v>
      </c>
    </row>
    <row r="126" spans="2:29" ht="13.15" customHeight="1" thickBot="1" x14ac:dyDescent="0.25">
      <c r="B126" s="1119" t="s">
        <v>1580</v>
      </c>
      <c r="C126" s="1112">
        <f>C124/Consol!I23-1</f>
        <v>0.31854733604631291</v>
      </c>
      <c r="D126" s="1112">
        <f>+D124/C124-1</f>
        <v>0.35886468011408024</v>
      </c>
      <c r="E126" s="1112">
        <f t="shared" ref="E126:H126" si="62">+E124/D124-1</f>
        <v>0.46037914216912013</v>
      </c>
      <c r="F126" s="1112">
        <f t="shared" si="62"/>
        <v>0.21254944483040705</v>
      </c>
      <c r="G126" s="1112">
        <f t="shared" si="62"/>
        <v>0.1514944822250277</v>
      </c>
      <c r="H126" s="1112">
        <f t="shared" si="62"/>
        <v>0.15098268042330854</v>
      </c>
      <c r="I126" s="1112">
        <f t="shared" ref="I126" ca="1" si="63">+I124/H124-1</f>
        <v>0.13417583254021492</v>
      </c>
      <c r="J126" s="1112">
        <f t="shared" ref="J126" ca="1" si="64">+J124/I124-1</f>
        <v>0.60643457822943581</v>
      </c>
      <c r="O126" s="991" t="s">
        <v>1698</v>
      </c>
      <c r="T126" s="1154"/>
      <c r="U126" s="1150"/>
      <c r="V126" s="1150"/>
      <c r="W126" s="1150"/>
      <c r="X126" s="1150"/>
      <c r="Y126" s="1150"/>
      <c r="Z126" s="1150"/>
      <c r="AA126" s="1150"/>
      <c r="AB126" s="1150"/>
      <c r="AC126" s="1150"/>
    </row>
    <row r="127" spans="2:29" ht="13.15" customHeight="1" thickBot="1" x14ac:dyDescent="0.25">
      <c r="B127" s="1113" t="s">
        <v>1722</v>
      </c>
      <c r="C127" s="1121">
        <f>C124/C114</f>
        <v>179.28751811673766</v>
      </c>
      <c r="D127" s="1121">
        <f t="shared" ref="D127:H127" si="65">D124/D114</f>
        <v>179.04831604800773</v>
      </c>
      <c r="E127" s="1121">
        <f t="shared" si="65"/>
        <v>174.56870849831552</v>
      </c>
      <c r="F127" s="1121">
        <f t="shared" si="65"/>
        <v>183.53827785658245</v>
      </c>
      <c r="G127" s="1121">
        <f t="shared" si="65"/>
        <v>193.34871794871793</v>
      </c>
      <c r="H127" s="1121">
        <f t="shared" si="65"/>
        <v>215.64767268510852</v>
      </c>
      <c r="I127" s="1121">
        <f t="shared" ref="I127:J127" ca="1" si="66">I124/I114</f>
        <v>230.78910733218862</v>
      </c>
      <c r="J127" s="1121">
        <f t="shared" ca="1" si="66"/>
        <v>281.46102435144371</v>
      </c>
      <c r="T127" s="1093"/>
      <c r="U127" s="1307" t="s">
        <v>1854</v>
      </c>
      <c r="V127" s="1308"/>
      <c r="W127" s="1308"/>
      <c r="X127" s="1308"/>
      <c r="Y127" s="1308"/>
      <c r="Z127" s="1308"/>
      <c r="AA127" s="1308"/>
      <c r="AB127" s="1309"/>
      <c r="AC127" s="1150"/>
    </row>
    <row r="128" spans="2:29" ht="13.15" customHeight="1" thickBot="1" x14ac:dyDescent="0.25">
      <c r="B128" s="1113" t="s">
        <v>1723</v>
      </c>
      <c r="C128" s="1118">
        <f>Consol!J28</f>
        <v>2706.55</v>
      </c>
      <c r="D128" s="1118">
        <f>Consol!K28</f>
        <v>3695.05</v>
      </c>
      <c r="E128" s="1118">
        <f>Consol!L28</f>
        <v>3912.23</v>
      </c>
      <c r="F128" s="1118">
        <f>Consol!M28</f>
        <v>4364.8</v>
      </c>
      <c r="G128" s="1118">
        <f>Consol!N28</f>
        <v>5465.5</v>
      </c>
      <c r="H128" s="1118">
        <f>Consol!O28</f>
        <v>6141.2</v>
      </c>
      <c r="I128" s="1118">
        <f>Consol!P28</f>
        <v>7453.8824749999994</v>
      </c>
      <c r="J128" s="1118">
        <f>Consol!Q28</f>
        <v>12460.683949999999</v>
      </c>
      <c r="T128" s="1093" t="s">
        <v>1535</v>
      </c>
      <c r="U128" s="1150"/>
      <c r="V128" s="1156">
        <f>V123/U123-1</f>
        <v>2.0721534761596327E-2</v>
      </c>
      <c r="W128" s="1156">
        <f t="shared" ref="W128:AB128" si="67">W123/V123-1</f>
        <v>0.23293347283963284</v>
      </c>
      <c r="X128" s="1156">
        <f t="shared" si="67"/>
        <v>0.43883373998481745</v>
      </c>
      <c r="Y128" s="1156">
        <f t="shared" si="67"/>
        <v>0.15169861152554431</v>
      </c>
      <c r="Z128" s="1156">
        <f t="shared" si="67"/>
        <v>0.25919543651449928</v>
      </c>
      <c r="AA128" s="1156">
        <f t="shared" si="67"/>
        <v>0.11801837705855767</v>
      </c>
      <c r="AB128" s="1156">
        <f t="shared" si="67"/>
        <v>0.14005304452262712</v>
      </c>
      <c r="AC128" s="1150"/>
    </row>
    <row r="129" spans="2:29" ht="13.15" customHeight="1" thickBot="1" x14ac:dyDescent="0.25">
      <c r="B129" s="1111" t="s">
        <v>1724</v>
      </c>
      <c r="C129" s="1120">
        <f>C128/Consol!J87</f>
        <v>6.0431772516548438E-2</v>
      </c>
      <c r="D129" s="1120">
        <f>D128/Consol!K87</f>
        <v>7.7946417509831931E-2</v>
      </c>
      <c r="E129" s="1120">
        <f>E128/Consol!L87</f>
        <v>8.0026800037916401E-2</v>
      </c>
      <c r="F129" s="1120">
        <f>F128/Consol!M87</f>
        <v>6.7954725911164388E-2</v>
      </c>
      <c r="G129" s="1120">
        <f>G128/Consol!N87</f>
        <v>6.4349814326855381E-2</v>
      </c>
      <c r="H129" s="1120">
        <f>H128/Consol!O87</f>
        <v>6.338164809623871E-2</v>
      </c>
      <c r="I129" s="1120">
        <f>I128/Consol!P87</f>
        <v>5.6273626670465614E-2</v>
      </c>
      <c r="J129" s="1120">
        <f>J128/Consol!Q87</f>
        <v>4.9654479777729098E-2</v>
      </c>
      <c r="T129" s="1093" t="s">
        <v>1504</v>
      </c>
      <c r="U129" s="1150"/>
      <c r="V129" s="1156">
        <f t="shared" ref="V129:AB129" si="68">V124/U124-1</f>
        <v>-2.2649903700598273E-2</v>
      </c>
      <c r="W129" s="1156">
        <f t="shared" si="68"/>
        <v>0.2171344774093471</v>
      </c>
      <c r="X129" s="1156">
        <f t="shared" si="68"/>
        <v>0.14121929896184549</v>
      </c>
      <c r="Y129" s="1156">
        <f t="shared" si="68"/>
        <v>7.8945577459674787E-3</v>
      </c>
      <c r="Z129" s="1156">
        <f t="shared" si="68"/>
        <v>0.22609452938742369</v>
      </c>
      <c r="AA129" s="1156">
        <f t="shared" si="68"/>
        <v>-0.10367359869189263</v>
      </c>
      <c r="AB129" s="1156">
        <f t="shared" si="68"/>
        <v>9.2030032685946228E-2</v>
      </c>
      <c r="AC129" s="1150"/>
    </row>
    <row r="130" spans="2:29" ht="13.15" customHeight="1" thickBot="1" x14ac:dyDescent="0.25">
      <c r="B130" s="1113" t="s">
        <v>38</v>
      </c>
      <c r="C130" s="1118">
        <f>C124-C128</f>
        <v>5457.8449999999993</v>
      </c>
      <c r="D130" s="1118">
        <f t="shared" ref="D130:H130" si="69">D124-D128</f>
        <v>7399.2579999999953</v>
      </c>
      <c r="E130" s="1118">
        <f t="shared" si="69"/>
        <v>12289.666000000001</v>
      </c>
      <c r="F130" s="1118">
        <f t="shared" si="69"/>
        <v>15280.799999999996</v>
      </c>
      <c r="G130" s="1118">
        <f t="shared" si="69"/>
        <v>17156.3</v>
      </c>
      <c r="H130" s="1118">
        <f t="shared" si="69"/>
        <v>19896.099999999999</v>
      </c>
      <c r="I130" s="1118">
        <f t="shared" ref="I130:J130" ca="1" si="70">I124-I128</f>
        <v>22076.993929599339</v>
      </c>
      <c r="J130" s="1118">
        <f t="shared" ca="1" si="70"/>
        <v>34978.737031768134</v>
      </c>
      <c r="T130" s="1093" t="s">
        <v>212</v>
      </c>
      <c r="U130" s="1150"/>
      <c r="V130" s="1156">
        <f t="shared" ref="V130:AB130" si="71">V125/U125-1</f>
        <v>0.35886468011408024</v>
      </c>
      <c r="W130" s="1156">
        <f t="shared" si="71"/>
        <v>0.46037914216912013</v>
      </c>
      <c r="X130" s="1156">
        <f t="shared" si="71"/>
        <v>0.21254944483040705</v>
      </c>
      <c r="Y130" s="1156">
        <f t="shared" si="71"/>
        <v>0.1514944822250277</v>
      </c>
      <c r="Z130" s="1156">
        <f t="shared" si="71"/>
        <v>0.15098268042330854</v>
      </c>
      <c r="AA130" s="1156">
        <f t="shared" ca="1" si="71"/>
        <v>0.13417583254021492</v>
      </c>
      <c r="AB130" s="1156">
        <f t="shared" ca="1" si="71"/>
        <v>0.60643457822943581</v>
      </c>
      <c r="AC130" s="1150"/>
    </row>
    <row r="131" spans="2:29" ht="13.15" customHeight="1" thickBot="1" x14ac:dyDescent="0.25">
      <c r="B131" s="1113" t="s">
        <v>1725</v>
      </c>
      <c r="C131" s="1118">
        <f>Consol!J32</f>
        <v>2278.5700000000002</v>
      </c>
      <c r="D131" s="1118">
        <f>Consol!K32</f>
        <v>4196.22</v>
      </c>
      <c r="E131" s="1118">
        <f>Consol!L32</f>
        <v>5960.8</v>
      </c>
      <c r="F131" s="1118">
        <f>Consol!M32</f>
        <v>3324.6</v>
      </c>
      <c r="G131" s="1118">
        <f>Consol!N32</f>
        <v>2657.4</v>
      </c>
      <c r="H131" s="1118">
        <f>Consol!O32</f>
        <v>3829.9</v>
      </c>
      <c r="I131" s="1118">
        <f>Consol!P32</f>
        <v>4783.0374513424667</v>
      </c>
      <c r="J131" s="1118">
        <f>Consol!Q32</f>
        <v>8558.4778248657531</v>
      </c>
    </row>
    <row r="132" spans="2:29" ht="13.15" customHeight="1" thickBot="1" x14ac:dyDescent="0.25">
      <c r="B132" s="1113" t="s">
        <v>1726</v>
      </c>
      <c r="C132" s="1118">
        <f>+C130-C131</f>
        <v>3179.2749999999992</v>
      </c>
      <c r="D132" s="1118">
        <f t="shared" ref="D132:H132" si="72">+D130-D131</f>
        <v>3203.037999999995</v>
      </c>
      <c r="E132" s="1118">
        <f t="shared" si="72"/>
        <v>6328.8660000000009</v>
      </c>
      <c r="F132" s="1118">
        <f t="shared" si="72"/>
        <v>11956.199999999995</v>
      </c>
      <c r="G132" s="1118">
        <f t="shared" si="72"/>
        <v>14498.9</v>
      </c>
      <c r="H132" s="1118">
        <f t="shared" si="72"/>
        <v>16066.199999999999</v>
      </c>
      <c r="I132" s="1118">
        <f t="shared" ref="I132:J132" ca="1" si="73">+I130-I131</f>
        <v>17293.95647825687</v>
      </c>
      <c r="J132" s="1118">
        <f t="shared" ca="1" si="73"/>
        <v>26420.259206902381</v>
      </c>
    </row>
    <row r="133" spans="2:29" ht="13.15" customHeight="1" thickBot="1" x14ac:dyDescent="0.25">
      <c r="B133" s="1113" t="s">
        <v>1671</v>
      </c>
      <c r="C133" s="1122">
        <f>Consol!J27</f>
        <v>746.93</v>
      </c>
      <c r="D133" s="1122">
        <f>Consol!K27</f>
        <v>1056.79</v>
      </c>
      <c r="E133" s="1122">
        <f>Consol!L27</f>
        <v>1781.13</v>
      </c>
      <c r="F133" s="1122">
        <f>Consol!M27</f>
        <v>2694.1</v>
      </c>
      <c r="G133" s="1122">
        <f>Consol!N27</f>
        <v>3529.5</v>
      </c>
      <c r="H133" s="1122">
        <f>Consol!O27</f>
        <v>3459.5</v>
      </c>
      <c r="I133" s="1122">
        <f ca="1">Consol!P27</f>
        <v>3758.2464024573082</v>
      </c>
      <c r="J133" s="1122">
        <f ca="1">Consol!Q27</f>
        <v>4332.5419641836579</v>
      </c>
    </row>
    <row r="134" spans="2:29" ht="13.15" customHeight="1" thickBot="1" x14ac:dyDescent="0.25">
      <c r="B134" s="1110" t="s">
        <v>40</v>
      </c>
      <c r="C134" s="1109">
        <f>+C132+C133</f>
        <v>3926.204999999999</v>
      </c>
      <c r="D134" s="1109">
        <f t="shared" ref="D134:H134" si="74">+D132+D133</f>
        <v>4259.827999999995</v>
      </c>
      <c r="E134" s="1109">
        <f t="shared" si="74"/>
        <v>8109.996000000001</v>
      </c>
      <c r="F134" s="1109">
        <f t="shared" si="74"/>
        <v>14650.299999999996</v>
      </c>
      <c r="G134" s="1109">
        <f t="shared" si="74"/>
        <v>18028.400000000001</v>
      </c>
      <c r="H134" s="1109">
        <f t="shared" si="74"/>
        <v>19525.699999999997</v>
      </c>
      <c r="I134" s="1109">
        <f t="shared" ref="I134:J134" ca="1" si="75">+I132+I133</f>
        <v>21052.20288071418</v>
      </c>
      <c r="J134" s="1109">
        <f t="shared" ca="1" si="75"/>
        <v>30752.801171086037</v>
      </c>
    </row>
    <row r="135" spans="2:29" ht="13.15" customHeight="1" thickBot="1" x14ac:dyDescent="0.25">
      <c r="B135" s="1113" t="s">
        <v>210</v>
      </c>
      <c r="C135" s="1118">
        <f>Consol!J41</f>
        <v>1079.95</v>
      </c>
      <c r="D135" s="1118">
        <f>Consol!K41</f>
        <v>955.45999999999992</v>
      </c>
      <c r="E135" s="1118">
        <f>Consol!L41</f>
        <v>614.79</v>
      </c>
      <c r="F135" s="1118">
        <f>Consol!M41</f>
        <v>3043.4</v>
      </c>
      <c r="G135" s="1118">
        <f>Consol!N41</f>
        <v>2813.6000000000004</v>
      </c>
      <c r="H135" s="1118">
        <f>Consol!O41</f>
        <v>3259.3999999999996</v>
      </c>
      <c r="I135" s="1118">
        <f ca="1">Consol!P41</f>
        <v>4631.4846337571189</v>
      </c>
      <c r="J135" s="1118">
        <f ca="1">Consol!Q41</f>
        <v>6765.6162576389279</v>
      </c>
    </row>
    <row r="136" spans="2:29" ht="13.15" customHeight="1" thickBot="1" x14ac:dyDescent="0.25">
      <c r="B136" s="1111" t="s">
        <v>1727</v>
      </c>
      <c r="C136" s="1120">
        <f>+C135/C134</f>
        <v>0.27506205101363795</v>
      </c>
      <c r="D136" s="1120">
        <f t="shared" ref="D136:H136" si="76">+D135/D134</f>
        <v>0.22429544103658669</v>
      </c>
      <c r="E136" s="1120">
        <f t="shared" si="76"/>
        <v>7.5806449226362121E-2</v>
      </c>
      <c r="F136" s="1120">
        <f t="shared" si="76"/>
        <v>0.20773636034756973</v>
      </c>
      <c r="G136" s="1120">
        <f t="shared" si="76"/>
        <v>0.15606487541878369</v>
      </c>
      <c r="H136" s="1120">
        <f t="shared" si="76"/>
        <v>0.16692871446350196</v>
      </c>
      <c r="I136" s="1120">
        <f t="shared" ref="I136:J136" ca="1" si="77">+I135/I134</f>
        <v>0.21999999999999997</v>
      </c>
      <c r="J136" s="1120">
        <f t="shared" ca="1" si="77"/>
        <v>0.22</v>
      </c>
    </row>
    <row r="137" spans="2:29" ht="13.15" customHeight="1" thickBot="1" x14ac:dyDescent="0.25">
      <c r="B137" s="1110" t="s">
        <v>798</v>
      </c>
      <c r="C137" s="1109">
        <f>+C134-C135</f>
        <v>2846.2549999999992</v>
      </c>
      <c r="D137" s="1109">
        <f t="shared" ref="D137:H137" si="78">+D134-D135</f>
        <v>3304.3679999999949</v>
      </c>
      <c r="E137" s="1109">
        <f t="shared" si="78"/>
        <v>7495.206000000001</v>
      </c>
      <c r="F137" s="1109">
        <f t="shared" si="78"/>
        <v>11606.899999999996</v>
      </c>
      <c r="G137" s="1109">
        <f t="shared" si="78"/>
        <v>15214.800000000001</v>
      </c>
      <c r="H137" s="1109">
        <f t="shared" si="78"/>
        <v>16266.299999999997</v>
      </c>
      <c r="I137" s="1109">
        <f t="shared" ref="I137:J137" ca="1" si="79">+I134-I135</f>
        <v>16420.718246957062</v>
      </c>
      <c r="J137" s="1109">
        <f t="shared" ca="1" si="79"/>
        <v>23987.184913447109</v>
      </c>
    </row>
    <row r="138" spans="2:29" ht="13.15" customHeight="1" thickBot="1" x14ac:dyDescent="0.25">
      <c r="B138" s="1113" t="s">
        <v>1728</v>
      </c>
      <c r="C138" s="1122">
        <f>Consol!J46</f>
        <v>-67.599999999999994</v>
      </c>
      <c r="D138" s="1122">
        <f>Consol!K46</f>
        <v>24.91</v>
      </c>
      <c r="E138" s="1122">
        <f>Consol!L46</f>
        <v>96.83</v>
      </c>
      <c r="F138" s="1122">
        <f>Consol!M46</f>
        <v>47.8</v>
      </c>
      <c r="G138" s="1122">
        <f>Consol!N46</f>
        <v>184</v>
      </c>
      <c r="H138" s="1122">
        <f>Consol!O46</f>
        <v>235.9</v>
      </c>
      <c r="I138" s="1122">
        <f ca="1">Consol!P46</f>
        <v>462.40862586672972</v>
      </c>
      <c r="J138" s="1122">
        <f ca="1">Consol!Q46</f>
        <v>598.62168119657849</v>
      </c>
    </row>
    <row r="139" spans="2:29" ht="13.15" customHeight="1" thickBot="1" x14ac:dyDescent="0.25">
      <c r="B139" s="1110" t="s">
        <v>1729</v>
      </c>
      <c r="C139" s="1109">
        <f>+C137-C138</f>
        <v>2913.8549999999991</v>
      </c>
      <c r="D139" s="1109">
        <f t="shared" ref="D139:H139" si="80">+D137-D138</f>
        <v>3279.4579999999951</v>
      </c>
      <c r="E139" s="1109">
        <f t="shared" si="80"/>
        <v>7398.3760000000011</v>
      </c>
      <c r="F139" s="1109">
        <f t="shared" si="80"/>
        <v>11559.099999999997</v>
      </c>
      <c r="G139" s="1109">
        <f t="shared" si="80"/>
        <v>15030.800000000001</v>
      </c>
      <c r="H139" s="1109">
        <f t="shared" si="80"/>
        <v>16030.399999999998</v>
      </c>
      <c r="I139" s="1109">
        <f t="shared" ref="I139:J139" ca="1" si="81">+I137-I138</f>
        <v>15958.309621090331</v>
      </c>
      <c r="J139" s="1109">
        <f t="shared" ca="1" si="81"/>
        <v>23388.56323225053</v>
      </c>
    </row>
    <row r="140" spans="2:29" ht="13.15" customHeight="1" thickBot="1" x14ac:dyDescent="0.25">
      <c r="B140" s="1111" t="s">
        <v>1580</v>
      </c>
      <c r="C140" s="1112">
        <f>C139/Consol!I49-1</f>
        <v>0.53019234435137141</v>
      </c>
      <c r="D140" s="1112">
        <f>D139/Consol!J49-1</f>
        <v>0.12547055361368264</v>
      </c>
      <c r="E140" s="1112">
        <f>E139/Consol!K49-1</f>
        <v>1.2559752251744074</v>
      </c>
      <c r="F140" s="1112">
        <f>F139/Consol!L49-1</f>
        <v>0.56238342036144062</v>
      </c>
      <c r="G140" s="1112">
        <f>G139/Consol!M49-1</f>
        <v>0.30034345234490645</v>
      </c>
      <c r="H140" s="1112">
        <f>H139/Consol!N49-1</f>
        <v>6.6503446257018872E-2</v>
      </c>
      <c r="I140" s="1112">
        <f ca="1">I139/Consol!O49-1</f>
        <v>4.7607487713619223E-2</v>
      </c>
      <c r="J140" s="1112">
        <f ca="1">J139/Consol!P49-1</f>
        <v>0.46560405127999638</v>
      </c>
    </row>
    <row r="141" spans="2:29" ht="13.15" customHeight="1" thickBot="1" x14ac:dyDescent="0.25">
      <c r="B141" s="1110" t="s">
        <v>1730</v>
      </c>
      <c r="C141" s="1109">
        <f>C139</f>
        <v>2913.8549999999991</v>
      </c>
      <c r="D141" s="1109">
        <f t="shared" ref="D141:H141" si="82">D139</f>
        <v>3279.4579999999951</v>
      </c>
      <c r="E141" s="1109">
        <f t="shared" si="82"/>
        <v>7398.3760000000011</v>
      </c>
      <c r="F141" s="1109">
        <f t="shared" si="82"/>
        <v>11559.099999999997</v>
      </c>
      <c r="G141" s="1109">
        <f t="shared" si="82"/>
        <v>15030.800000000001</v>
      </c>
      <c r="H141" s="1109">
        <f t="shared" si="82"/>
        <v>16030.399999999998</v>
      </c>
      <c r="I141" s="1109">
        <f t="shared" ref="I141:J141" ca="1" si="83">I139</f>
        <v>15958.309621090331</v>
      </c>
      <c r="J141" s="1109">
        <f t="shared" ca="1" si="83"/>
        <v>23388.56323225053</v>
      </c>
    </row>
    <row r="142" spans="2:29" ht="13.15" customHeight="1" thickBot="1" x14ac:dyDescent="0.25">
      <c r="B142" s="1111" t="s">
        <v>1580</v>
      </c>
      <c r="C142" s="1112">
        <f>C141/Consol!I49-1</f>
        <v>0.53019234435137141</v>
      </c>
      <c r="D142" s="1112">
        <f>D141/Consol!J49-1</f>
        <v>0.12547055361368264</v>
      </c>
      <c r="E142" s="1112">
        <f>E141/Consol!K49-1</f>
        <v>1.2559752251744074</v>
      </c>
      <c r="F142" s="1112">
        <f>F141/Consol!L49-1</f>
        <v>0.56238342036144062</v>
      </c>
      <c r="G142" s="1112">
        <f>G141/Consol!M49-1</f>
        <v>0.30034345234490645</v>
      </c>
      <c r="H142" s="1112">
        <f>H141/Consol!N49-1</f>
        <v>6.6503446257018872E-2</v>
      </c>
      <c r="I142" s="1112">
        <f ca="1">I141/Consol!O49-1</f>
        <v>4.7607487713619223E-2</v>
      </c>
      <c r="J142" s="1112">
        <f ca="1">J141/Consol!P49-1</f>
        <v>0.46560405127999638</v>
      </c>
    </row>
    <row r="143" spans="2:29" ht="13.15" customHeight="1" thickBot="1" x14ac:dyDescent="0.25">
      <c r="B143" s="1113" t="s">
        <v>1526</v>
      </c>
      <c r="C143" s="1123">
        <f>C141/C111</f>
        <v>0.18171043929780445</v>
      </c>
      <c r="D143" s="1123">
        <f t="shared" ref="D143:H143" si="84">D141/D111</f>
        <v>0.14427510630169338</v>
      </c>
      <c r="E143" s="1123">
        <f t="shared" si="84"/>
        <v>0.23157993847135463</v>
      </c>
      <c r="F143" s="1123">
        <f t="shared" si="84"/>
        <v>0.30718676336539197</v>
      </c>
      <c r="G143" s="1123">
        <f t="shared" si="84"/>
        <v>0.33579825474627695</v>
      </c>
      <c r="H143" s="1123">
        <f t="shared" si="84"/>
        <v>0.29899430003879551</v>
      </c>
      <c r="I143" s="1123">
        <f t="shared" ref="I143:J143" ca="1" si="85">I141/I111</f>
        <v>0.21880070157727274</v>
      </c>
      <c r="J143" s="1123">
        <f t="shared" ca="1" si="85"/>
        <v>0.21522044329037959</v>
      </c>
    </row>
    <row r="144" spans="2:29" ht="13.15" customHeight="1" thickBot="1" x14ac:dyDescent="0.25">
      <c r="B144" s="1110" t="s">
        <v>52</v>
      </c>
      <c r="C144" s="1124">
        <f>Consol!J54</f>
        <v>1.3875499999999992</v>
      </c>
      <c r="D144" s="1124">
        <f>Consol!K54</f>
        <v>1.5616466666666644</v>
      </c>
      <c r="E144" s="1124">
        <f>Consol!L54</f>
        <v>3.5230361904761915</v>
      </c>
      <c r="F144" s="1124">
        <f>Consol!M54</f>
        <v>5.5043333333333306</v>
      </c>
      <c r="G144" s="1124">
        <f>Consol!N54</f>
        <v>7.1575238095238083</v>
      </c>
      <c r="H144" s="1124">
        <f>Consol!O54</f>
        <v>7.2538571428571421</v>
      </c>
      <c r="I144" s="1124">
        <f ca="1">Consol!P54</f>
        <v>6.8490599232147327</v>
      </c>
      <c r="J144" s="1124">
        <f ca="1">Consol!Q54</f>
        <v>10.038009970922975</v>
      </c>
    </row>
    <row r="145" spans="2:10" ht="13.15" customHeight="1" thickBot="1" x14ac:dyDescent="0.25"/>
    <row r="146" spans="2:10" ht="13.15" customHeight="1" thickBot="1" x14ac:dyDescent="0.25">
      <c r="B146" s="1125" t="s">
        <v>59</v>
      </c>
      <c r="C146" s="1126" t="s">
        <v>25</v>
      </c>
      <c r="D146" s="1126" t="s">
        <v>26</v>
      </c>
      <c r="E146" s="1126" t="s">
        <v>27</v>
      </c>
      <c r="F146" s="1126" t="s">
        <v>273</v>
      </c>
      <c r="G146" s="1126" t="s">
        <v>347</v>
      </c>
      <c r="H146" s="1126" t="s">
        <v>177</v>
      </c>
      <c r="I146" s="1126" t="s">
        <v>178</v>
      </c>
      <c r="J146" s="1126" t="s">
        <v>179</v>
      </c>
    </row>
    <row r="147" spans="2:10" ht="13.15" customHeight="1" thickBot="1" x14ac:dyDescent="0.25">
      <c r="B147" s="1093" t="s">
        <v>942</v>
      </c>
      <c r="C147" s="1095">
        <f>NewFinSumm!F18</f>
        <v>30884.31</v>
      </c>
      <c r="D147" s="1095">
        <f>NewFinSumm!G18</f>
        <v>34718.769999999997</v>
      </c>
      <c r="E147" s="1095">
        <f>NewFinSumm!H18</f>
        <v>40888.730000000003</v>
      </c>
      <c r="F147" s="1095">
        <f>NewFinSumm!I18</f>
        <v>82310.200000000012</v>
      </c>
      <c r="G147" s="1095">
        <f>NewFinSumm!J18</f>
        <v>104887</v>
      </c>
      <c r="H147" s="1095">
        <f>NewFinSumm!K18</f>
        <v>116927.4</v>
      </c>
      <c r="I147" s="1095">
        <f ca="1">NewFinSumm!L18</f>
        <v>198213.62109242621</v>
      </c>
      <c r="J147" s="1095">
        <f ca="1">NewFinSumm!M18</f>
        <v>219394.17841800328</v>
      </c>
    </row>
    <row r="148" spans="2:10" ht="13.15" customHeight="1" thickBot="1" x14ac:dyDescent="0.25">
      <c r="B148" s="1093" t="s">
        <v>944</v>
      </c>
      <c r="C148" s="1095">
        <f>+NewFinSumm!F20+NewFinSumm!F19</f>
        <v>49509.83</v>
      </c>
      <c r="D148" s="1095">
        <f>+NewFinSumm!G20+NewFinSumm!G19</f>
        <v>56827.94</v>
      </c>
      <c r="E148" s="1095">
        <f>+NewFinSumm!H20+NewFinSumm!H19</f>
        <v>50601.990000000005</v>
      </c>
      <c r="F148" s="1095">
        <f>+NewFinSumm!I20+NewFinSumm!I19</f>
        <v>52403.200000000004</v>
      </c>
      <c r="G148" s="1095">
        <f>+NewFinSumm!J20+NewFinSumm!J19</f>
        <v>60904.399999999994</v>
      </c>
      <c r="H148" s="1095">
        <f>+NewFinSumm!K20+NewFinSumm!K19</f>
        <v>82912.2</v>
      </c>
      <c r="I148" s="1095">
        <f>+NewFinSumm!L20+NewFinSumm!L19</f>
        <v>122071.5912300848</v>
      </c>
      <c r="J148" s="1095">
        <f>+NewFinSumm!M20+NewFinSumm!M19</f>
        <v>151972.37992260428</v>
      </c>
    </row>
    <row r="149" spans="2:10" ht="13.15" customHeight="1" thickBot="1" x14ac:dyDescent="0.25">
      <c r="B149" s="1127" t="s">
        <v>945</v>
      </c>
      <c r="C149" s="1128">
        <f>SUM(C147:C148)</f>
        <v>80394.14</v>
      </c>
      <c r="D149" s="1128">
        <f t="shared" ref="D149:H149" si="86">SUM(D147:D148)</f>
        <v>91546.709999999992</v>
      </c>
      <c r="E149" s="1128">
        <f t="shared" si="86"/>
        <v>91490.72</v>
      </c>
      <c r="F149" s="1128">
        <f t="shared" si="86"/>
        <v>134713.40000000002</v>
      </c>
      <c r="G149" s="1128">
        <f t="shared" si="86"/>
        <v>165791.4</v>
      </c>
      <c r="H149" s="1128">
        <f t="shared" si="86"/>
        <v>199839.59999999998</v>
      </c>
      <c r="I149" s="1128">
        <f t="shared" ref="I149:J149" ca="1" si="87">SUM(I147:I148)</f>
        <v>320285.21232251101</v>
      </c>
      <c r="J149" s="1128">
        <f t="shared" ca="1" si="87"/>
        <v>371366.55834060756</v>
      </c>
    </row>
    <row r="150" spans="2:10" ht="13.15" customHeight="1" thickBot="1" x14ac:dyDescent="0.25">
      <c r="B150" s="1093" t="s">
        <v>946</v>
      </c>
      <c r="C150" s="1095">
        <f>NewFinSumm!F22</f>
        <v>44786.870999999999</v>
      </c>
      <c r="D150" s="1095">
        <f>NewFinSumm!G22</f>
        <v>47405.001000000004</v>
      </c>
      <c r="E150" s="1095">
        <f>NewFinSumm!H22</f>
        <v>48886.498</v>
      </c>
      <c r="F150" s="1095">
        <f>NewFinSumm!I22</f>
        <v>64231</v>
      </c>
      <c r="G150" s="1095">
        <f>NewFinSumm!J22</f>
        <v>84934.2</v>
      </c>
      <c r="H150" s="1095">
        <f>NewFinSumm!K22</f>
        <v>96892.4</v>
      </c>
      <c r="I150" s="1095">
        <f>NewFinSumm!L22</f>
        <v>132457.82999999999</v>
      </c>
      <c r="J150" s="1095">
        <f>NewFinSumm!M22</f>
        <v>250947.83</v>
      </c>
    </row>
    <row r="151" spans="2:10" ht="13.15" customHeight="1" thickBot="1" x14ac:dyDescent="0.25">
      <c r="B151" s="1093" t="s">
        <v>947</v>
      </c>
      <c r="C151" s="1095">
        <f>NewFinSumm!F23</f>
        <v>36938.230000000003</v>
      </c>
      <c r="D151" s="1095">
        <f>NewFinSumm!G23</f>
        <v>38712.123000000007</v>
      </c>
      <c r="E151" s="1095">
        <f>NewFinSumm!H23</f>
        <v>38451.017</v>
      </c>
      <c r="F151" s="1095">
        <f>NewFinSumm!I23</f>
        <v>51128.1</v>
      </c>
      <c r="G151" s="1095">
        <f>NewFinSumm!J23</f>
        <v>68131.7</v>
      </c>
      <c r="H151" s="1095">
        <f>NewFinSumm!K23</f>
        <v>73948.7</v>
      </c>
      <c r="I151" s="1095">
        <f>NewFinSumm!L23</f>
        <v>102060.24752499998</v>
      </c>
      <c r="J151" s="1095">
        <f>NewFinSumm!M23</f>
        <v>208089.56357499998</v>
      </c>
    </row>
    <row r="152" spans="2:10" ht="13.15" customHeight="1" thickBot="1" x14ac:dyDescent="0.25">
      <c r="B152" s="1093" t="s">
        <v>83</v>
      </c>
      <c r="C152" s="1101">
        <f>NewFinSumm!F25</f>
        <v>12301.710000000001</v>
      </c>
      <c r="D152" s="1101">
        <f>NewFinSumm!G25</f>
        <v>22626.789999999997</v>
      </c>
      <c r="E152" s="1101">
        <f>NewFinSumm!H25</f>
        <v>21294.55</v>
      </c>
      <c r="F152" s="1101">
        <f>NewFinSumm!I25</f>
        <v>26446.400000000001</v>
      </c>
      <c r="G152" s="1101">
        <f>NewFinSumm!J25</f>
        <v>25797.599999999999</v>
      </c>
      <c r="H152" s="1101">
        <f>NewFinSumm!K25</f>
        <v>30357.4</v>
      </c>
      <c r="I152" s="1101">
        <f>NewFinSumm!L25</f>
        <v>30357.4</v>
      </c>
      <c r="J152" s="1101">
        <f>NewFinSumm!M25</f>
        <v>30357.4</v>
      </c>
    </row>
    <row r="153" spans="2:10" ht="13.15" customHeight="1" thickBot="1" x14ac:dyDescent="0.25">
      <c r="B153" s="1093" t="s">
        <v>1732</v>
      </c>
      <c r="C153" s="1095">
        <f>NewFinSumm!F24</f>
        <v>11250.46</v>
      </c>
      <c r="D153" s="1095">
        <f>NewFinSumm!G24</f>
        <v>796.81000000000006</v>
      </c>
      <c r="E153" s="1095">
        <f>NewFinSumm!H24</f>
        <v>460.13</v>
      </c>
      <c r="F153" s="1095">
        <f>NewFinSumm!I24</f>
        <v>1320.3999999999999</v>
      </c>
      <c r="G153" s="1095">
        <f>NewFinSumm!J24</f>
        <v>20202.400000000001</v>
      </c>
      <c r="H153" s="1095">
        <f>NewFinSumm!K24</f>
        <v>31884.400000000001</v>
      </c>
      <c r="I153" s="1095">
        <f>NewFinSumm!L24</f>
        <v>68707.48658680667</v>
      </c>
      <c r="J153" s="1095">
        <f>NewFinSumm!M24</f>
        <v>39279.611442786831</v>
      </c>
    </row>
    <row r="154" spans="2:10" ht="13.15" customHeight="1" thickBot="1" x14ac:dyDescent="0.25">
      <c r="B154" s="1093" t="s">
        <v>898</v>
      </c>
      <c r="C154" s="1095">
        <f>NewFinSumm!F26</f>
        <v>2955.08</v>
      </c>
      <c r="D154" s="1095">
        <f>NewFinSumm!G26</f>
        <v>2830.08</v>
      </c>
      <c r="E154" s="1095">
        <f>NewFinSumm!H26</f>
        <v>3070.2799999999997</v>
      </c>
      <c r="F154" s="1095">
        <f>NewFinSumm!I26</f>
        <v>2444.9</v>
      </c>
      <c r="G154" s="1095">
        <f>NewFinSumm!J26</f>
        <v>3127.6</v>
      </c>
      <c r="H154" s="1095">
        <f>NewFinSumm!K26</f>
        <v>1218.3999999999999</v>
      </c>
      <c r="I154" s="1095">
        <f>NewFinSumm!L26</f>
        <v>1218.3999999999999</v>
      </c>
      <c r="J154" s="1095">
        <f>NewFinSumm!M26</f>
        <v>1218.3999999999999</v>
      </c>
    </row>
    <row r="155" spans="2:10" ht="13.15" customHeight="1" thickBot="1" x14ac:dyDescent="0.25">
      <c r="B155" s="1093" t="s">
        <v>92</v>
      </c>
      <c r="C155" s="1095">
        <f>NewFinSumm!F27</f>
        <v>2648.4</v>
      </c>
      <c r="D155" s="1095">
        <f>NewFinSumm!G27</f>
        <v>10382.349999999999</v>
      </c>
      <c r="E155" s="1095">
        <f>NewFinSumm!H27</f>
        <v>16316.43</v>
      </c>
      <c r="F155" s="1095">
        <f>NewFinSumm!I27</f>
        <v>40902.200000000004</v>
      </c>
      <c r="G155" s="1095">
        <f>NewFinSumm!J27</f>
        <v>24820.7</v>
      </c>
      <c r="H155" s="1095">
        <f>NewFinSumm!K27</f>
        <v>23177</v>
      </c>
      <c r="I155" s="1095">
        <f ca="1">NewFinSumm!L27</f>
        <v>76224.856098292337</v>
      </c>
      <c r="J155" s="1095">
        <f ca="1">NewFinSumm!M27</f>
        <v>46148.822469053994</v>
      </c>
    </row>
    <row r="156" spans="2:10" ht="13.15" customHeight="1" thickBot="1" x14ac:dyDescent="0.25">
      <c r="B156" s="1093" t="s">
        <v>950</v>
      </c>
      <c r="C156" s="1095">
        <f>NewFinSumm!F28</f>
        <v>10642.210000000001</v>
      </c>
      <c r="D156" s="1095">
        <f>NewFinSumm!G28</f>
        <v>12079.01</v>
      </c>
      <c r="E156" s="1095">
        <f>NewFinSumm!H28</f>
        <v>9868.8499999999985</v>
      </c>
      <c r="F156" s="1095">
        <f>NewFinSumm!I28</f>
        <v>8148.2000000000007</v>
      </c>
      <c r="G156" s="1095">
        <f>NewFinSumm!J28</f>
        <v>17776.599999999999</v>
      </c>
      <c r="H156" s="1095">
        <f>NewFinSumm!K28</f>
        <v>30945.399999999998</v>
      </c>
      <c r="I156" s="1095">
        <f>NewFinSumm!L28</f>
        <v>30945.399999999998</v>
      </c>
      <c r="J156" s="1095">
        <f>NewFinSumm!M28</f>
        <v>30945.399999999998</v>
      </c>
    </row>
    <row r="157" spans="2:10" ht="13.15" customHeight="1" thickBot="1" x14ac:dyDescent="0.25">
      <c r="B157" s="1093" t="s">
        <v>951</v>
      </c>
      <c r="C157" s="1095">
        <f>NewFinSumm!F29</f>
        <v>3658.0400000000004</v>
      </c>
      <c r="D157" s="1095">
        <f>NewFinSumm!G29</f>
        <v>4119.6000000000004</v>
      </c>
      <c r="E157" s="1095">
        <f>NewFinSumm!H29</f>
        <v>2029.4699999999998</v>
      </c>
      <c r="F157" s="1095">
        <f>NewFinSumm!I29</f>
        <v>4323.0999999999995</v>
      </c>
      <c r="G157" s="1095">
        <f>NewFinSumm!J29</f>
        <v>5934.6999999999989</v>
      </c>
      <c r="H157" s="1095">
        <f>NewFinSumm!K29</f>
        <v>8308.2999999999993</v>
      </c>
      <c r="I157" s="1095">
        <f ca="1">NewFinSumm!L29</f>
        <v>10771.42211241203</v>
      </c>
      <c r="J157" s="1095">
        <f ca="1">NewFinSumm!M29</f>
        <v>15327.360853766697</v>
      </c>
    </row>
    <row r="158" spans="2:10" ht="13.15" customHeight="1" thickBot="1" x14ac:dyDescent="0.25">
      <c r="B158" s="1127" t="s">
        <v>952</v>
      </c>
      <c r="C158" s="1128">
        <f>SUM(C151:C157)</f>
        <v>80394.13</v>
      </c>
      <c r="D158" s="1128">
        <f t="shared" ref="D158:H158" si="88">SUM(D151:D157)</f>
        <v>91546.762999999992</v>
      </c>
      <c r="E158" s="1128">
        <f t="shared" si="88"/>
        <v>91490.726999999984</v>
      </c>
      <c r="F158" s="1128">
        <f t="shared" si="88"/>
        <v>134713.29999999999</v>
      </c>
      <c r="G158" s="1128">
        <f t="shared" si="88"/>
        <v>165791.30000000002</v>
      </c>
      <c r="H158" s="1128">
        <f t="shared" si="88"/>
        <v>199839.59999999998</v>
      </c>
      <c r="I158" s="1128">
        <f t="shared" ref="I158:J158" ca="1" si="89">SUM(I151:I157)</f>
        <v>320285.21232251101</v>
      </c>
      <c r="J158" s="1128">
        <f t="shared" ca="1" si="89"/>
        <v>371366.55834060756</v>
      </c>
    </row>
    <row r="159" spans="2:10" ht="13.15" customHeight="1" thickBot="1" x14ac:dyDescent="0.25">
      <c r="B159" s="1093" t="s">
        <v>173</v>
      </c>
      <c r="C159" s="1095">
        <f>NewFinSumm!F31</f>
        <v>70342.48000000001</v>
      </c>
      <c r="D159" s="1095">
        <f>NewFinSumm!G31</f>
        <v>78805.762999999992</v>
      </c>
      <c r="E159" s="1095">
        <f>NewFinSumm!H31</f>
        <v>83325.717000000019</v>
      </c>
      <c r="F159" s="1095">
        <f>NewFinSumm!I31</f>
        <v>126116.9</v>
      </c>
      <c r="G159" s="1095">
        <f>NewFinSumm!J31</f>
        <v>151475.20000000004</v>
      </c>
      <c r="H159" s="1095">
        <f>NewFinSumm!K31</f>
        <v>181025.89999999997</v>
      </c>
      <c r="I159" s="1095">
        <f ca="1">NewFinSumm!L31</f>
        <v>301471.51232251106</v>
      </c>
      <c r="J159" s="1095">
        <f ca="1">NewFinSumm!M31</f>
        <v>352552.85834060755</v>
      </c>
    </row>
    <row r="160" spans="2:10" ht="13.15" customHeight="1" thickBot="1" x14ac:dyDescent="0.25">
      <c r="B160" s="1093" t="s">
        <v>1733</v>
      </c>
      <c r="C160" s="1095">
        <f>NewFinSumm!F32</f>
        <v>56443.620000000017</v>
      </c>
      <c r="D160" s="1095">
        <f>NewFinSumm!G32</f>
        <v>67626.603000000003</v>
      </c>
      <c r="E160" s="1095">
        <f>NewFinSumm!H32</f>
        <v>63504.247000000025</v>
      </c>
      <c r="F160" s="1095">
        <f>NewFinSumm!I32</f>
        <v>81695.899999999994</v>
      </c>
      <c r="G160" s="1095">
        <f>NewFinSumm!J32</f>
        <v>104854.30000000005</v>
      </c>
      <c r="H160" s="1095">
        <f>NewFinSumm!K32</f>
        <v>125944.39999999997</v>
      </c>
      <c r="I160" s="1095">
        <f ca="1">NewFinSumm!L32</f>
        <v>156519.06963741203</v>
      </c>
      <c r="J160" s="1095">
        <f ca="1">NewFinSumm!M32</f>
        <v>267104.32442876673</v>
      </c>
    </row>
    <row r="161" spans="2:10" ht="13.15" customHeight="1" thickBot="1" x14ac:dyDescent="0.25">
      <c r="B161" s="1093" t="s">
        <v>603</v>
      </c>
      <c r="C161" s="1095">
        <f>NewFinSumm!F33</f>
        <v>36809.78</v>
      </c>
      <c r="D161" s="1095">
        <f>NewFinSumm!G33</f>
        <v>33704.590000000004</v>
      </c>
      <c r="E161" s="1095">
        <f>NewFinSumm!H33</f>
        <v>26120.550000000003</v>
      </c>
      <c r="F161" s="1095">
        <f>NewFinSumm!I33</f>
        <v>2904.5999999999985</v>
      </c>
      <c r="G161" s="1095">
        <f>NewFinSumm!J33</f>
        <v>21767.599999999995</v>
      </c>
      <c r="H161" s="1095">
        <f>NewFinSumm!K33</f>
        <v>40921.5</v>
      </c>
      <c r="I161" s="1095">
        <f ca="1">NewFinSumm!L33</f>
        <v>27033.035131792465</v>
      </c>
      <c r="J161" s="1095">
        <f ca="1">NewFinSumm!M33</f>
        <v>87009.85745355027</v>
      </c>
    </row>
    <row r="163" spans="2:10" ht="13.15" customHeight="1" thickBot="1" x14ac:dyDescent="0.25">
      <c r="C163" s="1129"/>
    </row>
    <row r="164" spans="2:10" ht="13.15" customHeight="1" thickBot="1" x14ac:dyDescent="0.25">
      <c r="B164" s="1125" t="s">
        <v>102</v>
      </c>
      <c r="C164" s="1130" t="s">
        <v>25</v>
      </c>
      <c r="D164" s="1130" t="s">
        <v>26</v>
      </c>
      <c r="E164" s="1130" t="s">
        <v>27</v>
      </c>
      <c r="F164" s="1130" t="s">
        <v>273</v>
      </c>
      <c r="G164" s="1130" t="s">
        <v>347</v>
      </c>
      <c r="H164" s="1130" t="s">
        <v>177</v>
      </c>
      <c r="I164" s="1130" t="s">
        <v>178</v>
      </c>
      <c r="J164" s="1130" t="s">
        <v>179</v>
      </c>
    </row>
    <row r="165" spans="2:10" ht="13.15" customHeight="1" thickBot="1" x14ac:dyDescent="0.25">
      <c r="B165" s="1093" t="s">
        <v>956</v>
      </c>
      <c r="C165" s="1095">
        <f>NewFinSumm!F35</f>
        <v>10562.759999999997</v>
      </c>
      <c r="D165" s="1095">
        <f>NewFinSumm!G35</f>
        <v>12984.77</v>
      </c>
      <c r="E165" s="1095">
        <f>NewFinSumm!H35</f>
        <v>19778.839999999997</v>
      </c>
      <c r="F165" s="1095">
        <f>NewFinSumm!I35</f>
        <v>20507.600000000002</v>
      </c>
      <c r="G165" s="1095">
        <f>NewFinSumm!J35</f>
        <v>23740.799999999996</v>
      </c>
      <c r="H165" s="1095">
        <f>NewFinSumm!K35</f>
        <v>23680.700000000004</v>
      </c>
      <c r="I165" s="1095">
        <f ca="1">NewFinSumm!L35</f>
        <v>30826.000694644612</v>
      </c>
      <c r="J165" s="1095">
        <f ca="1">NewFinSumm!M35</f>
        <v>47216.024204597117</v>
      </c>
    </row>
    <row r="166" spans="2:10" ht="13.15" customHeight="1" thickBot="1" x14ac:dyDescent="0.25">
      <c r="B166" s="1093" t="s">
        <v>957</v>
      </c>
      <c r="C166" s="1095">
        <f>NewFinSumm!F36</f>
        <v>9901.8799999999974</v>
      </c>
      <c r="D166" s="1095">
        <f>NewFinSumm!G36</f>
        <v>11762.300000000001</v>
      </c>
      <c r="E166" s="1095">
        <f>NewFinSumm!H36</f>
        <v>17972.269999999997</v>
      </c>
      <c r="F166" s="1095">
        <f>NewFinSumm!I36</f>
        <v>18032.100000000002</v>
      </c>
      <c r="G166" s="1095">
        <f>NewFinSumm!J36</f>
        <v>21004.399999999994</v>
      </c>
      <c r="H166" s="1095">
        <f>NewFinSumm!K36</f>
        <v>20215.000000000004</v>
      </c>
      <c r="I166" s="1095">
        <f ca="1">NewFinSumm!L36</f>
        <v>26194.516060887494</v>
      </c>
      <c r="J166" s="1095">
        <f ca="1">NewFinSumm!M36</f>
        <v>40450.407946958192</v>
      </c>
    </row>
    <row r="167" spans="2:10" ht="13.15" customHeight="1" thickBot="1" x14ac:dyDescent="0.25">
      <c r="B167" s="1093" t="s">
        <v>158</v>
      </c>
      <c r="C167" s="1095">
        <f>NewFinSumm!F37</f>
        <v>-17226.12</v>
      </c>
      <c r="D167" s="1095">
        <f>NewFinSumm!G37</f>
        <v>-5090.7700000000004</v>
      </c>
      <c r="E167" s="1095">
        <f>NewFinSumm!H37</f>
        <v>-2793.56</v>
      </c>
      <c r="F167" s="1095">
        <f>NewFinSumm!I37</f>
        <v>-20711.599999999999</v>
      </c>
      <c r="G167" s="1095">
        <f>NewFinSumm!J37</f>
        <v>-30400.100000000002</v>
      </c>
      <c r="H167" s="1095">
        <f>NewFinSumm!K37</f>
        <v>-24916.400000000001</v>
      </c>
      <c r="I167" s="1095">
        <f>NewFinSumm!L37</f>
        <v>-72388.516586806669</v>
      </c>
      <c r="J167" s="1095">
        <f>NewFinSumm!M37</f>
        <v>-89062.124855980161</v>
      </c>
    </row>
    <row r="168" spans="2:10" ht="13.15" customHeight="1" thickBot="1" x14ac:dyDescent="0.25">
      <c r="B168" s="1093" t="s">
        <v>162</v>
      </c>
      <c r="C168" s="1095">
        <f>NewFinSumm!F38</f>
        <v>-7324.2400000000016</v>
      </c>
      <c r="D168" s="1095">
        <f>NewFinSumm!G38</f>
        <v>6671.5300000000007</v>
      </c>
      <c r="E168" s="1095">
        <f>NewFinSumm!H38</f>
        <v>15178.709999999997</v>
      </c>
      <c r="F168" s="1095">
        <f>NewFinSumm!I38</f>
        <v>-2679.4999999999964</v>
      </c>
      <c r="G168" s="1095">
        <f>NewFinSumm!J38</f>
        <v>-9395.700000000008</v>
      </c>
      <c r="H168" s="1095">
        <f>NewFinSumm!K38</f>
        <v>-4701.3999999999978</v>
      </c>
      <c r="I168" s="1095">
        <f ca="1">NewFinSumm!L38</f>
        <v>-46194.000525919175</v>
      </c>
      <c r="J168" s="1095">
        <f ca="1">NewFinSumm!M38</f>
        <v>-48611.716909021969</v>
      </c>
    </row>
    <row r="169" spans="2:10" ht="13.15" customHeight="1" thickBot="1" x14ac:dyDescent="0.25">
      <c r="B169" s="1093" t="s">
        <v>960</v>
      </c>
      <c r="C169" s="1095">
        <f>NewFinSumm!F40</f>
        <v>-16367.939999999999</v>
      </c>
      <c r="D169" s="1095">
        <f>NewFinSumm!G40</f>
        <v>-8013.2200000000012</v>
      </c>
      <c r="E169" s="1095">
        <f>NewFinSumm!H40</f>
        <v>-6207.92</v>
      </c>
      <c r="F169" s="1095">
        <f>NewFinSumm!I40</f>
        <v>-42046.8</v>
      </c>
      <c r="G169" s="1095">
        <f>NewFinSumm!J40</f>
        <v>-16968.800000000003</v>
      </c>
      <c r="H169" s="1095">
        <f>NewFinSumm!K40</f>
        <v>-20621.5</v>
      </c>
      <c r="I169" s="1095">
        <f>NewFinSumm!L40</f>
        <v>-72388.516586806669</v>
      </c>
      <c r="J169" s="1095">
        <f>NewFinSumm!M40</f>
        <v>-89062.124855980161</v>
      </c>
    </row>
    <row r="170" spans="2:10" ht="13.15" customHeight="1" thickBot="1" x14ac:dyDescent="0.25">
      <c r="B170" s="1093" t="s">
        <v>961</v>
      </c>
      <c r="C170" s="1095">
        <f>NewFinSumm!F41</f>
        <v>6408.57</v>
      </c>
      <c r="D170" s="1095">
        <f>NewFinSumm!G41</f>
        <v>25.529999999999745</v>
      </c>
      <c r="E170" s="1095">
        <f>NewFinSumm!H41</f>
        <v>-10865.62</v>
      </c>
      <c r="F170" s="1095">
        <f>NewFinSumm!I41</f>
        <v>25038.799999999999</v>
      </c>
      <c r="G170" s="1095">
        <f>NewFinSumm!J41</f>
        <v>-5213.4000000000005</v>
      </c>
      <c r="H170" s="1095">
        <f>NewFinSumm!K41</f>
        <v>2271.5000000000023</v>
      </c>
      <c r="I170" s="1095">
        <f ca="1">NewFinSumm!L41</f>
        <v>99241.856624211505</v>
      </c>
      <c r="J170" s="1095">
        <f ca="1">NewFinSumm!M41</f>
        <v>18535.683279783629</v>
      </c>
    </row>
    <row r="171" spans="2:10" ht="13.15" customHeight="1" thickBot="1" x14ac:dyDescent="0.25">
      <c r="B171" s="1131" t="s">
        <v>962</v>
      </c>
      <c r="C171" s="1095">
        <f>NewFinSumm!F42</f>
        <v>2648.4</v>
      </c>
      <c r="D171" s="1095">
        <f>NewFinSumm!G42</f>
        <v>10382.349999999999</v>
      </c>
      <c r="E171" s="1095">
        <f>NewFinSumm!H42</f>
        <v>19361.34</v>
      </c>
      <c r="F171" s="1095">
        <f>NewFinSumm!I42</f>
        <v>43100.600000000006</v>
      </c>
      <c r="G171" s="1095">
        <f>NewFinSumm!J42</f>
        <v>26418.5</v>
      </c>
      <c r="H171" s="1095">
        <f>NewFinSumm!K42</f>
        <v>23197.1</v>
      </c>
      <c r="I171" s="1095">
        <f ca="1">NewFinSumm!L42</f>
        <v>76244.956098292343</v>
      </c>
      <c r="J171" s="1095">
        <f ca="1">NewFinSumm!M42</f>
        <v>46168.922469053992</v>
      </c>
    </row>
  </sheetData>
  <mergeCells count="5">
    <mergeCell ref="U110:AB110"/>
    <mergeCell ref="AC110:AC111"/>
    <mergeCell ref="U117:AB117"/>
    <mergeCell ref="U122:AB122"/>
    <mergeCell ref="U127:AB127"/>
  </mergeCells>
  <pageMargins left="0.7" right="0.7" top="0.75" bottom="0.75" header="0.3" footer="0.3"/>
  <ignoredErrors>
    <ignoredError sqref="D118:E118 C141 D141:G141" formula="1"/>
  </ignoredErrors>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9B4A5-9AD3-48C9-87C9-C3A95BA43902}">
  <dimension ref="B2:G63"/>
  <sheetViews>
    <sheetView topLeftCell="A29" workbookViewId="0">
      <selection activeCell="I19" sqref="I19"/>
    </sheetView>
  </sheetViews>
  <sheetFormatPr defaultRowHeight="15" x14ac:dyDescent="0.25"/>
  <cols>
    <col min="2" max="2" width="49.7109375" customWidth="1"/>
    <col min="3" max="3" width="9.28515625" customWidth="1"/>
    <col min="4" max="4" width="9.28515625" bestFit="1" customWidth="1"/>
    <col min="5" max="7" width="9.7109375" bestFit="1" customWidth="1"/>
  </cols>
  <sheetData>
    <row r="2" spans="2:7" x14ac:dyDescent="0.25">
      <c r="C2" s="905" t="s">
        <v>26</v>
      </c>
      <c r="D2" s="905" t="s">
        <v>27</v>
      </c>
      <c r="E2" s="905" t="s">
        <v>273</v>
      </c>
      <c r="F2" s="905" t="s">
        <v>28</v>
      </c>
      <c r="G2" s="905" t="s">
        <v>177</v>
      </c>
    </row>
    <row r="3" spans="2:7" x14ac:dyDescent="0.25">
      <c r="B3" t="s">
        <v>52</v>
      </c>
      <c r="C3" s="537">
        <f>Consol!K54</f>
        <v>1.5616466666666644</v>
      </c>
      <c r="D3" s="537">
        <f>Consol!L54</f>
        <v>3.5230361904761915</v>
      </c>
      <c r="E3" s="537">
        <f>Consol!M54</f>
        <v>5.5043333333333306</v>
      </c>
      <c r="F3" s="537">
        <f>Consol!N54</f>
        <v>7.1575238095238083</v>
      </c>
      <c r="G3" s="537">
        <f>Consol!O54</f>
        <v>7.2538571428571421</v>
      </c>
    </row>
    <row r="4" spans="2:7" x14ac:dyDescent="0.25">
      <c r="B4" t="s">
        <v>1596</v>
      </c>
      <c r="C4" s="905" t="s">
        <v>1597</v>
      </c>
      <c r="D4" s="905" t="s">
        <v>1597</v>
      </c>
      <c r="E4" s="905" t="s">
        <v>1597</v>
      </c>
      <c r="F4" s="532">
        <f>F3/E3-1</f>
        <v>0.30034345234490623</v>
      </c>
      <c r="G4" s="532">
        <f>G3/F3-1</f>
        <v>1.3459030790111015E-2</v>
      </c>
    </row>
    <row r="5" spans="2:7" x14ac:dyDescent="0.25">
      <c r="B5" t="s">
        <v>53</v>
      </c>
      <c r="C5" s="235">
        <f ca="1">Valuation!$C$2/ITI!C3</f>
        <v>223.12985865347292</v>
      </c>
      <c r="D5" s="235">
        <f ca="1">Valuation!$C$2/ITI!D3</f>
        <v>98.906165353045012</v>
      </c>
      <c r="E5" s="235">
        <f ca="1">Valuation!$C$2/ITI!E3</f>
        <v>63.304669048628384</v>
      </c>
      <c r="F5" s="235">
        <f ca="1">Valuation!$C$2/ITI!F3</f>
        <v>48.683037496340852</v>
      </c>
      <c r="G5" s="235">
        <f ca="1">Valuation!$C$2/ITI!G3</f>
        <v>48.036512594284815</v>
      </c>
    </row>
    <row r="6" spans="2:7" ht="15.75" thickBot="1" x14ac:dyDescent="0.3"/>
    <row r="7" spans="2:7" ht="15.75" thickBot="1" x14ac:dyDescent="0.3">
      <c r="B7" s="906" t="s">
        <v>1598</v>
      </c>
      <c r="C7" s="923" t="s">
        <v>26</v>
      </c>
      <c r="D7" s="923" t="s">
        <v>27</v>
      </c>
      <c r="E7" s="923" t="s">
        <v>273</v>
      </c>
      <c r="F7" s="923" t="s">
        <v>28</v>
      </c>
      <c r="G7" s="923" t="s">
        <v>177</v>
      </c>
    </row>
    <row r="8" spans="2:7" ht="15.75" thickBot="1" x14ac:dyDescent="0.3">
      <c r="B8" s="908"/>
      <c r="C8" s="909"/>
      <c r="D8" s="909"/>
      <c r="E8" s="909"/>
      <c r="F8" s="909"/>
      <c r="G8" s="909"/>
    </row>
    <row r="9" spans="2:7" ht="15.75" thickBot="1" x14ac:dyDescent="0.3">
      <c r="B9" s="911" t="s">
        <v>201</v>
      </c>
      <c r="C9" s="919">
        <f>Consol!K16</f>
        <v>22730.587999999996</v>
      </c>
      <c r="D9" s="919">
        <f>Consol!L16</f>
        <v>31947.396000000001</v>
      </c>
      <c r="E9" s="919">
        <f>Consol!M16</f>
        <v>37628.899999999994</v>
      </c>
      <c r="F9" s="919">
        <f>Consol!N16</f>
        <v>44761.4</v>
      </c>
      <c r="G9" s="919">
        <f>Consol!O16</f>
        <v>53614.400000000001</v>
      </c>
    </row>
    <row r="10" spans="2:7" ht="15.75" thickBot="1" x14ac:dyDescent="0.3">
      <c r="B10" s="911" t="s">
        <v>34</v>
      </c>
      <c r="C10" s="919">
        <f>Consol!K23</f>
        <v>11094.307999999995</v>
      </c>
      <c r="D10" s="919">
        <f>Consol!L23</f>
        <v>16201.896000000001</v>
      </c>
      <c r="E10" s="919">
        <f>Consol!M23</f>
        <v>19645.599999999995</v>
      </c>
      <c r="F10" s="919">
        <f>Consol!N23</f>
        <v>22621.8</v>
      </c>
      <c r="G10" s="919">
        <f>Consol!O23</f>
        <v>26037.3</v>
      </c>
    </row>
    <row r="11" spans="2:7" ht="15.75" thickBot="1" x14ac:dyDescent="0.3">
      <c r="B11" s="913" t="s">
        <v>1599</v>
      </c>
      <c r="C11" s="924">
        <f>C10/C9</f>
        <v>0.48807835503419433</v>
      </c>
      <c r="D11" s="924">
        <f>D10/D9</f>
        <v>0.50714292958336882</v>
      </c>
      <c r="E11" s="924">
        <f>E10/E9</f>
        <v>0.52208807592036965</v>
      </c>
      <c r="F11" s="924">
        <f>F10/F9</f>
        <v>0.50538633733529337</v>
      </c>
      <c r="G11" s="924">
        <f>G10/G9</f>
        <v>0.48564005192634813</v>
      </c>
    </row>
    <row r="12" spans="2:7" ht="15.75" thickBot="1" x14ac:dyDescent="0.3">
      <c r="B12" s="914" t="s">
        <v>1600</v>
      </c>
      <c r="C12" s="915"/>
      <c r="D12" s="915"/>
      <c r="E12" s="915"/>
      <c r="F12" s="915"/>
      <c r="G12" s="915"/>
    </row>
    <row r="13" spans="2:7" ht="15.75" thickBot="1" x14ac:dyDescent="0.3">
      <c r="B13" s="916" t="s">
        <v>1601</v>
      </c>
      <c r="C13" s="920">
        <f>Consol!K27</f>
        <v>1056.79</v>
      </c>
      <c r="D13" s="920">
        <f>Consol!L27</f>
        <v>1781.13</v>
      </c>
      <c r="E13" s="920">
        <f>Consol!M27</f>
        <v>2694.1</v>
      </c>
      <c r="F13" s="920">
        <f>Consol!N27</f>
        <v>3529.5</v>
      </c>
      <c r="G13" s="920">
        <f>Consol!O27</f>
        <v>3459.5</v>
      </c>
    </row>
    <row r="14" spans="2:7" ht="15.75" thickBot="1" x14ac:dyDescent="0.3">
      <c r="B14" s="916" t="s">
        <v>1153</v>
      </c>
      <c r="C14" s="920">
        <f>Consol!K32</f>
        <v>4196.22</v>
      </c>
      <c r="D14" s="920">
        <f>Consol!L32</f>
        <v>5960.8</v>
      </c>
      <c r="E14" s="920">
        <f>Consol!M32</f>
        <v>3324.6</v>
      </c>
      <c r="F14" s="920">
        <f>Consol!N32</f>
        <v>2657.4</v>
      </c>
      <c r="G14" s="920">
        <f>Consol!O32</f>
        <v>3829.9</v>
      </c>
    </row>
    <row r="15" spans="2:7" ht="15.75" thickBot="1" x14ac:dyDescent="0.3">
      <c r="B15" s="916" t="s">
        <v>199</v>
      </c>
      <c r="C15" s="920">
        <f>Consol!K28</f>
        <v>3695.05</v>
      </c>
      <c r="D15" s="920">
        <f>Consol!L28</f>
        <v>3912.23</v>
      </c>
      <c r="E15" s="920">
        <f>Consol!M28</f>
        <v>4364.8</v>
      </c>
      <c r="F15" s="920">
        <f>Consol!N28</f>
        <v>5465.5</v>
      </c>
      <c r="G15" s="920">
        <f>Consol!O28</f>
        <v>6141.2</v>
      </c>
    </row>
    <row r="16" spans="2:7" ht="15.75" thickBot="1" x14ac:dyDescent="0.3">
      <c r="B16" s="916" t="s">
        <v>1602</v>
      </c>
      <c r="C16" s="915"/>
      <c r="D16" s="915"/>
      <c r="E16" s="915"/>
      <c r="F16" s="915"/>
      <c r="G16" s="915"/>
    </row>
    <row r="17" spans="2:7" ht="15.75" thickBot="1" x14ac:dyDescent="0.3">
      <c r="B17" s="911" t="s">
        <v>1603</v>
      </c>
      <c r="C17" s="921">
        <f>C10+C13-C14-C15</f>
        <v>4259.8279999999941</v>
      </c>
      <c r="D17" s="921">
        <f>D10+D13-D14-D15</f>
        <v>8109.9960000000028</v>
      </c>
      <c r="E17" s="921">
        <f>E10+E13-E14-E15</f>
        <v>14650.299999999996</v>
      </c>
      <c r="F17" s="921">
        <f>F10+F13-F14-F15</f>
        <v>18028.399999999998</v>
      </c>
      <c r="G17" s="921">
        <f>G10+G13-G14-G15</f>
        <v>19525.699999999997</v>
      </c>
    </row>
    <row r="18" spans="2:7" ht="15.75" thickBot="1" x14ac:dyDescent="0.3">
      <c r="B18" s="914" t="s">
        <v>1604</v>
      </c>
      <c r="C18" s="922">
        <f>Consol!K41</f>
        <v>955.45999999999992</v>
      </c>
      <c r="D18" s="922">
        <f>Consol!L41</f>
        <v>614.79</v>
      </c>
      <c r="E18" s="922">
        <f>Consol!M41</f>
        <v>3043.4</v>
      </c>
      <c r="F18" s="922">
        <f>Consol!N41</f>
        <v>2813.6000000000004</v>
      </c>
      <c r="G18" s="922">
        <f>Consol!O41</f>
        <v>3259.3999999999996</v>
      </c>
    </row>
    <row r="19" spans="2:7" ht="15.75" thickBot="1" x14ac:dyDescent="0.3">
      <c r="B19" s="914" t="s">
        <v>1605</v>
      </c>
      <c r="C19" s="925">
        <f>C18/C17</f>
        <v>0.22429544103658675</v>
      </c>
      <c r="D19" s="925">
        <f>D18/D17</f>
        <v>7.5806449226362108E-2</v>
      </c>
      <c r="E19" s="925">
        <f>E18/E17</f>
        <v>0.20773636034756973</v>
      </c>
      <c r="F19" s="925">
        <f>F18/F17</f>
        <v>0.15606487541878375</v>
      </c>
      <c r="G19" s="925">
        <f>G18/G17</f>
        <v>0.16692871446350196</v>
      </c>
    </row>
    <row r="20" spans="2:7" ht="15.75" thickBot="1" x14ac:dyDescent="0.3">
      <c r="B20" s="911" t="s">
        <v>1606</v>
      </c>
      <c r="C20" s="921">
        <f>C17-C18</f>
        <v>3304.367999999994</v>
      </c>
      <c r="D20" s="921">
        <f>D17-D18</f>
        <v>7495.2060000000029</v>
      </c>
      <c r="E20" s="921">
        <f>E17-E18</f>
        <v>11606.899999999996</v>
      </c>
      <c r="F20" s="921">
        <f>F17-F18</f>
        <v>15214.799999999997</v>
      </c>
      <c r="G20" s="921">
        <f>G17-G18</f>
        <v>16266.299999999997</v>
      </c>
    </row>
    <row r="21" spans="2:7" ht="15.75" thickBot="1" x14ac:dyDescent="0.3"/>
    <row r="22" spans="2:7" ht="15.75" thickBot="1" x14ac:dyDescent="0.3">
      <c r="B22" s="906" t="s">
        <v>1607</v>
      </c>
      <c r="C22" s="907" t="s">
        <v>26</v>
      </c>
      <c r="D22" s="907" t="s">
        <v>27</v>
      </c>
      <c r="E22" s="907" t="s">
        <v>273</v>
      </c>
      <c r="F22" s="907" t="s">
        <v>28</v>
      </c>
      <c r="G22" s="907" t="s">
        <v>177</v>
      </c>
    </row>
    <row r="23" spans="2:7" ht="15.75" thickBot="1" x14ac:dyDescent="0.3">
      <c r="B23" s="910"/>
      <c r="C23" s="909"/>
      <c r="D23" s="909"/>
      <c r="E23" s="909"/>
      <c r="F23" s="909"/>
      <c r="G23" s="909"/>
    </row>
    <row r="24" spans="2:7" ht="15.75" thickBot="1" x14ac:dyDescent="0.3">
      <c r="B24" s="916" t="s">
        <v>1608</v>
      </c>
      <c r="C24" s="919">
        <f>Consol!K105</f>
        <v>10382.349999999999</v>
      </c>
      <c r="D24" s="919">
        <f>Consol!L105</f>
        <v>16316.43</v>
      </c>
      <c r="E24" s="919">
        <f>Consol!M105</f>
        <v>40902.200000000004</v>
      </c>
      <c r="F24" s="919">
        <f>Consol!N105</f>
        <v>24820.7</v>
      </c>
      <c r="G24" s="919">
        <f>Consol!O105</f>
        <v>23177</v>
      </c>
    </row>
    <row r="25" spans="2:7" ht="15.75" thickBot="1" x14ac:dyDescent="0.3">
      <c r="B25" s="916" t="s">
        <v>1609</v>
      </c>
      <c r="C25" s="919">
        <f>Consol!K104</f>
        <v>6013.45</v>
      </c>
      <c r="D25" s="919">
        <f>Consol!L104</f>
        <v>4023.72</v>
      </c>
      <c r="E25" s="919">
        <f>Consol!M104</f>
        <v>6767.9</v>
      </c>
      <c r="F25" s="919">
        <f>Consol!N104</f>
        <v>8090.2999999999993</v>
      </c>
      <c r="G25" s="919">
        <f>Consol!O104</f>
        <v>10579.9</v>
      </c>
    </row>
    <row r="26" spans="2:7" ht="15.75" thickBot="1" x14ac:dyDescent="0.3">
      <c r="B26" s="916" t="s">
        <v>1610</v>
      </c>
      <c r="C26" s="926">
        <f>Consol!K103</f>
        <v>854.06</v>
      </c>
      <c r="D26" s="926">
        <f>Consol!L103</f>
        <v>1021.6</v>
      </c>
      <c r="E26" s="926">
        <f>Consol!M103</f>
        <v>1117.4000000000001</v>
      </c>
      <c r="F26" s="926">
        <f>Consol!N103</f>
        <v>1338</v>
      </c>
      <c r="G26" s="926">
        <f>Consol!O103</f>
        <v>1473.3</v>
      </c>
    </row>
    <row r="27" spans="2:7" ht="15.75" thickBot="1" x14ac:dyDescent="0.3">
      <c r="B27" s="916" t="s">
        <v>1611</v>
      </c>
      <c r="C27" s="920">
        <f>Consol!K106</f>
        <v>2333.33</v>
      </c>
      <c r="D27" s="920">
        <f>Consol!L106</f>
        <v>585.49</v>
      </c>
      <c r="E27" s="920">
        <f>Consol!M106</f>
        <v>73.599999999999994</v>
      </c>
      <c r="F27" s="920">
        <f>Consol!N106</f>
        <v>0</v>
      </c>
      <c r="G27" s="920">
        <f>Consol!O106</f>
        <v>0</v>
      </c>
    </row>
    <row r="28" spans="2:7" ht="15.75" thickBot="1" x14ac:dyDescent="0.3">
      <c r="B28" s="916" t="s">
        <v>1612</v>
      </c>
      <c r="C28" s="920">
        <f>Consol!K107+Consol!K102</f>
        <v>3779.39</v>
      </c>
      <c r="D28" s="920">
        <f>Consol!L107+Consol!L102</f>
        <v>5954.86</v>
      </c>
      <c r="E28" s="920">
        <f>Consol!M107+Consol!M102</f>
        <v>5020.7000000000007</v>
      </c>
      <c r="F28" s="920">
        <f>Consol!N107+Consol!N102</f>
        <v>7137</v>
      </c>
      <c r="G28" s="920">
        <f>Consol!O107+Consol!O102</f>
        <v>8994.3000000000011</v>
      </c>
    </row>
    <row r="29" spans="2:7" ht="15.75" thickBot="1" x14ac:dyDescent="0.3">
      <c r="B29" s="911" t="s">
        <v>95</v>
      </c>
      <c r="C29" s="919">
        <f>SUM(C24:C28)</f>
        <v>23362.58</v>
      </c>
      <c r="D29" s="919">
        <f>SUM(D24:D28)</f>
        <v>27902.100000000002</v>
      </c>
      <c r="E29" s="919">
        <f>SUM(E24:E28)</f>
        <v>53881.8</v>
      </c>
      <c r="F29" s="919">
        <f>SUM(F24:F28)</f>
        <v>41386</v>
      </c>
      <c r="G29" s="919">
        <f>SUM(G24:G28)</f>
        <v>44224.500000000007</v>
      </c>
    </row>
    <row r="30" spans="2:7" ht="15.75" thickBot="1" x14ac:dyDescent="0.3">
      <c r="B30" s="910"/>
      <c r="C30" s="915"/>
      <c r="D30" s="915"/>
      <c r="E30" s="915"/>
      <c r="F30" s="915"/>
      <c r="G30" s="915"/>
    </row>
    <row r="31" spans="2:7" ht="15.75" thickBot="1" x14ac:dyDescent="0.3">
      <c r="B31" s="911" t="s">
        <v>1230</v>
      </c>
      <c r="C31" s="920">
        <f>Consol!K89+Consol!K93</f>
        <v>61338.913</v>
      </c>
      <c r="D31" s="920">
        <f>Consol!L89+Consol!L93</f>
        <v>59745.566999999995</v>
      </c>
      <c r="E31" s="920">
        <f>Consol!M89+Consol!M93</f>
        <v>77574.5</v>
      </c>
      <c r="F31" s="920">
        <f>Consol!N89+Consol!N93</f>
        <v>93929.299999999988</v>
      </c>
      <c r="G31" s="920">
        <f>Consol!O89+Consol!O93</f>
        <v>104306.1</v>
      </c>
    </row>
    <row r="32" spans="2:7" ht="15.75" thickBot="1" x14ac:dyDescent="0.3">
      <c r="B32" s="910"/>
      <c r="C32" s="912"/>
      <c r="D32" s="912"/>
      <c r="E32" s="912"/>
      <c r="F32" s="912"/>
      <c r="G32" s="912"/>
    </row>
    <row r="33" spans="2:7" ht="15.75" thickBot="1" x14ac:dyDescent="0.3">
      <c r="B33" s="916" t="s">
        <v>1613</v>
      </c>
      <c r="C33" s="920">
        <f>Consol!K87</f>
        <v>47405.001000000004</v>
      </c>
      <c r="D33" s="920">
        <f>Consol!L87</f>
        <v>48886.498</v>
      </c>
      <c r="E33" s="920">
        <f>Consol!M87</f>
        <v>64231</v>
      </c>
      <c r="F33" s="920">
        <f>Consol!N87</f>
        <v>84934.2</v>
      </c>
      <c r="G33" s="920">
        <f>Consol!O87</f>
        <v>96892.4</v>
      </c>
    </row>
    <row r="34" spans="2:7" ht="15.75" thickBot="1" x14ac:dyDescent="0.3">
      <c r="B34" s="916" t="s">
        <v>1614</v>
      </c>
      <c r="C34" s="920">
        <f>Consol!K88</f>
        <v>8692.8780000000006</v>
      </c>
      <c r="D34" s="920">
        <f>Consol!L88</f>
        <v>10435.481</v>
      </c>
      <c r="E34" s="920">
        <f>Consol!M88</f>
        <v>13102.9</v>
      </c>
      <c r="F34" s="920">
        <f>Consol!N88</f>
        <v>16802.5</v>
      </c>
      <c r="G34" s="920">
        <f>Consol!O88</f>
        <v>22943.7</v>
      </c>
    </row>
    <row r="35" spans="2:7" ht="15.75" thickBot="1" x14ac:dyDescent="0.3">
      <c r="B35" s="916" t="s">
        <v>1615</v>
      </c>
      <c r="C35" s="920">
        <f>Consol!K90+Consol!K94</f>
        <v>796.81000000000006</v>
      </c>
      <c r="D35" s="920">
        <f>Consol!L90+Consol!L94</f>
        <v>460.13</v>
      </c>
      <c r="E35" s="920">
        <f>Consol!M90+Consol!M94</f>
        <v>1320.3999999999999</v>
      </c>
      <c r="F35" s="920">
        <f>Consol!N90+Consol!N94</f>
        <v>20202.400000000001</v>
      </c>
      <c r="G35" s="920">
        <f>Consol!O90+Consol!O94</f>
        <v>31884.400000000001</v>
      </c>
    </row>
    <row r="36" spans="2:7" ht="15.75" thickBot="1" x14ac:dyDescent="0.3">
      <c r="B36" s="916" t="s">
        <v>1616</v>
      </c>
      <c r="C36" s="917"/>
      <c r="D36" s="917"/>
      <c r="E36" s="917"/>
      <c r="F36" s="917"/>
      <c r="G36" s="917"/>
    </row>
    <row r="37" spans="2:7" ht="15.75" thickBot="1" x14ac:dyDescent="0.3">
      <c r="B37" s="910"/>
      <c r="C37" s="917"/>
      <c r="D37" s="917"/>
      <c r="E37" s="917"/>
      <c r="F37" s="917"/>
      <c r="G37" s="917"/>
    </row>
    <row r="38" spans="2:7" ht="15.75" thickBot="1" x14ac:dyDescent="0.3">
      <c r="B38" s="916" t="s">
        <v>1617</v>
      </c>
      <c r="C38" s="920">
        <f>Consol!K99+Consol!K97+Consol!K98</f>
        <v>5966.2900000000009</v>
      </c>
      <c r="D38" s="920">
        <f>Consol!L99+Consol!L97+Consol!L98</f>
        <v>6373.41</v>
      </c>
      <c r="E38" s="920">
        <f>Consol!M99+Consol!M97+Consol!M98</f>
        <v>5252.3</v>
      </c>
      <c r="F38" s="920">
        <f>Consol!N99+Consol!N97+Consol!N98</f>
        <v>12237.4</v>
      </c>
      <c r="G38" s="920">
        <f>Consol!O99+Consol!O97+Consol!O98</f>
        <v>21971.199999999997</v>
      </c>
    </row>
    <row r="39" spans="2:7" ht="15.75" thickBot="1" x14ac:dyDescent="0.3">
      <c r="B39" s="916" t="s">
        <v>1618</v>
      </c>
      <c r="C39" s="920">
        <f>Consol!K96</f>
        <v>2830.08</v>
      </c>
      <c r="D39" s="920">
        <f>Consol!L96</f>
        <v>25.37</v>
      </c>
      <c r="E39" s="920">
        <f>Consol!M96</f>
        <v>246.5</v>
      </c>
      <c r="F39" s="920">
        <f>Consol!N96</f>
        <v>1529.8</v>
      </c>
      <c r="G39" s="920">
        <f>Consol!O96</f>
        <v>1198.3</v>
      </c>
    </row>
    <row r="40" spans="2:7" ht="15.75" thickBot="1" x14ac:dyDescent="0.3">
      <c r="B40" s="910"/>
      <c r="C40" s="917"/>
      <c r="D40" s="917"/>
      <c r="E40" s="917"/>
      <c r="F40" s="917"/>
      <c r="G40" s="917"/>
    </row>
    <row r="41" spans="2:7" ht="15.75" thickBot="1" x14ac:dyDescent="0.3">
      <c r="B41" s="911" t="s">
        <v>1619</v>
      </c>
      <c r="C41" s="928">
        <f>C39+C38+C35+C31</f>
        <v>70932.092999999993</v>
      </c>
      <c r="D41" s="928">
        <f>D39+D38+D35+D31</f>
        <v>66604.476999999999</v>
      </c>
      <c r="E41" s="928">
        <f>E39+E38+E35+E31</f>
        <v>84393.7</v>
      </c>
      <c r="F41" s="928">
        <f>F39+F38+F35+F31</f>
        <v>127898.9</v>
      </c>
      <c r="G41" s="928">
        <f>G39+G38+G35+G31</f>
        <v>159360</v>
      </c>
    </row>
    <row r="42" spans="2:7" ht="15.75" thickBot="1" x14ac:dyDescent="0.3">
      <c r="B42" s="910"/>
      <c r="C42" s="917"/>
      <c r="D42" s="917"/>
      <c r="E42" s="917"/>
      <c r="F42" s="917"/>
      <c r="G42" s="917"/>
    </row>
    <row r="43" spans="2:7" ht="15.75" thickBot="1" x14ac:dyDescent="0.3">
      <c r="B43" s="911" t="s">
        <v>101</v>
      </c>
      <c r="C43" s="928">
        <f>C41+C29</f>
        <v>94294.672999999995</v>
      </c>
      <c r="D43" s="928">
        <f>D41+D29</f>
        <v>94506.577000000005</v>
      </c>
      <c r="E43" s="928">
        <f>E41+E29</f>
        <v>138275.5</v>
      </c>
      <c r="F43" s="928">
        <f>F41+F29</f>
        <v>169284.9</v>
      </c>
      <c r="G43" s="928">
        <f>G41+G29</f>
        <v>203584.5</v>
      </c>
    </row>
    <row r="44" spans="2:7" ht="15.75" thickBot="1" x14ac:dyDescent="0.3">
      <c r="B44" s="910"/>
      <c r="C44" s="917"/>
      <c r="D44" s="917"/>
      <c r="E44" s="917"/>
      <c r="F44" s="917"/>
      <c r="G44" s="917"/>
    </row>
    <row r="45" spans="2:7" ht="15.75" thickBot="1" x14ac:dyDescent="0.3">
      <c r="B45" s="911" t="s">
        <v>1620</v>
      </c>
      <c r="C45" s="909"/>
      <c r="D45" s="909"/>
      <c r="E45" s="909"/>
      <c r="F45" s="909"/>
      <c r="G45" s="909"/>
    </row>
    <row r="46" spans="2:7" ht="15.75" thickBot="1" x14ac:dyDescent="0.3">
      <c r="B46" s="910"/>
      <c r="C46" s="917"/>
      <c r="D46" s="917"/>
      <c r="E46" s="917"/>
      <c r="F46" s="917"/>
      <c r="G46" s="917"/>
    </row>
    <row r="47" spans="2:7" ht="15.75" thickBot="1" x14ac:dyDescent="0.3">
      <c r="B47" s="916" t="s">
        <v>1621</v>
      </c>
      <c r="C47" s="927">
        <f>Consol!K72+Consol!K73</f>
        <v>3140.12</v>
      </c>
      <c r="D47" s="927">
        <f>Consol!L72+Consol!L73</f>
        <v>1482.58</v>
      </c>
      <c r="E47" s="927">
        <f>Consol!M72+Consol!M73</f>
        <v>1105</v>
      </c>
      <c r="F47" s="927">
        <f>Consol!N72+Consol!N73</f>
        <v>2198.1999999999998</v>
      </c>
      <c r="G47" s="927">
        <f>Consol!O72+Consol!O73</f>
        <v>4581.8999999999996</v>
      </c>
    </row>
    <row r="48" spans="2:7" ht="15.75" thickBot="1" x14ac:dyDescent="0.3">
      <c r="B48" s="916" t="s">
        <v>1622</v>
      </c>
      <c r="C48" s="927">
        <f>Consol!K110</f>
        <v>2747.91</v>
      </c>
      <c r="D48" s="927">
        <f>Consol!L110</f>
        <v>3015.85</v>
      </c>
      <c r="E48" s="927">
        <f>Consol!M110</f>
        <v>3562.2</v>
      </c>
      <c r="F48" s="927">
        <f>Consol!N110</f>
        <v>3493.6</v>
      </c>
      <c r="G48" s="927">
        <f>Consol!O110</f>
        <v>3744.8999999999996</v>
      </c>
    </row>
    <row r="49" spans="2:7" ht="15.75" thickBot="1" x14ac:dyDescent="0.3">
      <c r="B49" s="916" t="s">
        <v>1261</v>
      </c>
      <c r="C49" s="927">
        <f>Consol!K111+Consol!K112</f>
        <v>3177.72</v>
      </c>
      <c r="D49" s="927">
        <f>Consol!L111+Consol!L112</f>
        <v>2642.4700000000003</v>
      </c>
      <c r="E49" s="927">
        <f>Consol!M111+Consol!M112</f>
        <v>2609.5000000000005</v>
      </c>
      <c r="F49" s="927">
        <f>Consol!N111+Consol!N112</f>
        <v>8030.0999999999995</v>
      </c>
      <c r="G49" s="927">
        <f>Consol!O111+Consol!O112</f>
        <v>11153.599999999999</v>
      </c>
    </row>
    <row r="50" spans="2:7" ht="15.75" thickBot="1" x14ac:dyDescent="0.3">
      <c r="B50" s="911" t="s">
        <v>99</v>
      </c>
      <c r="C50" s="928">
        <f>SUM(C47:C49)</f>
        <v>9065.75</v>
      </c>
      <c r="D50" s="928">
        <f>SUM(D47:D49)</f>
        <v>7140.9000000000005</v>
      </c>
      <c r="E50" s="928">
        <f>SUM(E47:E49)</f>
        <v>7276.7000000000007</v>
      </c>
      <c r="F50" s="928">
        <f>SUM(F47:F49)</f>
        <v>13721.899999999998</v>
      </c>
      <c r="G50" s="928">
        <f>SUM(G47:G49)</f>
        <v>19480.399999999998</v>
      </c>
    </row>
    <row r="51" spans="2:7" ht="15.75" thickBot="1" x14ac:dyDescent="0.3">
      <c r="B51" s="916" t="s">
        <v>1623</v>
      </c>
      <c r="C51" s="927">
        <f>Consol!K71</f>
        <v>40946.82</v>
      </c>
      <c r="D51" s="927">
        <f>Consol!L71</f>
        <v>40954.400000000001</v>
      </c>
      <c r="E51" s="927">
        <f>Consol!M71</f>
        <v>42701.8</v>
      </c>
      <c r="F51" s="929">
        <f>Consol!N78</f>
        <v>46588.299999999996</v>
      </c>
      <c r="G51" s="929">
        <f>Consol!O78</f>
        <v>64098.5</v>
      </c>
    </row>
    <row r="52" spans="2:7" ht="15.75" thickBot="1" x14ac:dyDescent="0.3">
      <c r="B52" s="916" t="s">
        <v>1624</v>
      </c>
      <c r="C52" s="927">
        <f>Consol!K79+Consol!K80+Consol!K81</f>
        <v>9563.2799999999988</v>
      </c>
      <c r="D52" s="927">
        <f>Consol!L79+Consol!L80+Consol!L81</f>
        <v>5522.54</v>
      </c>
      <c r="E52" s="927">
        <f>Consol!M79+Consol!M80+Consol!M81</f>
        <v>5986.9</v>
      </c>
      <c r="F52" s="927">
        <f>Consol!N79+Consol!N80+Consol!N81</f>
        <v>6286</v>
      </c>
      <c r="G52" s="927">
        <f>Consol!O79+Consol!O80+Consol!O81</f>
        <v>7660.1</v>
      </c>
    </row>
    <row r="53" spans="2:7" ht="15.75" thickBot="1" x14ac:dyDescent="0.3">
      <c r="B53" s="911" t="s">
        <v>1625</v>
      </c>
      <c r="C53" s="928">
        <f>SUM(C51:C52)</f>
        <v>50510.1</v>
      </c>
      <c r="D53" s="928">
        <f>SUM(D51:D52)</f>
        <v>46476.94</v>
      </c>
      <c r="E53" s="928">
        <f>SUM(E51:E52)</f>
        <v>48688.700000000004</v>
      </c>
      <c r="F53" s="928">
        <f>SUM(F51:F52)</f>
        <v>52874.299999999996</v>
      </c>
      <c r="G53" s="928">
        <f>SUM(G51:G52)</f>
        <v>71758.600000000006</v>
      </c>
    </row>
    <row r="54" spans="2:7" ht="15.75" thickBot="1" x14ac:dyDescent="0.3">
      <c r="B54" s="910"/>
      <c r="C54" s="918"/>
      <c r="D54" s="918"/>
      <c r="E54" s="918"/>
      <c r="F54" s="918"/>
      <c r="G54" s="918"/>
    </row>
    <row r="55" spans="2:7" ht="15.75" thickBot="1" x14ac:dyDescent="0.3">
      <c r="B55" s="911" t="s">
        <v>799</v>
      </c>
      <c r="C55" s="928">
        <f>C47+C51</f>
        <v>44086.94</v>
      </c>
      <c r="D55" s="928">
        <f>D47+D51</f>
        <v>42436.98</v>
      </c>
      <c r="E55" s="928">
        <f>E47+E51</f>
        <v>43806.8</v>
      </c>
      <c r="F55" s="928">
        <f>F47+F51</f>
        <v>48786.499999999993</v>
      </c>
      <c r="G55" s="928">
        <f>G47+G51</f>
        <v>68680.399999999994</v>
      </c>
    </row>
    <row r="56" spans="2:7" ht="15.75" thickBot="1" x14ac:dyDescent="0.3">
      <c r="B56" s="910"/>
      <c r="C56" s="909"/>
      <c r="D56" s="909"/>
      <c r="E56" s="909"/>
      <c r="F56" s="909"/>
      <c r="G56" s="909"/>
    </row>
    <row r="57" spans="2:7" ht="15.75" thickBot="1" x14ac:dyDescent="0.3">
      <c r="B57" s="911" t="s">
        <v>63</v>
      </c>
      <c r="C57" s="927">
        <f>Consol!K69</f>
        <v>1997.59</v>
      </c>
      <c r="D57" s="927">
        <f>Consol!L69</f>
        <v>942.48</v>
      </c>
      <c r="E57" s="927">
        <f>Consol!M69</f>
        <v>2046.6</v>
      </c>
      <c r="F57" s="927">
        <f>Consol!N69</f>
        <v>7918</v>
      </c>
      <c r="G57" s="927">
        <f>Consol!O69</f>
        <v>8152.4</v>
      </c>
    </row>
    <row r="58" spans="2:7" ht="15.75" thickBot="1" x14ac:dyDescent="0.3">
      <c r="B58" s="910"/>
      <c r="C58" s="909"/>
      <c r="D58" s="909"/>
      <c r="E58" s="909"/>
      <c r="F58" s="909"/>
      <c r="G58" s="909"/>
    </row>
    <row r="59" spans="2:7" ht="15.75" thickBot="1" x14ac:dyDescent="0.3">
      <c r="B59" s="916" t="s">
        <v>60</v>
      </c>
      <c r="C59" s="927">
        <f>Consol!K65</f>
        <v>599.29</v>
      </c>
      <c r="D59" s="927">
        <f>Consol!L65</f>
        <v>3595.75</v>
      </c>
      <c r="E59" s="927">
        <f>Consol!M65</f>
        <v>4103</v>
      </c>
      <c r="F59" s="927">
        <f>Consol!N65</f>
        <v>4147</v>
      </c>
      <c r="G59" s="927">
        <f>Consol!O65</f>
        <v>4170.3999999999996</v>
      </c>
    </row>
    <row r="60" spans="2:7" ht="15.75" thickBot="1" x14ac:dyDescent="0.3">
      <c r="B60" s="916" t="s">
        <v>61</v>
      </c>
      <c r="C60" s="927">
        <f>Consol!K66</f>
        <v>32121.89</v>
      </c>
      <c r="D60" s="927">
        <f>Consol!L66</f>
        <v>36350.5</v>
      </c>
      <c r="E60" s="927">
        <f>Consol!M66</f>
        <v>76160.600000000006</v>
      </c>
      <c r="F60" s="927">
        <f>Consol!N66</f>
        <v>92822</v>
      </c>
      <c r="G60" s="927">
        <f>Consol!O66</f>
        <v>104604.6</v>
      </c>
    </row>
    <row r="61" spans="2:7" ht="15.75" thickBot="1" x14ac:dyDescent="0.3">
      <c r="B61" s="911" t="s">
        <v>1626</v>
      </c>
      <c r="C61" s="928">
        <f>SUM(C59:C60)</f>
        <v>32721.18</v>
      </c>
      <c r="D61" s="928">
        <f>SUM(D59:D60)</f>
        <v>39946.25</v>
      </c>
      <c r="E61" s="928">
        <f>SUM(E59:E60)</f>
        <v>80263.600000000006</v>
      </c>
      <c r="F61" s="928">
        <f>SUM(F59:F60)</f>
        <v>96969</v>
      </c>
      <c r="G61" s="928">
        <f>SUM(G59:G60)</f>
        <v>108775</v>
      </c>
    </row>
    <row r="62" spans="2:7" ht="15.75" thickBot="1" x14ac:dyDescent="0.3">
      <c r="B62" s="910"/>
      <c r="C62" s="917"/>
      <c r="D62" s="917"/>
      <c r="E62" s="917"/>
      <c r="F62" s="917"/>
      <c r="G62" s="917"/>
    </row>
    <row r="63" spans="2:7" ht="15.75" thickBot="1" x14ac:dyDescent="0.3">
      <c r="B63" s="911" t="s">
        <v>1627</v>
      </c>
      <c r="C63" s="928">
        <f>C61+C53+C50+C57</f>
        <v>94294.62</v>
      </c>
      <c r="D63" s="928">
        <f>D61+D53+D50+D57</f>
        <v>94506.569999999992</v>
      </c>
      <c r="E63" s="928">
        <f>E61+E53+E50+E57</f>
        <v>138275.60000000003</v>
      </c>
      <c r="F63" s="928">
        <f>F61+F53+F50+F57</f>
        <v>171483.19999999998</v>
      </c>
      <c r="G63" s="928">
        <f>G61+G53+G50+G57</f>
        <v>208166.39999999999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20328-D8AB-456E-886F-23F0F220C18C}">
  <dimension ref="B3:S42"/>
  <sheetViews>
    <sheetView workbookViewId="0"/>
  </sheetViews>
  <sheetFormatPr defaultRowHeight="15" x14ac:dyDescent="0.25"/>
  <cols>
    <col min="11" max="11" width="25.7109375" customWidth="1"/>
    <col min="14" max="14" width="10.28515625" bestFit="1" customWidth="1"/>
    <col min="18" max="18" width="14.7109375" bestFit="1" customWidth="1"/>
  </cols>
  <sheetData>
    <row r="3" spans="2:14" x14ac:dyDescent="0.25">
      <c r="B3">
        <v>1</v>
      </c>
      <c r="C3" t="s">
        <v>576</v>
      </c>
      <c r="M3" t="s">
        <v>674</v>
      </c>
    </row>
    <row r="4" spans="2:14" x14ac:dyDescent="0.25">
      <c r="B4">
        <f>B3+1</f>
        <v>2</v>
      </c>
      <c r="C4" t="s">
        <v>577</v>
      </c>
      <c r="M4" t="s">
        <v>675</v>
      </c>
    </row>
    <row r="5" spans="2:14" x14ac:dyDescent="0.25">
      <c r="B5">
        <f>B4+1</f>
        <v>3</v>
      </c>
      <c r="C5" t="s">
        <v>557</v>
      </c>
    </row>
    <row r="6" spans="2:14" x14ac:dyDescent="0.25">
      <c r="B6">
        <f>B5+1</f>
        <v>4</v>
      </c>
      <c r="C6" t="s">
        <v>559</v>
      </c>
      <c r="M6" t="s">
        <v>684</v>
      </c>
    </row>
    <row r="7" spans="2:14" x14ac:dyDescent="0.25">
      <c r="B7">
        <f>B6+1</f>
        <v>5</v>
      </c>
      <c r="C7" t="s">
        <v>562</v>
      </c>
      <c r="M7" t="s">
        <v>685</v>
      </c>
    </row>
    <row r="8" spans="2:14" x14ac:dyDescent="0.25">
      <c r="B8">
        <f>B7+1</f>
        <v>6</v>
      </c>
      <c r="C8" t="s">
        <v>569</v>
      </c>
      <c r="M8" t="s">
        <v>686</v>
      </c>
    </row>
    <row r="9" spans="2:14" x14ac:dyDescent="0.25">
      <c r="B9">
        <v>7</v>
      </c>
      <c r="C9" t="s">
        <v>574</v>
      </c>
      <c r="M9" t="s">
        <v>687</v>
      </c>
    </row>
    <row r="10" spans="2:14" x14ac:dyDescent="0.25">
      <c r="B10">
        <v>8</v>
      </c>
      <c r="C10" t="s">
        <v>575</v>
      </c>
      <c r="M10" t="s">
        <v>688</v>
      </c>
    </row>
    <row r="11" spans="2:14" x14ac:dyDescent="0.25">
      <c r="B11">
        <v>9</v>
      </c>
      <c r="C11" t="s">
        <v>594</v>
      </c>
    </row>
    <row r="12" spans="2:14" x14ac:dyDescent="0.25">
      <c r="B12">
        <v>10</v>
      </c>
      <c r="C12" t="s">
        <v>598</v>
      </c>
    </row>
    <row r="13" spans="2:14" x14ac:dyDescent="0.25">
      <c r="B13">
        <v>11</v>
      </c>
      <c r="C13" t="s">
        <v>673</v>
      </c>
      <c r="M13" t="s">
        <v>717</v>
      </c>
    </row>
    <row r="15" spans="2:14" x14ac:dyDescent="0.25">
      <c r="C15" t="s">
        <v>633</v>
      </c>
    </row>
    <row r="16" spans="2:14" x14ac:dyDescent="0.25">
      <c r="C16" t="s">
        <v>625</v>
      </c>
      <c r="N16" s="236" t="s">
        <v>158</v>
      </c>
    </row>
    <row r="17" spans="11:19" x14ac:dyDescent="0.25">
      <c r="K17" s="234" t="s">
        <v>606</v>
      </c>
      <c r="N17" s="235">
        <v>20000</v>
      </c>
      <c r="O17" t="s">
        <v>607</v>
      </c>
    </row>
    <row r="22" spans="11:19" x14ac:dyDescent="0.25">
      <c r="K22" s="234" t="s">
        <v>573</v>
      </c>
      <c r="N22" s="235">
        <v>30000</v>
      </c>
    </row>
    <row r="23" spans="11:19" x14ac:dyDescent="0.25">
      <c r="K23" t="s">
        <v>608</v>
      </c>
    </row>
    <row r="24" spans="11:19" x14ac:dyDescent="0.25">
      <c r="K24" t="s">
        <v>609</v>
      </c>
      <c r="R24" t="s">
        <v>663</v>
      </c>
      <c r="S24">
        <v>5500</v>
      </c>
    </row>
    <row r="25" spans="11:19" x14ac:dyDescent="0.25">
      <c r="K25" t="s">
        <v>611</v>
      </c>
      <c r="R25" t="s">
        <v>664</v>
      </c>
      <c r="S25">
        <v>8300</v>
      </c>
    </row>
    <row r="26" spans="11:19" x14ac:dyDescent="0.25">
      <c r="K26" t="s">
        <v>610</v>
      </c>
      <c r="R26" t="s">
        <v>665</v>
      </c>
      <c r="S26">
        <f>30*85</f>
        <v>2550</v>
      </c>
    </row>
    <row r="27" spans="11:19" x14ac:dyDescent="0.25">
      <c r="R27" t="s">
        <v>606</v>
      </c>
      <c r="S27">
        <v>2000</v>
      </c>
    </row>
    <row r="28" spans="11:19" x14ac:dyDescent="0.25">
      <c r="R28" t="s">
        <v>558</v>
      </c>
      <c r="S28">
        <v>3000</v>
      </c>
    </row>
    <row r="29" spans="11:19" x14ac:dyDescent="0.25">
      <c r="K29" s="234" t="s">
        <v>612</v>
      </c>
    </row>
    <row r="30" spans="11:19" x14ac:dyDescent="0.25">
      <c r="K30" t="s">
        <v>614</v>
      </c>
      <c r="N30">
        <v>38450</v>
      </c>
      <c r="O30" t="s">
        <v>613</v>
      </c>
    </row>
    <row r="31" spans="11:19" x14ac:dyDescent="0.25">
      <c r="K31" t="s">
        <v>626</v>
      </c>
      <c r="N31">
        <f>N32-N30</f>
        <v>16550</v>
      </c>
    </row>
    <row r="32" spans="11:19" x14ac:dyDescent="0.25">
      <c r="N32" s="234">
        <v>55000</v>
      </c>
      <c r="R32" s="235"/>
      <c r="S32" s="237"/>
    </row>
    <row r="34" spans="2:15" x14ac:dyDescent="0.25">
      <c r="K34" t="s">
        <v>627</v>
      </c>
      <c r="N34">
        <v>43000</v>
      </c>
      <c r="O34" t="s">
        <v>628</v>
      </c>
    </row>
    <row r="35" spans="2:15" x14ac:dyDescent="0.25">
      <c r="B35" t="s">
        <v>617</v>
      </c>
      <c r="K35" t="s">
        <v>629</v>
      </c>
      <c r="N35">
        <v>40000</v>
      </c>
    </row>
    <row r="36" spans="2:15" x14ac:dyDescent="0.25">
      <c r="K36" t="s">
        <v>630</v>
      </c>
      <c r="N36" t="s">
        <v>632</v>
      </c>
      <c r="O36" t="s">
        <v>631</v>
      </c>
    </row>
    <row r="38" spans="2:15" x14ac:dyDescent="0.25">
      <c r="B38" s="234" t="s">
        <v>620</v>
      </c>
      <c r="K38" s="234" t="s">
        <v>622</v>
      </c>
    </row>
    <row r="39" spans="2:15" x14ac:dyDescent="0.25">
      <c r="B39" t="s">
        <v>618</v>
      </c>
      <c r="C39" t="s">
        <v>682</v>
      </c>
      <c r="K39" t="s">
        <v>623</v>
      </c>
    </row>
    <row r="40" spans="2:15" x14ac:dyDescent="0.25">
      <c r="B40" t="s">
        <v>619</v>
      </c>
      <c r="C40" t="s">
        <v>681</v>
      </c>
      <c r="K40" t="s">
        <v>624</v>
      </c>
    </row>
    <row r="41" spans="2:15" x14ac:dyDescent="0.25">
      <c r="B41" t="s">
        <v>621</v>
      </c>
    </row>
    <row r="42" spans="2:15" x14ac:dyDescent="0.25">
      <c r="B42" t="s">
        <v>683</v>
      </c>
      <c r="C42" t="s">
        <v>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Equibase</vt:lpstr>
      <vt:lpstr>EquibaseQTR</vt:lpstr>
      <vt:lpstr>NewFinSumm</vt:lpstr>
      <vt:lpstr>Key</vt:lpstr>
      <vt:lpstr>Assumptions</vt:lpstr>
      <vt:lpstr>Consol</vt:lpstr>
      <vt:lpstr>Valuation</vt:lpstr>
      <vt:lpstr>Logistics</vt:lpstr>
      <vt:lpstr>Charts</vt:lpstr>
      <vt:lpstr>Qtrly</vt:lpstr>
      <vt:lpstr>Notes</vt:lpstr>
      <vt:lpstr>Navkar Qtrly</vt:lpstr>
      <vt:lpstr>Jaigarh</vt:lpstr>
      <vt:lpstr>Standalone</vt:lpstr>
      <vt:lpstr>Goa</vt:lpstr>
      <vt:lpstr>Dharmtar</vt:lpstr>
      <vt:lpstr>Paradip Iron</vt:lpstr>
      <vt:lpstr>Paradip Coal</vt:lpstr>
      <vt:lpstr>Ennore Coal</vt:lpstr>
      <vt:lpstr>Ennore Bulk</vt:lpstr>
      <vt:lpstr>Mangalore Coal</vt:lpstr>
      <vt:lpstr>Mangalore Container</vt:lpstr>
      <vt:lpstr>PNP</vt:lpstr>
      <vt:lpstr>Tuticorin</vt:lpstr>
      <vt:lpstr>JNPT Liquid</vt:lpstr>
      <vt:lpstr>Sheet1</vt:lpstr>
      <vt:lpstr>HDFC Life</vt:lpstr>
      <vt:lpstr>ITI</vt:lpstr>
      <vt:lpstr>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Ketan Jain</dc:creator>
  <cp:lastModifiedBy>Dheeraj Kripalani</cp:lastModifiedBy>
  <cp:lastPrinted>2025-05-01T08:23:36Z</cp:lastPrinted>
  <dcterms:created xsi:type="dcterms:W3CDTF">2015-06-05T18:17:20Z</dcterms:created>
  <dcterms:modified xsi:type="dcterms:W3CDTF">2026-07-20T12:00:39Z</dcterms:modified>
</cp:coreProperties>
</file>